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Planeación\"/>
    </mc:Choice>
  </mc:AlternateContent>
  <bookViews>
    <workbookView xWindow="0" yWindow="0" windowWidth="24000" windowHeight="8430" tabRatio="882" firstSheet="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26"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5" i="1" l="1"/>
  <c r="R75" i="1"/>
  <c r="L75" i="1"/>
  <c r="U74" i="1"/>
  <c r="R74" i="1"/>
  <c r="AC75" i="1" s="1"/>
  <c r="AB75" i="1" s="1"/>
  <c r="L74" i="1"/>
  <c r="AC73" i="1"/>
  <c r="AB73" i="1" s="1"/>
  <c r="U73" i="1"/>
  <c r="R73" i="1"/>
  <c r="L73" i="1"/>
  <c r="U72" i="1"/>
  <c r="R72" i="1"/>
  <c r="Y73" i="1" s="1"/>
  <c r="AA73" i="1" s="1"/>
  <c r="L72" i="1"/>
  <c r="U71" i="1"/>
  <c r="R71" i="1"/>
  <c r="Y72" i="1" s="1"/>
  <c r="L71" i="1"/>
  <c r="U70" i="1"/>
  <c r="R70" i="1"/>
  <c r="L70" i="1"/>
  <c r="M70" i="1" s="1"/>
  <c r="O70" i="1" s="1"/>
  <c r="I70" i="1"/>
  <c r="J70" i="1" s="1"/>
  <c r="U69" i="1"/>
  <c r="R69" i="1"/>
  <c r="L69" i="1"/>
  <c r="U68" i="1"/>
  <c r="R68" i="1"/>
  <c r="L68" i="1"/>
  <c r="U67" i="1"/>
  <c r="R67" i="1"/>
  <c r="AC67" i="1" s="1"/>
  <c r="AB67" i="1" s="1"/>
  <c r="L67" i="1"/>
  <c r="U66" i="1"/>
  <c r="R66" i="1"/>
  <c r="L66" i="1"/>
  <c r="U65" i="1"/>
  <c r="R65" i="1"/>
  <c r="AC66" i="1" s="1"/>
  <c r="AB66" i="1" s="1"/>
  <c r="L65" i="1"/>
  <c r="U64" i="1"/>
  <c r="R64" i="1"/>
  <c r="L64" i="1"/>
  <c r="M64" i="1" s="1"/>
  <c r="N64" i="1" s="1"/>
  <c r="I64" i="1"/>
  <c r="AC71" i="1" l="1"/>
  <c r="AB71" i="1" s="1"/>
  <c r="Y67" i="1"/>
  <c r="Y69" i="1"/>
  <c r="AC69" i="1"/>
  <c r="AB69" i="1" s="1"/>
  <c r="AC65" i="1"/>
  <c r="AB65" i="1" s="1"/>
  <c r="AC74" i="1"/>
  <c r="AB74" i="1" s="1"/>
  <c r="Y74" i="1"/>
  <c r="AA74" i="1" s="1"/>
  <c r="AC72" i="1"/>
  <c r="AB72" i="1" s="1"/>
  <c r="Y68" i="1"/>
  <c r="AA68" i="1" s="1"/>
  <c r="AC68" i="1"/>
  <c r="AB68" i="1" s="1"/>
  <c r="Y75" i="1"/>
  <c r="AA75" i="1" s="1"/>
  <c r="Y66" i="1"/>
  <c r="Y71" i="1"/>
  <c r="Z71" i="1" s="1"/>
  <c r="AD71" i="1" s="1"/>
  <c r="AA69" i="1"/>
  <c r="Z69" i="1"/>
  <c r="AD69" i="1" s="1"/>
  <c r="O64" i="1"/>
  <c r="AA67" i="1"/>
  <c r="Z67" i="1"/>
  <c r="AD67" i="1" s="1"/>
  <c r="AA72" i="1"/>
  <c r="Z72" i="1"/>
  <c r="AA66" i="1"/>
  <c r="Z66" i="1"/>
  <c r="AD66" i="1" s="1"/>
  <c r="Y65" i="1"/>
  <c r="Y70" i="1"/>
  <c r="N70" i="1"/>
  <c r="AC70" i="1" s="1"/>
  <c r="AB70" i="1" s="1"/>
  <c r="Z73" i="1"/>
  <c r="AD73" i="1" s="1"/>
  <c r="J64" i="1"/>
  <c r="Y64" i="1" s="1"/>
  <c r="AC64" i="1"/>
  <c r="AB64" i="1" s="1"/>
  <c r="U82" i="1"/>
  <c r="R82" i="1"/>
  <c r="I82" i="1"/>
  <c r="J82" i="1" s="1"/>
  <c r="L82" i="1"/>
  <c r="M82" i="1" s="1"/>
  <c r="L83" i="1"/>
  <c r="L84" i="1"/>
  <c r="L85" i="1"/>
  <c r="L86" i="1"/>
  <c r="L87" i="1"/>
  <c r="R83" i="1"/>
  <c r="U83" i="1"/>
  <c r="U78" i="1"/>
  <c r="R78" i="1"/>
  <c r="U77" i="1"/>
  <c r="R77" i="1"/>
  <c r="U76" i="1"/>
  <c r="R76" i="1"/>
  <c r="L78" i="1"/>
  <c r="L77" i="1"/>
  <c r="L76" i="1"/>
  <c r="M76" i="1" s="1"/>
  <c r="N76" i="1" s="1"/>
  <c r="I76" i="1"/>
  <c r="Z74" i="1" l="1"/>
  <c r="AD74" i="1" s="1"/>
  <c r="Z75" i="1"/>
  <c r="AD75" i="1" s="1"/>
  <c r="AA71" i="1"/>
  <c r="Z68" i="1"/>
  <c r="AD68" i="1" s="1"/>
  <c r="AD72" i="1"/>
  <c r="AA64" i="1"/>
  <c r="Z64" i="1"/>
  <c r="AD64" i="1" s="1"/>
  <c r="AA70" i="1"/>
  <c r="Z70" i="1"/>
  <c r="AD70" i="1" s="1"/>
  <c r="Z65" i="1"/>
  <c r="AD65" i="1" s="1"/>
  <c r="AA65" i="1"/>
  <c r="Y82" i="1"/>
  <c r="N82" i="1"/>
  <c r="AC82" i="1" s="1"/>
  <c r="AB82" i="1" s="1"/>
  <c r="O82" i="1"/>
  <c r="AC76" i="1"/>
  <c r="AB76" i="1" s="1"/>
  <c r="O76" i="1"/>
  <c r="J76" i="1"/>
  <c r="Y76" i="1" s="1"/>
  <c r="AC83" i="1" l="1"/>
  <c r="AB83" i="1" s="1"/>
  <c r="AA82" i="1"/>
  <c r="Y83" i="1" s="1"/>
  <c r="Z83" i="1" s="1"/>
  <c r="Z82" i="1"/>
  <c r="AD82" i="1" s="1"/>
  <c r="AA83" i="1"/>
  <c r="AA76" i="1"/>
  <c r="Y77" i="1" s="1"/>
  <c r="Z76" i="1"/>
  <c r="AD76" i="1" s="1"/>
  <c r="AD83" i="1" l="1"/>
  <c r="AA77" i="1"/>
  <c r="Y78" i="1" s="1"/>
  <c r="Z77" i="1"/>
  <c r="AA78" i="1" l="1"/>
  <c r="Z78" i="1"/>
  <c r="U63" i="1" l="1"/>
  <c r="R63" i="1"/>
  <c r="L63" i="1"/>
  <c r="U62" i="1"/>
  <c r="R62" i="1"/>
  <c r="AC63" i="1" s="1"/>
  <c r="AB63" i="1" s="1"/>
  <c r="L62" i="1"/>
  <c r="U61" i="1"/>
  <c r="R61" i="1"/>
  <c r="L61" i="1"/>
  <c r="U60" i="1"/>
  <c r="R60" i="1"/>
  <c r="L60" i="1"/>
  <c r="U59" i="1"/>
  <c r="R59" i="1"/>
  <c r="AC59" i="1" s="1"/>
  <c r="AB59" i="1" s="1"/>
  <c r="L59" i="1"/>
  <c r="U58" i="1"/>
  <c r="L58" i="1"/>
  <c r="M58" i="1" s="1"/>
  <c r="I58" i="1"/>
  <c r="J58" i="1" s="1"/>
  <c r="L57" i="1"/>
  <c r="L56" i="1"/>
  <c r="L55" i="1"/>
  <c r="L54" i="1"/>
  <c r="L52" i="1"/>
  <c r="M52" i="1" s="1"/>
  <c r="I52" i="1"/>
  <c r="J52" i="1" s="1"/>
  <c r="Y52" i="1" s="1"/>
  <c r="AA52" i="1" s="1"/>
  <c r="Y53" i="1" s="1"/>
  <c r="U51" i="1"/>
  <c r="R51" i="1"/>
  <c r="L51" i="1"/>
  <c r="U50" i="1"/>
  <c r="R50" i="1"/>
  <c r="L50" i="1"/>
  <c r="U49" i="1"/>
  <c r="R49" i="1"/>
  <c r="L49" i="1"/>
  <c r="U48" i="1"/>
  <c r="R48" i="1"/>
  <c r="L48" i="1"/>
  <c r="U47" i="1"/>
  <c r="R47" i="1"/>
  <c r="U46" i="1"/>
  <c r="R46" i="1"/>
  <c r="L46" i="1"/>
  <c r="M46" i="1" s="1"/>
  <c r="I46" i="1"/>
  <c r="J46" i="1" s="1"/>
  <c r="U45" i="1"/>
  <c r="R45" i="1"/>
  <c r="L45" i="1"/>
  <c r="U44" i="1"/>
  <c r="R44" i="1"/>
  <c r="L44" i="1"/>
  <c r="U43" i="1"/>
  <c r="R43" i="1"/>
  <c r="L43" i="1"/>
  <c r="U42" i="1"/>
  <c r="R42" i="1"/>
  <c r="L42" i="1"/>
  <c r="U41" i="1"/>
  <c r="R41" i="1"/>
  <c r="L41" i="1"/>
  <c r="L40" i="1"/>
  <c r="M40" i="1" s="1"/>
  <c r="N40" i="1" s="1"/>
  <c r="AC40" i="1" s="1"/>
  <c r="AB40" i="1" s="1"/>
  <c r="I40" i="1"/>
  <c r="J40" i="1" s="1"/>
  <c r="Y40" i="1" s="1"/>
  <c r="U39" i="1"/>
  <c r="R39" i="1"/>
  <c r="L39" i="1"/>
  <c r="U38" i="1"/>
  <c r="R38" i="1"/>
  <c r="L38" i="1"/>
  <c r="U37" i="1"/>
  <c r="R37" i="1"/>
  <c r="L37" i="1"/>
  <c r="U36" i="1"/>
  <c r="R36" i="1"/>
  <c r="L36" i="1"/>
  <c r="U35" i="1"/>
  <c r="R35" i="1"/>
  <c r="L34" i="1"/>
  <c r="M34" i="1" s="1"/>
  <c r="I34" i="1"/>
  <c r="J34" i="1" s="1"/>
  <c r="Y34" i="1" s="1"/>
  <c r="Y28" i="1"/>
  <c r="AA28" i="1" s="1"/>
  <c r="Y29" i="1" s="1"/>
  <c r="L33" i="1"/>
  <c r="L32" i="1"/>
  <c r="L31" i="1"/>
  <c r="L30" i="1"/>
  <c r="L29" i="1"/>
  <c r="L28" i="1"/>
  <c r="M28" i="1" s="1"/>
  <c r="I28" i="1"/>
  <c r="J28" i="1" s="1"/>
  <c r="Y22" i="1"/>
  <c r="AA22" i="1" s="1"/>
  <c r="Y24" i="1" s="1"/>
  <c r="AA24" i="1" s="1"/>
  <c r="L27" i="1"/>
  <c r="L26" i="1"/>
  <c r="L25" i="1"/>
  <c r="L24" i="1"/>
  <c r="L22" i="1"/>
  <c r="M22" i="1" s="1"/>
  <c r="N22" i="1" s="1"/>
  <c r="AC22" i="1" s="1"/>
  <c r="AB22" i="1" s="1"/>
  <c r="I22" i="1"/>
  <c r="J22" i="1" s="1"/>
  <c r="R23" i="1"/>
  <c r="U23" i="1"/>
  <c r="R25" i="1"/>
  <c r="U25" i="1"/>
  <c r="R26" i="1"/>
  <c r="U26" i="1"/>
  <c r="R27" i="1"/>
  <c r="U27" i="1"/>
  <c r="U21" i="1"/>
  <c r="R21" i="1"/>
  <c r="L21" i="1"/>
  <c r="U20" i="1"/>
  <c r="R20" i="1"/>
  <c r="L20" i="1"/>
  <c r="U19" i="1"/>
  <c r="R19" i="1"/>
  <c r="L19" i="1"/>
  <c r="U18" i="1"/>
  <c r="R18" i="1"/>
  <c r="AC18" i="1" s="1"/>
  <c r="AB18" i="1" s="1"/>
  <c r="L18" i="1"/>
  <c r="L17" i="1"/>
  <c r="L16" i="1"/>
  <c r="M16" i="1" s="1"/>
  <c r="I16" i="1"/>
  <c r="J16" i="1" s="1"/>
  <c r="Y16" i="1" s="1"/>
  <c r="L35" i="1"/>
  <c r="L23" i="1"/>
  <c r="L53" i="1"/>
  <c r="L47" i="1"/>
  <c r="Y46" i="1" l="1"/>
  <c r="AC49" i="1"/>
  <c r="AB49" i="1" s="1"/>
  <c r="Y36" i="1"/>
  <c r="AC39" i="1"/>
  <c r="AB39" i="1" s="1"/>
  <c r="Y42" i="1"/>
  <c r="AA42" i="1" s="1"/>
  <c r="Y43" i="1"/>
  <c r="AA43" i="1" s="1"/>
  <c r="AC45" i="1"/>
  <c r="AB45" i="1" s="1"/>
  <c r="Y58" i="1"/>
  <c r="Z58" i="1" s="1"/>
  <c r="Y26" i="1"/>
  <c r="AA26" i="1" s="1"/>
  <c r="Y20" i="1"/>
  <c r="Z20" i="1" s="1"/>
  <c r="Y60" i="1"/>
  <c r="AA60" i="1" s="1"/>
  <c r="AC43" i="1"/>
  <c r="AB43" i="1" s="1"/>
  <c r="O52" i="1"/>
  <c r="AC26" i="1"/>
  <c r="AB26" i="1" s="1"/>
  <c r="O28" i="1"/>
  <c r="AC25" i="1"/>
  <c r="AB25" i="1" s="1"/>
  <c r="AC37" i="1"/>
  <c r="AB37" i="1" s="1"/>
  <c r="AC48" i="1"/>
  <c r="AB48" i="1" s="1"/>
  <c r="Y25" i="1"/>
  <c r="Z25" i="1" s="1"/>
  <c r="AC51" i="1"/>
  <c r="AB51" i="1" s="1"/>
  <c r="AC29" i="1"/>
  <c r="AB29" i="1" s="1"/>
  <c r="Y63" i="1"/>
  <c r="AA63" i="1" s="1"/>
  <c r="Y62" i="1"/>
  <c r="Z62" i="1" s="1"/>
  <c r="AC62" i="1"/>
  <c r="AB62" i="1" s="1"/>
  <c r="Y61" i="1"/>
  <c r="AA61" i="1" s="1"/>
  <c r="Y59" i="1"/>
  <c r="AC60" i="1"/>
  <c r="AB60" i="1" s="1"/>
  <c r="N58" i="1"/>
  <c r="AC58" i="1" s="1"/>
  <c r="O58" i="1"/>
  <c r="AC61" i="1"/>
  <c r="AB61" i="1" s="1"/>
  <c r="AA53" i="1"/>
  <c r="Z53" i="1"/>
  <c r="Z52" i="1"/>
  <c r="N52" i="1"/>
  <c r="AC52" i="1" s="1"/>
  <c r="AB52" i="1" s="1"/>
  <c r="Y50" i="1"/>
  <c r="AA50" i="1" s="1"/>
  <c r="Y51" i="1"/>
  <c r="Z51" i="1" s="1"/>
  <c r="AD51" i="1" s="1"/>
  <c r="AC50" i="1"/>
  <c r="AB50" i="1" s="1"/>
  <c r="Y49" i="1"/>
  <c r="Z49" i="1" s="1"/>
  <c r="AD49" i="1" s="1"/>
  <c r="AC47" i="1"/>
  <c r="AB47" i="1" s="1"/>
  <c r="Y47" i="1"/>
  <c r="Y48" i="1"/>
  <c r="N46" i="1"/>
  <c r="AC46" i="1" s="1"/>
  <c r="O46" i="1"/>
  <c r="AA46" i="1"/>
  <c r="Z46" i="1"/>
  <c r="AA51" i="1"/>
  <c r="Y44" i="1"/>
  <c r="AA44" i="1" s="1"/>
  <c r="AC44" i="1"/>
  <c r="AB44" i="1" s="1"/>
  <c r="O40" i="1"/>
  <c r="AA40" i="1"/>
  <c r="Z40" i="1"/>
  <c r="AD40" i="1" s="1"/>
  <c r="AC41" i="1"/>
  <c r="AB41" i="1" s="1"/>
  <c r="Y45" i="1"/>
  <c r="AC42" i="1"/>
  <c r="AB42" i="1" s="1"/>
  <c r="Y41" i="1"/>
  <c r="Y39" i="1"/>
  <c r="AA39" i="1" s="1"/>
  <c r="AC35" i="1"/>
  <c r="AB35" i="1" s="1"/>
  <c r="AC38" i="1"/>
  <c r="AB38" i="1" s="1"/>
  <c r="Y38" i="1"/>
  <c r="Z38" i="1" s="1"/>
  <c r="Y37" i="1"/>
  <c r="Z37" i="1" s="1"/>
  <c r="AC36" i="1"/>
  <c r="AB36" i="1" s="1"/>
  <c r="AA36" i="1"/>
  <c r="Z36" i="1"/>
  <c r="O34" i="1"/>
  <c r="N34" i="1"/>
  <c r="AC34" i="1" s="1"/>
  <c r="AB34" i="1" s="1"/>
  <c r="AA34" i="1"/>
  <c r="Z34" i="1"/>
  <c r="Y35" i="1"/>
  <c r="Y19" i="1"/>
  <c r="AA19" i="1" s="1"/>
  <c r="AC21" i="1"/>
  <c r="AB21" i="1" s="1"/>
  <c r="AC20" i="1"/>
  <c r="AB20" i="1" s="1"/>
  <c r="AA29" i="1"/>
  <c r="Z29" i="1"/>
  <c r="Z28" i="1"/>
  <c r="N28" i="1"/>
  <c r="AC28" i="1" s="1"/>
  <c r="AB28" i="1" s="1"/>
  <c r="Y27" i="1"/>
  <c r="Z27" i="1" s="1"/>
  <c r="Z24" i="1"/>
  <c r="Z22" i="1"/>
  <c r="AD22" i="1" s="1"/>
  <c r="Z26" i="1"/>
  <c r="AD26" i="1" s="1"/>
  <c r="O22" i="1"/>
  <c r="AC27" i="1"/>
  <c r="AB27" i="1" s="1"/>
  <c r="Y23" i="1"/>
  <c r="AA16" i="1"/>
  <c r="Y17" i="1" s="1"/>
  <c r="Z16" i="1"/>
  <c r="O16" i="1"/>
  <c r="N16" i="1"/>
  <c r="AC16" i="1" s="1"/>
  <c r="Y18" i="1"/>
  <c r="AC19" i="1"/>
  <c r="AB19" i="1" s="1"/>
  <c r="Y21" i="1"/>
  <c r="Z43" i="1" l="1"/>
  <c r="AD43" i="1" s="1"/>
  <c r="AD29" i="1"/>
  <c r="Z42" i="1"/>
  <c r="AA37" i="1"/>
  <c r="AA58" i="1"/>
  <c r="Z60" i="1"/>
  <c r="AD60" i="1" s="1"/>
  <c r="AD25" i="1"/>
  <c r="Z50" i="1"/>
  <c r="AD50" i="1" s="1"/>
  <c r="AA20" i="1"/>
  <c r="AA25" i="1"/>
  <c r="AA49" i="1"/>
  <c r="AD36" i="1"/>
  <c r="Z63" i="1"/>
  <c r="AD63" i="1" s="1"/>
  <c r="AA38" i="1"/>
  <c r="Z19" i="1"/>
  <c r="AD19" i="1" s="1"/>
  <c r="AB58" i="1"/>
  <c r="AD58" i="1" s="1"/>
  <c r="AC77" i="1"/>
  <c r="Z39" i="1"/>
  <c r="AD39" i="1" s="1"/>
  <c r="AA62" i="1"/>
  <c r="AD37" i="1"/>
  <c r="Z44" i="1"/>
  <c r="AD44" i="1" s="1"/>
  <c r="Z61" i="1"/>
  <c r="AD61" i="1" s="1"/>
  <c r="AD38" i="1"/>
  <c r="AD28" i="1"/>
  <c r="AB46" i="1"/>
  <c r="AD46" i="1" s="1"/>
  <c r="AC53" i="1"/>
  <c r="AB53" i="1" s="1"/>
  <c r="AD53" i="1" s="1"/>
  <c r="AD52" i="1"/>
  <c r="AD62" i="1"/>
  <c r="Z59" i="1"/>
  <c r="AD59" i="1" s="1"/>
  <c r="AA59" i="1"/>
  <c r="AA48" i="1"/>
  <c r="Z48" i="1"/>
  <c r="AD48" i="1" s="1"/>
  <c r="AA47" i="1"/>
  <c r="Z47" i="1"/>
  <c r="AD47" i="1" s="1"/>
  <c r="Z41" i="1"/>
  <c r="AD41" i="1" s="1"/>
  <c r="AA41" i="1"/>
  <c r="AD42" i="1"/>
  <c r="AA45" i="1"/>
  <c r="Z45" i="1"/>
  <c r="AD45" i="1" s="1"/>
  <c r="AD34" i="1"/>
  <c r="Z35" i="1"/>
  <c r="AD35" i="1" s="1"/>
  <c r="AA35" i="1"/>
  <c r="AA27" i="1"/>
  <c r="AD20" i="1"/>
  <c r="AD27" i="1"/>
  <c r="AC24" i="1"/>
  <c r="AB24" i="1" s="1"/>
  <c r="AD24" i="1" s="1"/>
  <c r="AC23" i="1"/>
  <c r="AB23" i="1" s="1"/>
  <c r="AA23" i="1"/>
  <c r="Z23" i="1"/>
  <c r="AA21" i="1"/>
  <c r="Z21" i="1"/>
  <c r="AD21" i="1" s="1"/>
  <c r="AC17" i="1"/>
  <c r="AB17" i="1" s="1"/>
  <c r="AB16" i="1"/>
  <c r="AD16" i="1" s="1"/>
  <c r="AA18" i="1"/>
  <c r="Z18" i="1"/>
  <c r="AA17" i="1"/>
  <c r="Z17" i="1"/>
  <c r="AB77" i="1" l="1"/>
  <c r="AD77" i="1" s="1"/>
  <c r="AC78" i="1"/>
  <c r="AB78" i="1" s="1"/>
  <c r="AD78" i="1" s="1"/>
  <c r="AD23" i="1"/>
  <c r="AD18" i="1"/>
  <c r="L16" i="19"/>
  <c r="AD17" i="1"/>
  <c r="F222" i="13"/>
  <c r="F212" i="13"/>
  <c r="F213" i="13"/>
  <c r="F214" i="13"/>
  <c r="F215" i="13"/>
  <c r="F216" i="13"/>
  <c r="F217" i="13"/>
  <c r="F218" i="13"/>
  <c r="F219" i="13"/>
  <c r="F220" i="13"/>
  <c r="F221" i="13"/>
  <c r="F211" i="13"/>
  <c r="B222" i="13" a="1"/>
  <c r="B222"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87" i="1" l="1"/>
  <c r="R87" i="1"/>
  <c r="U86" i="1"/>
  <c r="R86" i="1"/>
  <c r="U85" i="1"/>
  <c r="R85" i="1"/>
  <c r="U84" i="1"/>
  <c r="R84" i="1"/>
  <c r="U81" i="1"/>
  <c r="R81" i="1"/>
  <c r="U80" i="1"/>
  <c r="R80" i="1"/>
  <c r="U57" i="1"/>
  <c r="R57" i="1"/>
  <c r="U56" i="1"/>
  <c r="R56" i="1"/>
  <c r="U55" i="1"/>
  <c r="R55" i="1"/>
  <c r="U54" i="1"/>
  <c r="R54" i="1"/>
  <c r="U33" i="1"/>
  <c r="R33" i="1"/>
  <c r="U32" i="1"/>
  <c r="R32" i="1"/>
  <c r="U31" i="1"/>
  <c r="R31" i="1"/>
  <c r="U30" i="1"/>
  <c r="R30" i="1"/>
  <c r="AC56" i="1" l="1"/>
  <c r="AB56" i="1" s="1"/>
  <c r="AC57" i="1"/>
  <c r="AB57" i="1" s="1"/>
  <c r="Y56" i="1"/>
  <c r="Y57" i="1"/>
  <c r="Z57" i="1" l="1"/>
  <c r="AA57" i="1"/>
  <c r="Z56" i="1"/>
  <c r="AA56" i="1"/>
  <c r="Y30" i="1" l="1"/>
  <c r="Z30" i="1" s="1"/>
  <c r="Y80" i="1"/>
  <c r="Y81" i="1"/>
  <c r="Y32" i="1"/>
  <c r="Y86" i="1" l="1"/>
  <c r="Y87" i="1"/>
  <c r="Z32" i="1"/>
  <c r="AA32" i="1"/>
  <c r="Y33" i="1" s="1"/>
  <c r="Z33" i="1" s="1"/>
  <c r="Z87" i="1" l="1"/>
  <c r="AA87" i="1"/>
  <c r="Z86" i="1"/>
  <c r="AA86" i="1"/>
  <c r="AA33" i="1"/>
  <c r="AC84"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C30" i="1"/>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84" i="1"/>
  <c r="AC85"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85" i="1" l="1"/>
  <c r="AC86"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31" i="1"/>
  <c r="AB30"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86" i="1" l="1"/>
  <c r="AC87" i="1"/>
  <c r="AB87" i="1" s="1"/>
  <c r="AC32" i="1"/>
  <c r="AB32" i="1" s="1"/>
  <c r="AB31" i="1"/>
  <c r="AC33" i="1"/>
  <c r="AB33" i="1" s="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80" i="1"/>
  <c r="AJ46" i="19"/>
  <c r="AD46" i="19"/>
  <c r="L36" i="19"/>
  <c r="X16" i="19"/>
  <c r="AJ26" i="19"/>
  <c r="L46" i="19"/>
  <c r="X6" i="19"/>
  <c r="R36" i="19"/>
  <c r="X36" i="19"/>
  <c r="R6" i="19"/>
  <c r="AJ6" i="19"/>
  <c r="AD36" i="19"/>
  <c r="R46" i="19"/>
  <c r="AD26" i="19"/>
  <c r="AD16" i="19"/>
  <c r="X46" i="19"/>
  <c r="X26" i="19"/>
  <c r="AJ36" i="19"/>
  <c r="R26" i="19"/>
  <c r="AD6" i="19"/>
  <c r="L6" i="19"/>
  <c r="L26" i="19"/>
  <c r="R16" i="19"/>
  <c r="AJ16"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E54" i="19" l="1"/>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87"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86" i="1"/>
  <c r="N15" i="19"/>
  <c r="AF55" i="19"/>
  <c r="N55" i="19"/>
  <c r="Z15" i="19"/>
  <c r="AF35"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80" i="1"/>
  <c r="AC81" i="1"/>
  <c r="AB81" i="1" s="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Z81" i="1" l="1"/>
  <c r="AA81" i="1"/>
  <c r="Z80" i="1"/>
  <c r="AA80" i="1"/>
  <c r="Y84" i="1"/>
  <c r="Y5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J44" i="19"/>
  <c r="R54" i="19"/>
  <c r="X24" i="19"/>
  <c r="U53" i="19"/>
  <c r="U43" i="19"/>
  <c r="O23" i="19"/>
  <c r="AG43" i="19"/>
  <c r="AA33" i="19"/>
  <c r="AA23" i="19"/>
  <c r="AG53" i="19"/>
  <c r="AM43" i="19"/>
  <c r="O13" i="19"/>
  <c r="AM53" i="19"/>
  <c r="AG33" i="19"/>
  <c r="U23" i="19"/>
  <c r="L43" i="19"/>
  <c r="R13" i="19"/>
  <c r="L13" i="19"/>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AA30" i="1"/>
  <c r="Y31" i="1" s="1"/>
  <c r="Z54" i="1"/>
  <c r="AA54" i="1"/>
  <c r="Y55" i="1" s="1"/>
  <c r="Z84" i="1"/>
  <c r="AA84" i="1"/>
  <c r="Y85" i="1" s="1"/>
  <c r="Y13" i="19" l="1"/>
  <c r="AE43" i="19"/>
  <c r="S13" i="19"/>
  <c r="AK33" i="19"/>
  <c r="M13" i="19"/>
  <c r="AK53" i="19"/>
  <c r="M23" i="19"/>
  <c r="AE33" i="19"/>
  <c r="M43" i="19"/>
  <c r="AK13" i="19"/>
  <c r="AK43" i="19"/>
  <c r="Y53" i="19"/>
  <c r="S43" i="19"/>
  <c r="AK23" i="19"/>
  <c r="S53" i="19"/>
  <c r="Y33" i="19"/>
  <c r="S23" i="19"/>
  <c r="AE53" i="19"/>
  <c r="Y23" i="19"/>
  <c r="AE13" i="19"/>
  <c r="Y43" i="19"/>
  <c r="M33" i="19"/>
  <c r="M53" i="19"/>
  <c r="AE23" i="19"/>
  <c r="S33" i="19"/>
  <c r="K42" i="19"/>
  <c r="Q42" i="19"/>
  <c r="W12" i="19"/>
  <c r="K52" i="19"/>
  <c r="AI52" i="19"/>
  <c r="Q22" i="19"/>
  <c r="Q12" i="19"/>
  <c r="AC52" i="19"/>
  <c r="AC32" i="19"/>
  <c r="W42" i="19"/>
  <c r="K22" i="19"/>
  <c r="W52" i="19"/>
  <c r="Q52" i="19"/>
  <c r="W22" i="19"/>
  <c r="AC22" i="19"/>
  <c r="Q32" i="19"/>
  <c r="AI42" i="19"/>
  <c r="AI22" i="19"/>
  <c r="AC12" i="19"/>
  <c r="AI12" i="19"/>
  <c r="W32" i="19"/>
  <c r="K32" i="19"/>
  <c r="AC42" i="19"/>
  <c r="AI32" i="19"/>
  <c r="K12" i="19"/>
  <c r="Z85" i="1"/>
  <c r="AA85" i="1"/>
  <c r="W37" i="19"/>
  <c r="AI47" i="19"/>
  <c r="K37" i="19"/>
  <c r="K7" i="19"/>
  <c r="AI7" i="19"/>
  <c r="Q27" i="19"/>
  <c r="AC7" i="19"/>
  <c r="Q17" i="19"/>
  <c r="W17" i="19"/>
  <c r="AC27" i="19"/>
  <c r="W47" i="19"/>
  <c r="W27" i="19"/>
  <c r="AC47" i="19"/>
  <c r="Q37" i="19"/>
  <c r="Q47" i="19"/>
  <c r="AC37" i="19"/>
  <c r="AI27" i="19"/>
  <c r="K17" i="19"/>
  <c r="W7" i="19"/>
  <c r="AI37" i="19"/>
  <c r="Q7" i="19"/>
  <c r="K47" i="19"/>
  <c r="AI17" i="19"/>
  <c r="K27" i="19"/>
  <c r="AC17" i="19"/>
  <c r="AJ55" i="19"/>
  <c r="L45" i="19"/>
  <c r="AD35" i="19"/>
  <c r="R25" i="19"/>
  <c r="AD45" i="19"/>
  <c r="R45" i="19"/>
  <c r="AD55" i="19"/>
  <c r="X15" i="19"/>
  <c r="L25" i="19"/>
  <c r="AJ45" i="19"/>
  <c r="R15" i="19"/>
  <c r="R55" i="19"/>
  <c r="AD25" i="19"/>
  <c r="L55" i="19"/>
  <c r="AJ35" i="19"/>
  <c r="X55" i="19"/>
  <c r="X35" i="19"/>
  <c r="L15" i="19"/>
  <c r="AD84" i="1"/>
  <c r="AD15" i="19"/>
  <c r="X25" i="19"/>
  <c r="AJ15" i="19"/>
  <c r="AJ25" i="19"/>
  <c r="X45" i="19"/>
  <c r="L35" i="19"/>
  <c r="R35" i="19"/>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K40" i="19"/>
  <c r="AI20" i="19"/>
  <c r="AI30" i="19"/>
  <c r="W30" i="19"/>
  <c r="W10" i="19"/>
  <c r="W40" i="19"/>
  <c r="Q20" i="19"/>
  <c r="W50" i="19"/>
  <c r="Q50" i="19"/>
  <c r="AC30" i="19"/>
  <c r="W20" i="19"/>
  <c r="AC50" i="19"/>
  <c r="K10" i="19"/>
  <c r="K20" i="19"/>
  <c r="AC20" i="19"/>
  <c r="AC40" i="19"/>
  <c r="Q10" i="19"/>
  <c r="Q40" i="19"/>
  <c r="AC10" i="19"/>
  <c r="AI50" i="19"/>
  <c r="Q30" i="19"/>
  <c r="K30" i="19"/>
  <c r="AI10" i="19"/>
  <c r="K50" i="19"/>
  <c r="AI40" i="19"/>
  <c r="AA31" i="1"/>
  <c r="Z31" i="1"/>
  <c r="N43" i="19"/>
  <c r="AG24" i="19"/>
  <c r="O44" i="19"/>
  <c r="O24" i="19"/>
  <c r="AM14" i="19"/>
  <c r="AG34" i="19"/>
  <c r="O34" i="19"/>
  <c r="AA44" i="19"/>
  <c r="O14" i="19"/>
  <c r="AA54" i="19"/>
  <c r="U14" i="19"/>
  <c r="AM44" i="19"/>
  <c r="AA34" i="19"/>
  <c r="AM24" i="19"/>
  <c r="AM54" i="19"/>
  <c r="AG14" i="19"/>
  <c r="AM34" i="19"/>
  <c r="U54" i="19"/>
  <c r="AG44" i="19"/>
  <c r="AA24" i="19"/>
  <c r="AG54" i="19"/>
  <c r="U34" i="19"/>
  <c r="U24" i="19"/>
  <c r="AD8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80" i="1"/>
  <c r="AF53" i="19"/>
  <c r="T23" i="19"/>
  <c r="T43" i="19" l="1"/>
  <c r="N33" i="19"/>
  <c r="N23" i="19"/>
  <c r="AL53" i="19"/>
  <c r="T33" i="19"/>
  <c r="AF13" i="19"/>
  <c r="AL13" i="19"/>
  <c r="AF23" i="19"/>
  <c r="Z33" i="19"/>
  <c r="T13" i="19"/>
  <c r="AL33" i="19"/>
  <c r="Z43" i="19"/>
  <c r="N53" i="19"/>
  <c r="Z23" i="19"/>
  <c r="Z53" i="19"/>
  <c r="AF19" i="19"/>
  <c r="Z9" i="19"/>
  <c r="T49" i="19"/>
  <c r="N29" i="19"/>
  <c r="Z49" i="19"/>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85"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T53" i="19"/>
  <c r="AL23" i="19"/>
  <c r="AF43" i="19"/>
  <c r="M29" i="19"/>
  <c r="AE9" i="19"/>
  <c r="Y49" i="19"/>
  <c r="S39" i="19"/>
  <c r="Y39" i="19"/>
  <c r="M39" i="19"/>
  <c r="M9" i="19"/>
  <c r="S9" i="19"/>
  <c r="M19" i="19"/>
  <c r="AE49" i="19"/>
  <c r="M49" i="19"/>
  <c r="AK49" i="19"/>
  <c r="AK9" i="19"/>
  <c r="Y29" i="19"/>
  <c r="S19" i="19"/>
  <c r="AE19" i="19"/>
  <c r="AK29" i="19"/>
  <c r="Y19" i="19"/>
  <c r="Y9" i="19"/>
  <c r="AE29" i="19"/>
  <c r="S49" i="19"/>
  <c r="AK39" i="19"/>
  <c r="S29" i="19"/>
  <c r="AK19" i="19"/>
  <c r="AE39" i="19"/>
  <c r="AD27" i="19"/>
  <c r="X7" i="19"/>
  <c r="AJ47" i="19"/>
  <c r="AJ7" i="19"/>
  <c r="X47" i="19"/>
  <c r="L47" i="19"/>
  <c r="L7" i="19"/>
  <c r="L27" i="19"/>
  <c r="L17" i="19"/>
  <c r="AD7" i="19"/>
  <c r="AD37" i="19"/>
  <c r="AJ37" i="19"/>
  <c r="R37" i="19"/>
  <c r="AD17" i="19"/>
  <c r="R27" i="19"/>
  <c r="X37" i="19"/>
  <c r="AJ17" i="19"/>
  <c r="L37" i="19"/>
  <c r="X27" i="19"/>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AF21" i="19" l="1"/>
  <c r="AF11" i="19"/>
  <c r="Z51" i="19"/>
  <c r="AL31" i="19"/>
  <c r="AL41" i="19"/>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G9" i="19"/>
  <c r="AA49" i="19"/>
  <c r="Y47" i="19"/>
  <c r="Y27" i="19"/>
  <c r="M7" i="19"/>
  <c r="S7" i="19"/>
  <c r="M47" i="19"/>
  <c r="M37" i="19"/>
  <c r="M17" i="19"/>
  <c r="S17" i="19"/>
  <c r="M27" i="19"/>
  <c r="AE27" i="19"/>
  <c r="S47" i="19"/>
  <c r="AE17" i="19"/>
  <c r="AE47" i="19"/>
  <c r="AK7" i="19"/>
  <c r="S37" i="19"/>
  <c r="AK17" i="19"/>
  <c r="AK27" i="19"/>
  <c r="Y17" i="19"/>
  <c r="AK47" i="19"/>
  <c r="Y37" i="19"/>
  <c r="S27" i="19"/>
  <c r="Y7" i="19"/>
  <c r="AE7" i="19"/>
  <c r="AK37" i="19"/>
  <c r="AE37" i="19"/>
  <c r="T7" i="19" l="1"/>
  <c r="Z27" i="19"/>
  <c r="T47" i="19"/>
  <c r="AL37" i="19"/>
  <c r="AL7" i="19"/>
  <c r="AF7" i="19"/>
  <c r="T17" i="19"/>
  <c r="AL47" i="19"/>
  <c r="AL17" i="19"/>
  <c r="T27" i="19"/>
  <c r="Z17" i="19"/>
  <c r="AF17" i="19"/>
  <c r="AF37" i="19"/>
  <c r="T37" i="19"/>
  <c r="N27" i="19"/>
  <c r="N17" i="19"/>
  <c r="N37" i="19"/>
  <c r="N7" i="19"/>
  <c r="AL27" i="19"/>
  <c r="Z47" i="19"/>
  <c r="AF27" i="19"/>
  <c r="N47" i="19"/>
  <c r="Z7" i="19"/>
  <c r="AF47" i="19"/>
  <c r="Z37" i="19"/>
  <c r="AF40" i="19"/>
  <c r="T20" i="19"/>
  <c r="AL10" i="19"/>
  <c r="N30" i="19"/>
  <c r="N50" i="19"/>
  <c r="N40" i="19"/>
  <c r="Z20" i="19"/>
  <c r="T30" i="19"/>
  <c r="AL40" i="19"/>
  <c r="Z30" i="19"/>
  <c r="Z40" i="19"/>
  <c r="T50" i="19"/>
  <c r="Z10" i="19"/>
  <c r="AL30" i="19"/>
  <c r="AF20" i="19"/>
  <c r="N20" i="19"/>
  <c r="AL50" i="19"/>
  <c r="AL20" i="19"/>
  <c r="T10" i="19"/>
  <c r="T40" i="19"/>
  <c r="N10" i="19"/>
  <c r="AF10" i="19"/>
  <c r="Z50" i="19"/>
  <c r="AF30" i="19"/>
  <c r="AF50" i="19"/>
  <c r="O51" i="19"/>
  <c r="AM21" i="19"/>
  <c r="AM41" i="19"/>
  <c r="AM51" i="19"/>
  <c r="AG51" i="19"/>
  <c r="U11" i="19"/>
  <c r="U51" i="19"/>
  <c r="AA31" i="19"/>
  <c r="AA21" i="19"/>
  <c r="O41" i="19"/>
  <c r="AA41" i="19"/>
  <c r="AG31" i="19"/>
  <c r="U31" i="19"/>
  <c r="O31" i="19"/>
  <c r="AM31" i="19"/>
  <c r="AA51" i="19"/>
  <c r="AM11" i="19"/>
  <c r="U41" i="19"/>
  <c r="AA11" i="19"/>
  <c r="O11" i="19"/>
  <c r="U21" i="19"/>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A20" i="19"/>
  <c r="O20" i="19"/>
  <c r="AG30" i="19"/>
  <c r="AG10" i="19"/>
  <c r="O37" i="19"/>
  <c r="AG27" i="19"/>
  <c r="AM27" i="19"/>
  <c r="O17" i="19"/>
  <c r="O27" i="19"/>
  <c r="O47" i="19"/>
  <c r="AA7" i="19"/>
  <c r="AG7" i="19"/>
  <c r="U47" i="19"/>
  <c r="AG37" i="19"/>
  <c r="AA47" i="19"/>
  <c r="AG17" i="19"/>
  <c r="AA17" i="19"/>
  <c r="U7" i="19"/>
  <c r="U37" i="19"/>
  <c r="O7" i="19"/>
  <c r="AM47" i="19"/>
  <c r="AM17" i="19"/>
  <c r="AA37" i="19"/>
  <c r="AM7" i="19"/>
  <c r="AG47" i="19"/>
  <c r="U27" i="19"/>
  <c r="AM37" i="19"/>
  <c r="AA27" i="19"/>
  <c r="U17" i="19"/>
  <c r="L16" i="18" l="1"/>
  <c r="R24" i="18"/>
  <c r="L8" i="18"/>
  <c r="R32" i="18"/>
  <c r="AJ16" i="18"/>
  <c r="R8" i="18"/>
  <c r="AJ32" i="18"/>
  <c r="AD8" i="18"/>
  <c r="X40" i="18"/>
  <c r="L32" i="18"/>
  <c r="X8" i="18"/>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J22" i="18"/>
  <c r="V30" i="18"/>
  <c r="AB22" i="18"/>
  <c r="P6" i="18"/>
  <c r="J6" i="18"/>
  <c r="AH22" i="18"/>
  <c r="AB38" i="18"/>
  <c r="AB30" i="18"/>
  <c r="AH30" i="18"/>
  <c r="V38" i="18"/>
  <c r="AB14" i="18"/>
  <c r="P30" i="18"/>
  <c r="AH12" i="18"/>
  <c r="J20" i="18"/>
  <c r="J44" i="18"/>
  <c r="AB28" i="18"/>
  <c r="P28" i="18"/>
  <c r="P12" i="18"/>
  <c r="AH20" i="18"/>
  <c r="P44" i="18"/>
  <c r="AB12" i="18"/>
  <c r="P36" i="18"/>
  <c r="AB44" i="18"/>
  <c r="V44" i="18"/>
  <c r="V12" i="18"/>
  <c r="V28" i="18"/>
  <c r="AH44" i="18"/>
  <c r="AH28" i="18"/>
  <c r="V36" i="18"/>
  <c r="J28" i="18"/>
  <c r="AH36" i="18"/>
  <c r="V20" i="18"/>
  <c r="P20" i="18"/>
  <c r="J36" i="18"/>
  <c r="AB36" i="18"/>
  <c r="AB20" i="18"/>
  <c r="J12" i="18"/>
  <c r="J42" i="18"/>
  <c r="P34" i="18"/>
  <c r="AB18" i="18"/>
  <c r="AH34" i="18"/>
  <c r="P10" i="18"/>
  <c r="V34" i="18"/>
  <c r="P42" i="18"/>
  <c r="AH18" i="18"/>
  <c r="J34" i="18"/>
  <c r="J10" i="18"/>
  <c r="AB10" i="18"/>
  <c r="J18" i="18"/>
  <c r="AB34" i="18"/>
  <c r="P26" i="18"/>
  <c r="AH42" i="18"/>
  <c r="AH26" i="18"/>
  <c r="J26" i="18"/>
  <c r="P18" i="18"/>
  <c r="V18" i="18"/>
  <c r="AB42" i="18"/>
  <c r="V42" i="18"/>
  <c r="V10" i="18"/>
  <c r="AB26" i="18"/>
  <c r="V26" i="18"/>
  <c r="AH10" i="18"/>
  <c r="X42" i="18"/>
  <c r="AD34" i="18"/>
  <c r="AD10" i="18"/>
  <c r="L42" i="18"/>
  <c r="L26" i="18"/>
  <c r="X18" i="18"/>
  <c r="R18" i="18"/>
  <c r="AJ10" i="18"/>
  <c r="AD42" i="18"/>
  <c r="AJ34" i="18"/>
  <c r="R26" i="18"/>
  <c r="L18" i="18"/>
  <c r="R34" i="18"/>
  <c r="L34" i="18"/>
  <c r="AJ42" i="18"/>
  <c r="R10" i="18"/>
  <c r="R42" i="18"/>
  <c r="X26" i="18"/>
  <c r="AJ18" i="18"/>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AL42" i="18"/>
  <c r="N34" i="18"/>
  <c r="T34" i="18"/>
  <c r="T42" i="18"/>
  <c r="AF10" i="18"/>
  <c r="Z34" i="18"/>
  <c r="T14" i="18"/>
  <c r="AL38" i="18"/>
  <c r="N14" i="18"/>
  <c r="T38" i="18"/>
  <c r="T22" i="18"/>
  <c r="AL14" i="18"/>
  <c r="N22" i="18"/>
  <c r="AF22" i="18"/>
  <c r="N6" i="18"/>
  <c r="AF6" i="18"/>
  <c r="AF38" i="18"/>
  <c r="N38" i="18"/>
  <c r="AL30" i="18"/>
  <c r="AL22" i="18"/>
  <c r="T6" i="18"/>
  <c r="AF30" i="18"/>
  <c r="Z22" i="18"/>
  <c r="T30" i="18"/>
  <c r="Z14" i="18"/>
  <c r="Z30" i="18"/>
  <c r="Z6" i="18"/>
  <c r="Z38" i="18"/>
  <c r="AF14" i="18"/>
  <c r="AL6" i="18"/>
  <c r="N30" i="18"/>
  <c r="J40" i="18"/>
  <c r="AB40" i="18"/>
  <c r="AH32" i="18"/>
  <c r="AB24" i="18"/>
  <c r="J16" i="18"/>
  <c r="P32" i="18"/>
  <c r="V24" i="18"/>
  <c r="P24" i="18"/>
  <c r="V8" i="18"/>
  <c r="AH24" i="18"/>
  <c r="AH8" i="18"/>
  <c r="J8" i="18"/>
  <c r="AB32" i="18"/>
  <c r="AB8" i="18"/>
  <c r="V16" i="18"/>
  <c r="V40" i="18"/>
  <c r="P16" i="18"/>
  <c r="V32" i="18"/>
  <c r="J24" i="18"/>
  <c r="P8" i="18"/>
  <c r="AH16" i="18"/>
  <c r="AB16" i="18"/>
  <c r="AH40" i="18"/>
  <c r="P40" i="18"/>
  <c r="J32" i="18"/>
  <c r="X6" i="18"/>
  <c r="AJ30" i="18"/>
  <c r="R22" i="18"/>
  <c r="L6" i="18"/>
  <c r="R30" i="18"/>
  <c r="X22" i="18"/>
  <c r="L30" i="18"/>
  <c r="R38" i="18"/>
  <c r="AJ14" i="18"/>
  <c r="R14" i="18"/>
  <c r="AD30" i="18"/>
  <c r="AJ38" i="18"/>
  <c r="AJ22" i="18"/>
  <c r="X30" i="18"/>
  <c r="L14" i="18"/>
  <c r="X38" i="18"/>
  <c r="L22" i="18"/>
  <c r="X14" i="18"/>
  <c r="AD14" i="18"/>
  <c r="L38" i="18"/>
  <c r="AD6" i="18"/>
  <c r="R6" i="18"/>
  <c r="AD38" i="18"/>
  <c r="AD22" i="18"/>
  <c r="AJ6" i="18"/>
  <c r="AF24" i="18"/>
  <c r="AF32" i="18"/>
  <c r="T40" i="18"/>
  <c r="Z40" i="18"/>
  <c r="AL8" i="18"/>
  <c r="AF8" i="18"/>
  <c r="Z32" i="18"/>
  <c r="N32" i="18"/>
  <c r="N16" i="18"/>
  <c r="Z8" i="18"/>
  <c r="N24" i="18"/>
  <c r="T32" i="18"/>
  <c r="T16" i="18"/>
  <c r="AF40" i="18"/>
  <c r="AL40" i="18"/>
  <c r="AF16" i="18"/>
  <c r="N8" i="18"/>
  <c r="Z16" i="18"/>
  <c r="AL24" i="18"/>
  <c r="T24" i="18"/>
  <c r="AL32" i="18"/>
  <c r="N40" i="18"/>
  <c r="AL16" i="18"/>
  <c r="T8" i="18"/>
  <c r="Z24" i="18"/>
  <c r="V25" i="19" l="1"/>
  <c r="V45" i="19"/>
  <c r="J15" i="19"/>
  <c r="AB45" i="19"/>
  <c r="AB55" i="19"/>
  <c r="AB25" i="19"/>
  <c r="AH25" i="19"/>
  <c r="AH55" i="19"/>
  <c r="AB15" i="19"/>
  <c r="P15" i="19"/>
  <c r="P25" i="19"/>
  <c r="AH35" i="19"/>
  <c r="P45" i="19"/>
  <c r="V15" i="19"/>
  <c r="J35" i="19"/>
  <c r="P55" i="19"/>
  <c r="AH45" i="19"/>
  <c r="J25" i="19"/>
  <c r="AB35" i="19"/>
  <c r="AH15" i="19"/>
  <c r="V35" i="19"/>
  <c r="J55" i="19"/>
  <c r="J45" i="19"/>
  <c r="P35" i="19"/>
  <c r="V55" i="19"/>
  <c r="Q46" i="19" l="1"/>
  <c r="AC26" i="19"/>
  <c r="AC16" i="19"/>
  <c r="AI36" i="19"/>
  <c r="AI26" i="19"/>
  <c r="AC6" i="19"/>
  <c r="K16" i="19"/>
  <c r="W16" i="19"/>
  <c r="K36" i="19"/>
  <c r="Q26" i="19"/>
  <c r="W26" i="19"/>
  <c r="W46" i="19"/>
  <c r="W36" i="19"/>
  <c r="AC36" i="19"/>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<sst xmlns="http://schemas.openxmlformats.org/spreadsheetml/2006/main" count="766" uniqueCount="413">
  <si>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</si>
  <si>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</si>
  <si>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</si>
  <si>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</si>
  <si>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</si>
  <si>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</si>
  <si>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</si>
  <si>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</si>
  <si>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</si>
  <si>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</si>
  <si>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</si>
  <si>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</si>
  <si>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</si>
  <si>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</si>
  <si>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</si>
  <si>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</si>
  <si>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</si>
  <si>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</si>
  <si>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</si>
  <si>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</si>
  <si>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</si>
  <si>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</si>
  <si>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</si>
  <si>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</si>
  <si>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</si>
  <si>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</si>
  <si>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</si>
  <si>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</si>
  <si>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</si>
  <si>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</si>
  <si>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</si>
  <si>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</si>
  <si>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</si>
  <si>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</si>
  <si>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</si>
  <si>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</si>
  <si>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</si>
  <si>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</si>
  <si>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</si>
  <si>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</si>
  <si>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</si>
  <si>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</si>
  <si>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</si>
  <si>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</si>
  <si>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</si>
  <si>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</si>
  <si>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</si>
  <si>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</si>
  <si>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</si>
  <si>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</si>
  <si>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</si>
  <si>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</si>
  <si>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</si>
  <si>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</si>
  <si>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</si>
  <si>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</si>
  <si>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</si>
  <si>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</si>
  <si>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</si>
  <si>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</si>
  <si>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</si>
  <si>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</si>
  <si>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</si>
  <si>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</si>
  <si>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</si>
  <si>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</si>
  <si>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</si>
  <si>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</si>
  <si>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</si>
  <si>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</si>
  <si>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</si>
  <si>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</si>
  <si>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</si>
  <si>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</si>
  <si>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</si>
  <si>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</si>
  <si>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</si>
  <si>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</si>
  <si>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PLANEACIÓN ESTRATÉGICA</t>
  </si>
  <si>
    <t>ALCANCE:</t>
  </si>
  <si>
    <t>Inicia con la formulación de políticas, planes, programas y proyectos de inversión municipal y termina con el seguimiento y retroalimentación a todos los procesos.</t>
  </si>
  <si>
    <t>OBJETIVOS ESTRATÉGICOS</t>
  </si>
  <si>
    <t>OBJETIVO DEL PROCESO</t>
  </si>
  <si>
    <t>PLANEACIÓN INSTITUCIONAL</t>
  </si>
  <si>
    <t>PUNTOS DE RIESGO EN LA CADENA DE VALOR</t>
  </si>
  <si>
    <t>Dirigir, formular, coordinar y ejecutar los planes, programas y proyectos de la administración municipal, acorde a los lineamientos nacionales, departamentales y necesidades identificadas de la comunidad, para contribuir con el bienestar y el progreso de los ciudadanos con sostenibilidad social, económica, urbana y ambiental.</t>
  </si>
  <si>
    <t>Plan Desarrollo Municipal 
Plan de Ordenamiento Territorial
Plan Anticorrupción
Planes de trabajo del MIPG</t>
  </si>
  <si>
    <t>Formulación de planes, programas, y proyectos y seguimiento a planes institucionales.</t>
  </si>
  <si>
    <t>MATRIZ DOFA</t>
  </si>
  <si>
    <t>DEBILIDADES</t>
  </si>
  <si>
    <t>AMENAZAS</t>
  </si>
  <si>
    <t>Demora en la entrega de información a nivel general</t>
  </si>
  <si>
    <t>Inestabilidad cambiaria</t>
  </si>
  <si>
    <t>Debilidad en el proceso de implementación de la Politica Gestión del Conocimiento</t>
  </si>
  <si>
    <t xml:space="preserve">Crisis económica </t>
  </si>
  <si>
    <t>Falta de planeación y gestión para el logro de compromisos adquiridos</t>
  </si>
  <si>
    <t>Disminución del recaudo de la entidad territorial</t>
  </si>
  <si>
    <t>Infraestructura tecnológica deficiente</t>
  </si>
  <si>
    <t>Alta tasa de informalidad</t>
  </si>
  <si>
    <t>La pérdida de la curva de aprendizaje por la no continuidad del personal contratista</t>
  </si>
  <si>
    <t>Crisis política y humanitaria en Venezuela</t>
  </si>
  <si>
    <t>El espacio fisico de las oficinas no es adecuado para el desarrollo de las actividades propias y de atención a la comunidad</t>
  </si>
  <si>
    <t>Altos niveles de inseguridad ciudadana</t>
  </si>
  <si>
    <t>Insuficiencia de recurso humano y financiero para atender toda la problemática del Municipio</t>
  </si>
  <si>
    <t>Normas que afectan los objetivos de la institución</t>
  </si>
  <si>
    <t>Deficiente receptividad de las dependencias frente a la aplicación de instrumentos de monitoreo y seguimiento a los proceso</t>
  </si>
  <si>
    <t>Población en situación de vulnerabilidad.</t>
  </si>
  <si>
    <t xml:space="preserve">Falta de un sistema eficaz que optimice  la trazabilidad y respuesta oportuna de las PQRSD </t>
  </si>
  <si>
    <t>Polarización Política Nacional.</t>
  </si>
  <si>
    <t>Deficientes controles en la sistematización de la información que se genera en la dependencia (Perdida de memoria institucional)</t>
  </si>
  <si>
    <t>Recortes presupuestales del orden Nacional y Departamental</t>
  </si>
  <si>
    <t xml:space="preserve">Alternancia en el trabajo </t>
  </si>
  <si>
    <t>Cambios normativos frecuentes en temas de contratación pública</t>
  </si>
  <si>
    <t>Perdida de confianza por parte de la comunidad, hacía la institución.</t>
  </si>
  <si>
    <t>Altos niveles de población flotante de personas en situación de desplazamiento</t>
  </si>
  <si>
    <t xml:space="preserve">Deficiencia en la claridad por parte de cada área de sus competencias. </t>
  </si>
  <si>
    <t>Emergencia sanitaria por el COVID-19</t>
  </si>
  <si>
    <t>Alteraciones en el orden público</t>
  </si>
  <si>
    <t>FORTALEZAS</t>
  </si>
  <si>
    <t>OPORTUNIDADES</t>
  </si>
  <si>
    <t>Experiencia y compromisos de los servidores públicos vinculados al proceso</t>
  </si>
  <si>
    <t>La participación de la comunidad en los procesos de planificación</t>
  </si>
  <si>
    <t>Planeación del desarrollo territorial</t>
  </si>
  <si>
    <t>La gestión preventida que realiza la Oficina de Control Interno de Gestión</t>
  </si>
  <si>
    <t>Cumplimiento en el seguimiento al Plan de Desarrollo en sus líneas de acción</t>
  </si>
  <si>
    <t>Vias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</si>
  <si>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</si>
  <si>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</si>
  <si>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</si>
  <si>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</si>
  <si>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</si>
  <si>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</si>
  <si>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</si>
  <si>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</si>
  <si>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</si>
  <si>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implementacion de plataformas tecnológicas que facilitan las actividades laborales</t>
  </si>
  <si>
    <t>Capacitación y mejoramiento de procesos por parte de funcionarios</t>
  </si>
  <si>
    <t>Buenas prácticas bajo lineamientos del Departamento Nacional de Planeación y Departamento Administrativo de la Función Pública.</t>
  </si>
  <si>
    <t>Herramientas de planificación dinámicas para el seguimiento y monitoreo de planes institucionales</t>
  </si>
  <si>
    <t xml:space="preserve">Medios de transporte </t>
  </si>
  <si>
    <t>Trabajo en equipo y excelentes relaciones interpersonales</t>
  </si>
  <si>
    <t xml:space="preserve">Gestión en habilidades comportamentales o conductuales para los servidores públicos. </t>
  </si>
  <si>
    <t>MAPA DE RIESGOS VIGENCIA 2021</t>
  </si>
  <si>
    <t>Código: F-DPM-1210-238,37-013</t>
  </si>
  <si>
    <t>Versión: 2.0</t>
  </si>
  <si>
    <t>Fecha: Abril -28-2021</t>
  </si>
  <si>
    <t xml:space="preserve">Página: 1 de 1 </t>
  </si>
  <si>
    <t>OBJETIVO:</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</si>
  <si>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</si>
  <si>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</si>
  <si>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</si>
  <si>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</si>
  <si>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</si>
  <si>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</si>
  <si>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</si>
  <si>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</si>
  <si>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</si>
  <si>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</si>
  <si>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</si>
  <si>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</si>
  <si>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</si>
  <si>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</si>
  <si>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</si>
  <si>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</si>
  <si>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</si>
  <si>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</si>
  <si>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</si>
  <si>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</si>
  <si>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</si>
  <si>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</si>
  <si>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</si>
  <si>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</si>
  <si>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</si>
  <si>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</si>
  <si>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</si>
  <si>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</si>
  <si>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Reputacional</t>
  </si>
  <si>
    <t>Investigaciones disciplinarias y sanciones por entes de control.</t>
  </si>
  <si>
    <t xml:space="preserve">Debido a la formulación, construcción y seguimiento de planes no articulados con los lineamientos del orden nacional, departamental, territorial y plan financiero. </t>
  </si>
  <si>
    <t xml:space="preserve">Posibilidad de afectación reputacional por posibles investigaciones y sanciones disciplinarias por entes de control, debido a la formulación, construcción y seguimiento de los planes no articulados con los lineamientos del orden nacional, departamental, territorial y plan financiero. </t>
  </si>
  <si>
    <t>Ejecución y administración de procesos</t>
  </si>
  <si>
    <t xml:space="preserve">     El riesgo afecta la imagen de de la entidad con efecto publicitario sostenido a nivel de sector administrativo, nivel departamental o municipal</t>
  </si>
  <si>
    <t>El Coordinador del Grupo de Desarrollo Económico de la Secretaría de Planeación verifica que los planes institucionales formulados estén articulados con los lineamientos y normativa del orden nacional, departamental, municipal y acorde con los procedimientos aprobados por el SIGC, así como, con las herramientas de planificación establecidas para realizar el seguimiento.</t>
  </si>
  <si>
    <t>Probabilidad</t>
  </si>
  <si>
    <t>Preventivo</t>
  </si>
  <si>
    <t>Manual</t>
  </si>
  <si>
    <t>Documentado</t>
  </si>
  <si>
    <t>Continua</t>
  </si>
  <si>
    <t>Con Registro</t>
  </si>
  <si>
    <t>Reducir (mitigar)</t>
  </si>
  <si>
    <t>Realizar 1 socialización sobre los lineamientos y normas vigentes para la formulación y seguimiento de planes, dirigido al personal encargado del tema.</t>
  </si>
  <si>
    <t>Coordinador GDE</t>
  </si>
  <si>
    <t>El Secretario de Planeación Municipal y  el  Grupo de Desarrollo Económico, realizan seguimiento y monitoreo trimestral a los planes institucionales, con el objetivo de verificar el avance en el cumplimiento físico de las metas y la ejecución de los recursos financieros, siguiendo los lineamientos del orden nacional y normas vigentes.</t>
  </si>
  <si>
    <t>Detectivo</t>
  </si>
  <si>
    <t>30%</t>
  </si>
  <si>
    <t>Realizar 2 seguimientos a planes institucionales (PDM, PIZ y PT MIPG) para verificar el avance en el cumplimiento físico de metas y ejecución de recursos financieros.</t>
  </si>
  <si>
    <t>Secretario de Planeación - Coordinador GDE</t>
  </si>
  <si>
    <t>Económico y reputacional</t>
  </si>
  <si>
    <t>Incumplimiento en las normas vigentes en las diferentes etapas de la contratación (precontractual, contractual y postcontractual) que puedan afectar la obtención y cumplimiento del objeto contractual</t>
  </si>
  <si>
    <t>Posibilidad de afectación económica y reputacional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</si>
  <si>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 xml:space="preserve">     El riesgo afecta la imagen de la entidad con algunos usuarios de relevancia frente al logro de los objetivos</t>
  </si>
  <si>
    <t xml:space="preserve">El profesional de contratación verifica la normatividad que se aplica y los requisitos de acuerdo con la modalidad de contratación, a través de la elaboración de los documentos en las diferentes etapas del contrato y requisitos establecidos en las hojas de ruta adoptados por la entidad. </t>
  </si>
  <si>
    <t>40%</t>
  </si>
  <si>
    <t>Realizar 3 seguimientos de los procesos contractuales registrados en las plataformas SECOP y SIA OBSERVA  a través de una lista de chequeo</t>
  </si>
  <si>
    <t xml:space="preserve">Profesional de Contratación </t>
  </si>
  <si>
    <t>El profesional  encargado de la contratación, cada vez que se celebre un contrato o convenio, revisa y valida a través  de las plataformas SECOP y SIA OBSERVA la publicacion de los documentos de acuerdo a la ley en cada una de las faces.</t>
  </si>
  <si>
    <t>Publicar el 100% de los documentos contractuales requeridos en el SECOP y SIA OBSERVA, dentro de los tiempos establecidos por la ley.</t>
  </si>
  <si>
    <t xml:space="preserve">Los profesionales designados para la supervisión de contratos validan los documentos presentados en las cuentas de cobro y certifican el cumplimiento del objeto contractual. </t>
  </si>
  <si>
    <t>Revisar el 100% de la documentación reportada en las cuentas de cobro y certificar el cumplimiento del objeto contractual.</t>
  </si>
  <si>
    <t xml:space="preserve">Supervisores designados </t>
  </si>
  <si>
    <t>Económico</t>
  </si>
  <si>
    <t>Investigaciones disciplinarias y sanciones por entes de control</t>
  </si>
  <si>
    <t xml:space="preserve">Incumplimiento de requisitos mínimos en la presentación de proyectos de inversión por parte de las oficinas gestoras. </t>
  </si>
  <si>
    <t>Posibilidad de afectación económica por investigaciones disciplinarias y sanciones por entes de control debido al incumplimiento de requisitos mínimos en la presentación de proyectos de inversión por parte de las oficinas gestoras</t>
  </si>
  <si>
    <t xml:space="preserve">     Entre 10 y 50 SMLMV </t>
  </si>
  <si>
    <t>El profesional del Banco de Proyectos, realiza la revisión técnico - documental del proyecto de inversión, verificando el cumplimiento de los requisitos sectoriales (Acuerdo 045 de 2017 y modificado parcialmente por el Acuerdo 052 de 2018) y descritos en el formato F-DPM-1210-238,37-016 Ficha de verificación de requisitos.</t>
  </si>
  <si>
    <t>Realizar 2 jornadas de socialización de formulación y seguimiento en proyectos de inversión</t>
  </si>
  <si>
    <t>Líder del Banco de Proyectos</t>
  </si>
  <si>
    <t xml:space="preserve">El profesional con la credencial de control de formulación y viabilidad, verifica los requisitos y viabilidad metodológica de proyectos en la plataforma SUIPF </t>
  </si>
  <si>
    <t xml:space="preserve">Expedir el 100% de las certificaciones del Banco de Proyectos, una vez realizado el proceso de registros y ajustes de los proyectos de inversión </t>
  </si>
  <si>
    <t xml:space="preserve">Incumplimiento de requisitos mínimos en la presentación de proyectos de presupuesto participativo  por parte de los actores establecidos en la norma </t>
  </si>
  <si>
    <t xml:space="preserve">Posibilidad de afectación reputacional por investigaciones disciplinarias y sanciones por entes de control debido al incumplimiento de requisitos mínimos en la presentación de proyectos de presupuesto participativo por parte de los actores establecidos en la norma  </t>
  </si>
  <si>
    <t>Los profesionales del equipo facilitador de Presupuestos Participativos, verifican los requisitos de los proyectos priorizados para cada vigencia de acuerdo con lo establecido en la normatividad vigente y en los formatos ACTA ASAMBLEA DE RESIDENTES PARA GENERAR EL ACUERDO DE BARRIO O VEREDA F-DPM-1210-238,37-017; ACTA REUNIÓN CERRADA PARA GENERAR EL ACUERDO DE COMUNA O CORREGIMIENTO F-DPM-1210-238,37-019.</t>
  </si>
  <si>
    <t>Realizar un (1) informe de cumplimiento de requisitos en los proyectos priorizados, ante el Comité Técnico de Presupuestos Participativos</t>
  </si>
  <si>
    <t>Profesional de Presupuestos Participativos</t>
  </si>
  <si>
    <t>Investigaciones disciplinarias y sanciones por entes de control; y demandas de los peticionarios</t>
  </si>
  <si>
    <t xml:space="preserve">Incumplimiento de los tiempos de respuesta a las solicitudes de los controles de obra, perfiles viales y concepto de uso de suelo por deficiencias en la trazabilidad de la información </t>
  </si>
  <si>
    <t xml:space="preserve">Posibilidad de afectación económica y reputacional por investigaciones disciplinarias y sanciones por entes de control y demandas de los peticionarios debido al incumplimiento de los tiempos de respuesta a las solicitudes de los controles de obra, perfiles viales y concepto de uso de suelo por deficiencias en la trazabilidad de la información </t>
  </si>
  <si>
    <t>Los profesionales encargados de Control de Obra, perfiles viales y concepto de uso de suelo verifican las respuestas de las solicitudes internas y externas, dentro de los términos dispuestos por la ley a través de una base de datos del sistema gestión de solicitudes del ciudadano de la entidad.</t>
  </si>
  <si>
    <t xml:space="preserve">Realizar dos informes (2) de los seguimientos por grupo, a las respuestas de las solicitudes internas y externas, mediante el sistema gestión de solicitudes del ciudadano de la entidad. </t>
  </si>
  <si>
    <t>Profesionales de Control de Obra, perfiles viales y Concepto de uso de suelo</t>
  </si>
  <si>
    <t>Sanciones e investigaciones de entes de control y judiciales</t>
  </si>
  <si>
    <t>Fallas en el Sistema GSC Gestion de Servicio al Ciudadano, en el direccionamiento de actuaciones judiciales, generando multiplicidad de notificaciones y extemporaneidad en la respuesta</t>
  </si>
  <si>
    <t>Posibilidad de afectación económica y reputacional por sanciones e investigaciones de entes de control y judiciales, debido a fallas en el Sistema GSC Gestion de Servicio al Ciudadano, en el direccionamiento de actuaciones judiciales, generando multiplicidad de notificaciones y extemporaneidad en la respuesta</t>
  </si>
  <si>
    <t>La Coordinadora del grupo jurídico de la Secretaría de Planeación verifica en el Sistema GSC Gestion de Servicio al Ciudadano y el correo electrónico de uso unico y exclusivo las notificaciones judiciales, para dar respuesta en los terminos de ley.</t>
  </si>
  <si>
    <t>Realizar un (1) requerimiento a la Secretaría Jurídica para que las notificaciones de asuntos judiciales se direccionen por un canal único y no, por la plataforma de PQRSD</t>
  </si>
  <si>
    <t>Coordinadora del grupo jurídico de la Secretaría de Planeación</t>
  </si>
  <si>
    <t>Debido a la desactualización de la información catastral básica para mantener los procesos de  actualización de estratos a nivel urbano y rural del municipio</t>
  </si>
  <si>
    <t>Posible afectación económica y reputacional por investigaciones disciplinarias y sanciones por entes de control, debido a la desactualización de la información catastral básica para mantener los procesos de actualización de estratos a nivel urbano y rural del municipio</t>
  </si>
  <si>
    <t xml:space="preserve">El coordinador del Grupo de Estratificación revisa y actualiza la información catastral de los predios urbanos y rurales del municipio, teniendo en cuenta la información remitida por parte del ente catastral de acuerdo con la normatividad vigente </t>
  </si>
  <si>
    <t xml:space="preserve">Realizar y radicar una (1) solicitud al ente catastral sobre la necesidad de la entrega oportuna de la información actualizada de los predios urbanos y rurales del municipio </t>
  </si>
  <si>
    <t>Secretario de Planeación y Coordinador del Grupo de Estratificación</t>
  </si>
  <si>
    <t>El coordinador del Grupo de Estratificación verifica que las observaciones impartidas en el Comité de Estratificación en cuanto a las actualizaciones de información catastral, sean utilizadas para el proceso de estratificación de predios urbanos y rurales del municipio</t>
  </si>
  <si>
    <t xml:space="preserve">Revisar y actualizar semestralmente, la base de datos de acuerdo con las observaciones reportadas por el Comité de Estratificación </t>
  </si>
  <si>
    <t>Coordinador GES</t>
  </si>
  <si>
    <t xml:space="preserve">Posibles investigaciones de entes de control y pérdida de confianza y credibilidad </t>
  </si>
  <si>
    <t xml:space="preserve">Deficiente información técnica en factores de amenaza y riesgo que reposa en el municipio, genera demora en la respuesta de las solicitudes de legalización de asentamientos </t>
  </si>
  <si>
    <t>Posibilidad de afectación reputacional por posibles investigaciones de entes de control y pérdida de confianza y credibilidad en la entidad, debido a la deficiente información técnica en factores de amenaza y riesgo que reposa en el municipio, lo que genera demora en la respuesta de las solicitudes de legalización de asentamientos humanos allegadas por la comunidad</t>
  </si>
  <si>
    <t xml:space="preserve">El profesional encargado revisa la información de amenaza, vulnerabilidad y riesgo a través de los resultados de estudios realizados por las entidades involucradas (autoridades ambientales, UNGRD) </t>
  </si>
  <si>
    <t>Realizar una (1) solicitud de información y estudios de amenaza, vulnerabilidad y riesgo realizados, en el marco del Comité Municipal de Gestión del riesgo y a las entidades que no pertenezcan a éste comité.</t>
  </si>
  <si>
    <t xml:space="preserve">Secretario de Planeación </t>
  </si>
  <si>
    <t>Investigaciones, sanciones de los entes de control,  pérdida de  imagen y credibilidad de la Administración Municipal.</t>
  </si>
  <si>
    <t xml:space="preserve">Inadecuada categorizacion del municipio por el incumplimiento de las normas que orientan el desarrollo de la misma </t>
  </si>
  <si>
    <t>Posibilidad de afectación económica y reputacional por investigaciones,  sanciones de los entes de control, pérdida de imagen y credibilidad de la Administración Municipal, debido a la inadecuada categorización del municipio por el incumplimiento de las normas que orientan el desarrollo de la misma</t>
  </si>
  <si>
    <t>El Secretario de Planeación verifica la evaluación técnica y la  emisión de concepto para la proyección del decreto por medio del cual se categoriza el municipio de Bucaramanga para la respectiva vigencia de acuerdo al procedimiento aprobado por el SIGC.</t>
  </si>
  <si>
    <t>Elaborar un (1) proyecto de decreto de Categorización anual del municipio en el marco de las normas y el PROCEDIMIENTO PARA LA CATEGORIZACION ANUAL DEL MUNICIPIO DE BUCARAMANGA P-DPM-1240-170-009</t>
  </si>
  <si>
    <t>Investigaciones y sanciones de los entes de control</t>
  </si>
  <si>
    <t xml:space="preserve">Deficientes controles en la revisión de Licencias  que presentan irregularidades por incumplimiento al Decreto 1469 del 2010 Articulo 63 competencia de Control Urbano </t>
  </si>
  <si>
    <t xml:space="preserve">Posibilidad de afectación económica y reputacional por investigaciones y  sanciones de los entes de control, debido a los deficientes controles en la revisión de Licencias  que presentan irregularidades por incumplimiento al Decreto 1469 del 2010 Articulo 63 competencia de Control Urbano </t>
  </si>
  <si>
    <t xml:space="preserve">El profesional encargado del Plan de Ordenamiento Territorial verifica las Licencias otorgadas por las Curadurías Urbanas y remite a las Inspecciones competentes, aquellas  que presenten  irregularidades con el fin de  adelantar las acciones policivas correspondientes </t>
  </si>
  <si>
    <t xml:space="preserve">Realizar (1) seguimiento y control a las Licencias otorgadas por las Curadurías Urbanas y remitir  a las Inspecciones competentes,  aquellas  que presenten  irregularidades con el fin de  adelantar las acciones policivas correspondientes </t>
  </si>
  <si>
    <t>Profesional del POT</t>
  </si>
  <si>
    <t>Disminución de recursos por parte del sitema general de participación, para la implementación y ejcución de los programas sociales en el ente territorial  y suspensión de la publicación de la base de datos por parte del DNP</t>
  </si>
  <si>
    <t xml:space="preserve">Debido a la deficiente infraestructura, conectividad tecnólogica,  escaso recurso humano y personal que no cuenta con el perfil esencial, factores que generan la demora para mantener actualizada la base de datos. </t>
  </si>
  <si>
    <t xml:space="preserve">Posibilidad de afectación económica y reputacional, por disminución de recursos por parte del sitema general de participación, para la implementación y ejecución de los programas sociales en el ente territorial y suspensión de la publicación de la base de datos por parte del DNP, debido a la deficiente infraestructura, conectividad tecnólogica,  escaso recurso humano y personal que no cuenta con el perfil esencial, factores que generan la demora para mantener actualizada la base de datos. </t>
  </si>
  <si>
    <t>El Coordinador del grupo del SISBEN verifica el cumplimiento de los lineamientos y normativa del orden nacional y departamental, acorde con los procedimientos establecidos a través de seguimientos permanentes.</t>
  </si>
  <si>
    <t>Realizar 2 informes de los seguimientos al cumplimiento de los lineamientos y normativa del orden nacional y departamental, acorde con los procedimientos establecidos.</t>
  </si>
  <si>
    <t>Secretario de Planeación - Coordinador Sisben</t>
  </si>
  <si>
    <t>El Coordinador del grupo del SISBEN verifica que el personal adscrito al SISBEN da cumplimiento a la normatividad (Decreto 441 de marzo de 2017) y aplicación de procedimientos aprobados por el SIGC y lineamientos del DNP.</t>
  </si>
  <si>
    <t>Realizar una (1) socialización al personal adscrito al SISBEN encargados de verificar el manejo de los diferentes procesos, normatividad y aplicación de la misma (Deceto 441 de marzo 2017).</t>
  </si>
  <si>
    <t xml:space="preserve"> Coordinador Sisben</t>
  </si>
  <si>
    <t>El Coordinador del grupo del SISBEN verifica los requerimientos de la infraestructura tecnológica, de talento humano y espacio físico para dar cumplimiento a los lineamientos del DNP y la demanda de usuarios.</t>
  </si>
  <si>
    <t>Realizar 2 requerimientos a la alta dirección para el mejoramiento de la infraestructura tecnológica, espacio físico y talento humano.</t>
  </si>
  <si>
    <t>Incumplimiento de la normatividad archivística en los documentos emanados de la Secretaría de Planeación</t>
  </si>
  <si>
    <t>Posibilidad de afectación reputacional por posibles investigaciones y sanciones disciplinarias por entes de control, debido al incumplimiento de la normatividad archivística en los documentos emanados de la Secretaría de Planeación</t>
  </si>
  <si>
    <t>El auxiliar de archivo verifica la trazabilidad y registro de préstamo de documentos a entes de control y personal de la Secretaría, a través del formato Control préstamo de documentos de archivo de gestión F-GDO-8600-238,37-018 y PRESTAMO DE PLANOS, LICENCIAS DE CONSTRUCCIÓN  Y ANEXOS QUE REPOSEN EN EL ARCHIVO DE PLANOS  F-DPM-1220-238,37-011</t>
  </si>
  <si>
    <t>Realizar 2 seguimientos de los registros de prestamo de documentos para solicitarlos en caso de no encontrarse devueltos</t>
  </si>
  <si>
    <t>Auxiliar de archivo</t>
  </si>
  <si>
    <t>El auxiliar de archivo verifica las tablas de retención documental vigentes para organizar el archivo de las vigencias anteriores acorde al cronograma de trabajo establecido.</t>
  </si>
  <si>
    <t>Realizar una (1) jornada para organizar  el archivo de las vigencias anteriores de acuerdo a las tablas de retención documental vigentes acorde al cronograma de trabajo establecido.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</si>
  <si>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</si>
  <si>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</si>
  <si>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</si>
  <si>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</si>
  <si>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</si>
  <si>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</si>
  <si>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</si>
  <si>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</si>
  <si>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</si>
  <si>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</si>
  <si>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</si>
  <si>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</si>
  <si>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</si>
  <si>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</si>
  <si>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</si>
  <si>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</si>
  <si>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</si>
  <si>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</si>
  <si>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</si>
  <si>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</si>
  <si>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</si>
  <si>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</si>
  <si>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</si>
  <si>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</si>
  <si>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</si>
  <si>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</si>
  <si>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</si>
  <si>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</si>
  <si>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</si>
  <si>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</si>
  <si>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</si>
  <si>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</si>
  <si>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</si>
  <si>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</si>
  <si>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</si>
  <si>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</si>
  <si>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</si>
  <si>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</si>
  <si>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</si>
  <si>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</si>
  <si>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</si>
  <si>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</si>
  <si>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</si>
  <si>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</si>
  <si>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</si>
  <si>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</si>
  <si>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</si>
  <si>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</si>
  <si>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</si>
  <si>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</si>
  <si>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</si>
  <si>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</si>
  <si>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</si>
  <si>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</si>
  <si>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</si>
  <si>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</si>
  <si>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</si>
  <si>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</si>
  <si>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</si>
  <si>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</si>
  <si>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</si>
  <si>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</si>
  <si>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</si>
  <si>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</si>
  <si>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</si>
  <si>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</si>
  <si>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</si>
  <si>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</si>
  <si>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</si>
  <si>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</si>
  <si>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</si>
  <si>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</si>
  <si>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</si>
  <si>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</si>
  <si>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</si>
  <si>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</si>
  <si>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</si>
  <si>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</si>
  <si>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</si>
  <si>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</si>
  <si>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</si>
  <si>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</si>
  <si>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</si>
  <si>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</si>
  <si>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</si>
  <si>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</si>
  <si>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</si>
  <si>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</si>
  <si>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</si>
  <si>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</si>
  <si>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</si>
  <si>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</si>
  <si>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</si>
  <si>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</si>
  <si>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Plan de acción (solo para la opción reducir)</t>
  </si>
  <si>
    <t>Finalizado</t>
  </si>
  <si>
    <t>En curso</t>
  </si>
  <si>
    <t>Daños activos físicos</t>
  </si>
  <si>
    <t>Fallas tecnológicas</t>
  </si>
  <si>
    <t>Fraude externo</t>
  </si>
  <si>
    <t>Fraude interno</t>
  </si>
  <si>
    <t>Relaciones laborales</t>
  </si>
  <si>
    <t>Usuarios, productos y practicas, organizacionales</t>
  </si>
  <si>
    <t>Registro Sustancial</t>
  </si>
  <si>
    <t>Registro Material</t>
  </si>
  <si>
    <t>Sin registro</t>
  </si>
  <si>
    <t>Reducir</t>
  </si>
  <si>
    <t>14,19, 20-21/10/2021</t>
  </si>
  <si>
    <t>14,19/10/2021</t>
  </si>
  <si>
    <t>31/12/2021 </t>
  </si>
  <si>
    <t>La Secretaría de Planeación, a corte de 30 de septiembre realizó la socialización de los lineamientos y normas vigentes para la formulación de los siguientes planes: 
1. Planes de Acción de MIPG 2021-2022 Institucional 
2. Planes de Acción de MIPG 2021-2022 institutos descentralizados aplicando la misma metodología de la Administración Central
3. Socialización de la metodología para el diligenciamiento de los formatos de seguimiento y evaluación de la Política Pública para el Disfrute del Envejecimiento Humano y Vejez de Bucaramanga
La OCIG recomienda continuar realizando socialización de lineamientos y normas vigentes para la formulación y seguimiento de planes al personal encargado del tema; cuando se requiera, con el fin de evitar la materialización de los riesgos.</t>
  </si>
  <si>
    <t>PDM: La Secretaría de Planeación realizó seguimiento al Plan de Desarrollo Municipal con corte a 31 de diciembre de 2021 a través de los planes de acción de las diferentes dependencias. El cumplimiento de la vigencia 2021 es del 95% y el avance acumulado del cuatrienio es del 48%, tal como se refleja en el seguimiento y en los planes de acción publicados en los siguientes links https://www.bucaramanga.gov.co/transparencia/planes-de-accion/  https://www.bucaramanga.gov.co/transparencia/seguimiento-al-plan-de-desarrollo/ 
Se presenta carpeta con los 21 planes de acción a 31 de diciembre de 2021, Matriz de cumplimiento PDM a dic/31/2021 e Informe de seguimiento PDM a dic 2021.
PIZ: La Secretaría de Planeación realizó seguimiento a los Planes de Acción PIZ con corte de 30 de junio de 2021, tal cómo se evidencia en los planes de las dependencias y el informe de seguimiento del 2 de agosto de 2021. Por otra parte, se realizó los seguimientos con corte a 30 de septiembre y diciembre 31 de 2021 de acuerdo con la Circular 001 del 6 de enero de 2022. Presenta INFORME ACUMULADO CUMPLIMIENTO PIZ (2018-2027) DE ACUERDO AL REPORTE DE DEPENDENCIAS - CORTE 31 DE DICIEMBRE DE 2021, así mismo se puede evidenciar el avance de cumplimiento en el TABLERO DE CONTROL PLAN INTEGRAL ZONAL – PIZ MUNICIPIO DE BUCARAMANGA, al cual se puede acceder a través del siguiente enlace: https://datastudio.google.com/reporting/b00839a4-4c63-49d9-b4bf-dd682c93ca87/page/p_gh82rzjwmc
PT MIPG: En cumplimiento a los lineamientos del DAFP y los decretos 035 de 2019 y 043 de 2019 se realizó seguimiento y cierre a los Planes de Trabajo julio 2020- junio 2021 tanto de las dependencias centralizadas como de los institutos descentralizados. Para contribuir en la mejora continua y por directriz del señor Alcalde se diseñó una herramienta dinámica “Tablero de Control MIPG”, instrumento que facilitó el seguimiento y el comparativo de resultados entre las diferentes dependencias. Durante el segundo semestre de 2021 se elaboraron los Planes de Acción institucionales julio 2021-junio 2022, los cuales se presentaron al Comité Institucional de Gestión y Desempeño para su aprobación.
La Secretaría de Planeación realizó mesas de trabajo con las dependencias para revisar y consolidar la información del cumplimiento de los planes de acción con a corte 30 de septiembre logrando un resultado del 83%. De igual manera se realizó el monitoreo a 31 de diciembre de 2021 al Plan de Acción con un resultado del 95%. Estos avances se presentaron en el Comité Institucional de Gestión y Desempeño del 19 de noviembre de 2021 y del 26 de enero de 2022 respectivamente.
Evidencias: Circular No. 89 de 2021, Circular No. 4 de 2022, Plan de Acción Institucional julio 2021 - junio 2022 https://www.bucaramanga.gov.co/comite-institucional-mipg/ y tablero de control en el enlace https://datastudio.google.com/reporting/1d8cb0d4-6fe1-4c8c-880f-cd93c2e8e3fb/page/IXgVC 
COMENTARIO VISITADOR OCIG:  Con base en el seguimiento realizado por la OCIG con corte a septiembre 30 de 2021, se evidenció un primer seguimiento a los Planes Institucionales.  
Para el presente seguimiento, la Secretaría de Planeación adjunta las evidencias de seguimiento a los planes institucionales con corte a diciembre de 2021. 
Por lo anterior, se establece el cumplimiento del 100% de la acción propuesta.</t>
  </si>
  <si>
    <t>100% </t>
  </si>
  <si>
    <t>La Secretaría de Planeación durante el cuarto trimestre realizó seguimientos con corte a octubre, noviembre y diciembre de 2021, a los procesos contractuales registrados en las plataformas SECOP y SIA OBSERVA a través de una lista de chequeo. 
Evidencia: Informe de seguimiento a la contratación Secretaría de Planeación a 30 octubre de 2021, Informe de seguimiento de noviembre – diciembre de 2021, Anexos: soportes de las plataformas SIA OBSERVA y SECOP II, listados SIFF y Listados de seguimiento y verificación de contratos. 
COMENTARIO VISITADOR OCIG:  Con base en el seguimiento realizado por la OCIG con corte a septiembre 30 de 2021, se evidenció un primer seguimiento a los procesos contractuales registrados en el SECOP y SIA Observa (33%). 
Para el presente seguimiento, la Secretaría de Planeación adjunta dos (02) Informes de Seguimiento a la Contratación de la Secretaría de Planeación (con corte a octubre de 2021 y con corte a 30 de diciembre de 2021) mediante los cuales se realiza seguimiento a la publicación de los documentos contractuales en el SECOP y SIA OBSERVA; sin embargo, en la revisión aleatoria realizada, se encontró la publicación extemporánea en el SECOP de documento del contrato 1738 (nueva designación de supervisor). Respecto del contrato 1498 de fecha 25 de agosto de 2021, la publicación del contrato en el SIA OBSERVA se realiza el día 31 de agosto de 2021. 
Que la acción establece realizar tres (03)  seguimientos de los procesos contractuales registrados en las plataformas SECOP y SIA OBSERVA  a través de una lista de chequeo.
Por lo anteriormente expuesto se establece el 100% de cumplimiento, teniendo en cuenta que se realizaron tres (03) seguimientos a la contratación requerida para la vigencia y se recomienda establecer mecanismos de control efectivos que permitan evitar la publicación extemporánea.</t>
  </si>
  <si>
    <t>La Secretaría de Planeación a 30 de diciembre de 2021 publicó el 100% de los documentos contractuales requeridos, en el SECOP y SIA OBSERVA, dentro de los tiempos establecidos por la ley. Para la verificación se tomó la documentación que hace parte de cada contrato. 
Evidencia: Informe de seguimiento a la contratación Secretaría de Planeación a 30 octubre de 2021, Informe de seguimiento de noviembre – diciembre de 2021, Anexos: soportes de las plataformas SIA OBSERVA y SECOP II, listados SIFF y Listados de seguimiento y verificación de contratos.
COMENTARIO VISITADOR OCIG:  Con base en el seguimiento realizado por la OCIG con corte a septiembre 30 de 2021, se evidenció un primer seguimiento a los procesos contractuales registrados en el SECOP y SIA Observa (70%). 
Para el presente seguimiento, la Secretaría de Planeación adjunta dos (02) Informes de Seguimiento a la Contratación de la Secretaría de Planeación (con corte a octubre de 2021 y con corte a 30 de diciembre de 2021) mediante los cuales se realiza seguimiento a la publicación de los documentos contractuales en el SECOP y SIA OBSERVA; sin embargo, en la revisión aleatoria realizada, se encontró la publicación extemporánea en el SECOP de documento del contrato 1738 (nueva designación de supervisor). Respecto del contrato 1498 de fecha 25 de agosto de 2021, la publicación del contrato en el SIA OBSERVA se realiza el día 31 de agosto de 2021. 
Que la acción establece publicar el 100% de los documentos contractuales registrados en las plataformas SECOP y SIA OBSERVA, dentro de los tiempos establecidos por la ley.
Por lo anteriormente expuesto se establece el 90% de cumplimiento, teniendo en cuenta que durante la vigencia se evidencia la publicación extemporánea de ciertos documentos en las plataformas SECOP y SIA OBSERVA.  
La Oficina de Control Interno de Gestión recomienda que, por parte de la Secretaría de Planeación se realice de manera permanente el seguimiento a la publicación de los documentos contractuales las Plataformas SECOP II y SIA OBSERVA, que garantice el cumplimiento de la normatividad de forma oportuna.</t>
  </si>
  <si>
    <t>Los supervisores designados por la Secretaría de Planeación validan la documentación de las cuentas de cobro, el 100% de la documentación reportada en las cuentas de cobro están certificadas en el formato INFORME DEL SUPERVISOR SOBRE EL CUMPLIMIENTO DE OBLIGACIONES CONTRACTUALES F-GJ-1140-238,37-021 que da fe del cumplimiento del objeto contractual. 
Evidencia: Informe de seguimiento a la contratación Secretaría de Planeación a 30 octubre de 2021, Informe de seguimiento de noviembre – diciembre de 2021, Anexos: soportes de las plataformas SIA OBSERVA y SECOP II, listados SIFF y Listados de seguimiento y verificación de contratos.
COMENTARIO VISITADOR OCIG:  Con base en el seguimiento realizado por la OCIG con corte a septiembre 30 de 2021, se evidenció un primer seguimiento a los procesos contractuales registrados en el SECOP y SIA Observa (70%).
Para el presente seguimiento, la Secretaría de Planeación adjunta dos (02) Informes de Seguimiento a la Contratación de la Secretaría de Planeación (con corte a octubre de 2021 y con corte a 30 de diciembre de 2021) mediante los cuales se realiza seguimiento a la publicación de los documentos contractuales en el SECOP y SIA OBSERVA; sin embargo, en la revisión aleatoria realizada, se encontró que en los contratos 1736, 1533, 717, el supervisor omitió la verificación del pago oportuno de la seguridad social por parte del contratista.  
Que la acción establece:  revisar el 100% de la documentación reportada en las cuentas de cobro y certificar el cumplimiento del objeto contractual.
Conforme a lo anterior, se establece el 100% de cumplimiento, teniendo en cuenta que realizó la revisión la documentación reportada en las cuentas de cobro que permitió la certificación del cumplimiento del objeto contractual.  
La Oficina de Control Interno de Gestión recomienda a los supervisores, realizar seguimiento permanente a las obligaciones de los contratistas, especialmente al pago oportuno de la seguridad social por parte de los contratistas.</t>
  </si>
  <si>
    <t> 100%</t>
  </si>
  <si>
    <t>La Secretaría de Planeación – Grupo Banco de Proyectos, realizó dos socializaciones el 26 de octubre y 11 de noviembre de 2021 relacionadas con los lineamientos para el cierre vigencia 2021 y apertura vigencia 2022 con respecto a las plataformas en MGA-SUIFP y SPI, dirigida a Secretarios de Despacho, jefes de Oficina, Directores de Institutos Descentralizados y formuladores de proyectos. 
Evidencia: Circular No 095 del 29 de noviembre de 2021, listados de asistencia y link de grabación https://bucaramangagovco-y.sharepoint.com/personal/ncabeza_bucaramanga_gov_co/Documents/Datos%20adjuntos/LINEAMIENTOS%20PARA%20EL%20CIERRE%20DE%20LA%20VIGENCIA%202021%20y%202022.mp4
COMENTARIO VISITADOR OCIG:  Con base en el seguimiento realizado por la OCIG con corte a septiembre 30 de 2021, se evidenció una primer jornada de socialización y seguimiento en Proyectos de Inversión de fecha 18 de agosto de 2021.  
Para el presente seguimiento, la Secretaría de Planeación realizó jornada de socialización de los lineamientos establecidos por el DNP para el cierre de la vigencia 2021 y apertura de la vigencia 2022, respecto a las plataformas MGA-SUIFFP y SPI del día 30 de noviembre de 2021. 
Por lo anterior, el porcentaje de cumplimiento de esta acción es el 100%. </t>
  </si>
  <si>
    <t xml:space="preserve">La Secretaría de Planeación – Grupo Banco de Proyectos, a 31 de diciembre de 2021 expidió el 100% de las certificaciones, una vez realizado el proceso de registros y ajustes de los proyectos de inversión.
Presenta base de datos de los proyectos de inversión, certificados durante la vigencia 2021 (266 proyectos certificados), cabe aclarar que estos proyectos se pueden certificar varias veces de acuerdo con el número de actualizaciones del proyecto para un total 583 certificaciones (reposan en archivo físico).
Se anexan como evidencia: base de datos en archivo Excel y el Link de acceso a los proyectos certificados.
https://www.bucaramanga.gov.co/sin-categoria/proyectos-de-inversion/ 
COMENTARIO VISITADOR OCIG: Con base en el seguimiento realizado por la OCIG con corte a septiembre 30 de 2021, se presenta un avance de la acción del 75%.  
Para el presente seguimiento, la Secretaría de Planeación adjunta como evidencia la base de datos de proyectos en archivo Excel y el Link de acceso a los proyectos certificados.
Que la acción establece: Expedir el 100% de las certificaciones del Banco de Proyectos, una vez realizado el proceso de registros y ajustes de los proyectos de inversión.
Por lo anterior, se establece el cumplimiento del 100% de la acción propuesta.  </t>
  </si>
  <si>
    <t>Se revisó, con corte a 30 de septiembre, la titularidad de los predios, requisitos técnicos y análisis de costos de los proyectos priorizados de la vigencia 2020, por el “Comité Técnico de Presupuestos Participativos”. Se presenta el informe, en el cual se registran 12 proyectos presentados por las comunas 2, 5, 8, 9, 12 y 14. Así como los presentados por el corregimiento 3 los cuales no fueron viabilizados al no llenar los requisitos. 
De igual manera en el informe se relacionan 8 proyectos presentados por las comunas 2. 4, 7, 9, 10, 12, 13 y 14 los cuales fueron ajustados y viabilizados.
Se anexa como evidencia: Informe 
OBSERVACION OCIG: Se presenta informe de presupuestos participativos realizado con corte a septiembre 30 de 2021. Se otorga el 100% de cumplimiento, teniendo en cuenta que fue realizada la acción propuesta.</t>
  </si>
  <si>
    <t>La Secretaría de Planeación – Grupo GDT-GOT, realizaron un informe de seguimiento por grupo, a las respuestas de las solicitudes internas y externas, recibidas a través del sistema gestión de solicitudes del ciudadano del periodo 1 de octubre a 31 de diciembre de 2021.
El Grupo de control de obra durante el cuarto trimestre de 2021 recibió 470 solicitudes, de las cuales el 77% equivalente a 364 solicitudes que fueron resueltas en los términos de ley, no obstante, quedaron pendientes de respuesta el 23% de solicitudes que estando en término para resolver, se hizo necesario prorrogar para consultar de manera más precisa o por la necesidad de contar con apoyo de otros grupos para complementar información con otras áreas funcionales de la administración, que serán resueltas de manera prioritaria, una vez se tenga personal de apoyo contratado y asignado para tal fin en la vigencia 2022. 
Respecto a los perfiles viales, se dio respuesta a solicitudes de los ciudadanos, las Curadurías Urbanas de la ciudad y solicitudes internas, en la que se destaca la mayor demanda de requerimientos presentadas por el taller de arquitectura que está generando una serie de proyectos de impacto por toda la ciudad para mejorar los espacios públicos de los habitantes. Durante la vigencia 2021, se tramitaron un total de 109 solicitudes registradas en el sistema PQRSD, con una respuesta efectiva del 88% y tan solo un 12% de solicitudes en trámite y por resolver, que equivale a 13 solicitudes que fueron radicadas a finales del mes de diciembre del año 2021, las cuales están en proceso de asignar y redistribuir en el grupo de apoyo a control urbano, una vez se tenga personal de apoyo contratado y asignado para tal fin.
COMENTARIO VISITADOR OCIG: Con base en el seguimiento realizado por la OCIG con corte a septiembre 30 de 2021, se presenta un informe de seguimiento que representa el 50%.  
Para el presente seguimiento, la Secretaría de Planeación adjunta como evidencia Informe PQRSD del cuarto trimestre de 2021.
Que la acción establece: Realizar dos informes (2) de los seguimientos por grupo, a las respuestas de las solicitudes internas y externas, mediante el sistema gestión de solicitudes del ciudadano de la entidad.
Se establece que el 23% de las PQRSD radicadas en el cuarto trimestre se encuentran pendientes de respuesta (dentro del término para resolver/con solicitud de prórroga). 
La OCIG recomienda continuar con el seguimiento para dar respuesta dentro de los términos de ley, incluyendo las solicitudes de vigencias anteriores de conceptos de uso de suelo y legalización de asentamientos, evitando incurrir en procesos disciplinarios. El porcentaje de cumplimiento para esta acción es el 100%.</t>
  </si>
  <si>
    <t>A corte de 30 de septiembre, la Secretaría de Planeación - Grupo Jurídico, realizó requerimiento a la Secretaría Jurídica para que las notificaciones de asuntos judiciales se direccionen por un canal único y no, por la plataforma de   PQRSD.
Se anexa como evidencia: Comunicación SSP155-2021
OBSERVACION OCIG: La Secretaría de Planeación realizó requerimiento a la Secretaría Jurídica, tal como se estableció la acción. Se recomienda reiterar la solicitud en caso de requerirse.</t>
  </si>
  <si>
    <t> El Grupo de Estratificación mediante consecutivo GES96-2021 del 2 de noviembre de 2021, solicitó al Área Metropolitana de Bucaramanga – AMB la actualización de la base de datos catastral urbana y rural. Se recibió respuesta el 7 de enero de 2022 mediante correo electrónico, de los nuevos predios urbanos y rurales, así mismo la base de datos consolidada de los predios del municipio. Por otra parte, de acuerdo con la base de datos suministrada por el AMB se actualizó el sistema de información georeferenciado de estratificación socioeconómica.
Evidencia: Solicitud GES96-2021, correo de la AMB y pantallazos de los registros de estratificación actualizados que se encuentran el sistema de información georeferenciado de estratificación socioeconómica.
COMENTARIO VISITADOR OCIG:  Por parte de la Secretaría de Planeación se adjunta como evidencia Oficio GES96-2021 de fecha 2 de noviembre de 2021 dirigido al Área Metropolitana de Bucaramanga, con el fin de solicitar información catastral de los nuevos desarrollos urbanos y demás novedades prediales vigencia 2020 y 2021.
Que la acción establece: Realizar y radicar una (1) solicitud al ente catastral sobre la necesidad de la entrega oportuna de la información actualizada de los predios urbanos y rurales del municipio.
Por lo anterior, se establece el cumplimiento del 100% de la acción propuesta.</t>
  </si>
  <si>
    <t>La Secretaría de Planeación - Grupo Estratificación, durante el IV trimestre convocó dos reuniones con el Comité Permanente de Estratificación y se atendieron las observaciones y recomendaciones dadas por el DANE con respecto a las novedades de tipo metodológico, así mismo se envió dicha información al ente rector para su revisión. 
Evidencias: Actas Comités de Estratificación IV y V
COMENTARIO VISITADOR OCIG:  Por parte de la Secretaría de Planeación se adjunta como evidencias los soportes de Reunión del Comité de Estratificación del Municipio de Bucaramanga (Invitación y Acta) de 28 de septiembre de 2021 y 4 de noviembre de 2021.  Dentro de los temas se informa sobre la entrega de CD que contiene la información correspondiente a las nuevas nomenclaturas expedidas por las curadurías de Bucaramanga y asignación de número predial, así como los números prediales cancelados por la autoridad catastral.   
Que la acción establece: Revisar y actualizar semestralmente, la base de datos de acuerdo con las observaciones reportadas por el Comité de Estratificación.
Por lo anterior, se establece el cumplimiento del 100% de la acción propuesta.</t>
  </si>
  <si>
    <t>A corte de 30 de septiembre, se realizó solicitud a la CDMB de información y estudios de amenaza, vulnerabilidad y riesgo realizados y obras de mitigación en el municipio de Bucaramanga, fechada septiembre 8/21.  Se anexa como evidencia: Comunicación GOT3466-2021 y respuesta de la CDMB.
OBSERVACION OCIG: Se constata la solicitud de estudios de amenaza, vulnerabilidad y riesgo realizados y obras de mitigación realizada y la respuesta dada por la CDMB. Se otorga el 100% dado que se dio cumplimiento a la acción propuesta.</t>
  </si>
  <si>
    <t>A corte de 30 de septiembre, la Secretaría de Planeación en cumplimiento de las normas y el Procedimiento para la Categorización Anual del Municipio de Bucaramanga P-DPM-1240-170-009, convocó a la mesa técnica de categorización municipal el 5 de agosto de 2021, para la elaboración del proyecto de decreto de Categorización anual del municipio vigencia 2022.  Como resultado del proceso, se cuenta con el Decreto No 0112 del 6 de septiembre de 2021 " Por el cual se determina la Categoría del Municipio de Bucaramanga para el año 2022". Se anexa como evidencias: Citación mesas técnica SP663-2021, Proyecto de decreto, remisión a la Secretaría Jurídica y Decreto No 0112 del 6 de septiembre de 2021.
OBSERVACION OCIG: La Secretaría de Planeación presenta documentación que evidencia el cumplimiento del procedimiento para la categorización anual del municipio de Bucaramanga, evidenciado con el Decreto 0112 de septiembre 6/21, por el cual se determina la categoría del municipio de Bucaramanga para la vigencia 2022. Por lo anterior, se da cumplimiento a la acción propuesta (100%).</t>
  </si>
  <si>
    <t>La Secretaría de Planeación realizó informe de seguimiento y control a las Licencias otorgadas por las Curadurías Urbanas, con corte a 31 de diciembre de 2021. Durante la vigencia 2021 las Curadurías urbanas de la ciudad, radicaron un total de 681 licencias de construcción en sus diferentes modalidades, de las cuales corresponden a 357 licencias expedidas por la curaduría urbana No. 1 y el restante, 324 licencias de construcción, expedidas por la curaduría urbana No. 2. 
Del total de las licencias expedidas durante la vigencia 2021, el grupo de trabajo de control de obra revisó un total de 343 licencias de construcción que equivale al 50% de las licencias radicadas en conjunto por las dos curadurías urbanas del municipio. Es preciso mencionar que hacia el mes de diciembre de 2021 las curadurías urbanas radicaron 258 licencias nuevas, que corresponde a un incremento del 38% de licencias radicadas en un mes, de las cuales, 147 licencias corresponden a las expedidas por la curaduría urbana No. 1 y a 111 licencias expedidas por la curaduría urbana No. 2. 
Por otra parte, el grupo de Control de Obra trabajó en la revisión de licencias de construcción adelantado un procedimiento dividido en dos partes, que consiste en una revisión del cumplimiento normativo de la expedición de la licencia de construcción y una inspección visual en campo para verificar la consistencia de la expedición de la licencia y lo construido en sitio, de tal manera que se ejerce un constante control urbano, tanto a las licencias de construcción expedidas por una de las curadurías urbanas de la ciudad, como a la construcción producto de estas últimas, las cuales deben en conjunto estar acordes a la normatividad vigente y especialmente a la señalada en el Acuerdo Municipal No. 011 de 2014, que es el Plan de Ordenamiento Territorial – POT, vigente para la ciudad. 
A la fecha de corte se remitieron 259 PQRS a la Secretaría del Interior e inspecciones de policía 
Evidencias: Informe de seguimiento Licencias Curadurías con corte a 31 de diciembre de 2021 y 24 remisiones en archivo PDF (las demás se encuentran en archivo físico)
COMENTARIO VISITADOR OCIG: Con base en el seguimiento realizado por la OCIG con corte a septiembre 30 de 2021, se presenta un informe de seguimiento que representa el 50%.  
Para el presente seguimiento, la Secretaría de Planeación  presenta seguimiento a las licencias otorgadas por las Curadurías Urbanas con corte a diciembre de 2021, evidenciándose la verificación del 50% de las Licencias.
Que la acción establece: Realizar (1) seguimiento y control a las Licencias otorgadas por las Curadurías Urbanas y remitir a las Inspecciones competentes,  aquellas  que presenten  irregularidades con el fin de  adelantar las acciones policivas correspondientes.
Por lo anterior, se establece el cumplimiento del 100% de la acción propuesta.
La OCIG recomienda continuar el trámite respectivo para dar cumplimiento a la normatividad respecto de la inspección, vigilancia y control al 100% de las licencias otorgadas.</t>
  </si>
  <si>
    <t xml:space="preserve">El grupo del SISBEN realizó el segundo Informe del periodo octubre a diciembre de 2021 de seguimiento al cumplimiento de los lineamientos y normativa del Orden Nacional y Departamental (Aplicación de Encuestas), en este se verifica la calidad de las encuestas realizadas y registradas en el dispositivo móvil de captura (Encuestadores). 
Evidencias: Informe de los seguimientos al cumplimiento de los lineamientos del DNP.
COMENTARIO VISITADOR OCIG: Con base en el seguimiento realizado por la OCIG con corte a septiembre 30 de 2021, se presenta un informe de seguimiento que representa el 50%.  
Para el presente seguimiento, la Secretaría de Planeación realizó informe de seguimiento al cumplimiento de los lineamientos y normativa del orden nacional y departamental (aplicación de encuestas) por el período de Octubre a diciembre de 2021, con el objetivo de verificar la información registrada por los encuestadores en el DMC y la correcta interpretación y aplicación de la metodología SISBEN IV, en donde se evidencia que los conceptos en los que más se presenta dificultad de aplicabilidad al momento de diligenciar la encuesta son: Tipología de la vivienda, servicios públicos, material de paredes y estratificación del barrio y la ubicación de la encuesta en el dispositivo, los cuales se han venido clarificando en las actividades de retroalimentación realizada por los supervisores de trabajo de campo. 
Por lo anterior se establece el cumplimiento del 100% de la acción propuesta.  </t>
  </si>
  <si>
    <t>A corte de 30 de septiembre, la Secretaría de Planeación – Grupo SISBEN realizó seis actividades de socialización y retroalimentación sobre los lineamientos del DNP, revisión de requisitos habilitantes, trabajo en campo, protocolo y aplicación de encuestas y elaboración de actas (Promotores y Encuestadores).  Se anexa como evidencias: Planillas de asistencia.
OBSERVACION OCIG: La Secretaría de Planeación realizó 6 actividades de socialización y retroalimentación sobre metodología SISBEN IV, aplicación de encuestas, informe de seguimiento al cumplimiento de los lineamientos establecidos por el DNP en la aplicación de las encuestas, trabajo de campo – cartografía, aplicación de encuestas, entre otros, los días 15, 27, 29 de julio/21, agosto 26/21 y septiembre 17 y 30/21.
Se otorga el 100% de cumplimiento, teniendo en cuenta que se dio cumplimiento a la acción prevista, sin embargo, se recomienda continuar con el proceso de socialización al personal adscrito al SISBEN encargado de verificar el manejo de los diferentes procesos, normatividad y aplicación de la misma.</t>
  </si>
  <si>
    <t>La Oficina del SISBEN realizó requerimiento en el mes de noviembre de 2021 a la alta dirección, con el fin de dar a conocer las necesidades apremiantes de la Oficina enfocados en el fortalecimiento del proceso que se resumían en  la descentralización de la atención presencial en los puntos vive digital, cambio de sede de la oficina principal, dotación de equipos de cómputo y fortalecimiento del talento humano, logrando al finalizar la vigencia que fueran atendidas en su totalidad las necesidades de la oficina del SISBÉN de la siguiente manera:  
- A partir del 12 de octubre del 2021, se dio apertura a la atención presencial y recepción de solicitudes en puntos vive digital estratégicos, para dar cobertura a los sectores: oriente, norte y sur del Municipio de Bucaramanga. 
- Desde el día 26 de octubre del 2021, la oficina del SISBEN inició la atención presencial en la nueva sede ubicada en la Carrera 23 No. 36 – 47 Barrio Bolívar, donde se cuenta con espacios más amplios para la atención, con baterías sanitarias para el público en general y mejor conexión a internet.
- En el último trimestre se vincularon 6 contratistas para el fortalecimiento el proceso SISBÉN,  
- Incorporación al inventario equipos de cómputo entregados para el fortalecimiento de la Oficina.
Evidencia: Solicitud Alta Dirección y Acta de incorporación al inventario del municipio No. 4181 del 10 de diciembre de 2021.
COMENTARIO VISITADOR OCIG: Con base en el seguimiento realizado por la OCIG con corte a septiembre 30 de 2021, se presenta un acta de reunión que representa el 33% de avance.  
Para el presente seguimiento, la Secretaría de Planeación presenta como evidencia oficio de fecha noviembre de 2021 dirigida al Alcalde Municipal en el cual se destacan los avances obtenidos a la fecha en materia de talento humano, tecnológico y de atención al ciudadano y solicita mantener dichos esfuerzos para el fortalecimiento del proceso del Sisben, así mismo se adjunta acta de incorporación al inventario del Municipio (Computador de Escritorio, Impresora y Video Beam).  Es pertinente indicar que las acciones de fortalecimiento del Sisben requiere de la aprobación de recursos por parte del Confis. 
La Acción propuesta establece: Realizar 2 requerimientos a la alta dirección para el mejoramiento de la infraestructura tecnológica, espacio físico y talento humano.   
Por lo anterior, se otorga el 100% de cumplimiento para esta acción y se recomienda continuar con las gestiones para el mejoramiento de la infraestructura tecnológica y espacio físico. </t>
  </si>
  <si>
    <t>La Secretaría de Planeación – Grupo Archivo, realizó el segundo seguimiento con corte a diciembre de 2021, al préstamo de documentos través del formato F-GAT-8600-238,37-006 Control Préstamo de Documentos. De igual manera se utiliza el formato PRESTAMO DE PLANOS, LICENCIAS DE CONSTRUCCIÓN Y ANEXOS QUE REPOSEN EN EL ARCHIVO DE PLANOS F-DPM-1220-238,37-011.
Es importante aclarar que a la fecha de corte todos los documentos que se suministraron en calidad de préstamo han sido devueltos y se encuentran en sus respectivas carpetas.
Evidencias: Informes de préstamo de documentos y préstamo de planos, copias de formatos diligenciados de préstamos de GDT Y GOT relacionadas a préstamos de documentos, planos y licencias.
COMENTARIO VISITADOR OCIG: Con base en el seguimiento realizado por la OCIG con corte a septiembre 30 de 2021, se presenta un seguimiento que representa el 50% de avance.  
Para el presente seguimiento, la Secretaría de Planeación presenta como evidencia el Informe Organización Archivo y Préstamo de documentos Secretaría de Planeación por el período octubre a diciembre de 2021 e Informe Seguimiento a Préstamo de documentos Archivo Secretaría de Planeación.  
Conforme a lo anterior, se establece un cumplimiento del 100% de la acción propuesta.
Por parte de la OCIG se recomienda continuar con el seguimiento y control del préstamo de documentos.</t>
  </si>
  <si>
    <t xml:space="preserve">La Secretaría de Planeación – Grupo Archivo, en cumplimiento al cronograma de trabajo realizó la jornada del 29 de septiembre al 15 de diciembre de 2021. Se realizó el traslado del archivo de la vigencia 2019 del CAME a la Secretaría de Planeación. El cual se clasificó cronológicamente la documentación mes a mes de enero a mayo de 2019 en carpetas y cajas. De igual manera se hizo el registro en el libro radicador. Cabe aclarar que para mantener el archivo organizado de acuerdo con las TRD la Secretaría de Planeación debe contar con un espacio físico adecuado.
Evidencias: Informe jornada de organización, registro fotográfico y cronograma de trabajo.
COMENTARIO VISITADOR OCIG: La Secretaría de Planeación presenta informe organización archivo – apertura de establecimientos comerciales –GOT por el período del 29 de septiembre al 15 de diciembre de 2021, que corresponde a lo programado para el último trimestre de 2021. 
Se establece el cumplimiento de la acción del 90% toda vez que la actividad “Organizar la vigencia 2019 cronológicamente (julio a diciembre)” conforme a lo expuesto en el informe, se encuentra clasificado por meses, aún no se ha iniciado la labor de organización por falta de espacio.  
La OCIG recomienda a la Secretaría de Planeación se adelanten gestiones para disponer de espacios adecuados para la disposición de archivos.  </t>
  </si>
  <si>
    <t>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</si>
</sst>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diagonal/>
    </border>
    <border>
      <left style="thin">
        <color indexed="64"/>
      </left>
      <right style="thin">
        <color indexed="64"/>
      </right>
      <top/>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29" fillId="0" borderId="0"/>
    <xf numFmtId="0" fontId="30" fillId="0" borderId="0"/>
    <xf numFmtId="0" fontId="5" fillId="0" borderId="0"/>
  </cellStyleXfs>
  <cellXfs count="57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0"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0" fillId="3" borderId="0" xfId="0" applyFill="1"/>
    <xf numFmtId="0" fontId="31" fillId="3" borderId="36" xfId="2" applyFont="1" applyFill="1" applyBorder="1" applyProtection="1"/>
    <xf numFmtId="0" fontId="31" fillId="3" borderId="37" xfId="2" applyFont="1" applyFill="1" applyBorder="1" applyProtection="1"/>
    <xf numFmtId="0" fontId="31" fillId="3" borderId="38" xfId="2" applyFont="1" applyFill="1" applyBorder="1" applyProtection="1"/>
    <xf numFmtId="0" fontId="12" fillId="3" borderId="0" xfId="0" applyFont="1" applyFill="1" applyAlignment="1">
      <alignment vertical="center"/>
    </xf>
    <xf numFmtId="0" fontId="5" fillId="3" borderId="0" xfId="0" applyFont="1" applyFill="1"/>
    <xf numFmtId="0" fontId="23" fillId="3" borderId="19" xfId="0" applyFont="1" applyFill="1" applyBorder="1" applyAlignment="1">
      <alignment horizontal="justify" vertical="center" wrapText="1" readingOrder="1"/>
    </xf>
    <xf numFmtId="9" fontId="22" fillId="3" borderId="28" xfId="0" applyNumberFormat="1" applyFont="1" applyFill="1" applyBorder="1" applyAlignment="1">
      <alignment horizontal="center" vertical="center" wrapText="1" readingOrder="1"/>
    </xf>
    <xf numFmtId="0" fontId="23" fillId="3" borderId="18" xfId="0" applyFont="1" applyFill="1" applyBorder="1" applyAlignment="1">
      <alignment horizontal="justify" vertical="center" wrapText="1" readingOrder="1"/>
    </xf>
    <xf numFmtId="9" fontId="22" fillId="3" borderId="23" xfId="0" applyNumberFormat="1"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3" fillId="3" borderId="25" xfId="0" applyFont="1" applyFill="1" applyBorder="1" applyAlignment="1">
      <alignment horizontal="justify" vertical="center" wrapText="1" readingOrder="1"/>
    </xf>
    <xf numFmtId="0" fontId="23" fillId="3" borderId="26" xfId="0" applyFont="1" applyFill="1" applyBorder="1" applyAlignment="1">
      <alignment horizontal="center" vertical="center" wrapText="1" readingOrder="1"/>
    </xf>
    <xf numFmtId="0" fontId="28"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1" fillId="3" borderId="4" xfId="2" applyFont="1" applyFill="1" applyBorder="1" applyProtection="1"/>
    <xf numFmtId="0" fontId="36"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top" wrapText="1"/>
    </xf>
    <xf numFmtId="0" fontId="31" fillId="3" borderId="0" xfId="2" applyFont="1" applyFill="1" applyBorder="1" applyProtection="1"/>
    <xf numFmtId="0" fontId="31" fillId="3" borderId="5" xfId="2" applyFont="1" applyFill="1" applyBorder="1" applyProtection="1"/>
    <xf numFmtId="0" fontId="31" fillId="3" borderId="6" xfId="2" applyFont="1" applyFill="1" applyBorder="1" applyProtection="1"/>
    <xf numFmtId="0" fontId="31" fillId="3" borderId="8" xfId="2" applyFont="1" applyFill="1" applyBorder="1" applyProtection="1"/>
    <xf numFmtId="0" fontId="31" fillId="3" borderId="7" xfId="2" applyFont="1" applyFill="1" applyBorder="1" applyProtection="1"/>
    <xf numFmtId="0" fontId="34" fillId="3" borderId="0" xfId="2" quotePrefix="1" applyFont="1" applyFill="1" applyBorder="1" applyAlignment="1" applyProtection="1">
      <alignment horizontal="left" vertical="top" wrapText="1"/>
    </xf>
    <xf numFmtId="0" fontId="39" fillId="0" borderId="0" xfId="0" applyFont="1" applyAlignment="1">
      <alignment horizontal="center" vertical="center"/>
    </xf>
    <xf numFmtId="0" fontId="39" fillId="0" borderId="0" xfId="0" applyFont="1"/>
    <xf numFmtId="0" fontId="39" fillId="0" borderId="0" xfId="0" applyFont="1" applyAlignment="1">
      <alignment horizontal="center"/>
    </xf>
    <xf numFmtId="0" fontId="18" fillId="3" borderId="0" xfId="0" applyFont="1" applyFill="1"/>
    <xf numFmtId="0" fontId="18" fillId="0" borderId="0" xfId="0" applyFont="1"/>
    <xf numFmtId="14" fontId="1" fillId="0" borderId="18" xfId="0" applyNumberFormat="1" applyFont="1" applyBorder="1" applyAlignment="1" applyProtection="1">
      <alignment horizontal="center" vertical="center"/>
      <protection locked="0"/>
    </xf>
    <xf numFmtId="0" fontId="44" fillId="3" borderId="0" xfId="0" applyFont="1" applyFill="1" applyBorder="1" applyAlignment="1">
      <alignment horizontal="justify" vertical="center" wrapText="1" readingOrder="1"/>
    </xf>
    <xf numFmtId="0" fontId="44" fillId="0" borderId="0" xfId="0" applyFont="1" applyBorder="1" applyAlignment="1">
      <alignment horizontal="justify" vertical="center" wrapText="1" readingOrder="1"/>
    </xf>
    <xf numFmtId="0" fontId="39"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 fillId="12" borderId="18" xfId="0" applyFont="1" applyFill="1" applyBorder="1" applyAlignment="1">
      <alignment horizontal="center" vertical="center" textRotation="90"/>
    </xf>
    <xf numFmtId="0" fontId="1" fillId="0" borderId="23" xfId="0" applyFont="1" applyBorder="1" applyAlignment="1" applyProtection="1">
      <alignment horizontal="center" vertical="center"/>
      <protection locked="0"/>
    </xf>
    <xf numFmtId="0" fontId="31" fillId="3" borderId="4" xfId="2" applyFont="1" applyFill="1" applyBorder="1" applyAlignment="1" applyProtection="1">
      <alignment horizontal="left" vertical="top" wrapText="1"/>
    </xf>
    <xf numFmtId="0" fontId="31" fillId="3" borderId="0" xfId="2" applyFont="1" applyFill="1" applyBorder="1" applyAlignment="1" applyProtection="1">
      <alignment horizontal="left" vertical="top" wrapText="1"/>
    </xf>
    <xf numFmtId="0" fontId="31" fillId="3" borderId="5" xfId="2" applyFont="1" applyFill="1" applyBorder="1" applyAlignment="1" applyProtection="1">
      <alignment horizontal="left" vertical="top" wrapText="1"/>
    </xf>
    <xf numFmtId="0" fontId="34" fillId="3" borderId="80" xfId="2" quotePrefix="1" applyFont="1" applyFill="1" applyBorder="1" applyAlignment="1" applyProtection="1">
      <alignment horizontal="left" vertical="top" wrapText="1"/>
    </xf>
    <xf numFmtId="0" fontId="31" fillId="0" borderId="80" xfId="2" quotePrefix="1" applyFont="1" applyBorder="1" applyAlignment="1" applyProtection="1">
      <alignment horizontal="left" vertical="top" wrapText="1"/>
    </xf>
    <xf numFmtId="0" fontId="31" fillId="3" borderId="80" xfId="2" applyFont="1" applyFill="1" applyBorder="1" applyProtection="1"/>
    <xf numFmtId="0" fontId="0" fillId="3" borderId="5" xfId="0" applyFill="1" applyBorder="1"/>
    <xf numFmtId="0" fontId="33" fillId="3" borderId="0" xfId="2" quotePrefix="1" applyFont="1" applyFill="1" applyBorder="1" applyAlignment="1" applyProtection="1">
      <alignment horizontal="left" vertical="top" wrapText="1"/>
    </xf>
    <xf numFmtId="0" fontId="35"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5" fillId="3" borderId="88" xfId="2" quotePrefix="1" applyFont="1" applyFill="1" applyBorder="1" applyAlignment="1" applyProtection="1">
      <alignment horizontal="left" vertical="top" wrapText="1"/>
    </xf>
    <xf numFmtId="0" fontId="31" fillId="3" borderId="88" xfId="2" applyFont="1" applyFill="1" applyBorder="1" applyProtection="1"/>
    <xf numFmtId="0" fontId="27" fillId="16" borderId="89" xfId="0" applyFont="1" applyFill="1" applyBorder="1" applyAlignment="1">
      <alignment horizontal="left" vertical="center" wrapText="1" indent="1"/>
    </xf>
    <xf numFmtId="0" fontId="48" fillId="0" borderId="0" xfId="0" applyFont="1" applyAlignment="1">
      <alignment horizontal="center" vertical="center"/>
    </xf>
    <xf numFmtId="0" fontId="49" fillId="0" borderId="0" xfId="0" applyFont="1" applyAlignment="1">
      <alignment horizontal="center" vertical="center"/>
    </xf>
    <xf numFmtId="0" fontId="11" fillId="17" borderId="0" xfId="0" applyFont="1" applyFill="1" applyAlignment="1">
      <alignment wrapText="1"/>
    </xf>
    <xf numFmtId="0" fontId="39" fillId="0" borderId="0" xfId="0" applyFont="1" applyAlignment="1">
      <alignment vertical="center" wrapText="1"/>
    </xf>
    <xf numFmtId="0" fontId="50" fillId="0" borderId="0" xfId="0" applyFont="1" applyAlignment="1">
      <alignment horizontal="center" vertical="center" wrapText="1"/>
    </xf>
    <xf numFmtId="0" fontId="5" fillId="0" borderId="0" xfId="0" applyFont="1" applyAlignment="1">
      <alignment vertical="top" wrapText="1"/>
    </xf>
    <xf numFmtId="0" fontId="29" fillId="3" borderId="93" xfId="0" applyFont="1" applyFill="1" applyBorder="1" applyAlignment="1">
      <alignment vertical="center" wrapText="1"/>
    </xf>
    <xf numFmtId="0" fontId="11" fillId="17" borderId="0" xfId="0" applyFont="1" applyFill="1" applyAlignment="1">
      <alignment horizontal="left" vertical="top" wrapText="1"/>
    </xf>
    <xf numFmtId="0" fontId="29" fillId="3" borderId="94" xfId="0" applyFont="1" applyFill="1" applyBorder="1" applyAlignment="1">
      <alignment vertical="center" wrapText="1"/>
    </xf>
    <xf numFmtId="0" fontId="18" fillId="0" borderId="0" xfId="0" applyFont="1" applyBorder="1"/>
    <xf numFmtId="0" fontId="22" fillId="18" borderId="31" xfId="0" applyFont="1" applyFill="1" applyBorder="1" applyAlignment="1">
      <alignment horizontal="center" vertical="center" wrapText="1" readingOrder="1"/>
    </xf>
    <xf numFmtId="0" fontId="2" fillId="3" borderId="0" xfId="0" applyFont="1" applyFill="1"/>
    <xf numFmtId="0" fontId="52" fillId="3" borderId="0" xfId="0" applyFont="1" applyFill="1"/>
    <xf numFmtId="0" fontId="52" fillId="0" borderId="0" xfId="0" applyFont="1"/>
    <xf numFmtId="0" fontId="1" fillId="0" borderId="0" xfId="0" pivotButton="1" applyFont="1"/>
    <xf numFmtId="0" fontId="20" fillId="0" borderId="0" xfId="0" applyFont="1" applyFill="1"/>
    <xf numFmtId="0" fontId="53" fillId="0" borderId="0" xfId="0" applyFont="1"/>
    <xf numFmtId="0" fontId="54" fillId="0" borderId="0" xfId="0" applyFont="1"/>
    <xf numFmtId="0" fontId="2" fillId="0" borderId="0" xfId="0" applyFont="1"/>
    <xf numFmtId="0" fontId="6" fillId="3" borderId="0" xfId="0" applyFont="1" applyFill="1"/>
    <xf numFmtId="0" fontId="21" fillId="3" borderId="0" xfId="0" applyFont="1" applyFill="1"/>
    <xf numFmtId="0" fontId="56" fillId="0" borderId="0" xfId="0" applyFont="1" applyAlignment="1">
      <alignment horizontal="center" vertical="center" wrapText="1"/>
    </xf>
    <xf numFmtId="0" fontId="57" fillId="18" borderId="96" xfId="0" applyFont="1" applyFill="1" applyBorder="1" applyAlignment="1">
      <alignment horizontal="center" vertical="center" wrapText="1" readingOrder="1"/>
    </xf>
    <xf numFmtId="0" fontId="57" fillId="18" borderId="97"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58"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59" fillId="3" borderId="0" xfId="0" applyFont="1" applyFill="1" applyAlignment="1">
      <alignment horizontal="center" vertical="center" wrapText="1"/>
    </xf>
    <xf numFmtId="0" fontId="60" fillId="18" borderId="2" xfId="0" applyFont="1" applyFill="1" applyBorder="1" applyAlignment="1">
      <alignment horizontal="center" vertical="center" wrapText="1" readingOrder="1"/>
    </xf>
    <xf numFmtId="0" fontId="60" fillId="18" borderId="3" xfId="0" applyFont="1" applyFill="1" applyBorder="1" applyAlignment="1">
      <alignment horizontal="center" vertical="center" wrapText="1" readingOrder="1"/>
    </xf>
    <xf numFmtId="0" fontId="61" fillId="5" borderId="33" xfId="0" applyFont="1" applyFill="1" applyBorder="1" applyAlignment="1">
      <alignment horizontal="center" vertical="center" wrapText="1" readingOrder="1"/>
    </xf>
    <xf numFmtId="0" fontId="61" fillId="0" borderId="61" xfId="0" applyFont="1" applyBorder="1" applyAlignment="1">
      <alignment horizontal="center" vertical="center" wrapText="1" readingOrder="1"/>
    </xf>
    <xf numFmtId="0" fontId="61" fillId="0" borderId="68" xfId="0" applyFont="1" applyBorder="1" applyAlignment="1">
      <alignment horizontal="justify" vertical="center" wrapText="1" readingOrder="1"/>
    </xf>
    <xf numFmtId="0" fontId="61" fillId="6" borderId="62" xfId="0" applyFont="1" applyFill="1" applyBorder="1" applyAlignment="1">
      <alignment horizontal="center" vertical="center" wrapText="1" readingOrder="1"/>
    </xf>
    <xf numFmtId="0" fontId="61" fillId="0" borderId="22" xfId="0" applyFont="1" applyBorder="1" applyAlignment="1">
      <alignment horizontal="center" vertical="center" wrapText="1" readingOrder="1"/>
    </xf>
    <xf numFmtId="0" fontId="61" fillId="0" borderId="23" xfId="0" applyFont="1" applyBorder="1" applyAlignment="1">
      <alignment horizontal="justify" vertical="center" wrapText="1" readingOrder="1"/>
    </xf>
    <xf numFmtId="0" fontId="61" fillId="4" borderId="62" xfId="0" applyFont="1" applyFill="1" applyBorder="1" applyAlignment="1">
      <alignment horizontal="center" vertical="center" wrapText="1" readingOrder="1"/>
    </xf>
    <xf numFmtId="0" fontId="61" fillId="7" borderId="62" xfId="0" applyFont="1" applyFill="1" applyBorder="1" applyAlignment="1">
      <alignment horizontal="center" vertical="center" wrapText="1" readingOrder="1"/>
    </xf>
    <xf numFmtId="0" fontId="62" fillId="8" borderId="64" xfId="0" applyFont="1" applyFill="1" applyBorder="1" applyAlignment="1">
      <alignment horizontal="center" vertical="center" wrapText="1" readingOrder="1"/>
    </xf>
    <xf numFmtId="0" fontId="61" fillId="0" borderId="24" xfId="0" applyFont="1" applyBorder="1" applyAlignment="1">
      <alignment horizontal="center" vertical="center" wrapText="1" readingOrder="1"/>
    </xf>
    <xf numFmtId="0" fontId="61"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justify" vertical="center" wrapText="1"/>
      <protection locked="0"/>
    </xf>
    <xf numFmtId="14" fontId="2" fillId="0" borderId="18" xfId="0" applyNumberFormat="1" applyFont="1" applyBorder="1" applyAlignment="1" applyProtection="1">
      <alignment horizontal="center" vertical="center"/>
      <protection locked="0"/>
    </xf>
    <xf numFmtId="0" fontId="1" fillId="0" borderId="98" xfId="0" applyFont="1" applyBorder="1" applyAlignment="1" applyProtection="1">
      <alignment horizontal="center" vertical="center" wrapText="1"/>
      <protection locked="0"/>
    </xf>
    <xf numFmtId="0" fontId="2" fillId="0" borderId="18" xfId="0" applyFont="1" applyBorder="1" applyAlignment="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4" fillId="0" borderId="18" xfId="0" applyFont="1" applyBorder="1" applyAlignment="1" applyProtection="1">
      <alignment horizontal="center" vertical="center" textRotation="90" wrapText="1"/>
      <protection hidden="1"/>
    </xf>
    <xf numFmtId="0" fontId="34" fillId="0" borderId="18" xfId="0" applyFont="1" applyBorder="1" applyAlignment="1" applyProtection="1">
      <alignment horizontal="center" vertical="center" textRotation="90"/>
      <protection hidden="1"/>
    </xf>
    <xf numFmtId="0" fontId="2"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0" fontId="34" fillId="0" borderId="18" xfId="0" applyFont="1" applyFill="1" applyBorder="1" applyAlignment="1" applyProtection="1">
      <alignment horizontal="center" vertical="center" textRotation="90" wrapText="1"/>
      <protection hidden="1"/>
    </xf>
    <xf numFmtId="0" fontId="2" fillId="3" borderId="18"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textRotation="90"/>
      <protection locked="0"/>
    </xf>
    <xf numFmtId="9" fontId="2" fillId="3" borderId="18" xfId="0" applyNumberFormat="1" applyFont="1" applyFill="1" applyBorder="1" applyAlignment="1" applyProtection="1">
      <alignment horizontal="center" vertical="center"/>
      <protection hidden="1"/>
    </xf>
    <xf numFmtId="164" fontId="2" fillId="8" borderId="18" xfId="1" applyNumberFormat="1" applyFont="1" applyFill="1" applyBorder="1" applyAlignment="1">
      <alignment horizontal="center" vertical="center"/>
    </xf>
    <xf numFmtId="0" fontId="2" fillId="3" borderId="18" xfId="0" applyFont="1" applyFill="1" applyBorder="1" applyAlignment="1" applyProtection="1">
      <alignment horizontal="justify" vertical="center" wrapText="1"/>
      <protection locked="0"/>
    </xf>
    <xf numFmtId="0" fontId="2" fillId="0" borderId="0" xfId="0" applyFont="1" applyBorder="1"/>
    <xf numFmtId="0" fontId="2" fillId="0" borderId="0" xfId="0" applyFont="1" applyBorder="1" applyAlignment="1">
      <alignment wrapText="1"/>
    </xf>
    <xf numFmtId="0" fontId="43" fillId="16" borderId="32" xfId="0" applyFont="1" applyFill="1" applyBorder="1" applyAlignment="1">
      <alignment horizontal="center" vertical="center" wrapText="1"/>
    </xf>
    <xf numFmtId="0" fontId="42" fillId="0" borderId="30" xfId="0" applyFont="1" applyBorder="1" applyAlignment="1">
      <alignment horizontal="center" vertical="center" wrapText="1"/>
    </xf>
    <xf numFmtId="0" fontId="42" fillId="0" borderId="104" xfId="0" applyFont="1" applyBorder="1" applyAlignment="1">
      <alignment horizontal="center" vertical="center" wrapText="1"/>
    </xf>
    <xf numFmtId="0" fontId="42" fillId="0" borderId="32" xfId="0" applyFont="1" applyBorder="1" applyAlignment="1">
      <alignment horizontal="center" vertical="center" wrapText="1"/>
    </xf>
    <xf numFmtId="0" fontId="2" fillId="0" borderId="98" xfId="0" applyFont="1" applyBorder="1" applyAlignment="1" applyProtection="1">
      <alignment horizontal="center" vertical="center"/>
    </xf>
    <xf numFmtId="0" fontId="2" fillId="0" borderId="98" xfId="0" applyFont="1" applyBorder="1" applyAlignment="1" applyProtection="1">
      <alignment horizontal="justify" vertical="center" wrapText="1"/>
      <protection locked="0"/>
    </xf>
    <xf numFmtId="0" fontId="2" fillId="0" borderId="98" xfId="0" applyFont="1" applyBorder="1" applyAlignment="1" applyProtection="1">
      <alignment horizontal="center" vertical="center"/>
      <protection hidden="1"/>
    </xf>
    <xf numFmtId="0" fontId="2" fillId="0" borderId="98" xfId="0" applyFont="1" applyBorder="1" applyAlignment="1" applyProtection="1">
      <alignment horizontal="center" vertical="center" textRotation="90"/>
      <protection locked="0"/>
    </xf>
    <xf numFmtId="9" fontId="2" fillId="0" borderId="98" xfId="0" applyNumberFormat="1" applyFont="1" applyBorder="1" applyAlignment="1" applyProtection="1">
      <alignment horizontal="center" vertical="center"/>
      <protection hidden="1"/>
    </xf>
    <xf numFmtId="164" fontId="2" fillId="0" borderId="98" xfId="1" applyNumberFormat="1" applyFont="1" applyBorder="1" applyAlignment="1">
      <alignment horizontal="center" vertical="center"/>
    </xf>
    <xf numFmtId="0" fontId="34" fillId="0" borderId="98" xfId="0" applyFont="1" applyFill="1" applyBorder="1" applyAlignment="1" applyProtection="1">
      <alignment horizontal="center" vertical="center" textRotation="90" wrapText="1"/>
      <protection hidden="1"/>
    </xf>
    <xf numFmtId="0" fontId="34" fillId="0" borderId="98" xfId="0" applyFont="1" applyBorder="1" applyAlignment="1" applyProtection="1">
      <alignment horizontal="center" vertical="center" textRotation="90"/>
      <protection hidden="1"/>
    </xf>
    <xf numFmtId="14" fontId="2" fillId="0" borderId="98" xfId="0" applyNumberFormat="1" applyFont="1" applyBorder="1" applyAlignment="1" applyProtection="1">
      <alignment horizontal="center" vertical="center"/>
      <protection locked="0"/>
    </xf>
    <xf numFmtId="14" fontId="1" fillId="0" borderId="98" xfId="0" applyNumberFormat="1"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0" fontId="1" fillId="0" borderId="107" xfId="0" applyFont="1" applyBorder="1" applyAlignment="1">
      <alignment horizontal="center" vertical="center"/>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43" fillId="16" borderId="104" xfId="0" applyFont="1" applyFill="1" applyBorder="1" applyAlignment="1">
      <alignment horizontal="center" vertical="center" wrapText="1"/>
    </xf>
    <xf numFmtId="0" fontId="2" fillId="0" borderId="18"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wrapText="1"/>
      <protection locked="0"/>
    </xf>
    <xf numFmtId="0" fontId="27" fillId="16" borderId="61" xfId="0" applyFont="1" applyFill="1" applyBorder="1" applyAlignment="1">
      <alignment horizontal="left" vertical="center" wrapText="1" indent="1"/>
    </xf>
    <xf numFmtId="0" fontId="22" fillId="18" borderId="30"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xf numFmtId="0" fontId="2"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left" vertical="center" wrapText="1"/>
      <protection locked="0"/>
    </xf>
    <xf numFmtId="0" fontId="2" fillId="0" borderId="18" xfId="0" applyFont="1" applyBorder="1" applyAlignment="1" applyProtection="1">
      <alignment horizontal="center" vertical="center" wrapText="1"/>
      <protection locked="0"/>
    </xf>
    <xf numFmtId="9" fontId="2" fillId="0" borderId="18" xfId="0" applyNumberFormat="1" applyFont="1" applyBorder="1" applyAlignment="1" applyProtection="1">
      <alignment horizontal="center" vertical="center" wrapText="1"/>
      <protection locked="0"/>
    </xf>
    <xf numFmtId="14" fontId="1" fillId="0" borderId="18" xfId="0" applyNumberFormat="1" applyFont="1" applyBorder="1" applyAlignment="1" applyProtection="1">
      <alignment horizontal="center" vertical="center" wrapText="1"/>
      <protection locked="0"/>
    </xf>
    <xf numFmtId="9" fontId="1" fillId="3" borderId="0" xfId="0" applyNumberFormat="1" applyFont="1" applyFill="1"/>
    <xf numFmtId="0" fontId="36" fillId="3" borderId="85" xfId="3" applyFont="1" applyFill="1" applyBorder="1" applyAlignment="1" applyProtection="1">
      <alignment horizontal="left" vertical="top" wrapText="1" readingOrder="1"/>
    </xf>
    <xf numFmtId="0" fontId="36" fillId="3" borderId="42" xfId="3" applyFont="1" applyFill="1" applyBorder="1" applyAlignment="1" applyProtection="1">
      <alignment horizontal="left" vertical="top" wrapText="1" readingOrder="1"/>
    </xf>
    <xf numFmtId="0" fontId="37" fillId="3" borderId="70" xfId="2" applyFont="1" applyFill="1" applyBorder="1" applyAlignment="1" applyProtection="1">
      <alignment horizontal="justify" vertical="center" wrapText="1"/>
    </xf>
    <xf numFmtId="0" fontId="37" fillId="3" borderId="71" xfId="2" applyFont="1" applyFill="1" applyBorder="1" applyAlignment="1" applyProtection="1">
      <alignment horizontal="justify" vertical="center" wrapText="1"/>
    </xf>
    <xf numFmtId="0" fontId="37" fillId="3" borderId="47" xfId="2" applyFont="1" applyFill="1" applyBorder="1" applyAlignment="1" applyProtection="1">
      <alignment horizontal="justify" vertical="center" wrapText="1"/>
    </xf>
    <xf numFmtId="0" fontId="37" fillId="3" borderId="48" xfId="2" applyFont="1" applyFill="1" applyBorder="1" applyAlignment="1" applyProtection="1">
      <alignment horizontal="justify" vertical="center" wrapText="1"/>
    </xf>
    <xf numFmtId="0" fontId="36" fillId="3" borderId="45" xfId="0" applyFont="1" applyFill="1" applyBorder="1" applyAlignment="1" applyProtection="1">
      <alignment horizontal="left" vertical="center" wrapText="1"/>
    </xf>
    <xf numFmtId="0" fontId="36" fillId="3" borderId="46" xfId="0" applyFont="1" applyFill="1" applyBorder="1" applyAlignment="1" applyProtection="1">
      <alignment horizontal="left" vertical="center" wrapText="1"/>
    </xf>
    <xf numFmtId="0" fontId="36" fillId="3" borderId="54" xfId="0" applyFont="1" applyFill="1" applyBorder="1" applyAlignment="1" applyProtection="1">
      <alignment horizontal="left" vertical="center" wrapText="1"/>
    </xf>
    <xf numFmtId="0" fontId="36" fillId="3" borderId="55" xfId="0" applyFont="1" applyFill="1" applyBorder="1" applyAlignment="1" applyProtection="1">
      <alignment horizontal="left" vertical="center" wrapText="1"/>
    </xf>
    <xf numFmtId="0" fontId="36" fillId="3" borderId="56" xfId="0" applyFont="1" applyFill="1" applyBorder="1" applyAlignment="1" applyProtection="1">
      <alignment horizontal="left" vertical="center" wrapText="1"/>
    </xf>
    <xf numFmtId="0" fontId="36" fillId="3" borderId="57" xfId="0" applyFont="1" applyFill="1" applyBorder="1" applyAlignment="1" applyProtection="1">
      <alignment horizontal="left" vertical="center" wrapText="1"/>
    </xf>
    <xf numFmtId="0" fontId="37" fillId="3" borderId="49" xfId="0" applyFont="1" applyFill="1" applyBorder="1" applyAlignment="1" applyProtection="1">
      <alignment horizontal="justify" vertical="center" wrapText="1"/>
    </xf>
    <xf numFmtId="0" fontId="37" fillId="3" borderId="50" xfId="0" applyFont="1" applyFill="1" applyBorder="1" applyAlignment="1" applyProtection="1">
      <alignment horizontal="justify" vertical="center" wrapText="1"/>
    </xf>
    <xf numFmtId="0" fontId="36" fillId="3" borderId="84" xfId="3" applyFont="1" applyFill="1" applyBorder="1" applyAlignment="1" applyProtection="1">
      <alignment horizontal="left" vertical="top" wrapText="1" readingOrder="1"/>
    </xf>
    <xf numFmtId="0" fontId="36" fillId="3" borderId="77" xfId="3" applyFont="1" applyFill="1" applyBorder="1" applyAlignment="1" applyProtection="1">
      <alignment horizontal="left" vertical="top" wrapText="1" readingOrder="1"/>
    </xf>
    <xf numFmtId="0" fontId="37" fillId="3" borderId="78" xfId="2" applyFont="1" applyFill="1" applyBorder="1" applyAlignment="1" applyProtection="1">
      <alignment horizontal="justify" vertical="center" wrapText="1"/>
    </xf>
    <xf numFmtId="0" fontId="37" fillId="3" borderId="79" xfId="2" applyFont="1" applyFill="1" applyBorder="1" applyAlignment="1" applyProtection="1">
      <alignment horizontal="justify" vertical="center" wrapText="1"/>
    </xf>
    <xf numFmtId="0" fontId="37" fillId="3" borderId="43" xfId="2" applyFont="1" applyFill="1" applyBorder="1" applyAlignment="1" applyProtection="1">
      <alignment horizontal="justify" vertical="center" wrapText="1"/>
    </xf>
    <xf numFmtId="0" fontId="37" fillId="3" borderId="44" xfId="2" applyFont="1" applyFill="1" applyBorder="1" applyAlignment="1" applyProtection="1">
      <alignment horizontal="justify" vertical="center" wrapText="1"/>
    </xf>
    <xf numFmtId="0" fontId="32" fillId="14" borderId="33" xfId="2" applyFont="1" applyFill="1" applyBorder="1" applyAlignment="1" applyProtection="1">
      <alignment horizontal="center" vertical="center" wrapText="1"/>
    </xf>
    <xf numFmtId="0" fontId="32" fillId="14" borderId="34" xfId="2" applyFont="1" applyFill="1" applyBorder="1" applyAlignment="1" applyProtection="1">
      <alignment horizontal="center" vertical="center" wrapText="1"/>
    </xf>
    <xf numFmtId="0" fontId="32" fillId="14" borderId="35" xfId="2" applyFont="1" applyFill="1" applyBorder="1" applyAlignment="1" applyProtection="1">
      <alignment horizontal="center" vertical="center" wrapText="1"/>
    </xf>
    <xf numFmtId="0" fontId="31" fillId="0" borderId="4" xfId="2" quotePrefix="1" applyFont="1" applyBorder="1" applyAlignment="1" applyProtection="1">
      <alignment horizontal="left" vertical="center" wrapText="1"/>
    </xf>
    <xf numFmtId="0" fontId="31" fillId="0" borderId="0" xfId="2" quotePrefix="1" applyFont="1" applyBorder="1" applyAlignment="1" applyProtection="1">
      <alignment horizontal="left" vertical="center" wrapText="1"/>
    </xf>
    <xf numFmtId="0" fontId="31" fillId="0" borderId="5" xfId="2" quotePrefix="1" applyFont="1" applyBorder="1" applyAlignment="1" applyProtection="1">
      <alignment horizontal="left" vertical="center" wrapText="1"/>
    </xf>
    <xf numFmtId="0" fontId="31" fillId="0" borderId="51" xfId="2" quotePrefix="1" applyFont="1" applyBorder="1" applyAlignment="1" applyProtection="1">
      <alignment horizontal="left" vertical="center" wrapText="1"/>
    </xf>
    <xf numFmtId="0" fontId="31" fillId="0" borderId="52" xfId="2" quotePrefix="1" applyFont="1" applyBorder="1" applyAlignment="1" applyProtection="1">
      <alignment horizontal="left" vertical="center" wrapText="1"/>
    </xf>
    <xf numFmtId="0" fontId="31" fillId="0" borderId="53" xfId="2" quotePrefix="1" applyFont="1" applyBorder="1" applyAlignment="1" applyProtection="1">
      <alignment horizontal="left" vertical="center" wrapText="1"/>
    </xf>
    <xf numFmtId="0" fontId="33" fillId="3" borderId="37" xfId="2" quotePrefix="1" applyFont="1" applyFill="1" applyBorder="1" applyAlignment="1" applyProtection="1">
      <alignment horizontal="left" vertical="top" wrapText="1"/>
    </xf>
    <xf numFmtId="0" fontId="34" fillId="3" borderId="37" xfId="2" quotePrefix="1" applyFont="1" applyFill="1" applyBorder="1" applyAlignment="1" applyProtection="1">
      <alignment horizontal="left" vertical="top" wrapText="1"/>
    </xf>
    <xf numFmtId="0" fontId="34" fillId="3" borderId="72" xfId="2" quotePrefix="1" applyFont="1" applyFill="1" applyBorder="1" applyAlignment="1" applyProtection="1">
      <alignment horizontal="left" vertical="top" wrapText="1"/>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6" fillId="14" borderId="83" xfId="3" applyFont="1" applyFill="1" applyBorder="1" applyAlignment="1" applyProtection="1">
      <alignment horizontal="center" vertical="center" wrapText="1"/>
    </xf>
    <xf numFmtId="0" fontId="36" fillId="14" borderId="82" xfId="3" applyFont="1" applyFill="1" applyBorder="1" applyAlignment="1" applyProtection="1">
      <alignment horizontal="center" vertical="center" wrapText="1"/>
    </xf>
    <xf numFmtId="0" fontId="36" fillId="14" borderId="39" xfId="2" applyFont="1" applyFill="1" applyBorder="1" applyAlignment="1" applyProtection="1">
      <alignment horizontal="center" vertical="center"/>
    </xf>
    <xf numFmtId="0" fontId="36"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6" fillId="14" borderId="81" xfId="3" applyFont="1" applyFill="1" applyBorder="1" applyAlignment="1" applyProtection="1">
      <alignment horizontal="center" vertical="center" wrapText="1"/>
    </xf>
    <xf numFmtId="0" fontId="36" fillId="3" borderId="41" xfId="3" applyFont="1" applyFill="1" applyBorder="1" applyAlignment="1" applyProtection="1">
      <alignment horizontal="left" vertical="top" wrapText="1" readingOrder="1"/>
    </xf>
    <xf numFmtId="0" fontId="36" fillId="3" borderId="75" xfId="3" applyFont="1" applyFill="1" applyBorder="1" applyAlignment="1" applyProtection="1">
      <alignment horizontal="left" vertical="top" wrapText="1" readingOrder="1"/>
    </xf>
    <xf numFmtId="0" fontId="37" fillId="3" borderId="59" xfId="2" applyFont="1" applyFill="1" applyBorder="1" applyAlignment="1" applyProtection="1">
      <alignment horizontal="justify" vertical="center" wrapText="1"/>
    </xf>
    <xf numFmtId="0" fontId="35" fillId="3" borderId="4" xfId="2" quotePrefix="1" applyFont="1" applyFill="1" applyBorder="1" applyAlignment="1" applyProtection="1">
      <alignment horizontal="center" vertical="top" wrapText="1"/>
    </xf>
    <xf numFmtId="0" fontId="35" fillId="3" borderId="0" xfId="2" quotePrefix="1" applyFont="1" applyFill="1" applyBorder="1" applyAlignment="1" applyProtection="1">
      <alignment horizontal="center" vertical="top" wrapText="1"/>
    </xf>
    <xf numFmtId="0" fontId="35" fillId="3" borderId="80" xfId="2" quotePrefix="1" applyFont="1" applyFill="1" applyBorder="1" applyAlignment="1" applyProtection="1">
      <alignment horizontal="center" vertical="top" wrapText="1"/>
    </xf>
    <xf numFmtId="0" fontId="36" fillId="3" borderId="73" xfId="3" applyFont="1" applyFill="1" applyBorder="1" applyAlignment="1" applyProtection="1">
      <alignment horizontal="left" vertical="top" wrapText="1" readingOrder="1"/>
    </xf>
    <xf numFmtId="0" fontId="36" fillId="3" borderId="76" xfId="3" applyFont="1" applyFill="1" applyBorder="1" applyAlignment="1" applyProtection="1">
      <alignment horizontal="left" vertical="top" wrapText="1" readingOrder="1"/>
    </xf>
    <xf numFmtId="0" fontId="37" fillId="3" borderId="58" xfId="2" applyFont="1" applyFill="1" applyBorder="1" applyAlignment="1" applyProtection="1">
      <alignment horizontal="justify" vertical="center" wrapText="1"/>
    </xf>
    <xf numFmtId="0" fontId="37" fillId="3" borderId="86" xfId="2" applyFont="1" applyFill="1" applyBorder="1" applyAlignment="1" applyProtection="1">
      <alignment horizontal="justify" vertical="center" wrapText="1"/>
    </xf>
    <xf numFmtId="0" fontId="37" fillId="3" borderId="74" xfId="2" applyFont="1" applyFill="1" applyBorder="1" applyAlignment="1" applyProtection="1">
      <alignment horizontal="justify" vertical="center"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23" xfId="0" applyFont="1" applyBorder="1" applyAlignment="1">
      <alignment horizontal="left" vertical="center" wrapText="1"/>
    </xf>
    <xf numFmtId="0" fontId="1" fillId="0" borderId="62" xfId="0" applyFont="1" applyBorder="1" applyAlignment="1">
      <alignment horizontal="left"/>
    </xf>
    <xf numFmtId="0" fontId="1" fillId="0" borderId="59" xfId="0" applyFont="1" applyBorder="1" applyAlignment="1">
      <alignment horizontal="left"/>
    </xf>
    <xf numFmtId="0" fontId="1" fillId="0" borderId="101" xfId="0" applyFont="1" applyBorder="1" applyAlignment="1">
      <alignment horizontal="left"/>
    </xf>
    <xf numFmtId="0" fontId="64" fillId="0" borderId="24" xfId="0" applyFont="1" applyBorder="1" applyAlignment="1">
      <alignment horizontal="left" vertical="center" wrapText="1"/>
    </xf>
    <xf numFmtId="0" fontId="64" fillId="0" borderId="25" xfId="0" applyFont="1" applyBorder="1" applyAlignment="1">
      <alignment horizontal="left" vertical="center" wrapText="1"/>
    </xf>
    <xf numFmtId="0" fontId="64" fillId="0" borderId="26" xfId="0" applyFont="1" applyBorder="1" applyAlignment="1">
      <alignment horizontal="left" vertical="center" wrapText="1"/>
    </xf>
    <xf numFmtId="0" fontId="1" fillId="0" borderId="64" xfId="0" applyFont="1" applyBorder="1" applyAlignment="1">
      <alignment horizontal="left"/>
    </xf>
    <xf numFmtId="0" fontId="1" fillId="0" borderId="92" xfId="0" applyFont="1" applyBorder="1" applyAlignment="1">
      <alignment horizontal="left"/>
    </xf>
    <xf numFmtId="0" fontId="64" fillId="0" borderId="22" xfId="0" applyFont="1" applyBorder="1" applyAlignment="1">
      <alignment horizontal="left" vertical="center" wrapText="1"/>
    </xf>
    <xf numFmtId="0" fontId="64" fillId="0" borderId="18" xfId="0" applyFont="1" applyBorder="1" applyAlignment="1">
      <alignment horizontal="left" vertical="center" wrapText="1"/>
    </xf>
    <xf numFmtId="0" fontId="64" fillId="0" borderId="23" xfId="0" applyFont="1" applyBorder="1" applyAlignment="1">
      <alignment horizontal="left" vertical="center" wrapText="1"/>
    </xf>
    <xf numFmtId="0" fontId="64" fillId="0" borderId="22" xfId="0" applyFont="1" applyBorder="1" applyAlignment="1">
      <alignment horizontal="left" wrapText="1"/>
    </xf>
    <xf numFmtId="0" fontId="64" fillId="0" borderId="23" xfId="0" applyFont="1" applyBorder="1" applyAlignment="1">
      <alignment horizontal="left" wrapText="1"/>
    </xf>
    <xf numFmtId="0" fontId="1" fillId="0" borderId="22" xfId="0" applyFont="1" applyBorder="1" applyAlignment="1">
      <alignment horizontal="left" wrapText="1"/>
    </xf>
    <xf numFmtId="0" fontId="1" fillId="0" borderId="23" xfId="0" applyFont="1" applyBorder="1" applyAlignment="1">
      <alignment horizontal="left" wrapText="1"/>
    </xf>
    <xf numFmtId="0" fontId="27" fillId="18" borderId="4" xfId="0" applyFont="1" applyFill="1" applyBorder="1" applyAlignment="1">
      <alignment horizontal="center" vertical="center" wrapText="1"/>
    </xf>
    <xf numFmtId="0" fontId="27" fillId="18" borderId="0" xfId="0" applyFont="1" applyFill="1" applyAlignment="1">
      <alignment horizontal="center" vertical="center" wrapText="1"/>
    </xf>
    <xf numFmtId="0" fontId="27" fillId="18" borderId="20" xfId="0" applyFont="1" applyFill="1" applyBorder="1" applyAlignment="1">
      <alignment horizontal="center" vertical="center" wrapText="1"/>
    </xf>
    <xf numFmtId="0" fontId="27" fillId="18" borderId="32" xfId="0" applyFont="1" applyFill="1" applyBorder="1" applyAlignment="1">
      <alignment horizontal="center" vertical="center" wrapText="1"/>
    </xf>
    <xf numFmtId="0" fontId="1" fillId="0" borderId="61"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64" fillId="0" borderId="61" xfId="0" applyFont="1" applyBorder="1" applyAlignment="1">
      <alignment horizontal="left" wrapText="1"/>
    </xf>
    <xf numFmtId="0" fontId="64" fillId="0" borderId="68" xfId="0" applyFont="1" applyBorder="1" applyAlignment="1">
      <alignment horizontal="left" wrapText="1"/>
    </xf>
    <xf numFmtId="0" fontId="1" fillId="0" borderId="18" xfId="0" applyFont="1" applyBorder="1" applyAlignment="1">
      <alignment horizontal="left"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horizontal="left" vertical="center"/>
    </xf>
    <xf numFmtId="0" fontId="64" fillId="0" borderId="102" xfId="0" applyFont="1" applyBorder="1" applyAlignment="1">
      <alignment horizontal="left" vertical="center"/>
    </xf>
    <xf numFmtId="0" fontId="64" fillId="0" borderId="23" xfId="0" applyFont="1" applyBorder="1" applyAlignment="1">
      <alignment horizontal="left" vertical="center"/>
    </xf>
    <xf numFmtId="0" fontId="64" fillId="0" borderId="62" xfId="0" applyFont="1" applyBorder="1" applyAlignment="1">
      <alignment horizontal="left" vertical="center"/>
    </xf>
    <xf numFmtId="0" fontId="64" fillId="0" borderId="101" xfId="0" applyFont="1" applyBorder="1" applyAlignment="1">
      <alignment horizontal="left" vertical="center"/>
    </xf>
    <xf numFmtId="0" fontId="1" fillId="3" borderId="24" xfId="0" applyFont="1" applyFill="1" applyBorder="1" applyAlignment="1">
      <alignment horizontal="left" vertical="center"/>
    </xf>
    <xf numFmtId="0" fontId="1" fillId="3" borderId="25" xfId="0" applyFont="1" applyFill="1" applyBorder="1" applyAlignment="1">
      <alignment horizontal="left" vertical="center"/>
    </xf>
    <xf numFmtId="0" fontId="1" fillId="3" borderId="26" xfId="0" applyFont="1" applyFill="1" applyBorder="1" applyAlignment="1">
      <alignment horizontal="left" vertical="center"/>
    </xf>
    <xf numFmtId="0" fontId="64" fillId="0" borderId="103" xfId="0" applyFont="1" applyBorder="1" applyAlignment="1">
      <alignment horizontal="left" wrapText="1"/>
    </xf>
    <xf numFmtId="0" fontId="64" fillId="0" borderId="26" xfId="0" applyFont="1" applyBorder="1" applyAlignment="1">
      <alignment horizontal="left" wrapText="1"/>
    </xf>
    <xf numFmtId="0" fontId="1" fillId="0" borderId="102" xfId="0" applyFont="1" applyBorder="1" applyAlignment="1">
      <alignment horizontal="left" vertical="center" wrapText="1"/>
    </xf>
    <xf numFmtId="0" fontId="1" fillId="3" borderId="2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3" borderId="61"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3" borderId="68" xfId="0" applyFont="1" applyFill="1" applyBorder="1" applyAlignment="1">
      <alignment horizontal="left" vertical="center" wrapText="1"/>
    </xf>
    <xf numFmtId="0" fontId="1" fillId="0" borderId="100" xfId="0" applyFont="1" applyBorder="1" applyAlignment="1">
      <alignment horizontal="left" vertical="center"/>
    </xf>
    <xf numFmtId="0" fontId="1" fillId="0" borderId="68" xfId="0" applyFont="1" applyBorder="1" applyAlignment="1">
      <alignment horizontal="left" vertical="center"/>
    </xf>
    <xf numFmtId="0" fontId="1" fillId="3" borderId="62" xfId="0" applyFont="1" applyFill="1" applyBorder="1" applyAlignment="1">
      <alignment horizontal="left" vertical="center"/>
    </xf>
    <xf numFmtId="0" fontId="1" fillId="3" borderId="59" xfId="0" applyFont="1" applyFill="1" applyBorder="1" applyAlignment="1">
      <alignment horizontal="left" vertical="center"/>
    </xf>
    <xf numFmtId="0" fontId="1" fillId="3" borderId="101" xfId="0" applyFont="1" applyFill="1" applyBorder="1" applyAlignment="1">
      <alignment horizontal="left" vertical="center"/>
    </xf>
    <xf numFmtId="0" fontId="64" fillId="0" borderId="102" xfId="0" applyFont="1" applyBorder="1" applyAlignment="1">
      <alignment horizontal="left" vertical="center" wrapText="1"/>
    </xf>
    <xf numFmtId="0" fontId="1" fillId="0" borderId="102" xfId="0" applyFont="1" applyBorder="1" applyAlignment="1">
      <alignment horizontal="left" vertical="center"/>
    </xf>
    <xf numFmtId="0" fontId="1" fillId="0" borderId="23" xfId="0" applyFont="1" applyBorder="1" applyAlignment="1">
      <alignment horizontal="left" vertical="center"/>
    </xf>
    <xf numFmtId="0" fontId="64" fillId="3" borderId="22" xfId="0" applyFont="1" applyFill="1" applyBorder="1" applyAlignment="1">
      <alignment horizontal="left" wrapText="1"/>
    </xf>
    <xf numFmtId="0" fontId="64" fillId="3" borderId="18" xfId="0" applyFont="1" applyFill="1" applyBorder="1" applyAlignment="1">
      <alignment horizontal="left" wrapText="1"/>
    </xf>
    <xf numFmtId="0" fontId="64" fillId="3" borderId="23" xfId="0" applyFont="1" applyFill="1" applyBorder="1" applyAlignment="1">
      <alignment horizontal="left" wrapText="1"/>
    </xf>
    <xf numFmtId="0" fontId="5" fillId="0" borderId="95" xfId="0" applyFont="1" applyBorder="1" applyAlignment="1">
      <alignment vertical="top" wrapText="1"/>
    </xf>
    <xf numFmtId="0" fontId="5" fillId="0" borderId="87" xfId="0" applyFont="1" applyBorder="1" applyAlignment="1">
      <alignment vertical="top" wrapText="1"/>
    </xf>
    <xf numFmtId="0" fontId="5" fillId="0" borderId="93" xfId="0" applyFont="1" applyBorder="1" applyAlignment="1">
      <alignment vertical="top" wrapText="1"/>
    </xf>
    <xf numFmtId="0" fontId="49" fillId="0" borderId="2"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0" xfId="0" applyFont="1" applyAlignment="1">
      <alignment horizontal="center" vertical="center" wrapText="1"/>
    </xf>
    <xf numFmtId="0" fontId="49" fillId="0" borderId="6" xfId="0" applyFont="1" applyBorder="1" applyAlignment="1">
      <alignment horizontal="center" vertical="center" wrapText="1"/>
    </xf>
    <xf numFmtId="0" fontId="49" fillId="0" borderId="8" xfId="0" applyFont="1" applyBorder="1" applyAlignment="1">
      <alignment horizontal="center" vertical="center" wrapText="1"/>
    </xf>
    <xf numFmtId="0" fontId="27" fillId="18" borderId="2" xfId="0" applyFont="1" applyFill="1" applyBorder="1" applyAlignment="1">
      <alignment horizontal="center" vertical="center" wrapText="1"/>
    </xf>
    <xf numFmtId="0" fontId="27" fillId="18" borderId="9"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27" fillId="15" borderId="60" xfId="0" applyFont="1" applyFill="1" applyBorder="1" applyAlignment="1">
      <alignment horizontal="left" vertical="center" wrapText="1" indent="1"/>
    </xf>
    <xf numFmtId="0" fontId="27" fillId="15" borderId="34" xfId="0" applyFont="1" applyFill="1" applyBorder="1" applyAlignment="1">
      <alignment horizontal="left" vertical="center" wrapText="1" indent="1"/>
    </xf>
    <xf numFmtId="0" fontId="27" fillId="15" borderId="35" xfId="0" applyFont="1" applyFill="1" applyBorder="1" applyAlignment="1">
      <alignment horizontal="left" vertical="center" wrapText="1" indent="1"/>
    </xf>
    <xf numFmtId="0" fontId="42" fillId="15" borderId="90" xfId="0" applyFont="1" applyFill="1" applyBorder="1" applyAlignment="1">
      <alignment horizontal="left" vertical="center" wrapText="1" indent="1"/>
    </xf>
    <xf numFmtId="0" fontId="42" fillId="15" borderId="91" xfId="0" applyFont="1" applyFill="1" applyBorder="1" applyAlignment="1">
      <alignment horizontal="left" vertical="center" wrapText="1" indent="1"/>
    </xf>
    <xf numFmtId="0" fontId="42" fillId="15" borderId="92" xfId="0" applyFont="1" applyFill="1" applyBorder="1" applyAlignment="1">
      <alignment horizontal="left" vertical="center" wrapText="1" indent="1"/>
    </xf>
    <xf numFmtId="0" fontId="22" fillId="13" borderId="0" xfId="0" applyFont="1" applyFill="1" applyAlignment="1">
      <alignment horizontal="center" vertical="center" wrapText="1"/>
    </xf>
    <xf numFmtId="0" fontId="27" fillId="16" borderId="2" xfId="0" applyFont="1" applyFill="1" applyBorder="1" applyAlignment="1">
      <alignment horizontal="center" vertical="center" wrapText="1"/>
    </xf>
    <xf numFmtId="0" fontId="27" fillId="16" borderId="9" xfId="0" applyFont="1" applyFill="1" applyBorder="1" applyAlignment="1">
      <alignment horizontal="center" vertical="center" wrapText="1"/>
    </xf>
    <xf numFmtId="0" fontId="27" fillId="16" borderId="3" xfId="0" applyFont="1" applyFill="1" applyBorder="1" applyAlignment="1">
      <alignment horizontal="center" vertical="center" wrapText="1"/>
    </xf>
    <xf numFmtId="0" fontId="43" fillId="16" borderId="20" xfId="0" applyFont="1" applyFill="1" applyBorder="1" applyAlignment="1">
      <alignment horizontal="center" vertical="center" wrapText="1"/>
    </xf>
    <xf numFmtId="0" fontId="43" fillId="16" borderId="104" xfId="0" applyFont="1" applyFill="1" applyBorder="1" applyAlignment="1">
      <alignment horizontal="center" vertical="center" wrapText="1"/>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50" fillId="0" borderId="0" xfId="0" applyFont="1" applyAlignment="1">
      <alignment horizontal="center" vertical="center"/>
    </xf>
    <xf numFmtId="0" fontId="34" fillId="0" borderId="98" xfId="0" applyFont="1" applyBorder="1" applyAlignment="1" applyProtection="1">
      <alignment horizontal="center" vertical="center"/>
      <protection hidden="1"/>
    </xf>
    <xf numFmtId="0" fontId="34" fillId="0" borderId="99" xfId="0" applyFont="1" applyBorder="1" applyAlignment="1" applyProtection="1">
      <alignment horizontal="center" vertical="center"/>
      <protection hidden="1"/>
    </xf>
    <xf numFmtId="0" fontId="34" fillId="0" borderId="19" xfId="0" applyFont="1" applyBorder="1" applyAlignment="1" applyProtection="1">
      <alignment horizontal="center" vertical="center"/>
      <protection hidden="1"/>
    </xf>
    <xf numFmtId="0" fontId="53" fillId="0" borderId="18"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34" fillId="0" borderId="18" xfId="0" applyFont="1" applyFill="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0" fontId="34" fillId="0" borderId="18" xfId="0" applyFont="1" applyBorder="1" applyAlignment="1" applyProtection="1">
      <alignment horizontal="center" vertical="center"/>
      <protection hidden="1"/>
    </xf>
    <xf numFmtId="0" fontId="2" fillId="0" borderId="98"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98" xfId="0" applyFont="1" applyBorder="1" applyAlignment="1" applyProtection="1">
      <alignment horizontal="center" vertical="center"/>
      <protection locked="0"/>
    </xf>
    <xf numFmtId="0" fontId="2" fillId="0" borderId="9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34" fillId="0" borderId="98" xfId="0" applyFont="1" applyFill="1" applyBorder="1" applyAlignment="1" applyProtection="1">
      <alignment horizontal="center" vertical="center" wrapText="1"/>
      <protection hidden="1"/>
    </xf>
    <xf numFmtId="0" fontId="34" fillId="0" borderId="99" xfId="0" applyFont="1" applyFill="1" applyBorder="1" applyAlignment="1" applyProtection="1">
      <alignment horizontal="center" vertical="center" wrapText="1"/>
      <protection hidden="1"/>
    </xf>
    <xf numFmtId="0" fontId="34" fillId="0" borderId="19" xfId="0" applyFont="1" applyFill="1" applyBorder="1" applyAlignment="1" applyProtection="1">
      <alignment horizontal="center" vertical="center" wrapText="1"/>
      <protection hidden="1"/>
    </xf>
    <xf numFmtId="9" fontId="2" fillId="0" borderId="98" xfId="0" applyNumberFormat="1" applyFont="1" applyBorder="1" applyAlignment="1" applyProtection="1">
      <alignment horizontal="center" vertical="center" wrapText="1"/>
      <protection hidden="1"/>
    </xf>
    <xf numFmtId="9" fontId="2" fillId="0" borderId="99" xfId="0" applyNumberFormat="1" applyFont="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9" fontId="2" fillId="0" borderId="98" xfId="0" applyNumberFormat="1" applyFont="1" applyBorder="1" applyAlignment="1" applyProtection="1">
      <alignment horizontal="center" vertical="center" wrapText="1"/>
      <protection locked="0"/>
    </xf>
    <xf numFmtId="9" fontId="2" fillId="0" borderId="99" xfId="0" applyNumberFormat="1" applyFont="1" applyBorder="1" applyAlignment="1" applyProtection="1">
      <alignment horizontal="center" vertical="center" wrapText="1"/>
      <protection locked="0"/>
    </xf>
    <xf numFmtId="9" fontId="2" fillId="0" borderId="19" xfId="0" applyNumberFormat="1" applyFont="1" applyBorder="1" applyAlignment="1" applyProtection="1">
      <alignment horizontal="center" vertical="center" wrapText="1"/>
      <protection locked="0"/>
    </xf>
    <xf numFmtId="0" fontId="39" fillId="3" borderId="25" xfId="0" applyFont="1" applyFill="1" applyBorder="1" applyAlignment="1">
      <alignment horizontal="left"/>
    </xf>
    <xf numFmtId="0" fontId="39" fillId="3" borderId="26" xfId="0" applyFont="1" applyFill="1" applyBorder="1" applyAlignment="1">
      <alignment horizontal="left"/>
    </xf>
    <xf numFmtId="0" fontId="39" fillId="3" borderId="18" xfId="0" applyFont="1" applyFill="1" applyBorder="1" applyAlignment="1">
      <alignment horizontal="left"/>
    </xf>
    <xf numFmtId="0" fontId="39" fillId="3" borderId="23" xfId="0" applyFont="1" applyFill="1" applyBorder="1" applyAlignment="1">
      <alignment horizontal="left"/>
    </xf>
    <xf numFmtId="0" fontId="39" fillId="3" borderId="67" xfId="0" applyFont="1" applyFill="1" applyBorder="1" applyAlignment="1">
      <alignment horizontal="left"/>
    </xf>
    <xf numFmtId="0" fontId="39" fillId="3" borderId="68" xfId="0" applyFont="1" applyFill="1" applyBorder="1" applyAlignment="1">
      <alignment horizontal="left"/>
    </xf>
    <xf numFmtId="0" fontId="45" fillId="3" borderId="66" xfId="0" applyFont="1" applyFill="1" applyBorder="1" applyAlignment="1">
      <alignment horizontal="center" vertical="center"/>
    </xf>
    <xf numFmtId="0" fontId="45" fillId="3" borderId="9" xfId="0" applyFont="1" applyFill="1" applyBorder="1" applyAlignment="1">
      <alignment horizontal="center" vertical="center"/>
    </xf>
    <xf numFmtId="0" fontId="45" fillId="3" borderId="65"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69" xfId="0" applyFont="1" applyFill="1" applyBorder="1" applyAlignment="1">
      <alignment horizontal="center" vertical="center"/>
    </xf>
    <xf numFmtId="0" fontId="45" fillId="3" borderId="8"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8" xfId="0" applyFont="1" applyFill="1" applyBorder="1" applyAlignment="1">
      <alignment horizontal="center" vertical="center"/>
    </xf>
    <xf numFmtId="0" fontId="41" fillId="3" borderId="51"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3" xfId="0" applyFont="1" applyFill="1" applyBorder="1" applyAlignment="1">
      <alignment horizontal="center" vertical="center"/>
    </xf>
    <xf numFmtId="0" fontId="27" fillId="16" borderId="61" xfId="0" applyFont="1" applyFill="1" applyBorder="1" applyAlignment="1">
      <alignment horizontal="left" vertical="center" wrapText="1" indent="1"/>
    </xf>
    <xf numFmtId="0" fontId="27" fillId="16" borderId="67" xfId="0" applyFont="1" applyFill="1" applyBorder="1" applyAlignment="1">
      <alignment horizontal="left" vertical="center" wrapText="1" indent="1"/>
    </xf>
    <xf numFmtId="0" fontId="27" fillId="16" borderId="22" xfId="0" applyFont="1" applyFill="1" applyBorder="1" applyAlignment="1">
      <alignment horizontal="left" vertical="center" wrapText="1" indent="1"/>
    </xf>
    <xf numFmtId="0" fontId="27" fillId="16" borderId="18" xfId="0" applyFont="1" applyFill="1" applyBorder="1" applyAlignment="1">
      <alignment horizontal="left" vertical="center" wrapText="1" indent="1"/>
    </xf>
    <xf numFmtId="0" fontId="27" fillId="16" borderId="24" xfId="0" applyFont="1" applyFill="1" applyBorder="1" applyAlignment="1">
      <alignment horizontal="left" vertical="center" wrapText="1" indent="1"/>
    </xf>
    <xf numFmtId="0" fontId="27" fillId="16" borderId="25" xfId="0" applyFont="1" applyFill="1" applyBorder="1" applyAlignment="1">
      <alignment horizontal="left" vertical="center" wrapText="1" indent="1"/>
    </xf>
    <xf numFmtId="0" fontId="46" fillId="3" borderId="67" xfId="0" applyFont="1" applyFill="1" applyBorder="1" applyAlignment="1" applyProtection="1">
      <alignment horizontal="left" vertical="center" indent="1"/>
      <protection locked="0"/>
    </xf>
    <xf numFmtId="0" fontId="8" fillId="3" borderId="67" xfId="0" applyFont="1" applyFill="1" applyBorder="1" applyAlignment="1" applyProtection="1">
      <alignment horizontal="left" vertical="center" indent="1"/>
      <protection locked="0"/>
    </xf>
    <xf numFmtId="0" fontId="8" fillId="3" borderId="68"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2" fillId="14" borderId="22" xfId="0" applyFont="1" applyFill="1" applyBorder="1" applyAlignment="1">
      <alignment horizontal="center" vertical="center"/>
    </xf>
    <xf numFmtId="0" fontId="32" fillId="14" borderId="18" xfId="0" applyFont="1" applyFill="1" applyBorder="1" applyAlignment="1">
      <alignment horizontal="center" vertical="center"/>
    </xf>
    <xf numFmtId="0" fontId="32" fillId="14" borderId="23" xfId="0" applyFont="1" applyFill="1" applyBorder="1" applyAlignment="1">
      <alignment horizontal="center" vertical="center"/>
    </xf>
    <xf numFmtId="0" fontId="1" fillId="0" borderId="108"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22" xfId="0" applyFont="1" applyBorder="1" applyAlignment="1" applyProtection="1">
      <alignment horizontal="center" vertical="center"/>
    </xf>
    <xf numFmtId="0" fontId="1" fillId="0" borderId="105" xfId="0" applyFont="1" applyBorder="1" applyAlignment="1" applyProtection="1">
      <alignment horizontal="center" vertical="center"/>
    </xf>
    <xf numFmtId="0" fontId="53" fillId="0" borderId="22" xfId="0" applyFont="1" applyBorder="1" applyAlignment="1" applyProtection="1">
      <alignment horizontal="center" vertical="center"/>
    </xf>
    <xf numFmtId="0" fontId="1" fillId="0" borderId="4" xfId="0" applyFont="1" applyBorder="1" applyAlignment="1">
      <alignment horizontal="center" vertical="center"/>
    </xf>
    <xf numFmtId="0" fontId="34" fillId="0" borderId="18" xfId="0" applyFont="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6"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1" fillId="0" borderId="22" xfId="0" applyFont="1" applyBorder="1" applyAlignment="1" applyProtection="1">
      <alignment horizontal="center" vertical="center"/>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9" fillId="0" borderId="0" xfId="0" applyFont="1" applyAlignment="1">
      <alignment horizontal="center" vertical="center" wrapText="1"/>
    </xf>
    <xf numFmtId="0" fontId="25" fillId="9" borderId="10" xfId="0" applyFont="1" applyFill="1" applyBorder="1" applyAlignment="1">
      <alignment horizontal="center" vertical="center" wrapText="1" readingOrder="1"/>
    </xf>
    <xf numFmtId="0" fontId="25" fillId="9" borderId="11" xfId="0" applyFont="1" applyFill="1" applyBorder="1" applyAlignment="1">
      <alignment horizontal="center" vertical="center" wrapText="1" readingOrder="1"/>
    </xf>
    <xf numFmtId="0" fontId="25" fillId="9" borderId="12" xfId="0" applyFont="1" applyFill="1" applyBorder="1" applyAlignment="1">
      <alignment horizontal="center" vertical="center" wrapText="1" readingOrder="1"/>
    </xf>
    <xf numFmtId="0" fontId="25" fillId="9" borderId="13" xfId="0" applyFont="1" applyFill="1" applyBorder="1" applyAlignment="1">
      <alignment horizontal="center" vertical="center" wrapText="1" readingOrder="1"/>
    </xf>
    <xf numFmtId="0" fontId="25" fillId="9" borderId="0" xfId="0" applyFont="1" applyFill="1" applyBorder="1" applyAlignment="1">
      <alignment horizontal="center" vertical="center" wrapText="1" readingOrder="1"/>
    </xf>
    <xf numFmtId="0" fontId="25" fillId="9" borderId="14" xfId="0" applyFont="1" applyFill="1" applyBorder="1" applyAlignment="1">
      <alignment horizontal="center" vertical="center" wrapText="1" readingOrder="1"/>
    </xf>
    <xf numFmtId="0" fontId="25" fillId="9" borderId="15" xfId="0" applyFont="1" applyFill="1" applyBorder="1" applyAlignment="1">
      <alignment horizontal="center" vertical="center" wrapText="1" readingOrder="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6" fillId="0" borderId="2" xfId="0" applyFont="1" applyBorder="1" applyAlignment="1">
      <alignment horizontal="center" vertical="center" wrapText="1"/>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5" fillId="10" borderId="10" xfId="0" applyFont="1" applyFill="1" applyBorder="1" applyAlignment="1">
      <alignment horizontal="center" vertical="center" wrapText="1" readingOrder="1"/>
    </xf>
    <xf numFmtId="0" fontId="25" fillId="10" borderId="11" xfId="0" applyFont="1" applyFill="1" applyBorder="1" applyAlignment="1">
      <alignment horizontal="center" vertical="center" wrapText="1" readingOrder="1"/>
    </xf>
    <xf numFmtId="0" fontId="25" fillId="10" borderId="12" xfId="0" applyFont="1" applyFill="1" applyBorder="1" applyAlignment="1">
      <alignment horizontal="center" vertical="center" wrapText="1" readingOrder="1"/>
    </xf>
    <xf numFmtId="0" fontId="25" fillId="10" borderId="13" xfId="0" applyFont="1" applyFill="1" applyBorder="1" applyAlignment="1">
      <alignment horizontal="center" vertical="center" wrapText="1" readingOrder="1"/>
    </xf>
    <xf numFmtId="0" fontId="25" fillId="10" borderId="0" xfId="0" applyFont="1" applyFill="1" applyBorder="1" applyAlignment="1">
      <alignment horizontal="center" vertical="center" wrapText="1" readingOrder="1"/>
    </xf>
    <xf numFmtId="0" fontId="25" fillId="10" borderId="14" xfId="0" applyFont="1" applyFill="1" applyBorder="1" applyAlignment="1">
      <alignment horizontal="center" vertical="center" wrapText="1" readingOrder="1"/>
    </xf>
    <xf numFmtId="0" fontId="25" fillId="10" borderId="15" xfId="0" applyFont="1" applyFill="1" applyBorder="1" applyAlignment="1">
      <alignment horizontal="center" vertical="center" wrapText="1" readingOrder="1"/>
    </xf>
    <xf numFmtId="0" fontId="25" fillId="10" borderId="16" xfId="0" applyFont="1" applyFill="1" applyBorder="1" applyAlignment="1">
      <alignment horizontal="center" vertical="center" wrapText="1" readingOrder="1"/>
    </xf>
    <xf numFmtId="0" fontId="25" fillId="10" borderId="17" xfId="0" applyFont="1" applyFill="1" applyBorder="1" applyAlignment="1">
      <alignment horizontal="center" vertical="center" wrapText="1" readingOrder="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5" fillId="5" borderId="10" xfId="0" applyFont="1" applyFill="1" applyBorder="1" applyAlignment="1">
      <alignment horizontal="center" vertical="center" wrapText="1" readingOrder="1"/>
    </xf>
    <xf numFmtId="0" fontId="25" fillId="5" borderId="11" xfId="0" applyFont="1" applyFill="1" applyBorder="1" applyAlignment="1">
      <alignment horizontal="center" vertical="center" wrapText="1" readingOrder="1"/>
    </xf>
    <xf numFmtId="0" fontId="25" fillId="5" borderId="12" xfId="0" applyFont="1" applyFill="1" applyBorder="1" applyAlignment="1">
      <alignment horizontal="center" vertical="center" wrapText="1" readingOrder="1"/>
    </xf>
    <xf numFmtId="0" fontId="25" fillId="5" borderId="13" xfId="0" applyFont="1" applyFill="1" applyBorder="1" applyAlignment="1">
      <alignment horizontal="center" vertical="center" wrapText="1" readingOrder="1"/>
    </xf>
    <xf numFmtId="0" fontId="25" fillId="5" borderId="0" xfId="0" applyFont="1" applyFill="1" applyBorder="1" applyAlignment="1">
      <alignment horizontal="center" vertical="center" wrapText="1" readingOrder="1"/>
    </xf>
    <xf numFmtId="0" fontId="25" fillId="5" borderId="14" xfId="0" applyFont="1" applyFill="1" applyBorder="1" applyAlignment="1">
      <alignment horizontal="center" vertical="center" wrapText="1" readingOrder="1"/>
    </xf>
    <xf numFmtId="0" fontId="25" fillId="5" borderId="15" xfId="0" applyFont="1" applyFill="1" applyBorder="1" applyAlignment="1">
      <alignment horizontal="center" vertical="center" wrapText="1" readingOrder="1"/>
    </xf>
    <xf numFmtId="0" fontId="25" fillId="5" borderId="16" xfId="0" applyFont="1" applyFill="1" applyBorder="1" applyAlignment="1">
      <alignment horizontal="center" vertical="center" wrapText="1" readingOrder="1"/>
    </xf>
    <xf numFmtId="0" fontId="25" fillId="5" borderId="17" xfId="0" applyFont="1" applyFill="1" applyBorder="1" applyAlignment="1">
      <alignment horizontal="center" vertical="center" wrapText="1" readingOrder="1"/>
    </xf>
    <xf numFmtId="0" fontId="25" fillId="11" borderId="10" xfId="0" applyFont="1" applyFill="1" applyBorder="1" applyAlignment="1">
      <alignment horizontal="center" vertical="center" wrapText="1" readingOrder="1"/>
    </xf>
    <xf numFmtId="0" fontId="25" fillId="11" borderId="11" xfId="0" applyFont="1" applyFill="1" applyBorder="1" applyAlignment="1">
      <alignment horizontal="center" vertical="center" wrapText="1" readingOrder="1"/>
    </xf>
    <xf numFmtId="0" fontId="25" fillId="11" borderId="12" xfId="0" applyFont="1" applyFill="1" applyBorder="1" applyAlignment="1">
      <alignment horizontal="center" vertical="center" wrapText="1" readingOrder="1"/>
    </xf>
    <xf numFmtId="0" fontId="25" fillId="11" borderId="13" xfId="0" applyFont="1" applyFill="1" applyBorder="1" applyAlignment="1">
      <alignment horizontal="center" vertical="center" wrapText="1" readingOrder="1"/>
    </xf>
    <xf numFmtId="0" fontId="25" fillId="11" borderId="0" xfId="0" applyFont="1" applyFill="1" applyBorder="1" applyAlignment="1">
      <alignment horizontal="center" vertical="center" wrapText="1" readingOrder="1"/>
    </xf>
    <xf numFmtId="0" fontId="25" fillId="11" borderId="14" xfId="0" applyFont="1" applyFill="1" applyBorder="1" applyAlignment="1">
      <alignment horizontal="center" vertical="center" wrapText="1" readingOrder="1"/>
    </xf>
    <xf numFmtId="0" fontId="25" fillId="11" borderId="15" xfId="0" applyFont="1" applyFill="1" applyBorder="1" applyAlignment="1">
      <alignment horizontal="center" vertical="center" wrapText="1" readingOrder="1"/>
    </xf>
    <xf numFmtId="0" fontId="25" fillId="11" borderId="16" xfId="0" applyFont="1" applyFill="1" applyBorder="1" applyAlignment="1">
      <alignment horizontal="center" vertical="center" wrapText="1" readingOrder="1"/>
    </xf>
    <xf numFmtId="0" fontId="25" fillId="11" borderId="17" xfId="0" applyFont="1" applyFill="1" applyBorder="1" applyAlignment="1">
      <alignment horizontal="center" vertical="center" wrapText="1" readingOrder="1"/>
    </xf>
    <xf numFmtId="0" fontId="26" fillId="0" borderId="9" xfId="0" applyFont="1" applyBorder="1" applyAlignment="1">
      <alignment horizontal="center" vertical="center" wrapText="1"/>
    </xf>
    <xf numFmtId="0" fontId="63" fillId="18" borderId="20" xfId="0" applyFont="1" applyFill="1" applyBorder="1" applyAlignment="1">
      <alignment horizontal="center" vertical="center" wrapText="1" readingOrder="1"/>
    </xf>
    <xf numFmtId="0" fontId="63" fillId="18" borderId="21" xfId="0" applyFont="1" applyFill="1" applyBorder="1" applyAlignment="1">
      <alignment horizontal="center" vertical="center" wrapText="1" readingOrder="1"/>
    </xf>
    <xf numFmtId="0" fontId="63" fillId="18" borderId="32" xfId="0" applyFont="1" applyFill="1" applyBorder="1" applyAlignment="1">
      <alignment horizontal="center" vertical="center" wrapText="1" readingOrder="1"/>
    </xf>
    <xf numFmtId="0" fontId="55" fillId="18" borderId="20" xfId="0" applyFont="1" applyFill="1" applyBorder="1" applyAlignment="1">
      <alignment horizontal="center" vertical="center" wrapText="1" readingOrder="1"/>
    </xf>
    <xf numFmtId="0" fontId="55" fillId="18" borderId="21" xfId="0" applyFont="1" applyFill="1" applyBorder="1" applyAlignment="1">
      <alignment horizontal="center" vertical="center" wrapText="1" readingOrder="1"/>
    </xf>
    <xf numFmtId="0" fontId="21" fillId="3" borderId="0" xfId="0" applyFont="1" applyFill="1" applyBorder="1" applyAlignment="1">
      <alignment horizontal="justify" vertical="center" wrapText="1"/>
    </xf>
    <xf numFmtId="0" fontId="22" fillId="18" borderId="29" xfId="0" applyFont="1" applyFill="1" applyBorder="1" applyAlignment="1">
      <alignment horizontal="center" vertical="center" wrapText="1" readingOrder="1"/>
    </xf>
    <xf numFmtId="0" fontId="22" fillId="18" borderId="30" xfId="0" applyFont="1" applyFill="1" applyBorder="1" applyAlignment="1">
      <alignment horizontal="center" vertical="center" wrapText="1" readingOrder="1"/>
    </xf>
    <xf numFmtId="0" fontId="22" fillId="3" borderId="27" xfId="0" applyFont="1" applyFill="1" applyBorder="1" applyAlignment="1">
      <alignment horizontal="center" vertical="center" wrapText="1" readingOrder="1"/>
    </xf>
    <xf numFmtId="0" fontId="22" fillId="3" borderId="22"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4"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498">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APA%20DE%20RIESGOS%20DE%20GESTION%202021%20-%20PLANEACIO&#769;N%20version%202%20Rec%20OCIG%20Ok.xlsx?33DF16EE" TargetMode="External"/><Relationship Id="rId1" Type="http://schemas.openxmlformats.org/officeDocument/2006/relationships/externalLinkPath" Target="file:///\\33DF16EE\MAPA%20DE%20RIESGOS%20DE%20GESTION%202021%20-%20PLANEACIO&#769;N%20version%202%20Rec%20OCIG%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CONTEXTO"/>
      <sheetName val="MAPA DE RIESGO"/>
      <sheetName val="MAPA DE RIESGO (2)"/>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row r="12">
          <cell r="C12" t="str">
            <v xml:space="preserve">     Afectación menor a 10 SMLMV .</v>
          </cell>
          <cell r="D12" t="str">
            <v xml:space="preserve">     El riesgo afecta la imagen de alguna área de la organización</v>
          </cell>
        </row>
        <row r="13">
          <cell r="C13" t="str">
            <v xml:space="preserve">     Entre 10 y 50 SMLMV </v>
          </cell>
          <cell r="D13" t="str">
            <v xml:space="preserve">     El riesgo afecta la imagen de la entidad internamente, de conocimiento general, nivel interno, de junta dircetiva y accionistas y/o de provedores</v>
          </cell>
        </row>
        <row r="14">
          <cell r="C14" t="str">
            <v xml:space="preserve">     Entre 50 y 100 SMLMV </v>
          </cell>
          <cell r="D14" t="str">
            <v xml:space="preserve">     El riesgo afecta la imagen de la entidad con algunos usuarios de relevancia frente al logro de los objetivos</v>
          </cell>
        </row>
        <row r="15">
          <cell r="C15" t="str">
            <v xml:space="preserve">     Entre 100 y 500 SMLMV </v>
          </cell>
          <cell r="D15" t="str">
            <v xml:space="preserve">     El riesgo afecta la imagen de de la entidad con efecto publicitario sostenido a nivel de sector administrativo, nivel departamental o municipal</v>
          </cell>
        </row>
        <row r="16">
          <cell r="C16" t="str">
            <v xml:space="preserve">     Mayor a 500 SMLMV </v>
          </cell>
          <cell r="D16" t="str">
            <v xml:space="preserve">     El riesgo afecta la imagen de la entidad a nivel nacional, con efecto publicitarios sostenible a nivel país</v>
          </cell>
        </row>
        <row r="222">
          <cell r="B222" t="str">
            <v>Criterios</v>
          </cell>
        </row>
        <row r="223">
          <cell r="B223" t="str">
            <v>Afectación Económica o presupuestal</v>
          </cell>
        </row>
        <row r="224">
          <cell r="B224" t="str">
            <v>Pérdida Reputacional</v>
          </cell>
          <cell r="F224" t="str">
            <v>❌</v>
          </cell>
        </row>
      </sheetData>
      <sheetData sheetId="8"/>
      <sheetData sheetId="9"/>
      <sheetData sheetId="1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9" zoomScale="120" zoomScaleNormal="120" workbookViewId="0">
      <selection activeCell="C19" sqref="C19:D19"/>
    </sheetView>
  </sheetViews>
  <sheetFormatPr baseColWidth="10" defaultColWidth="11.42578125" defaultRowHeight="15" x14ac:dyDescent="0.25"/>
  <cols>
    <col min="1" max="1" width="2.7109375" style="54" customWidth="1" collapsed="1"/>
    <col min="2" max="3" width="24.7109375" style="54" customWidth="1" collapsed="1"/>
    <col min="4" max="4" width="16" style="54" customWidth="1" collapsed="1"/>
    <col min="5" max="5" width="24.7109375" style="54" customWidth="1" collapsed="1"/>
    <col min="6" max="6" width="27.7109375" style="54" customWidth="1" collapsed="1"/>
    <col min="7" max="8" width="24.7109375" style="54" customWidth="1" collapsed="1"/>
    <col min="9" max="16384" width="11.42578125" style="54" collapsed="1"/>
  </cols>
  <sheetData>
    <row r="1" spans="1:8" ht="15.75" thickBot="1" x14ac:dyDescent="0.3"/>
    <row r="2" spans="1:8" ht="18" x14ac:dyDescent="0.25">
      <c r="B2" s="229" t="s">
        <v>0</v>
      </c>
      <c r="C2" s="230"/>
      <c r="D2" s="230"/>
      <c r="E2" s="230"/>
      <c r="F2" s="230"/>
      <c r="G2" s="230"/>
      <c r="H2" s="231"/>
    </row>
    <row r="3" spans="1:8" x14ac:dyDescent="0.25">
      <c r="B3" s="55"/>
      <c r="C3" s="56"/>
      <c r="D3" s="56"/>
      <c r="E3" s="56"/>
      <c r="F3" s="56"/>
      <c r="G3" s="56"/>
      <c r="H3" s="57"/>
    </row>
    <row r="4" spans="1:8" ht="63" customHeight="1" x14ac:dyDescent="0.25">
      <c r="B4" s="232" t="s">
        <v>1</v>
      </c>
      <c r="C4" s="233"/>
      <c r="D4" s="233"/>
      <c r="E4" s="233"/>
      <c r="F4" s="233"/>
      <c r="G4" s="233"/>
      <c r="H4" s="234"/>
    </row>
    <row r="5" spans="1:8" ht="63" customHeight="1" x14ac:dyDescent="0.25">
      <c r="B5" s="235"/>
      <c r="C5" s="236"/>
      <c r="D5" s="236"/>
      <c r="E5" s="236"/>
      <c r="F5" s="236"/>
      <c r="G5" s="236"/>
      <c r="H5" s="237"/>
    </row>
    <row r="6" spans="1:8" ht="16.5" x14ac:dyDescent="0.25">
      <c r="A6" s="100"/>
      <c r="B6" s="238" t="s">
        <v>2</v>
      </c>
      <c r="C6" s="239"/>
      <c r="D6" s="239"/>
      <c r="E6" s="239"/>
      <c r="F6" s="239"/>
      <c r="G6" s="239"/>
      <c r="H6" s="240"/>
    </row>
    <row r="7" spans="1:8" ht="95.25" customHeight="1" x14ac:dyDescent="0.25">
      <c r="A7" s="100"/>
      <c r="B7" s="247" t="s">
        <v>3</v>
      </c>
      <c r="C7" s="247"/>
      <c r="D7" s="247"/>
      <c r="E7" s="247"/>
      <c r="F7" s="247"/>
      <c r="G7" s="247"/>
      <c r="H7" s="248"/>
    </row>
    <row r="8" spans="1:8" ht="16.5" x14ac:dyDescent="0.25">
      <c r="A8" s="100"/>
      <c r="B8" s="101"/>
      <c r="C8" s="79"/>
      <c r="D8" s="79"/>
      <c r="E8" s="79"/>
      <c r="F8" s="79"/>
      <c r="G8" s="79"/>
      <c r="H8" s="97"/>
    </row>
    <row r="9" spans="1:8" ht="16.5" customHeight="1" x14ac:dyDescent="0.25">
      <c r="A9" s="100"/>
      <c r="B9" s="241" t="s">
        <v>4</v>
      </c>
      <c r="C9" s="241"/>
      <c r="D9" s="241"/>
      <c r="E9" s="241"/>
      <c r="F9" s="241"/>
      <c r="G9" s="241"/>
      <c r="H9" s="242"/>
    </row>
    <row r="10" spans="1:8" ht="16.5" customHeight="1" x14ac:dyDescent="0.25">
      <c r="A10" s="100"/>
      <c r="B10" s="241"/>
      <c r="C10" s="241"/>
      <c r="D10" s="241"/>
      <c r="E10" s="241"/>
      <c r="F10" s="241"/>
      <c r="G10" s="241"/>
      <c r="H10" s="242"/>
    </row>
    <row r="11" spans="1:8" ht="11.65" customHeight="1" x14ac:dyDescent="0.25">
      <c r="A11" s="100"/>
      <c r="B11" s="241"/>
      <c r="C11" s="241"/>
      <c r="D11" s="241"/>
      <c r="E11" s="241"/>
      <c r="F11" s="241"/>
      <c r="G11" s="241"/>
      <c r="H11" s="242"/>
    </row>
    <row r="12" spans="1:8" ht="11.65" customHeight="1" thickBot="1" x14ac:dyDescent="0.3">
      <c r="A12" s="100"/>
      <c r="B12" s="193"/>
      <c r="C12" s="193"/>
      <c r="D12" s="193"/>
      <c r="E12" s="193"/>
      <c r="F12" s="193"/>
      <c r="G12" s="193"/>
      <c r="H12" s="194"/>
    </row>
    <row r="13" spans="1:8" ht="15.4" customHeight="1" thickTop="1" x14ac:dyDescent="0.25">
      <c r="A13" s="100"/>
      <c r="B13" s="193"/>
      <c r="C13" s="249" t="s">
        <v>5</v>
      </c>
      <c r="D13" s="244"/>
      <c r="E13" s="245" t="s">
        <v>6</v>
      </c>
      <c r="F13" s="246"/>
      <c r="G13" s="193"/>
      <c r="H13" s="194"/>
    </row>
    <row r="14" spans="1:8" ht="11.65" customHeight="1" x14ac:dyDescent="0.25">
      <c r="A14" s="100"/>
      <c r="B14" s="193"/>
      <c r="C14" s="250" t="s">
        <v>7</v>
      </c>
      <c r="D14" s="251"/>
      <c r="E14" s="252" t="s">
        <v>8</v>
      </c>
      <c r="F14" s="212"/>
      <c r="G14" s="193"/>
      <c r="H14" s="194"/>
    </row>
    <row r="15" spans="1:8" ht="11.65" customHeight="1" x14ac:dyDescent="0.25">
      <c r="A15" s="100"/>
      <c r="B15" s="193"/>
      <c r="C15" s="250" t="s">
        <v>9</v>
      </c>
      <c r="D15" s="251"/>
      <c r="E15" s="252" t="s">
        <v>10</v>
      </c>
      <c r="F15" s="212"/>
      <c r="G15" s="193"/>
      <c r="H15" s="194"/>
    </row>
    <row r="16" spans="1:8" ht="11.65" customHeight="1" x14ac:dyDescent="0.25">
      <c r="A16" s="100"/>
      <c r="B16" s="193"/>
      <c r="C16" s="250" t="s">
        <v>11</v>
      </c>
      <c r="D16" s="251"/>
      <c r="E16" s="252" t="s">
        <v>12</v>
      </c>
      <c r="F16" s="212"/>
      <c r="G16" s="193"/>
      <c r="H16" s="194"/>
    </row>
    <row r="17" spans="1:8" ht="13.5" customHeight="1" x14ac:dyDescent="0.25">
      <c r="A17" s="100"/>
      <c r="B17" s="193"/>
      <c r="C17" s="250" t="s">
        <v>13</v>
      </c>
      <c r="D17" s="251"/>
      <c r="E17" s="252" t="s">
        <v>14</v>
      </c>
      <c r="F17" s="212"/>
      <c r="G17" s="193"/>
      <c r="H17" s="98"/>
    </row>
    <row r="18" spans="1:8" ht="12.4" customHeight="1" x14ac:dyDescent="0.25">
      <c r="A18" s="100"/>
      <c r="B18" s="193"/>
      <c r="C18" s="250" t="s">
        <v>15</v>
      </c>
      <c r="D18" s="251"/>
      <c r="E18" s="258" t="s">
        <v>16</v>
      </c>
      <c r="F18" s="212"/>
      <c r="G18" s="193"/>
      <c r="H18" s="194"/>
    </row>
    <row r="19" spans="1:8" ht="24" customHeight="1" thickBot="1" x14ac:dyDescent="0.3">
      <c r="A19" s="100"/>
      <c r="B19" s="193"/>
      <c r="C19" s="256" t="s">
        <v>17</v>
      </c>
      <c r="D19" s="257"/>
      <c r="E19" s="259" t="s">
        <v>18</v>
      </c>
      <c r="F19" s="260"/>
      <c r="G19" s="193"/>
      <c r="H19" s="194"/>
    </row>
    <row r="20" spans="1:8" ht="11.65" customHeight="1" thickTop="1" x14ac:dyDescent="0.25">
      <c r="A20" s="100"/>
      <c r="B20" s="193"/>
      <c r="C20" s="102"/>
      <c r="D20" s="102"/>
      <c r="E20" s="102"/>
      <c r="F20" s="102"/>
      <c r="G20" s="193"/>
      <c r="H20" s="194"/>
    </row>
    <row r="21" spans="1:8" ht="27.4" customHeight="1" thickBot="1" x14ac:dyDescent="0.3">
      <c r="A21" s="100"/>
      <c r="B21" s="253" t="s">
        <v>19</v>
      </c>
      <c r="C21" s="254"/>
      <c r="D21" s="254"/>
      <c r="E21" s="254"/>
      <c r="F21" s="254"/>
      <c r="G21" s="254"/>
      <c r="H21" s="255"/>
    </row>
    <row r="22" spans="1:8" ht="15.75" thickTop="1" x14ac:dyDescent="0.25">
      <c r="A22" s="100"/>
      <c r="B22" s="104"/>
      <c r="C22" s="243" t="s">
        <v>5</v>
      </c>
      <c r="D22" s="244"/>
      <c r="E22" s="245" t="s">
        <v>6</v>
      </c>
      <c r="F22" s="246"/>
      <c r="G22" s="102"/>
      <c r="H22" s="103"/>
    </row>
    <row r="23" spans="1:8" ht="13.5" customHeight="1" x14ac:dyDescent="0.25">
      <c r="A23" s="100"/>
      <c r="B23" s="105"/>
      <c r="C23" s="223" t="s">
        <v>7</v>
      </c>
      <c r="D23" s="224"/>
      <c r="E23" s="225" t="s">
        <v>8</v>
      </c>
      <c r="F23" s="226"/>
      <c r="G23" s="74"/>
      <c r="H23" s="99"/>
    </row>
    <row r="24" spans="1:8" ht="13.5" customHeight="1" x14ac:dyDescent="0.25">
      <c r="A24" s="100"/>
      <c r="B24" s="105"/>
      <c r="C24" s="209" t="s">
        <v>20</v>
      </c>
      <c r="D24" s="210"/>
      <c r="E24" s="211" t="s">
        <v>14</v>
      </c>
      <c r="F24" s="212"/>
      <c r="G24" s="74"/>
      <c r="H24" s="99"/>
    </row>
    <row r="25" spans="1:8" ht="13.5" customHeight="1" x14ac:dyDescent="0.25">
      <c r="A25" s="100"/>
      <c r="B25" s="105"/>
      <c r="C25" s="209" t="s">
        <v>9</v>
      </c>
      <c r="D25" s="210"/>
      <c r="E25" s="211" t="s">
        <v>10</v>
      </c>
      <c r="F25" s="212"/>
      <c r="G25" s="74"/>
      <c r="H25" s="99"/>
    </row>
    <row r="26" spans="1:8" ht="22.9" customHeight="1" x14ac:dyDescent="0.25">
      <c r="A26" s="100"/>
      <c r="B26" s="105"/>
      <c r="C26" s="209" t="s">
        <v>21</v>
      </c>
      <c r="D26" s="210"/>
      <c r="E26" s="227" t="s">
        <v>22</v>
      </c>
      <c r="F26" s="228"/>
      <c r="G26" s="74"/>
      <c r="H26" s="99"/>
    </row>
    <row r="27" spans="1:8" ht="69.75" customHeight="1" x14ac:dyDescent="0.25">
      <c r="A27" s="100"/>
      <c r="B27" s="105"/>
      <c r="C27" s="218" t="s">
        <v>23</v>
      </c>
      <c r="D27" s="216"/>
      <c r="E27" s="213" t="s">
        <v>24</v>
      </c>
      <c r="F27" s="214"/>
      <c r="G27" s="74"/>
      <c r="H27" s="75"/>
    </row>
    <row r="28" spans="1:8" ht="34.5" customHeight="1" x14ac:dyDescent="0.25">
      <c r="B28" s="71"/>
      <c r="C28" s="215" t="s">
        <v>25</v>
      </c>
      <c r="D28" s="216"/>
      <c r="E28" s="213" t="s">
        <v>26</v>
      </c>
      <c r="F28" s="214"/>
      <c r="G28" s="74"/>
      <c r="H28" s="75"/>
    </row>
    <row r="29" spans="1:8" ht="27.75" customHeight="1" x14ac:dyDescent="0.25">
      <c r="B29" s="71"/>
      <c r="C29" s="215" t="s">
        <v>27</v>
      </c>
      <c r="D29" s="216"/>
      <c r="E29" s="213" t="s">
        <v>28</v>
      </c>
      <c r="F29" s="214"/>
      <c r="G29" s="74"/>
      <c r="H29" s="75"/>
    </row>
    <row r="30" spans="1:8" ht="28.5" customHeight="1" x14ac:dyDescent="0.25">
      <c r="B30" s="71"/>
      <c r="C30" s="215" t="s">
        <v>29</v>
      </c>
      <c r="D30" s="216"/>
      <c r="E30" s="213" t="s">
        <v>30</v>
      </c>
      <c r="F30" s="214"/>
      <c r="G30" s="74"/>
      <c r="H30" s="75"/>
    </row>
    <row r="31" spans="1:8" ht="72.75" customHeight="1" x14ac:dyDescent="0.25">
      <c r="B31" s="71"/>
      <c r="C31" s="215" t="s">
        <v>31</v>
      </c>
      <c r="D31" s="216"/>
      <c r="E31" s="213" t="s">
        <v>32</v>
      </c>
      <c r="F31" s="214"/>
      <c r="G31" s="74"/>
      <c r="H31" s="75"/>
    </row>
    <row r="32" spans="1:8" ht="64.5" customHeight="1" x14ac:dyDescent="0.25">
      <c r="B32" s="71"/>
      <c r="C32" s="215" t="s">
        <v>33</v>
      </c>
      <c r="D32" s="216"/>
      <c r="E32" s="213" t="s">
        <v>34</v>
      </c>
      <c r="F32" s="214"/>
      <c r="G32" s="74"/>
      <c r="H32" s="75"/>
    </row>
    <row r="33" spans="2:8" ht="71.25" customHeight="1" x14ac:dyDescent="0.25">
      <c r="B33" s="71"/>
      <c r="C33" s="217" t="s">
        <v>35</v>
      </c>
      <c r="D33" s="218"/>
      <c r="E33" s="213" t="s">
        <v>36</v>
      </c>
      <c r="F33" s="214"/>
      <c r="G33" s="74"/>
      <c r="H33" s="75"/>
    </row>
    <row r="34" spans="2:8" ht="55.5" customHeight="1" x14ac:dyDescent="0.25">
      <c r="B34" s="71"/>
      <c r="C34" s="217" t="s">
        <v>37</v>
      </c>
      <c r="D34" s="218"/>
      <c r="E34" s="213" t="s">
        <v>38</v>
      </c>
      <c r="F34" s="214"/>
      <c r="G34" s="74"/>
      <c r="H34" s="75"/>
    </row>
    <row r="35" spans="2:8" ht="42" customHeight="1" x14ac:dyDescent="0.25">
      <c r="B35" s="71"/>
      <c r="C35" s="217" t="s">
        <v>39</v>
      </c>
      <c r="D35" s="218"/>
      <c r="E35" s="213" t="s">
        <v>40</v>
      </c>
      <c r="F35" s="214"/>
      <c r="G35" s="74"/>
      <c r="H35" s="75"/>
    </row>
    <row r="36" spans="2:8" ht="59.25" customHeight="1" x14ac:dyDescent="0.25">
      <c r="B36" s="71"/>
      <c r="C36" s="217" t="s">
        <v>41</v>
      </c>
      <c r="D36" s="218"/>
      <c r="E36" s="213" t="s">
        <v>42</v>
      </c>
      <c r="F36" s="214"/>
      <c r="G36" s="74"/>
      <c r="H36" s="75"/>
    </row>
    <row r="37" spans="2:8" ht="23.25" customHeight="1" x14ac:dyDescent="0.25">
      <c r="B37" s="71"/>
      <c r="C37" s="217" t="s">
        <v>43</v>
      </c>
      <c r="D37" s="218"/>
      <c r="E37" s="213" t="s">
        <v>44</v>
      </c>
      <c r="F37" s="214"/>
      <c r="G37" s="74"/>
      <c r="H37" s="75"/>
    </row>
    <row r="38" spans="2:8" ht="30.75" customHeight="1" x14ac:dyDescent="0.25">
      <c r="B38" s="71"/>
      <c r="C38" s="217" t="s">
        <v>45</v>
      </c>
      <c r="D38" s="218"/>
      <c r="E38" s="213" t="s">
        <v>46</v>
      </c>
      <c r="F38" s="214"/>
      <c r="G38" s="74"/>
      <c r="H38" s="75"/>
    </row>
    <row r="39" spans="2:8" ht="35.25" customHeight="1" x14ac:dyDescent="0.25">
      <c r="B39" s="71"/>
      <c r="C39" s="217" t="s">
        <v>45</v>
      </c>
      <c r="D39" s="218"/>
      <c r="E39" s="213" t="s">
        <v>46</v>
      </c>
      <c r="F39" s="214"/>
      <c r="G39" s="74"/>
      <c r="H39" s="75"/>
    </row>
    <row r="40" spans="2:8" ht="33" customHeight="1" x14ac:dyDescent="0.25">
      <c r="B40" s="71"/>
      <c r="C40" s="217" t="s">
        <v>47</v>
      </c>
      <c r="D40" s="218"/>
      <c r="E40" s="213" t="s">
        <v>48</v>
      </c>
      <c r="F40" s="214"/>
      <c r="G40" s="74"/>
      <c r="H40" s="75"/>
    </row>
    <row r="41" spans="2:8" ht="30" customHeight="1" x14ac:dyDescent="0.25">
      <c r="B41" s="71"/>
      <c r="C41" s="217" t="s">
        <v>49</v>
      </c>
      <c r="D41" s="218"/>
      <c r="E41" s="213" t="s">
        <v>50</v>
      </c>
      <c r="F41" s="214"/>
      <c r="G41" s="74"/>
      <c r="H41" s="75"/>
    </row>
    <row r="42" spans="2:8" ht="35.25" customHeight="1" x14ac:dyDescent="0.25">
      <c r="B42" s="71"/>
      <c r="C42" s="217" t="s">
        <v>51</v>
      </c>
      <c r="D42" s="218"/>
      <c r="E42" s="213" t="s">
        <v>52</v>
      </c>
      <c r="F42" s="214"/>
      <c r="G42" s="74"/>
      <c r="H42" s="75"/>
    </row>
    <row r="43" spans="2:8" ht="31.5" customHeight="1" x14ac:dyDescent="0.25">
      <c r="B43" s="71"/>
      <c r="C43" s="217" t="s">
        <v>53</v>
      </c>
      <c r="D43" s="218"/>
      <c r="E43" s="213" t="s">
        <v>54</v>
      </c>
      <c r="F43" s="214"/>
      <c r="G43" s="74"/>
      <c r="H43" s="75"/>
    </row>
    <row r="44" spans="2:8" ht="35.25" customHeight="1" x14ac:dyDescent="0.25">
      <c r="B44" s="71"/>
      <c r="C44" s="217" t="s">
        <v>55</v>
      </c>
      <c r="D44" s="218"/>
      <c r="E44" s="213" t="s">
        <v>56</v>
      </c>
      <c r="F44" s="214"/>
      <c r="G44" s="74"/>
      <c r="H44" s="75"/>
    </row>
    <row r="45" spans="2:8" ht="59.25" customHeight="1" x14ac:dyDescent="0.25">
      <c r="B45" s="71"/>
      <c r="C45" s="217" t="s">
        <v>57</v>
      </c>
      <c r="D45" s="218"/>
      <c r="E45" s="213" t="s">
        <v>58</v>
      </c>
      <c r="F45" s="214"/>
      <c r="G45" s="74"/>
      <c r="H45" s="75"/>
    </row>
    <row r="46" spans="2:8" ht="29.25" customHeight="1" x14ac:dyDescent="0.25">
      <c r="B46" s="71"/>
      <c r="C46" s="217" t="s">
        <v>59</v>
      </c>
      <c r="D46" s="218"/>
      <c r="E46" s="213" t="s">
        <v>60</v>
      </c>
      <c r="F46" s="214"/>
      <c r="G46" s="74"/>
      <c r="H46" s="75"/>
    </row>
    <row r="47" spans="2:8" ht="82.5" customHeight="1" x14ac:dyDescent="0.25">
      <c r="B47" s="71"/>
      <c r="C47" s="217" t="s">
        <v>61</v>
      </c>
      <c r="D47" s="218"/>
      <c r="E47" s="213" t="s">
        <v>62</v>
      </c>
      <c r="F47" s="214"/>
      <c r="G47" s="74"/>
      <c r="H47" s="75"/>
    </row>
    <row r="48" spans="2:8" ht="46.5" customHeight="1" thickBot="1" x14ac:dyDescent="0.3">
      <c r="B48" s="71"/>
      <c r="C48" s="219"/>
      <c r="D48" s="220"/>
      <c r="E48" s="221"/>
      <c r="F48" s="222"/>
      <c r="G48" s="74"/>
      <c r="H48" s="75"/>
    </row>
    <row r="49" spans="2:8" ht="6.75" customHeight="1" thickTop="1" x14ac:dyDescent="0.25">
      <c r="B49" s="71"/>
      <c r="C49" s="72"/>
      <c r="D49" s="72"/>
      <c r="E49" s="73"/>
      <c r="F49" s="73"/>
      <c r="G49" s="74"/>
      <c r="H49" s="75"/>
    </row>
    <row r="50" spans="2:8" x14ac:dyDescent="0.25">
      <c r="B50" s="71"/>
      <c r="C50" s="95"/>
      <c r="D50" s="95"/>
      <c r="E50" s="95"/>
      <c r="F50" s="95"/>
      <c r="G50" s="74"/>
      <c r="H50" s="75"/>
    </row>
    <row r="51" spans="2:8" ht="21" customHeight="1" x14ac:dyDescent="0.25">
      <c r="B51" s="94" t="s">
        <v>63</v>
      </c>
      <c r="C51" s="95"/>
      <c r="D51" s="95"/>
      <c r="E51" s="95"/>
      <c r="F51" s="95"/>
      <c r="G51" s="95"/>
      <c r="H51" s="96"/>
    </row>
    <row r="52" spans="2:8" ht="20.25" customHeight="1" x14ac:dyDescent="0.25">
      <c r="B52" s="94" t="s">
        <v>64</v>
      </c>
      <c r="C52" s="95"/>
      <c r="D52" s="95"/>
      <c r="E52" s="95"/>
      <c r="F52" s="95"/>
      <c r="G52" s="95"/>
      <c r="H52" s="96"/>
    </row>
    <row r="53" spans="2:8" ht="20.25" customHeight="1" x14ac:dyDescent="0.25">
      <c r="B53" s="94" t="s">
        <v>65</v>
      </c>
      <c r="C53" s="95"/>
      <c r="D53" s="95"/>
      <c r="E53" s="95"/>
      <c r="F53" s="95"/>
      <c r="G53" s="95"/>
      <c r="H53" s="96"/>
    </row>
    <row r="54" spans="2:8" ht="20.25" customHeight="1" x14ac:dyDescent="0.25">
      <c r="B54" s="94" t="s">
        <v>66</v>
      </c>
      <c r="C54" s="95"/>
      <c r="D54" s="95"/>
      <c r="E54" s="95"/>
      <c r="F54" s="95"/>
      <c r="G54" s="95"/>
      <c r="H54" s="96"/>
    </row>
    <row r="55" spans="2:8" ht="14.65" customHeight="1" x14ac:dyDescent="0.25">
      <c r="B55" s="94" t="s">
        <v>67</v>
      </c>
      <c r="C55" s="95"/>
      <c r="D55" s="95"/>
      <c r="E55" s="95"/>
      <c r="F55" s="95"/>
      <c r="G55" s="95"/>
      <c r="H55" s="96"/>
    </row>
    <row r="56" spans="2:8" ht="15.75" thickBot="1" x14ac:dyDescent="0.3">
      <c r="B56" s="76"/>
      <c r="C56" s="77"/>
      <c r="D56" s="77"/>
      <c r="E56" s="77"/>
      <c r="F56" s="77"/>
      <c r="G56" s="77"/>
      <c r="H56" s="78"/>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184</v>
      </c>
    </row>
    <row r="4" spans="1:1" x14ac:dyDescent="0.2">
      <c r="A4" s="8" t="s">
        <v>193</v>
      </c>
    </row>
    <row r="5" spans="1:1" x14ac:dyDescent="0.2">
      <c r="A5" s="8" t="s">
        <v>354</v>
      </c>
    </row>
    <row r="6" spans="1:1" x14ac:dyDescent="0.2">
      <c r="A6" s="8" t="s">
        <v>356</v>
      </c>
    </row>
    <row r="7" spans="1:1" x14ac:dyDescent="0.2">
      <c r="A7" s="8" t="s">
        <v>185</v>
      </c>
    </row>
    <row r="8" spans="1:1" x14ac:dyDescent="0.2">
      <c r="A8" s="8" t="s">
        <v>186</v>
      </c>
    </row>
    <row r="9" spans="1:1" x14ac:dyDescent="0.2">
      <c r="A9" s="8" t="s">
        <v>362</v>
      </c>
    </row>
    <row r="10" spans="1:1" x14ac:dyDescent="0.2">
      <c r="A10" s="8" t="s">
        <v>187</v>
      </c>
    </row>
    <row r="11" spans="1:1" x14ac:dyDescent="0.2">
      <c r="A11" s="8" t="s">
        <v>365</v>
      </c>
    </row>
    <row r="12" spans="1:1" x14ac:dyDescent="0.2">
      <c r="A12" s="8" t="s">
        <v>383</v>
      </c>
    </row>
    <row r="13" spans="1:1" x14ac:dyDescent="0.2">
      <c r="A13" s="8" t="s">
        <v>384</v>
      </c>
    </row>
    <row r="14" spans="1:1" x14ac:dyDescent="0.2">
      <c r="A14" s="8" t="s">
        <v>385</v>
      </c>
    </row>
    <row r="16" spans="1:1" x14ac:dyDescent="0.2">
      <c r="A16" s="8" t="s">
        <v>386</v>
      </c>
    </row>
    <row r="17" spans="1:1" x14ac:dyDescent="0.2">
      <c r="A17" s="8" t="s">
        <v>371</v>
      </c>
    </row>
    <row r="18" spans="1:1" x14ac:dyDescent="0.2">
      <c r="A18" s="8" t="s">
        <v>372</v>
      </c>
    </row>
    <row r="20" spans="1:1" x14ac:dyDescent="0.2">
      <c r="A20" s="8" t="s">
        <v>375</v>
      </c>
    </row>
    <row r="21" spans="1:1" x14ac:dyDescent="0.2">
      <c r="A21" s="8" t="s">
        <v>376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43"/>
  <sheetViews>
    <sheetView showGridLines="0" topLeftCell="A26" zoomScale="91" zoomScaleNormal="91" workbookViewId="0">
      <selection activeCell="C8" sqref="C8:F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14" t="s">
        <v>68</v>
      </c>
    </row>
    <row r="2" spans="2:52" ht="18" customHeight="1" thickBot="1" x14ac:dyDescent="0.3">
      <c r="B2" s="319"/>
      <c r="C2" s="322" t="s">
        <v>69</v>
      </c>
      <c r="D2" s="323"/>
      <c r="E2" s="323"/>
      <c r="F2" s="115" t="s">
        <v>70</v>
      </c>
      <c r="AZ2" s="114" t="s">
        <v>71</v>
      </c>
    </row>
    <row r="3" spans="2:52" ht="18" customHeight="1" thickBot="1" x14ac:dyDescent="0.3">
      <c r="B3" s="320"/>
      <c r="C3" s="324"/>
      <c r="D3" s="325"/>
      <c r="E3" s="325"/>
      <c r="F3" s="113" t="s">
        <v>72</v>
      </c>
      <c r="AZ3" s="114" t="s">
        <v>73</v>
      </c>
    </row>
    <row r="4" spans="2:52" ht="18" customHeight="1" thickBot="1" x14ac:dyDescent="0.3">
      <c r="B4" s="320"/>
      <c r="C4" s="324"/>
      <c r="D4" s="325"/>
      <c r="E4" s="325"/>
      <c r="F4" s="113" t="s">
        <v>74</v>
      </c>
      <c r="AZ4" s="114" t="s">
        <v>75</v>
      </c>
    </row>
    <row r="5" spans="2:52" ht="18" customHeight="1" thickBot="1" x14ac:dyDescent="0.3">
      <c r="B5" s="321"/>
      <c r="C5" s="326"/>
      <c r="D5" s="327"/>
      <c r="E5" s="327"/>
      <c r="F5" s="113" t="s">
        <v>76</v>
      </c>
      <c r="AZ5" s="109"/>
    </row>
    <row r="6" spans="2:52" ht="18" customHeight="1" thickBot="1" x14ac:dyDescent="0.3">
      <c r="B6" s="112"/>
      <c r="C6" s="111"/>
      <c r="D6" s="111"/>
      <c r="E6" s="111"/>
      <c r="F6" s="110"/>
      <c r="AZ6" s="109"/>
    </row>
    <row r="7" spans="2:52" ht="33.4" customHeight="1" x14ac:dyDescent="0.25">
      <c r="B7" s="198" t="s">
        <v>77</v>
      </c>
      <c r="C7" s="331" t="s">
        <v>78</v>
      </c>
      <c r="D7" s="332"/>
      <c r="E7" s="332"/>
      <c r="F7" s="333"/>
      <c r="AZ7" s="109"/>
    </row>
    <row r="8" spans="2:52" ht="25.9" customHeight="1" thickBot="1" x14ac:dyDescent="0.3">
      <c r="B8" s="106" t="s">
        <v>79</v>
      </c>
      <c r="C8" s="334" t="s">
        <v>80</v>
      </c>
      <c r="D8" s="335"/>
      <c r="E8" s="335"/>
      <c r="F8" s="336"/>
      <c r="AZ8" s="109"/>
    </row>
    <row r="9" spans="2:52" ht="16.5" thickBot="1" x14ac:dyDescent="0.3">
      <c r="B9" s="337"/>
      <c r="C9" s="337"/>
      <c r="D9" s="337"/>
      <c r="E9" s="337"/>
      <c r="F9" s="337"/>
    </row>
    <row r="10" spans="2:52" ht="15.6" customHeight="1" thickBot="1" x14ac:dyDescent="0.3">
      <c r="B10" s="338" t="s">
        <v>69</v>
      </c>
      <c r="C10" s="339"/>
      <c r="D10" s="339"/>
      <c r="E10" s="339"/>
      <c r="F10" s="340"/>
    </row>
    <row r="11" spans="2:52" ht="32.25" thickBot="1" x14ac:dyDescent="0.3">
      <c r="B11" s="341" t="s">
        <v>81</v>
      </c>
      <c r="C11" s="342"/>
      <c r="D11" s="195" t="s">
        <v>82</v>
      </c>
      <c r="E11" s="195" t="s">
        <v>83</v>
      </c>
      <c r="F11" s="177" t="s">
        <v>84</v>
      </c>
    </row>
    <row r="12" spans="2:52" ht="188.25" customHeight="1" thickBot="1" x14ac:dyDescent="0.3">
      <c r="B12" s="343" t="s">
        <v>71</v>
      </c>
      <c r="C12" s="344"/>
      <c r="D12" s="178" t="s">
        <v>85</v>
      </c>
      <c r="E12" s="179" t="s">
        <v>86</v>
      </c>
      <c r="F12" s="180" t="s">
        <v>87</v>
      </c>
    </row>
    <row r="14" spans="2:52" ht="18" x14ac:dyDescent="0.25">
      <c r="B14" s="345" t="s">
        <v>88</v>
      </c>
      <c r="C14" s="345"/>
      <c r="D14" s="345"/>
      <c r="E14" s="345"/>
      <c r="F14" s="345"/>
    </row>
    <row r="15" spans="2:52" ht="15.75" x14ac:dyDescent="0.25">
      <c r="B15" s="108"/>
    </row>
    <row r="16" spans="2:52" ht="15.75" thickBot="1" x14ac:dyDescent="0.3">
      <c r="B16" s="107"/>
    </row>
    <row r="17" spans="2:6" ht="16.5" thickBot="1" x14ac:dyDescent="0.3">
      <c r="B17" s="328" t="s">
        <v>89</v>
      </c>
      <c r="C17" s="329"/>
      <c r="D17" s="330"/>
      <c r="E17" s="328" t="s">
        <v>90</v>
      </c>
      <c r="F17" s="330"/>
    </row>
    <row r="18" spans="2:6" ht="15" customHeight="1" x14ac:dyDescent="0.25">
      <c r="B18" s="305" t="s">
        <v>91</v>
      </c>
      <c r="C18" s="306"/>
      <c r="D18" s="307"/>
      <c r="E18" s="308" t="s">
        <v>92</v>
      </c>
      <c r="F18" s="309"/>
    </row>
    <row r="19" spans="2:6" ht="15" customHeight="1" x14ac:dyDescent="0.25">
      <c r="B19" s="310" t="s">
        <v>93</v>
      </c>
      <c r="C19" s="311"/>
      <c r="D19" s="312"/>
      <c r="E19" s="313" t="s">
        <v>94</v>
      </c>
      <c r="F19" s="274"/>
    </row>
    <row r="20" spans="2:6" ht="15" customHeight="1" x14ac:dyDescent="0.25">
      <c r="B20" s="302" t="s">
        <v>95</v>
      </c>
      <c r="C20" s="303"/>
      <c r="D20" s="304"/>
      <c r="E20" s="313" t="s">
        <v>96</v>
      </c>
      <c r="F20" s="274"/>
    </row>
    <row r="21" spans="2:6" ht="15" customHeight="1" x14ac:dyDescent="0.25">
      <c r="B21" s="302" t="s">
        <v>97</v>
      </c>
      <c r="C21" s="303"/>
      <c r="D21" s="304"/>
      <c r="E21" s="314" t="s">
        <v>98</v>
      </c>
      <c r="F21" s="315"/>
    </row>
    <row r="22" spans="2:6" ht="15" customHeight="1" x14ac:dyDescent="0.3">
      <c r="B22" s="316" t="s">
        <v>99</v>
      </c>
      <c r="C22" s="317"/>
      <c r="D22" s="318"/>
      <c r="E22" s="301" t="s">
        <v>100</v>
      </c>
      <c r="F22" s="263"/>
    </row>
    <row r="23" spans="2:6" ht="15" customHeight="1" x14ac:dyDescent="0.3">
      <c r="B23" s="316" t="s">
        <v>101</v>
      </c>
      <c r="C23" s="317"/>
      <c r="D23" s="318"/>
      <c r="E23" s="301" t="s">
        <v>102</v>
      </c>
      <c r="F23" s="263"/>
    </row>
    <row r="24" spans="2:6" ht="15" customHeight="1" x14ac:dyDescent="0.25">
      <c r="B24" s="289" t="s">
        <v>103</v>
      </c>
      <c r="C24" s="290"/>
      <c r="D24" s="291"/>
      <c r="E24" s="313" t="s">
        <v>104</v>
      </c>
      <c r="F24" s="274"/>
    </row>
    <row r="25" spans="2:6" ht="15.75" customHeight="1" x14ac:dyDescent="0.25">
      <c r="B25" s="261" t="s">
        <v>105</v>
      </c>
      <c r="C25" s="262"/>
      <c r="D25" s="263"/>
      <c r="E25" s="301" t="s">
        <v>106</v>
      </c>
      <c r="F25" s="263"/>
    </row>
    <row r="26" spans="2:6" ht="16.5" x14ac:dyDescent="0.25">
      <c r="B26" s="289" t="s">
        <v>107</v>
      </c>
      <c r="C26" s="290"/>
      <c r="D26" s="291"/>
      <c r="E26" s="314" t="s">
        <v>108</v>
      </c>
      <c r="F26" s="315"/>
    </row>
    <row r="27" spans="2:6" ht="15" customHeight="1" x14ac:dyDescent="0.25">
      <c r="B27" s="302" t="s">
        <v>109</v>
      </c>
      <c r="C27" s="303"/>
      <c r="D27" s="304"/>
      <c r="E27" s="292" t="s">
        <v>110</v>
      </c>
      <c r="F27" s="293"/>
    </row>
    <row r="28" spans="2:6" ht="15" customHeight="1" x14ac:dyDescent="0.25">
      <c r="B28" s="289" t="s">
        <v>111</v>
      </c>
      <c r="C28" s="290"/>
      <c r="D28" s="291"/>
      <c r="E28" s="292" t="s">
        <v>112</v>
      </c>
      <c r="F28" s="293"/>
    </row>
    <row r="29" spans="2:6" ht="15" customHeight="1" x14ac:dyDescent="0.25">
      <c r="B29" s="289" t="s">
        <v>113</v>
      </c>
      <c r="C29" s="290"/>
      <c r="D29" s="291"/>
      <c r="E29" s="292" t="s">
        <v>114</v>
      </c>
      <c r="F29" s="293"/>
    </row>
    <row r="30" spans="2:6" ht="15" customHeight="1" x14ac:dyDescent="0.25">
      <c r="B30" s="289" t="s">
        <v>115</v>
      </c>
      <c r="C30" s="290"/>
      <c r="D30" s="291"/>
      <c r="E30" s="294" t="s">
        <v>116</v>
      </c>
      <c r="F30" s="295"/>
    </row>
    <row r="31" spans="2:6" ht="15" customHeight="1" thickBot="1" x14ac:dyDescent="0.35">
      <c r="B31" s="296"/>
      <c r="C31" s="297"/>
      <c r="D31" s="298"/>
      <c r="E31" s="299" t="s">
        <v>117</v>
      </c>
      <c r="F31" s="300"/>
    </row>
    <row r="32" spans="2:6" ht="15" customHeight="1" thickBot="1" x14ac:dyDescent="0.3">
      <c r="B32" s="279" t="s">
        <v>118</v>
      </c>
      <c r="C32" s="280"/>
      <c r="D32" s="280"/>
      <c r="E32" s="281" t="s">
        <v>119</v>
      </c>
      <c r="F32" s="282"/>
    </row>
    <row r="33" spans="2:6" ht="15.75" customHeight="1" x14ac:dyDescent="0.3">
      <c r="B33" s="283" t="s">
        <v>120</v>
      </c>
      <c r="C33" s="284"/>
      <c r="D33" s="285"/>
      <c r="E33" s="286" t="s">
        <v>121</v>
      </c>
      <c r="F33" s="287"/>
    </row>
    <row r="34" spans="2:6" ht="16.5" x14ac:dyDescent="0.3">
      <c r="B34" s="277" t="s">
        <v>122</v>
      </c>
      <c r="C34" s="288"/>
      <c r="D34" s="278"/>
      <c r="E34" s="261" t="s">
        <v>123</v>
      </c>
      <c r="F34" s="263"/>
    </row>
    <row r="35" spans="2:6" ht="16.5" x14ac:dyDescent="0.25">
      <c r="B35" s="261" t="s">
        <v>124</v>
      </c>
      <c r="C35" s="262"/>
      <c r="D35" s="263"/>
      <c r="E35" s="272" t="s">
        <v>125</v>
      </c>
      <c r="F35" s="274"/>
    </row>
    <row r="36" spans="2:6" ht="16.5" x14ac:dyDescent="0.3">
      <c r="B36" s="272" t="s">
        <v>126</v>
      </c>
      <c r="C36" s="273"/>
      <c r="D36" s="274"/>
      <c r="E36" s="275" t="s">
        <v>127</v>
      </c>
      <c r="F36" s="276"/>
    </row>
    <row r="37" spans="2:6" ht="16.5" x14ac:dyDescent="0.3">
      <c r="B37" s="272" t="s">
        <v>128</v>
      </c>
      <c r="C37" s="273"/>
      <c r="D37" s="274"/>
      <c r="E37" s="277" t="s">
        <v>129</v>
      </c>
      <c r="F37" s="278"/>
    </row>
    <row r="38" spans="2:6" ht="16.5" x14ac:dyDescent="0.25">
      <c r="B38" s="272" t="s">
        <v>130</v>
      </c>
      <c r="C38" s="273"/>
      <c r="D38" s="274"/>
      <c r="E38" s="272" t="s">
        <v>131</v>
      </c>
      <c r="F38" s="274"/>
    </row>
    <row r="39" spans="2:6" ht="16.5" x14ac:dyDescent="0.25">
      <c r="B39" s="272" t="s">
        <v>132</v>
      </c>
      <c r="C39" s="273"/>
      <c r="D39" s="274"/>
      <c r="E39" s="261" t="s">
        <v>133</v>
      </c>
      <c r="F39" s="263"/>
    </row>
    <row r="40" spans="2:6" ht="16.5" x14ac:dyDescent="0.25">
      <c r="B40" s="272" t="s">
        <v>134</v>
      </c>
      <c r="C40" s="273"/>
      <c r="D40" s="274"/>
      <c r="E40" s="261" t="s">
        <v>135</v>
      </c>
      <c r="F40" s="263"/>
    </row>
    <row r="41" spans="2:6" ht="16.5" x14ac:dyDescent="0.25">
      <c r="B41" s="261" t="s">
        <v>136</v>
      </c>
      <c r="C41" s="262"/>
      <c r="D41" s="263"/>
      <c r="E41" s="261" t="s">
        <v>137</v>
      </c>
      <c r="F41" s="263"/>
    </row>
    <row r="42" spans="2:6" ht="16.5" x14ac:dyDescent="0.3">
      <c r="B42" s="264" t="s">
        <v>138</v>
      </c>
      <c r="C42" s="265"/>
      <c r="D42" s="266"/>
      <c r="E42" s="264" t="s">
        <v>139</v>
      </c>
      <c r="F42" s="266"/>
    </row>
    <row r="43" spans="2:6" ht="17.25" thickBot="1" x14ac:dyDescent="0.35">
      <c r="B43" s="267" t="s">
        <v>140</v>
      </c>
      <c r="C43" s="268"/>
      <c r="D43" s="269"/>
      <c r="E43" s="270" t="s">
        <v>141</v>
      </c>
      <c r="F43" s="271"/>
    </row>
  </sheetData>
  <mergeCells count="63">
    <mergeCell ref="B2:B5"/>
    <mergeCell ref="C2:E5"/>
    <mergeCell ref="B17:D17"/>
    <mergeCell ref="E26:F26"/>
    <mergeCell ref="C7:F7"/>
    <mergeCell ref="C8:F8"/>
    <mergeCell ref="B9:F9"/>
    <mergeCell ref="B10:F10"/>
    <mergeCell ref="B11:C11"/>
    <mergeCell ref="B12:C12"/>
    <mergeCell ref="B14:F14"/>
    <mergeCell ref="E17:F17"/>
    <mergeCell ref="B24:D24"/>
    <mergeCell ref="E24:F24"/>
    <mergeCell ref="B25:D25"/>
    <mergeCell ref="B21:D21"/>
    <mergeCell ref="E21:F21"/>
    <mergeCell ref="B22:D22"/>
    <mergeCell ref="E22:F22"/>
    <mergeCell ref="B23:D23"/>
    <mergeCell ref="E23:F23"/>
    <mergeCell ref="B18:D18"/>
    <mergeCell ref="E18:F18"/>
    <mergeCell ref="B19:D19"/>
    <mergeCell ref="E19:F19"/>
    <mergeCell ref="B20:D20"/>
    <mergeCell ref="E20:F20"/>
    <mergeCell ref="E25:F25"/>
    <mergeCell ref="B27:D27"/>
    <mergeCell ref="E27:F27"/>
    <mergeCell ref="B28:D28"/>
    <mergeCell ref="E28:F28"/>
    <mergeCell ref="B26:D26"/>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90"/>
  <sheetViews>
    <sheetView showGridLines="0" tabSelected="1" topLeftCell="AG14" zoomScale="80" zoomScaleNormal="80" workbookViewId="0">
      <selection activeCell="AJ83" sqref="AJ83"/>
    </sheetView>
  </sheetViews>
  <sheetFormatPr baseColWidth="10" defaultColWidth="11.42578125" defaultRowHeight="16.5" x14ac:dyDescent="0.3"/>
  <cols>
    <col min="1" max="1" width="5" style="91" customWidth="1"/>
    <col min="2" max="2" width="4" style="2" bestFit="1" customWidth="1" collapsed="1"/>
    <col min="3" max="3" width="14.28515625" style="2" customWidth="1" collapsed="1"/>
    <col min="4" max="4" width="13.28515625" style="2" customWidth="1" collapsed="1"/>
    <col min="5" max="5" width="17.855468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9.28515625" style="1" customWidth="1" collapsed="1"/>
    <col min="33" max="33" width="18.7109375" style="90"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1" customFormat="1" ht="14.25" x14ac:dyDescent="0.2">
      <c r="B1" s="80"/>
      <c r="C1" s="80"/>
      <c r="D1" s="80"/>
      <c r="E1" s="80"/>
      <c r="G1" s="82"/>
      <c r="AG1" s="88"/>
    </row>
    <row r="2" spans="1:69" s="81" customFormat="1" ht="14.25" x14ac:dyDescent="0.2">
      <c r="B2" s="80"/>
      <c r="C2" s="80"/>
      <c r="D2" s="80"/>
      <c r="E2" s="80"/>
      <c r="G2" s="82"/>
      <c r="AG2" s="88"/>
    </row>
    <row r="3" spans="1:69" s="81" customFormat="1" ht="15" thickBot="1" x14ac:dyDescent="0.25">
      <c r="B3" s="80"/>
      <c r="C3" s="80"/>
      <c r="D3" s="80"/>
      <c r="E3" s="80"/>
      <c r="G3" s="82"/>
      <c r="AG3" s="88"/>
    </row>
    <row r="4" spans="1:69" s="81" customFormat="1" ht="14.65" customHeight="1" x14ac:dyDescent="0.2">
      <c r="B4" s="383"/>
      <c r="C4" s="384"/>
      <c r="D4" s="384"/>
      <c r="E4" s="384"/>
      <c r="F4" s="377" t="s">
        <v>142</v>
      </c>
      <c r="G4" s="378"/>
      <c r="H4" s="378"/>
      <c r="I4" s="378"/>
      <c r="J4" s="378"/>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5" t="s">
        <v>143</v>
      </c>
      <c r="AK4" s="376"/>
    </row>
    <row r="5" spans="1:69" s="81" customFormat="1" ht="14.65" customHeight="1" x14ac:dyDescent="0.2">
      <c r="B5" s="385"/>
      <c r="C5" s="386"/>
      <c r="D5" s="386"/>
      <c r="E5" s="386"/>
      <c r="F5" s="379"/>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73" t="s">
        <v>144</v>
      </c>
      <c r="AK5" s="374"/>
    </row>
    <row r="6" spans="1:69" ht="16.5" customHeight="1" x14ac:dyDescent="0.3">
      <c r="B6" s="385"/>
      <c r="C6" s="386"/>
      <c r="D6" s="386"/>
      <c r="E6" s="386"/>
      <c r="F6" s="379"/>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73" t="s">
        <v>145</v>
      </c>
      <c r="AK6" s="37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87"/>
      <c r="C7" s="388"/>
      <c r="D7" s="388"/>
      <c r="E7" s="388"/>
      <c r="F7" s="381"/>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71" t="s">
        <v>146</v>
      </c>
      <c r="AK7" s="37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8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4" customFormat="1" ht="28.5" customHeight="1" x14ac:dyDescent="0.35">
      <c r="A9" s="116"/>
      <c r="B9" s="392" t="s">
        <v>77</v>
      </c>
      <c r="C9" s="393"/>
      <c r="D9" s="398" t="s">
        <v>78</v>
      </c>
      <c r="E9" s="399"/>
      <c r="F9" s="399"/>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400"/>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row>
    <row r="10" spans="1:69" s="84" customFormat="1" ht="28.5" customHeight="1" x14ac:dyDescent="0.35">
      <c r="A10" s="116"/>
      <c r="B10" s="394" t="s">
        <v>147</v>
      </c>
      <c r="C10" s="395"/>
      <c r="D10" s="401" t="s">
        <v>85</v>
      </c>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2"/>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row>
    <row r="11" spans="1:69" s="84" customFormat="1" ht="28.5" customHeight="1" thickBot="1" x14ac:dyDescent="0.4">
      <c r="B11" s="396" t="s">
        <v>79</v>
      </c>
      <c r="C11" s="397"/>
      <c r="D11" s="403" t="s">
        <v>80</v>
      </c>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4"/>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row>
    <row r="12" spans="1:69" s="84" customFormat="1" ht="15" customHeight="1" x14ac:dyDescent="0.35">
      <c r="B12" s="389"/>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1"/>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row>
    <row r="13" spans="1:69" ht="18" x14ac:dyDescent="0.3">
      <c r="B13" s="405" t="s">
        <v>148</v>
      </c>
      <c r="C13" s="406"/>
      <c r="D13" s="406"/>
      <c r="E13" s="406"/>
      <c r="F13" s="406"/>
      <c r="G13" s="406"/>
      <c r="H13" s="406"/>
      <c r="I13" s="406" t="s">
        <v>149</v>
      </c>
      <c r="J13" s="406"/>
      <c r="K13" s="406"/>
      <c r="L13" s="406"/>
      <c r="M13" s="406"/>
      <c r="N13" s="406"/>
      <c r="O13" s="406"/>
      <c r="P13" s="406" t="s">
        <v>150</v>
      </c>
      <c r="Q13" s="406"/>
      <c r="R13" s="406"/>
      <c r="S13" s="406"/>
      <c r="T13" s="406"/>
      <c r="U13" s="406"/>
      <c r="V13" s="406"/>
      <c r="W13" s="406"/>
      <c r="X13" s="406"/>
      <c r="Y13" s="406" t="s">
        <v>151</v>
      </c>
      <c r="Z13" s="406"/>
      <c r="AA13" s="406"/>
      <c r="AB13" s="406"/>
      <c r="AC13" s="406"/>
      <c r="AD13" s="406"/>
      <c r="AE13" s="406"/>
      <c r="AF13" s="406" t="s">
        <v>152</v>
      </c>
      <c r="AG13" s="406"/>
      <c r="AH13" s="406"/>
      <c r="AI13" s="406"/>
      <c r="AJ13" s="406"/>
      <c r="AK13" s="40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19" t="s">
        <v>153</v>
      </c>
      <c r="C14" s="420" t="s">
        <v>23</v>
      </c>
      <c r="D14" s="417" t="s">
        <v>25</v>
      </c>
      <c r="E14" s="417" t="s">
        <v>27</v>
      </c>
      <c r="F14" s="420" t="s">
        <v>29</v>
      </c>
      <c r="G14" s="417" t="s">
        <v>31</v>
      </c>
      <c r="H14" s="417" t="s">
        <v>154</v>
      </c>
      <c r="I14" s="417" t="s">
        <v>155</v>
      </c>
      <c r="J14" s="420" t="s">
        <v>156</v>
      </c>
      <c r="K14" s="417" t="s">
        <v>157</v>
      </c>
      <c r="L14" s="417" t="s">
        <v>158</v>
      </c>
      <c r="M14" s="417" t="s">
        <v>159</v>
      </c>
      <c r="N14" s="420" t="s">
        <v>156</v>
      </c>
      <c r="O14" s="417" t="s">
        <v>37</v>
      </c>
      <c r="P14" s="421" t="s">
        <v>160</v>
      </c>
      <c r="Q14" s="417" t="s">
        <v>39</v>
      </c>
      <c r="R14" s="417" t="s">
        <v>41</v>
      </c>
      <c r="S14" s="417" t="s">
        <v>161</v>
      </c>
      <c r="T14" s="417"/>
      <c r="U14" s="417"/>
      <c r="V14" s="417"/>
      <c r="W14" s="417"/>
      <c r="X14" s="417"/>
      <c r="Y14" s="421" t="s">
        <v>162</v>
      </c>
      <c r="Z14" s="421" t="s">
        <v>163</v>
      </c>
      <c r="AA14" s="421" t="s">
        <v>156</v>
      </c>
      <c r="AB14" s="421" t="s">
        <v>164</v>
      </c>
      <c r="AC14" s="421" t="s">
        <v>156</v>
      </c>
      <c r="AD14" s="421" t="s">
        <v>165</v>
      </c>
      <c r="AE14" s="421" t="s">
        <v>57</v>
      </c>
      <c r="AF14" s="417" t="s">
        <v>152</v>
      </c>
      <c r="AG14" s="417" t="s">
        <v>166</v>
      </c>
      <c r="AH14" s="417" t="s">
        <v>167</v>
      </c>
      <c r="AI14" s="417" t="s">
        <v>168</v>
      </c>
      <c r="AJ14" s="417" t="s">
        <v>169</v>
      </c>
      <c r="AK14" s="418" t="s">
        <v>61</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91"/>
      <c r="B15" s="419"/>
      <c r="C15" s="420"/>
      <c r="D15" s="417"/>
      <c r="E15" s="417"/>
      <c r="F15" s="420"/>
      <c r="G15" s="417"/>
      <c r="H15" s="417"/>
      <c r="I15" s="417"/>
      <c r="J15" s="420"/>
      <c r="K15" s="417"/>
      <c r="L15" s="417"/>
      <c r="M15" s="420"/>
      <c r="N15" s="420"/>
      <c r="O15" s="417"/>
      <c r="P15" s="421"/>
      <c r="Q15" s="417"/>
      <c r="R15" s="417"/>
      <c r="S15" s="92" t="s">
        <v>170</v>
      </c>
      <c r="T15" s="92" t="s">
        <v>171</v>
      </c>
      <c r="U15" s="92" t="s">
        <v>172</v>
      </c>
      <c r="V15" s="92" t="s">
        <v>173</v>
      </c>
      <c r="W15" s="92" t="s">
        <v>174</v>
      </c>
      <c r="X15" s="92" t="s">
        <v>175</v>
      </c>
      <c r="Y15" s="421"/>
      <c r="Z15" s="421"/>
      <c r="AA15" s="421"/>
      <c r="AB15" s="421"/>
      <c r="AC15" s="421"/>
      <c r="AD15" s="421"/>
      <c r="AE15" s="421"/>
      <c r="AF15" s="417"/>
      <c r="AG15" s="417"/>
      <c r="AH15" s="417"/>
      <c r="AI15" s="417"/>
      <c r="AJ15" s="417"/>
      <c r="AK15" s="418"/>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28.25" customHeight="1" x14ac:dyDescent="0.25">
      <c r="B16" s="422">
        <v>1</v>
      </c>
      <c r="C16" s="350" t="s">
        <v>176</v>
      </c>
      <c r="D16" s="350" t="s">
        <v>177</v>
      </c>
      <c r="E16" s="350" t="s">
        <v>178</v>
      </c>
      <c r="F16" s="350" t="s">
        <v>179</v>
      </c>
      <c r="G16" s="350" t="s">
        <v>180</v>
      </c>
      <c r="H16" s="351">
        <v>12</v>
      </c>
      <c r="I16" s="415" t="str">
        <f>IF(H16&lt;=0,"",IF(H16&lt;=2,"Muy Baja",IF(H16&lt;=24,"Baja",IF(H16&lt;=500,"Media",IF(H16&lt;=5000,"Alta","Muy Alta")))))</f>
        <v>Baja</v>
      </c>
      <c r="J16" s="353">
        <f>IF(I16="","",IF(I16="Muy Baja",0.2,IF(I16="Baja",0.4,IF(I16="Media",0.6,IF(I16="Alta",0.8,IF(I16="Muy Alta",1,))))))</f>
        <v>0.4</v>
      </c>
      <c r="K16" s="354" t="s">
        <v>181</v>
      </c>
      <c r="L16" s="353" t="str">
        <f>IF(NOT(ISERROR(MATCH(K16,'[1]Tabla Impacto'!$B$222:$B$224,0))),'[1]Tabla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415" t="str">
        <f>IF(OR(L16='[1]Tabla Impacto'!$C$12,L16='[1]Tabla Impacto'!$D$12),"Leve",IF(OR(L16='[1]Tabla Impacto'!$C$13,L16='[1]Tabla Impacto'!$D$13),"Menor",IF(OR(L16='[1]Tabla Impacto'!$C$14,L16='[1]Tabla Impacto'!$D$14),"Moderado",IF(OR(L16='[1]Tabla Impacto'!$C$15,L16='[1]Tabla Impacto'!$D$15),"Mayor",IF(OR(L16='[1]Tabla Impacto'!$C$16,L16='[1]Tabla Impacto'!$D$16),"Catastrófico","")))))</f>
        <v>Mayor</v>
      </c>
      <c r="N16" s="353">
        <f>IF(M16="","",IF(M16="Leve",0.2,IF(M16="Menor",0.4,IF(M16="Moderado",0.6,IF(M16="Mayor",0.8,IF(M16="Catastrófico",1,))))))</f>
        <v>0.8</v>
      </c>
      <c r="O16" s="355"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60">
        <v>1</v>
      </c>
      <c r="Q16" s="157" t="s">
        <v>182</v>
      </c>
      <c r="R16" s="161" t="s">
        <v>183</v>
      </c>
      <c r="S16" s="162" t="s">
        <v>184</v>
      </c>
      <c r="T16" s="162" t="s">
        <v>185</v>
      </c>
      <c r="U16" s="163">
        <v>0.4</v>
      </c>
      <c r="V16" s="162" t="s">
        <v>186</v>
      </c>
      <c r="W16" s="162" t="s">
        <v>187</v>
      </c>
      <c r="X16" s="162" t="s">
        <v>188</v>
      </c>
      <c r="Y16" s="164">
        <f>IFERROR(IF(R16="Probabilidad",(J16-(+J16*U16)),IF(R16="Impacto",J16,"")),"")</f>
        <v>0.24</v>
      </c>
      <c r="Z16" s="165" t="str">
        <f>IFERROR(IF(Y16="","",IF(Y16&lt;=0.2,"Muy Baja",IF(Y16&lt;=0.4,"Baja",IF(Y16&lt;=0.6,"Media",IF(Y16&lt;=0.8,"Alta","Muy Alta"))))),"")</f>
        <v>Baja</v>
      </c>
      <c r="AA16" s="163">
        <f>+Y16</f>
        <v>0.24</v>
      </c>
      <c r="AB16" s="165" t="str">
        <f>IFERROR(IF(AC16="","",IF(AC16&lt;=0.2,"Leve",IF(AC16&lt;=0.4,"Menor",IF(AC16&lt;=0.6,"Moderado",IF(AC16&lt;=0.8,"Mayor","Catastrófico"))))),"")</f>
        <v>Mayor</v>
      </c>
      <c r="AC16" s="163">
        <f>IFERROR(IF(R16="Impacto",(N16-(+N16*U16)),IF(R16="Probabilidad",N16,"")),"")</f>
        <v>0.8</v>
      </c>
      <c r="AD16" s="166"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162" t="s">
        <v>189</v>
      </c>
      <c r="AF16" s="196" t="s">
        <v>190</v>
      </c>
      <c r="AG16" s="196" t="s">
        <v>191</v>
      </c>
      <c r="AH16" s="158">
        <v>44408</v>
      </c>
      <c r="AI16" s="156" t="s">
        <v>389</v>
      </c>
      <c r="AJ16" s="204" t="s">
        <v>390</v>
      </c>
      <c r="AK16" s="206">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16.25" customHeight="1" x14ac:dyDescent="0.3">
      <c r="B17" s="422"/>
      <c r="C17" s="350"/>
      <c r="D17" s="350"/>
      <c r="E17" s="350"/>
      <c r="F17" s="350"/>
      <c r="G17" s="350"/>
      <c r="H17" s="351"/>
      <c r="I17" s="415"/>
      <c r="J17" s="353"/>
      <c r="K17" s="354"/>
      <c r="L17" s="353">
        <f>IF(NOT(ISERROR(MATCH(K17,_xlfn.ANCHORARRAY(F28),0))),J30&amp;"Por favor no seleccionar los criterios de impacto",K17)</f>
        <v>0</v>
      </c>
      <c r="M17" s="415"/>
      <c r="N17" s="353"/>
      <c r="O17" s="355"/>
      <c r="P17" s="160">
        <v>2</v>
      </c>
      <c r="Q17" s="157" t="s">
        <v>192</v>
      </c>
      <c r="R17" s="161" t="s">
        <v>183</v>
      </c>
      <c r="S17" s="162" t="s">
        <v>193</v>
      </c>
      <c r="T17" s="162" t="s">
        <v>185</v>
      </c>
      <c r="U17" s="163" t="s">
        <v>194</v>
      </c>
      <c r="V17" s="162" t="s">
        <v>186</v>
      </c>
      <c r="W17" s="162" t="s">
        <v>187</v>
      </c>
      <c r="X17" s="162" t="s">
        <v>188</v>
      </c>
      <c r="Y17" s="164">
        <f>IFERROR(IF(AND(R16="Probabilidad",R17="Probabilidad"),(AA16-(+AA16*U17)),IF(R17="Probabilidad",(J16-(+J16*U17)),IF(R17="Impacto",AA16,""))),"")</f>
        <v>0.16799999999999998</v>
      </c>
      <c r="Z17" s="165" t="str">
        <f t="shared" ref="Z17:Z21" si="0">IFERROR(IF(Y17="","",IF(Y17&lt;=0.2,"Muy Baja",IF(Y17&lt;=0.4,"Baja",IF(Y17&lt;=0.6,"Media",IF(Y17&lt;=0.8,"Alta","Muy Alta"))))),"")</f>
        <v>Muy Baja</v>
      </c>
      <c r="AA17" s="163">
        <f t="shared" ref="AA17:AA22" si="1">+Y17</f>
        <v>0.16799999999999998</v>
      </c>
      <c r="AB17" s="165" t="str">
        <f t="shared" ref="AB17:AB21" si="2">IFERROR(IF(AC17="","",IF(AC17&lt;=0.2,"Leve",IF(AC17&lt;=0.4,"Menor",IF(AC17&lt;=0.6,"Moderado",IF(AC17&lt;=0.8,"Mayor","Catastrófico"))))),"")</f>
        <v>Mayor</v>
      </c>
      <c r="AC17" s="163">
        <f>IFERROR(IF(AND(R16="Impacto",R17="Impacto"),(AC16-(+AC16*U17)),IF(R17="Impacto",($N$16-(+$N$16*U17)),IF(R17="Probabilidad",AC16,""))),"")</f>
        <v>0.8</v>
      </c>
      <c r="AD17" s="166" t="str">
        <f t="shared" ref="AD17:AD2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162" t="s">
        <v>189</v>
      </c>
      <c r="AF17" s="196" t="s">
        <v>195</v>
      </c>
      <c r="AG17" s="196" t="s">
        <v>196</v>
      </c>
      <c r="AH17" s="158">
        <v>44408</v>
      </c>
      <c r="AI17" s="156" t="s">
        <v>389</v>
      </c>
      <c r="AJ17" s="204" t="s">
        <v>391</v>
      </c>
      <c r="AK17" s="206" t="s">
        <v>392</v>
      </c>
      <c r="AL17" s="208"/>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422"/>
      <c r="C18" s="350"/>
      <c r="D18" s="350"/>
      <c r="E18" s="350"/>
      <c r="F18" s="350"/>
      <c r="G18" s="350"/>
      <c r="H18" s="351"/>
      <c r="I18" s="415"/>
      <c r="J18" s="353"/>
      <c r="K18" s="354"/>
      <c r="L18" s="353">
        <f>IF(NOT(ISERROR(MATCH(K18,_xlfn.ANCHORARRAY(F29),0))),J31&amp;"Por favor no seleccionar los criterios de impacto",K18)</f>
        <v>0</v>
      </c>
      <c r="M18" s="415"/>
      <c r="N18" s="353"/>
      <c r="O18" s="355"/>
      <c r="P18" s="160">
        <v>3</v>
      </c>
      <c r="Q18" s="167"/>
      <c r="R18" s="161" t="str">
        <f>IF(OR(S18="Preventivo",S18="Detectivo"),"Probabilidad",IF(S18="Correctivo","Impacto",""))</f>
        <v/>
      </c>
      <c r="S18" s="162"/>
      <c r="T18" s="162"/>
      <c r="U18" s="163" t="str">
        <f t="shared" ref="U18:U21" si="4">IF(AND(S18="Preventivo",T18="Automático"),"50%",IF(AND(S18="Preventivo",T18="Manual"),"40%",IF(AND(S18="Detectivo",T18="Automático"),"40%",IF(AND(S18="Detectivo",T18="Manual"),"30%",IF(AND(S18="Correctivo",T18="Automático"),"35%",IF(AND(S18="Correctivo",T18="Manual"),"25%",""))))))</f>
        <v/>
      </c>
      <c r="V18" s="162"/>
      <c r="W18" s="162"/>
      <c r="X18" s="162"/>
      <c r="Y18" s="164" t="str">
        <f>IFERROR(IF(AND(R17="Probabilidad",R18="Probabilidad"),(AA17-(+AA17*U18)),IF(AND(R17="Impacto",R18="Probabilidad"),(AA16-(+AA16*U18)),IF(R18="Impacto",AA17,""))),"")</f>
        <v/>
      </c>
      <c r="Z18" s="165" t="str">
        <f t="shared" si="0"/>
        <v/>
      </c>
      <c r="AA18" s="163" t="str">
        <f t="shared" si="1"/>
        <v/>
      </c>
      <c r="AB18" s="165" t="str">
        <f t="shared" si="2"/>
        <v/>
      </c>
      <c r="AC18" s="163" t="str">
        <f>IFERROR(IF(AND(R17="Impacto",R18="Impacto"),(AC17-(+AC17*U18)),IF(AND(R17="Probabilidad",R18="Impacto"),(AC16-(+AC16*U18)),IF(R18="Probabilidad",AC17,""))),"")</f>
        <v/>
      </c>
      <c r="AD18" s="166" t="str">
        <f t="shared" si="3"/>
        <v/>
      </c>
      <c r="AE18" s="162"/>
      <c r="AF18" s="196"/>
      <c r="AG18" s="196"/>
      <c r="AH18" s="158"/>
      <c r="AI18" s="207" t="s">
        <v>387</v>
      </c>
      <c r="AJ18" s="204"/>
      <c r="AK18" s="203"/>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422"/>
      <c r="C19" s="350"/>
      <c r="D19" s="350"/>
      <c r="E19" s="350"/>
      <c r="F19" s="350"/>
      <c r="G19" s="350"/>
      <c r="H19" s="351"/>
      <c r="I19" s="415"/>
      <c r="J19" s="353"/>
      <c r="K19" s="354"/>
      <c r="L19" s="353">
        <f>IF(NOT(ISERROR(MATCH(K19,_xlfn.ANCHORARRAY(F30),0))),J32&amp;"Por favor no seleccionar los criterios de impacto",K19)</f>
        <v>0</v>
      </c>
      <c r="M19" s="415"/>
      <c r="N19" s="353"/>
      <c r="O19" s="355"/>
      <c r="P19" s="160">
        <v>4</v>
      </c>
      <c r="Q19" s="157"/>
      <c r="R19" s="161" t="str">
        <f t="shared" ref="R19:R21" si="5">IF(OR(S19="Preventivo",S19="Detectivo"),"Probabilidad",IF(S19="Correctivo","Impacto",""))</f>
        <v/>
      </c>
      <c r="S19" s="162"/>
      <c r="T19" s="162"/>
      <c r="U19" s="163" t="str">
        <f t="shared" si="4"/>
        <v/>
      </c>
      <c r="V19" s="162"/>
      <c r="W19" s="162"/>
      <c r="X19" s="162"/>
      <c r="Y19" s="164" t="str">
        <f t="shared" ref="Y19:Y21" si="6">IFERROR(IF(AND(R18="Probabilidad",R19="Probabilidad"),(AA18-(+AA18*U19)),IF(AND(R18="Impacto",R19="Probabilidad"),(AA17-(+AA17*U19)),IF(R19="Impacto",AA18,""))),"")</f>
        <v/>
      </c>
      <c r="Z19" s="165" t="str">
        <f t="shared" si="0"/>
        <v/>
      </c>
      <c r="AA19" s="163" t="str">
        <f t="shared" si="1"/>
        <v/>
      </c>
      <c r="AB19" s="165" t="str">
        <f t="shared" si="2"/>
        <v/>
      </c>
      <c r="AC19" s="163" t="str">
        <f t="shared" ref="AC19:AC21" si="7">IFERROR(IF(AND(R18="Impacto",R19="Impacto"),(AC18-(+AC18*U19)),IF(AND(R18="Probabilidad",R19="Impacto"),(AC17-(+AC17*U19)),IF(R19="Probabilidad",AC18,""))),"")</f>
        <v/>
      </c>
      <c r="AD19" s="166"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62"/>
      <c r="AF19" s="196"/>
      <c r="AG19" s="196"/>
      <c r="AH19" s="158"/>
      <c r="AI19" s="207" t="s">
        <v>387</v>
      </c>
      <c r="AJ19" s="204"/>
      <c r="AK19" s="203"/>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422"/>
      <c r="C20" s="350"/>
      <c r="D20" s="350"/>
      <c r="E20" s="350"/>
      <c r="F20" s="350"/>
      <c r="G20" s="350"/>
      <c r="H20" s="351"/>
      <c r="I20" s="415"/>
      <c r="J20" s="353"/>
      <c r="K20" s="354"/>
      <c r="L20" s="353">
        <f>IF(NOT(ISERROR(MATCH(K20,_xlfn.ANCHORARRAY(F31),0))),J33&amp;"Por favor no seleccionar los criterios de impacto",K20)</f>
        <v>0</v>
      </c>
      <c r="M20" s="415"/>
      <c r="N20" s="353"/>
      <c r="O20" s="355"/>
      <c r="P20" s="160">
        <v>5</v>
      </c>
      <c r="Q20" s="157"/>
      <c r="R20" s="161" t="str">
        <f t="shared" si="5"/>
        <v/>
      </c>
      <c r="S20" s="162"/>
      <c r="T20" s="162"/>
      <c r="U20" s="163" t="str">
        <f t="shared" si="4"/>
        <v/>
      </c>
      <c r="V20" s="162"/>
      <c r="W20" s="162"/>
      <c r="X20" s="162"/>
      <c r="Y20" s="164" t="str">
        <f t="shared" si="6"/>
        <v/>
      </c>
      <c r="Z20" s="165" t="str">
        <f t="shared" si="0"/>
        <v/>
      </c>
      <c r="AA20" s="163" t="str">
        <f t="shared" si="1"/>
        <v/>
      </c>
      <c r="AB20" s="165" t="str">
        <f t="shared" si="2"/>
        <v/>
      </c>
      <c r="AC20" s="163" t="str">
        <f t="shared" si="7"/>
        <v/>
      </c>
      <c r="AD20" s="166" t="str">
        <f t="shared" si="3"/>
        <v/>
      </c>
      <c r="AE20" s="162"/>
      <c r="AF20" s="196"/>
      <c r="AG20" s="196"/>
      <c r="AH20" s="158"/>
      <c r="AI20" s="207" t="s">
        <v>387</v>
      </c>
      <c r="AJ20" s="204"/>
      <c r="AK20" s="203"/>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422"/>
      <c r="C21" s="350"/>
      <c r="D21" s="350"/>
      <c r="E21" s="350"/>
      <c r="F21" s="350"/>
      <c r="G21" s="350"/>
      <c r="H21" s="351"/>
      <c r="I21" s="415"/>
      <c r="J21" s="353"/>
      <c r="K21" s="354"/>
      <c r="L21" s="353">
        <f>IF(NOT(ISERROR(MATCH(K21,_xlfn.ANCHORARRAY(F32),0))),J34&amp;"Por favor no seleccionar los criterios de impacto",K21)</f>
        <v>0</v>
      </c>
      <c r="M21" s="415"/>
      <c r="N21" s="353"/>
      <c r="O21" s="355"/>
      <c r="P21" s="160">
        <v>6</v>
      </c>
      <c r="Q21" s="157"/>
      <c r="R21" s="161" t="str">
        <f t="shared" si="5"/>
        <v/>
      </c>
      <c r="S21" s="162"/>
      <c r="T21" s="162"/>
      <c r="U21" s="163" t="str">
        <f t="shared" si="4"/>
        <v/>
      </c>
      <c r="V21" s="162"/>
      <c r="W21" s="162"/>
      <c r="X21" s="162"/>
      <c r="Y21" s="164" t="str">
        <f t="shared" si="6"/>
        <v/>
      </c>
      <c r="Z21" s="165" t="str">
        <f t="shared" si="0"/>
        <v/>
      </c>
      <c r="AA21" s="163" t="str">
        <f t="shared" si="1"/>
        <v/>
      </c>
      <c r="AB21" s="165" t="str">
        <f t="shared" si="2"/>
        <v/>
      </c>
      <c r="AC21" s="163" t="str">
        <f t="shared" si="7"/>
        <v/>
      </c>
      <c r="AD21" s="166" t="str">
        <f t="shared" si="3"/>
        <v/>
      </c>
      <c r="AE21" s="162"/>
      <c r="AF21" s="196"/>
      <c r="AG21" s="196"/>
      <c r="AH21" s="158"/>
      <c r="AI21" s="207" t="s">
        <v>387</v>
      </c>
      <c r="AJ21" s="204"/>
      <c r="AK21" s="203"/>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03.5" customHeight="1" x14ac:dyDescent="0.3">
      <c r="B22" s="411">
        <v>2</v>
      </c>
      <c r="C22" s="350" t="s">
        <v>197</v>
      </c>
      <c r="D22" s="350" t="s">
        <v>177</v>
      </c>
      <c r="E22" s="350" t="s">
        <v>198</v>
      </c>
      <c r="F22" s="350" t="s">
        <v>199</v>
      </c>
      <c r="G22" s="350" t="s">
        <v>180</v>
      </c>
      <c r="H22" s="351">
        <v>150</v>
      </c>
      <c r="I22" s="415" t="str">
        <f>IF(H22&lt;=0,"",IF(H22&lt;=2,"Muy Baja",IF(H22&lt;=24,"Baja",IF(H22&lt;=500,"Media",IF(H22&lt;=5000,"Alta","Muy Alta")))))</f>
        <v>Media</v>
      </c>
      <c r="J22" s="353">
        <f>IF(I22="","",IF(I22="Muy Baja",0.2,IF(I22="Baja",0.4,IF(I22="Media",0.6,IF(I22="Alta",0.8,IF(I22="Muy Alta",1,))))))</f>
        <v>0.6</v>
      </c>
      <c r="K22" s="354" t="s">
        <v>200</v>
      </c>
      <c r="L22" s="353" t="str">
        <f>IF(NOT(ISERROR(MATCH(K22,'[1]Tabla Impacto'!$B$222:$B$224,0))),'[1]Tabla Impacto'!$F$224&amp;"Por favor no seleccionar los criterios de impacto(Afectación Económica o presupuestal y Pérdida Reputacional)",K22)</f>
        <v xml:space="preserve">     El riesgo afecta la imagen de la entidad con algunos usuarios de relevancia frente al logro de los objetivos</v>
      </c>
      <c r="M22" s="415" t="str">
        <f>IF(OR(L22='[1]Tabla Impacto'!$C$12,L22='[1]Tabla Impacto'!$D$12),"Leve",IF(OR(L22='[1]Tabla Impacto'!$C$13,L22='[1]Tabla Impacto'!$D$13),"Menor",IF(OR(L22='[1]Tabla Impacto'!$C$14,L22='[1]Tabla Impacto'!$D$14),"Moderado",IF(OR(L22='[1]Tabla Impacto'!$C$15,L22='[1]Tabla Impacto'!$D$15),"Mayor",IF(OR(L22='[1]Tabla Impacto'!$C$16,L22='[1]Tabla Impacto'!$D$16),"Catastrófico","")))))</f>
        <v>Moderado</v>
      </c>
      <c r="N22" s="353">
        <f>IF(M22="","",IF(M22="Leve",0.2,IF(M22="Menor",0.4,IF(M22="Moderado",0.6,IF(M22="Mayor",0.8,IF(M22="Catastrófico",1,))))))</f>
        <v>0.6</v>
      </c>
      <c r="O22" s="355"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68">
        <v>1</v>
      </c>
      <c r="Q22" s="157" t="s">
        <v>201</v>
      </c>
      <c r="R22" s="161" t="s">
        <v>183</v>
      </c>
      <c r="S22" s="162" t="s">
        <v>184</v>
      </c>
      <c r="T22" s="162" t="s">
        <v>185</v>
      </c>
      <c r="U22" s="163" t="s">
        <v>202</v>
      </c>
      <c r="V22" s="162" t="s">
        <v>186</v>
      </c>
      <c r="W22" s="162" t="s">
        <v>187</v>
      </c>
      <c r="X22" s="162" t="s">
        <v>188</v>
      </c>
      <c r="Y22" s="164">
        <f>IFERROR(IF(R22="Probabilidad",(J22-(+J22*U22)),IF(R22="Impacto",J22,"")),"")</f>
        <v>0.36</v>
      </c>
      <c r="Z22" s="165" t="str">
        <f>IFERROR(IF(Y22="","",IF(Y22&lt;=0.2,"Muy Baja",IF(Y22&lt;=0.4,"Baja",IF(Y22&lt;=0.6,"Media",IF(Y22&lt;=0.8,"Alta","Muy Alta"))))),"")</f>
        <v>Baja</v>
      </c>
      <c r="AA22" s="163">
        <f t="shared" si="1"/>
        <v>0.36</v>
      </c>
      <c r="AB22" s="165" t="str">
        <f>IFERROR(IF(AC22="","",IF(AC22&lt;=0.2,"Leve",IF(AC22&lt;=0.4,"Menor",IF(AC22&lt;=0.6,"Moderado",IF(AC22&lt;=0.8,"Mayor","Catastrófico"))))),"")</f>
        <v>Moderado</v>
      </c>
      <c r="AC22" s="163">
        <f>IFERROR(IF(R22="Impacto",(N22-(+N22*U22)),IF(R22="Probabilidad",N22,"")),"")</f>
        <v>0.6</v>
      </c>
      <c r="AD22" s="166"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162" t="s">
        <v>189</v>
      </c>
      <c r="AF22" s="196" t="s">
        <v>203</v>
      </c>
      <c r="AG22" s="196" t="s">
        <v>204</v>
      </c>
      <c r="AH22" s="158">
        <v>44408</v>
      </c>
      <c r="AI22" s="156" t="s">
        <v>389</v>
      </c>
      <c r="AJ22" s="204" t="s">
        <v>393</v>
      </c>
      <c r="AK22" s="206">
        <v>1</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5.25" customHeight="1" x14ac:dyDescent="0.3">
      <c r="B23" s="411"/>
      <c r="C23" s="350"/>
      <c r="D23" s="350"/>
      <c r="E23" s="350"/>
      <c r="F23" s="350"/>
      <c r="G23" s="350"/>
      <c r="H23" s="351"/>
      <c r="I23" s="415"/>
      <c r="J23" s="353"/>
      <c r="K23" s="354"/>
      <c r="L23" s="353">
        <f ca="1">IF(NOT(ISERROR(MATCH(K23,_xlfn.ANCHORARRAY(F34),0))),J36&amp;"Por favor no seleccionar los criterios de impacto",K23)</f>
        <v>0</v>
      </c>
      <c r="M23" s="415"/>
      <c r="N23" s="353"/>
      <c r="O23" s="355"/>
      <c r="P23" s="168">
        <v>2</v>
      </c>
      <c r="Q23" s="157" t="s">
        <v>205</v>
      </c>
      <c r="R23" s="161" t="str">
        <f>IF(OR(S23="Preventivo",S23="Detectivo"),"Probabilidad",IF(S23="Correctivo","Impacto",""))</f>
        <v>Probabilidad</v>
      </c>
      <c r="S23" s="162" t="s">
        <v>184</v>
      </c>
      <c r="T23" s="162" t="s">
        <v>185</v>
      </c>
      <c r="U23" s="163" t="str">
        <f t="shared" ref="U23:U27" si="8">IF(AND(S23="Preventivo",T23="Automático"),"50%",IF(AND(S23="Preventivo",T23="Manual"),"40%",IF(AND(S23="Detectivo",T23="Automático"),"40%",IF(AND(S23="Detectivo",T23="Manual"),"30%",IF(AND(S23="Correctivo",T23="Automático"),"35%",IF(AND(S23="Correctivo",T23="Manual"),"25%",""))))))</f>
        <v>40%</v>
      </c>
      <c r="V23" s="162" t="s">
        <v>186</v>
      </c>
      <c r="W23" s="162" t="s">
        <v>187</v>
      </c>
      <c r="X23" s="162" t="s">
        <v>188</v>
      </c>
      <c r="Y23" s="164">
        <f>IFERROR(IF(AND(R22="Probabilidad",R23="Probabilidad"),(AA22-(+AA22*U23)),IF(R23="Probabilidad",(J22-(+J22*U23)),IF(R23="Impacto",AA22,""))),"")</f>
        <v>0.216</v>
      </c>
      <c r="Z23" s="169" t="str">
        <f t="shared" ref="Z23:Z87" si="9">IFERROR(IF(Y23="","",IF(Y23&lt;=0.2,"Muy Baja",IF(Y23&lt;=0.4,"Baja",IF(Y23&lt;=0.6,"Media",IF(Y23&lt;=0.8,"Alta","Muy Alta"))))),"")</f>
        <v>Baja</v>
      </c>
      <c r="AA23" s="163">
        <f t="shared" ref="AA23:AA29" si="10">+Y23</f>
        <v>0.216</v>
      </c>
      <c r="AB23" s="169" t="str">
        <f t="shared" ref="AB23:AB87" si="11">IFERROR(IF(AC23="","",IF(AC23&lt;=0.2,"Leve",IF(AC23&lt;=0.4,"Menor",IF(AC23&lt;=0.6,"Moderado",IF(AC23&lt;=0.8,"Mayor","Catastrófico"))))),"")</f>
        <v>Mayor</v>
      </c>
      <c r="AC23" s="163">
        <f>IFERROR(IF(AND(R22="Impacto",R23="Impacto"),(AC16-(+AC16*U23)),IF(R23="Impacto",($N$22-(+$N$22*U23)),IF(R23="Probabilidad",AC16,""))),"")</f>
        <v>0.8</v>
      </c>
      <c r="AD23" s="166" t="str">
        <f t="shared" ref="AD23" si="12">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162" t="s">
        <v>189</v>
      </c>
      <c r="AF23" s="196" t="s">
        <v>206</v>
      </c>
      <c r="AG23" s="196" t="s">
        <v>204</v>
      </c>
      <c r="AH23" s="158">
        <v>44408</v>
      </c>
      <c r="AI23" s="156" t="s">
        <v>389</v>
      </c>
      <c r="AJ23" s="204" t="s">
        <v>394</v>
      </c>
      <c r="AK23" s="206">
        <v>0.9</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85.5" customHeight="1" x14ac:dyDescent="0.3">
      <c r="B24" s="411"/>
      <c r="C24" s="350"/>
      <c r="D24" s="350"/>
      <c r="E24" s="350"/>
      <c r="F24" s="350"/>
      <c r="G24" s="350"/>
      <c r="H24" s="351"/>
      <c r="I24" s="415"/>
      <c r="J24" s="353"/>
      <c r="K24" s="354"/>
      <c r="L24" s="353">
        <f>IF(NOT(ISERROR(MATCH(K24,_xlfn.ANCHORARRAY(F35),0))),J37&amp;"Por favor no seleccionar los criterios de impacto",K24)</f>
        <v>0</v>
      </c>
      <c r="M24" s="415"/>
      <c r="N24" s="353"/>
      <c r="O24" s="355"/>
      <c r="P24" s="168">
        <v>3</v>
      </c>
      <c r="Q24" s="157" t="s">
        <v>207</v>
      </c>
      <c r="R24" s="170" t="s">
        <v>183</v>
      </c>
      <c r="S24" s="171" t="s">
        <v>193</v>
      </c>
      <c r="T24" s="171" t="s">
        <v>185</v>
      </c>
      <c r="U24" s="172" t="s">
        <v>194</v>
      </c>
      <c r="V24" s="171" t="s">
        <v>186</v>
      </c>
      <c r="W24" s="171" t="s">
        <v>187</v>
      </c>
      <c r="X24" s="171" t="s">
        <v>188</v>
      </c>
      <c r="Y24" s="164">
        <f>IFERROR(IF(AND(R22="Probabilidad",R24="Probabilidad"),(AA22-(+AA22*U24)),IF(R24="Probabilidad",(J22-(+J22*U24)),IF(R24="Impacto",AA22,""))),"")</f>
        <v>0.252</v>
      </c>
      <c r="Z24" s="165" t="str">
        <f>IFERROR(IF(Y24="","",IF(Y24&lt;=0.2,"Muy Baja",IF(Y24&lt;=0.4,"Baja",IF(Y24&lt;=0.6,"Media",IF(Y24&lt;=0.8,"Alta","Muy Alta"))))),"")</f>
        <v>Baja</v>
      </c>
      <c r="AA24" s="163">
        <f>+Y24</f>
        <v>0.252</v>
      </c>
      <c r="AB24" s="165" t="str">
        <f>IFERROR(IF(AC24="","",IF(AC24&lt;=0.2,"Leve",IF(AC24&lt;=0.4,"Menor",IF(AC24&lt;=0.6,"Moderado",IF(AC24&lt;=0.8,"Mayor","Catastrófico"))))),"")</f>
        <v>Mayor</v>
      </c>
      <c r="AC24" s="163">
        <f>IFERROR(IF(AND(R22="Impacto",R24="Impacto"),(AC16-(+AC16*U24)),IF(R24="Impacto",($N$22-(+$N$22*U24)),IF(R24="Probabilidad",AC16,""))),"")</f>
        <v>0.8</v>
      </c>
      <c r="AD24" s="166"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162" t="s">
        <v>189</v>
      </c>
      <c r="AF24" s="196" t="s">
        <v>208</v>
      </c>
      <c r="AG24" s="196" t="s">
        <v>209</v>
      </c>
      <c r="AH24" s="158">
        <v>44408</v>
      </c>
      <c r="AI24" s="156" t="s">
        <v>389</v>
      </c>
      <c r="AJ24" s="204" t="s">
        <v>395</v>
      </c>
      <c r="AK24" s="205" t="s">
        <v>396</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411"/>
      <c r="C25" s="350"/>
      <c r="D25" s="350"/>
      <c r="E25" s="350"/>
      <c r="F25" s="350"/>
      <c r="G25" s="350"/>
      <c r="H25" s="351"/>
      <c r="I25" s="415"/>
      <c r="J25" s="353"/>
      <c r="K25" s="354"/>
      <c r="L25" s="353">
        <f>IF(NOT(ISERROR(MATCH(K25,_xlfn.ANCHORARRAY(F36),0))),J38&amp;"Por favor no seleccionar los criterios de impacto",K25)</f>
        <v>0</v>
      </c>
      <c r="M25" s="415"/>
      <c r="N25" s="353"/>
      <c r="O25" s="355"/>
      <c r="P25" s="168">
        <v>4</v>
      </c>
      <c r="Q25" s="157"/>
      <c r="R25" s="161" t="str">
        <f t="shared" ref="R25:R27" si="13">IF(OR(S25="Preventivo",S25="Detectivo"),"Probabilidad",IF(S25="Correctivo","Impacto",""))</f>
        <v/>
      </c>
      <c r="S25" s="162"/>
      <c r="T25" s="162"/>
      <c r="U25" s="163" t="str">
        <f t="shared" si="8"/>
        <v/>
      </c>
      <c r="V25" s="162"/>
      <c r="W25" s="162"/>
      <c r="X25" s="162"/>
      <c r="Y25" s="164" t="str">
        <f t="shared" ref="Y25:Y27" si="14">IFERROR(IF(AND(R24="Probabilidad",R25="Probabilidad"),(AA24-(+AA24*U25)),IF(AND(R24="Impacto",R25="Probabilidad"),(AA23-(+AA23*U25)),IF(R25="Impacto",AA24,""))),"")</f>
        <v/>
      </c>
      <c r="Z25" s="169" t="str">
        <f t="shared" si="9"/>
        <v/>
      </c>
      <c r="AA25" s="163" t="str">
        <f t="shared" si="10"/>
        <v/>
      </c>
      <c r="AB25" s="169" t="str">
        <f t="shared" si="11"/>
        <v/>
      </c>
      <c r="AC25" s="163" t="str">
        <f t="shared" ref="AC25:AC27" si="15">IFERROR(IF(AND(R24="Impacto",R25="Impacto"),(AC24-(+AC24*U25)),IF(AND(R24="Probabilidad",R25="Impacto"),(AC23-(+AC23*U25)),IF(R25="Probabilidad",AC24,""))),"")</f>
        <v/>
      </c>
      <c r="AD25" s="166"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62"/>
      <c r="AF25" s="196"/>
      <c r="AG25" s="196"/>
      <c r="AH25" s="158"/>
      <c r="AI25" s="207" t="s">
        <v>387</v>
      </c>
      <c r="AJ25" s="204"/>
      <c r="AK25" s="203"/>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411"/>
      <c r="C26" s="350"/>
      <c r="D26" s="350"/>
      <c r="E26" s="350"/>
      <c r="F26" s="350"/>
      <c r="G26" s="350"/>
      <c r="H26" s="351"/>
      <c r="I26" s="415"/>
      <c r="J26" s="353"/>
      <c r="K26" s="354"/>
      <c r="L26" s="353">
        <f>IF(NOT(ISERROR(MATCH(K26,_xlfn.ANCHORARRAY(F37),0))),J39&amp;"Por favor no seleccionar los criterios de impacto",K26)</f>
        <v>0</v>
      </c>
      <c r="M26" s="415"/>
      <c r="N26" s="353"/>
      <c r="O26" s="355"/>
      <c r="P26" s="168">
        <v>5</v>
      </c>
      <c r="Q26" s="157"/>
      <c r="R26" s="161" t="str">
        <f t="shared" si="13"/>
        <v/>
      </c>
      <c r="S26" s="162"/>
      <c r="T26" s="162"/>
      <c r="U26" s="163" t="str">
        <f t="shared" si="8"/>
        <v/>
      </c>
      <c r="V26" s="162"/>
      <c r="W26" s="162"/>
      <c r="X26" s="162"/>
      <c r="Y26" s="164" t="str">
        <f t="shared" si="14"/>
        <v/>
      </c>
      <c r="Z26" s="169" t="str">
        <f t="shared" si="9"/>
        <v/>
      </c>
      <c r="AA26" s="163" t="str">
        <f t="shared" si="10"/>
        <v/>
      </c>
      <c r="AB26" s="169" t="str">
        <f t="shared" si="11"/>
        <v/>
      </c>
      <c r="AC26" s="163" t="str">
        <f t="shared" si="15"/>
        <v/>
      </c>
      <c r="AD26" s="166" t="str">
        <f t="shared" ref="AD26:AD27" si="16">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62"/>
      <c r="AF26" s="196"/>
      <c r="AG26" s="196"/>
      <c r="AH26" s="158"/>
      <c r="AI26" s="207" t="s">
        <v>387</v>
      </c>
      <c r="AJ26" s="204"/>
      <c r="AK26" s="203"/>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411"/>
      <c r="C27" s="350"/>
      <c r="D27" s="350"/>
      <c r="E27" s="350"/>
      <c r="F27" s="350"/>
      <c r="G27" s="350"/>
      <c r="H27" s="351"/>
      <c r="I27" s="415"/>
      <c r="J27" s="353"/>
      <c r="K27" s="354"/>
      <c r="L27" s="353">
        <f>IF(NOT(ISERROR(MATCH(K27,_xlfn.ANCHORARRAY(F38),0))),J40&amp;"Por favor no seleccionar los criterios de impacto",K27)</f>
        <v>0</v>
      </c>
      <c r="M27" s="415"/>
      <c r="N27" s="353"/>
      <c r="O27" s="355"/>
      <c r="P27" s="168">
        <v>6</v>
      </c>
      <c r="Q27" s="157"/>
      <c r="R27" s="161" t="str">
        <f t="shared" si="13"/>
        <v/>
      </c>
      <c r="S27" s="162"/>
      <c r="T27" s="162"/>
      <c r="U27" s="163" t="str">
        <f t="shared" si="8"/>
        <v/>
      </c>
      <c r="V27" s="162"/>
      <c r="W27" s="162"/>
      <c r="X27" s="162"/>
      <c r="Y27" s="164" t="str">
        <f t="shared" si="14"/>
        <v/>
      </c>
      <c r="Z27" s="169" t="str">
        <f t="shared" si="9"/>
        <v/>
      </c>
      <c r="AA27" s="163" t="str">
        <f t="shared" si="10"/>
        <v/>
      </c>
      <c r="AB27" s="169" t="str">
        <f t="shared" si="11"/>
        <v/>
      </c>
      <c r="AC27" s="163" t="str">
        <f t="shared" si="15"/>
        <v/>
      </c>
      <c r="AD27" s="166" t="str">
        <f t="shared" si="16"/>
        <v/>
      </c>
      <c r="AE27" s="162"/>
      <c r="AF27" s="196"/>
      <c r="AG27" s="196"/>
      <c r="AH27" s="158"/>
      <c r="AI27" s="207" t="s">
        <v>387</v>
      </c>
      <c r="AJ27" s="204"/>
      <c r="AK27" s="203"/>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10.25" customHeight="1" x14ac:dyDescent="0.3">
      <c r="B28" s="411">
        <v>3</v>
      </c>
      <c r="C28" s="350" t="s">
        <v>210</v>
      </c>
      <c r="D28" s="350" t="s">
        <v>211</v>
      </c>
      <c r="E28" s="350" t="s">
        <v>212</v>
      </c>
      <c r="F28" s="350" t="s">
        <v>213</v>
      </c>
      <c r="G28" s="350" t="s">
        <v>180</v>
      </c>
      <c r="H28" s="351">
        <v>327</v>
      </c>
      <c r="I28" s="415" t="str">
        <f>IF(H28&lt;=0,"",IF(H28&lt;=2,"Muy Baja",IF(H28&lt;=24,"Baja",IF(H28&lt;=500,"Media",IF(H28&lt;=5000,"Alta","Muy Alta")))))</f>
        <v>Media</v>
      </c>
      <c r="J28" s="353">
        <f>IF(I28="","",IF(I28="Muy Baja",0.2,IF(I28="Baja",0.4,IF(I28="Media",0.6,IF(I28="Alta",0.8,IF(I28="Muy Alta",1,))))))</f>
        <v>0.6</v>
      </c>
      <c r="K28" s="354" t="s">
        <v>214</v>
      </c>
      <c r="L28" s="353" t="str">
        <f>IF(NOT(ISERROR(MATCH(K28,'[1]Tabla Impacto'!$B$222:$B$224,0))),'[1]Tabla Impacto'!$F$224&amp;"Por favor no seleccionar los criterios de impacto(Afectación Económica o presupuestal y Pérdida Reputacional)",K28)</f>
        <v xml:space="preserve">     Entre 10 y 50 SMLMV </v>
      </c>
      <c r="M28" s="415" t="str">
        <f>IF(OR(L28='[1]Tabla Impacto'!$C$12,L28='[1]Tabla Impacto'!$D$12),"Leve",IF(OR(L28='[1]Tabla Impacto'!$C$13,L28='[1]Tabla Impacto'!$D$13),"Menor",IF(OR(L28='[1]Tabla Impacto'!$C$14,L28='[1]Tabla Impacto'!$D$14),"Moderado",IF(OR(L28='[1]Tabla Impacto'!$C$15,L28='[1]Tabla Impacto'!$D$15),"Mayor",IF(OR(L28='[1]Tabla Impacto'!$C$16,L28='[1]Tabla Impacto'!$D$16),"Catastrófico","")))))</f>
        <v>Menor</v>
      </c>
      <c r="N28" s="353">
        <f>IF(M28="","",IF(M28="Leve",0.2,IF(M28="Menor",0.4,IF(M28="Moderado",0.6,IF(M28="Mayor",0.8,IF(M28="Catastrófico",1,))))))</f>
        <v>0.4</v>
      </c>
      <c r="O28" s="355"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168">
        <v>1</v>
      </c>
      <c r="Q28" s="157" t="s">
        <v>215</v>
      </c>
      <c r="R28" s="161" t="s">
        <v>183</v>
      </c>
      <c r="S28" s="162" t="s">
        <v>184</v>
      </c>
      <c r="T28" s="162" t="s">
        <v>185</v>
      </c>
      <c r="U28" s="163" t="s">
        <v>202</v>
      </c>
      <c r="V28" s="162" t="s">
        <v>186</v>
      </c>
      <c r="W28" s="162" t="s">
        <v>187</v>
      </c>
      <c r="X28" s="162" t="s">
        <v>188</v>
      </c>
      <c r="Y28" s="164">
        <f>IFERROR(IF(R28="Probabilidad",(J28-(+J28*U28)),IF(R28="Impacto",J28,"")),"")</f>
        <v>0.36</v>
      </c>
      <c r="Z28" s="165" t="str">
        <f>IFERROR(IF(Y28="","",IF(Y28&lt;=0.2,"Muy Baja",IF(Y28&lt;=0.4,"Baja",IF(Y28&lt;=0.6,"Media",IF(Y28&lt;=0.8,"Alta","Muy Alta"))))),"")</f>
        <v>Baja</v>
      </c>
      <c r="AA28" s="163">
        <f t="shared" si="10"/>
        <v>0.36</v>
      </c>
      <c r="AB28" s="165" t="str">
        <f>IFERROR(IF(AC28="","",IF(AC28&lt;=0.2,"Leve",IF(AC28&lt;=0.4,"Menor",IF(AC28&lt;=0.6,"Moderado",IF(AC28&lt;=0.8,"Mayor","Catastrófico"))))),"")</f>
        <v>Menor</v>
      </c>
      <c r="AC28" s="163">
        <f>IFERROR(IF(R28="Impacto",(N28-(+N28*U28)),IF(R28="Probabilidad",N28,"")),"")</f>
        <v>0.4</v>
      </c>
      <c r="AD28" s="166"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162" t="s">
        <v>189</v>
      </c>
      <c r="AF28" s="196" t="s">
        <v>216</v>
      </c>
      <c r="AG28" s="196" t="s">
        <v>217</v>
      </c>
      <c r="AH28" s="158">
        <v>44408</v>
      </c>
      <c r="AI28" s="156" t="s">
        <v>389</v>
      </c>
      <c r="AJ28" s="204" t="s">
        <v>397</v>
      </c>
      <c r="AK28" s="205" t="s">
        <v>396</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95.25" customHeight="1" x14ac:dyDescent="0.3">
      <c r="B29" s="411"/>
      <c r="C29" s="350"/>
      <c r="D29" s="350"/>
      <c r="E29" s="350"/>
      <c r="F29" s="350"/>
      <c r="G29" s="350"/>
      <c r="H29" s="351"/>
      <c r="I29" s="415"/>
      <c r="J29" s="353"/>
      <c r="K29" s="354"/>
      <c r="L29" s="353">
        <f t="shared" ref="L29:L33" si="17">IF(NOT(ISERROR(MATCH(K29,_xlfn.ANCHORARRAY(F40),0))),J42&amp;"Por favor no seleccionar los criterios de impacto",K29)</f>
        <v>0</v>
      </c>
      <c r="M29" s="415"/>
      <c r="N29" s="353"/>
      <c r="O29" s="355"/>
      <c r="P29" s="168">
        <v>2</v>
      </c>
      <c r="Q29" s="157" t="s">
        <v>218</v>
      </c>
      <c r="R29" s="161" t="s">
        <v>183</v>
      </c>
      <c r="S29" s="162" t="s">
        <v>184</v>
      </c>
      <c r="T29" s="162" t="s">
        <v>185</v>
      </c>
      <c r="U29" s="163" t="s">
        <v>202</v>
      </c>
      <c r="V29" s="162" t="s">
        <v>186</v>
      </c>
      <c r="W29" s="162" t="s">
        <v>187</v>
      </c>
      <c r="X29" s="162" t="s">
        <v>188</v>
      </c>
      <c r="Y29" s="173">
        <f>IFERROR(IF(AND(R28="Probabilidad",R29="Probabilidad"),(AA28-(+AA28*U29)),IF(R29="Probabilidad",(J28-(+J28*U29)),IF(R29="Impacto",AA28,""))),"")</f>
        <v>0.216</v>
      </c>
      <c r="Z29" s="165" t="str">
        <f t="shared" ref="Z29" si="18">IFERROR(IF(Y29="","",IF(Y29&lt;=0.2,"Muy Baja",IF(Y29&lt;=0.4,"Baja",IF(Y29&lt;=0.6,"Media",IF(Y29&lt;=0.8,"Alta","Muy Alta"))))),"")</f>
        <v>Baja</v>
      </c>
      <c r="AA29" s="163">
        <f t="shared" si="10"/>
        <v>0.216</v>
      </c>
      <c r="AB29" s="165" t="str">
        <f t="shared" ref="AB29" si="19">IFERROR(IF(AC29="","",IF(AC29&lt;=0.2,"Leve",IF(AC29&lt;=0.4,"Menor",IF(AC29&lt;=0.6,"Moderado",IF(AC29&lt;=0.8,"Mayor","Catastrófico"))))),"")</f>
        <v>Moderado</v>
      </c>
      <c r="AC29" s="163">
        <f>IFERROR(IF(AND(R28="Impacto",R29="Impacto"),(AC22-(+AC22*U29)),IF(R29="Impacto",($N$28-(+$N$28*U29)),IF(R29="Probabilidad",AC22,""))),"")</f>
        <v>0.6</v>
      </c>
      <c r="AD29" s="166" t="str">
        <f t="shared" ref="AD29" si="20">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162" t="s">
        <v>189</v>
      </c>
      <c r="AF29" s="196" t="s">
        <v>219</v>
      </c>
      <c r="AG29" s="196" t="s">
        <v>217</v>
      </c>
      <c r="AH29" s="158">
        <v>44408</v>
      </c>
      <c r="AI29" s="156" t="s">
        <v>389</v>
      </c>
      <c r="AJ29" s="204" t="s">
        <v>398</v>
      </c>
      <c r="AK29" s="205" t="s">
        <v>392</v>
      </c>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411"/>
      <c r="C30" s="350"/>
      <c r="D30" s="350"/>
      <c r="E30" s="350"/>
      <c r="F30" s="350"/>
      <c r="G30" s="350"/>
      <c r="H30" s="351"/>
      <c r="I30" s="415"/>
      <c r="J30" s="353"/>
      <c r="K30" s="354"/>
      <c r="L30" s="353">
        <f t="shared" si="17"/>
        <v>0</v>
      </c>
      <c r="M30" s="415"/>
      <c r="N30" s="353"/>
      <c r="O30" s="355"/>
      <c r="P30" s="168">
        <v>3</v>
      </c>
      <c r="Q30" s="167"/>
      <c r="R30" s="161" t="str">
        <f>IF(OR(S30="Preventivo",S30="Detectivo"),"Probabilidad",IF(S30="Correctivo","Impacto",""))</f>
        <v/>
      </c>
      <c r="S30" s="162"/>
      <c r="T30" s="162"/>
      <c r="U30" s="163" t="str">
        <f t="shared" ref="U30:U33" si="21">IF(AND(S30="Preventivo",T30="Automático"),"50%",IF(AND(S30="Preventivo",T30="Manual"),"40%",IF(AND(S30="Detectivo",T30="Automático"),"40%",IF(AND(S30="Detectivo",T30="Manual"),"30%",IF(AND(S30="Correctivo",T30="Automático"),"35%",IF(AND(S30="Correctivo",T30="Manual"),"25%",""))))))</f>
        <v/>
      </c>
      <c r="V30" s="162"/>
      <c r="W30" s="162"/>
      <c r="X30" s="162"/>
      <c r="Y30" s="164" t="str">
        <f>IFERROR(IF(AND(R29="Probabilidad",R30="Probabilidad"),(AA29-(+AA29*U30)),IF(AND(R29="Impacto",R30="Probabilidad"),(AA28-(+AA28*U30)),IF(R30="Impacto",AA29,""))),"")</f>
        <v/>
      </c>
      <c r="Z30" s="169" t="str">
        <f t="shared" si="9"/>
        <v/>
      </c>
      <c r="AA30" s="163" t="str">
        <f t="shared" ref="AA30:AA53" si="22">+Y30</f>
        <v/>
      </c>
      <c r="AB30" s="169" t="str">
        <f t="shared" si="11"/>
        <v/>
      </c>
      <c r="AC30" s="163" t="str">
        <f>IFERROR(IF(AND(R29="Impacto",R30="Impacto"),(AC29-(+AC29*U30)),IF(AND(R29="Probabilidad",R30="Impacto"),(AC28-(+AC28*U30)),IF(R30="Probabilidad",AC29,""))),"")</f>
        <v/>
      </c>
      <c r="AD30" s="166" t="str">
        <f t="shared" ref="AD30" si="23">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162"/>
      <c r="AF30" s="196"/>
      <c r="AG30" s="196"/>
      <c r="AH30" s="158"/>
      <c r="AI30" s="207" t="s">
        <v>388</v>
      </c>
      <c r="AJ30" s="204"/>
      <c r="AK30" s="203"/>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411"/>
      <c r="C31" s="350"/>
      <c r="D31" s="350"/>
      <c r="E31" s="350"/>
      <c r="F31" s="350"/>
      <c r="G31" s="350"/>
      <c r="H31" s="351"/>
      <c r="I31" s="415"/>
      <c r="J31" s="353"/>
      <c r="K31" s="354"/>
      <c r="L31" s="353">
        <f t="shared" si="17"/>
        <v>0</v>
      </c>
      <c r="M31" s="415"/>
      <c r="N31" s="353"/>
      <c r="O31" s="355"/>
      <c r="P31" s="168">
        <v>4</v>
      </c>
      <c r="Q31" s="157"/>
      <c r="R31" s="161" t="str">
        <f t="shared" ref="R31:R33" si="24">IF(OR(S31="Preventivo",S31="Detectivo"),"Probabilidad",IF(S31="Correctivo","Impacto",""))</f>
        <v/>
      </c>
      <c r="S31" s="162"/>
      <c r="T31" s="162"/>
      <c r="U31" s="163" t="str">
        <f t="shared" si="21"/>
        <v/>
      </c>
      <c r="V31" s="162"/>
      <c r="W31" s="162"/>
      <c r="X31" s="162"/>
      <c r="Y31" s="164" t="str">
        <f t="shared" ref="Y31:Y33" si="25">IFERROR(IF(AND(R30="Probabilidad",R31="Probabilidad"),(AA30-(+AA30*U31)),IF(AND(R30="Impacto",R31="Probabilidad"),(AA29-(+AA29*U31)),IF(R31="Impacto",AA30,""))),"")</f>
        <v/>
      </c>
      <c r="Z31" s="169" t="str">
        <f t="shared" si="9"/>
        <v/>
      </c>
      <c r="AA31" s="163" t="str">
        <f t="shared" si="22"/>
        <v/>
      </c>
      <c r="AB31" s="169" t="str">
        <f t="shared" si="11"/>
        <v/>
      </c>
      <c r="AC31" s="163" t="str">
        <f t="shared" ref="AC31:AC33" si="26">IFERROR(IF(AND(R30="Impacto",R31="Impacto"),(AC30-(+AC30*U31)),IF(AND(R30="Probabilidad",R31="Impacto"),(AC29-(+AC29*U31)),IF(R31="Probabilidad",AC30,""))),"")</f>
        <v/>
      </c>
      <c r="AD31" s="166"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62"/>
      <c r="AF31" s="196"/>
      <c r="AG31" s="196"/>
      <c r="AH31" s="158"/>
      <c r="AI31" s="207" t="s">
        <v>388</v>
      </c>
      <c r="AJ31" s="204"/>
      <c r="AK31" s="203"/>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411"/>
      <c r="C32" s="350"/>
      <c r="D32" s="350"/>
      <c r="E32" s="350"/>
      <c r="F32" s="350"/>
      <c r="G32" s="350"/>
      <c r="H32" s="351"/>
      <c r="I32" s="415"/>
      <c r="J32" s="353"/>
      <c r="K32" s="354"/>
      <c r="L32" s="353">
        <f t="shared" si="17"/>
        <v>0</v>
      </c>
      <c r="M32" s="415"/>
      <c r="N32" s="353"/>
      <c r="O32" s="355"/>
      <c r="P32" s="168">
        <v>5</v>
      </c>
      <c r="Q32" s="157"/>
      <c r="R32" s="161" t="str">
        <f t="shared" si="24"/>
        <v/>
      </c>
      <c r="S32" s="162"/>
      <c r="T32" s="162"/>
      <c r="U32" s="163" t="str">
        <f t="shared" si="21"/>
        <v/>
      </c>
      <c r="V32" s="162"/>
      <c r="W32" s="162"/>
      <c r="X32" s="162"/>
      <c r="Y32" s="164" t="str">
        <f t="shared" si="25"/>
        <v/>
      </c>
      <c r="Z32" s="169" t="str">
        <f t="shared" si="9"/>
        <v/>
      </c>
      <c r="AA32" s="163" t="str">
        <f t="shared" si="22"/>
        <v/>
      </c>
      <c r="AB32" s="169" t="str">
        <f t="shared" si="11"/>
        <v/>
      </c>
      <c r="AC32" s="163" t="str">
        <f t="shared" si="26"/>
        <v/>
      </c>
      <c r="AD32" s="166" t="str">
        <f t="shared" ref="AD32:AD33" si="27">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62"/>
      <c r="AF32" s="196"/>
      <c r="AG32" s="196"/>
      <c r="AH32" s="158"/>
      <c r="AI32" s="207" t="s">
        <v>388</v>
      </c>
      <c r="AJ32" s="204"/>
      <c r="AK32" s="203"/>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411"/>
      <c r="C33" s="350"/>
      <c r="D33" s="350"/>
      <c r="E33" s="350"/>
      <c r="F33" s="350"/>
      <c r="G33" s="350"/>
      <c r="H33" s="351"/>
      <c r="I33" s="415"/>
      <c r="J33" s="353"/>
      <c r="K33" s="354"/>
      <c r="L33" s="353">
        <f t="shared" si="17"/>
        <v>0</v>
      </c>
      <c r="M33" s="415"/>
      <c r="N33" s="353"/>
      <c r="O33" s="355"/>
      <c r="P33" s="168">
        <v>6</v>
      </c>
      <c r="Q33" s="157"/>
      <c r="R33" s="161" t="str">
        <f t="shared" si="24"/>
        <v/>
      </c>
      <c r="S33" s="162"/>
      <c r="T33" s="162"/>
      <c r="U33" s="163" t="str">
        <f t="shared" si="21"/>
        <v/>
      </c>
      <c r="V33" s="162"/>
      <c r="W33" s="162"/>
      <c r="X33" s="162"/>
      <c r="Y33" s="164" t="str">
        <f t="shared" si="25"/>
        <v/>
      </c>
      <c r="Z33" s="169" t="str">
        <f t="shared" si="9"/>
        <v/>
      </c>
      <c r="AA33" s="163" t="str">
        <f t="shared" si="22"/>
        <v/>
      </c>
      <c r="AB33" s="169" t="str">
        <f t="shared" si="11"/>
        <v/>
      </c>
      <c r="AC33" s="163" t="str">
        <f t="shared" si="26"/>
        <v/>
      </c>
      <c r="AD33" s="166" t="str">
        <f t="shared" si="27"/>
        <v/>
      </c>
      <c r="AE33" s="162"/>
      <c r="AF33" s="196"/>
      <c r="AG33" s="196"/>
      <c r="AH33" s="158"/>
      <c r="AI33" s="207" t="s">
        <v>388</v>
      </c>
      <c r="AJ33" s="204"/>
      <c r="AK33" s="203"/>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6.75" customHeight="1" x14ac:dyDescent="0.3">
      <c r="B34" s="411">
        <v>4</v>
      </c>
      <c r="C34" s="350" t="s">
        <v>176</v>
      </c>
      <c r="D34" s="350" t="s">
        <v>211</v>
      </c>
      <c r="E34" s="350" t="s">
        <v>220</v>
      </c>
      <c r="F34" s="350" t="s">
        <v>221</v>
      </c>
      <c r="G34" s="350" t="s">
        <v>180</v>
      </c>
      <c r="H34" s="351">
        <v>5</v>
      </c>
      <c r="I34" s="415" t="str">
        <f>IF(H34&lt;=0,"",IF(H34&lt;=2,"Muy Baja",IF(H34&lt;=24,"Baja",IF(H34&lt;=500,"Media",IF(H34&lt;=5000,"Alta","Muy Alta")))))</f>
        <v>Baja</v>
      </c>
      <c r="J34" s="353">
        <f>IF(I34="","",IF(I34="Muy Baja",0.2,IF(I34="Baja",0.4,IF(I34="Media",0.6,IF(I34="Alta",0.8,IF(I34="Muy Alta",1,))))))</f>
        <v>0.4</v>
      </c>
      <c r="K34" s="354" t="s">
        <v>200</v>
      </c>
      <c r="L34" s="353" t="str">
        <f>IF(NOT(ISERROR(MATCH(K34,'[1]Tabla Impacto'!$B$222:$B$224,0))),'[1]Tabla Impacto'!$F$224&amp;"Por favor no seleccionar los criterios de impacto(Afectación Económica o presupuestal y Pérdida Reputacional)",K34)</f>
        <v xml:space="preserve">     El riesgo afecta la imagen de la entidad con algunos usuarios de relevancia frente al logro de los objetivos</v>
      </c>
      <c r="M34" s="415" t="str">
        <f>IF(OR(L34='[1]Tabla Impacto'!$C$12,L34='[1]Tabla Impacto'!$D$12),"Leve",IF(OR(L34='[1]Tabla Impacto'!$C$13,L34='[1]Tabla Impacto'!$D$13),"Menor",IF(OR(L34='[1]Tabla Impacto'!$C$14,L34='[1]Tabla Impacto'!$D$14),"Moderado",IF(OR(L34='[1]Tabla Impacto'!$C$15,L34='[1]Tabla Impacto'!$D$15),"Mayor",IF(OR(L34='[1]Tabla Impacto'!$C$16,L34='[1]Tabla Impacto'!$D$16),"Catastrófico","")))))</f>
        <v>Moderado</v>
      </c>
      <c r="N34" s="353">
        <f>IF(M34="","",IF(M34="Leve",0.2,IF(M34="Menor",0.4,IF(M34="Moderado",0.6,IF(M34="Mayor",0.8,IF(M34="Catastrófico",1,))))))</f>
        <v>0.6</v>
      </c>
      <c r="O34" s="355"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60">
        <v>1</v>
      </c>
      <c r="Q34" s="157" t="s">
        <v>222</v>
      </c>
      <c r="R34" s="161" t="s">
        <v>183</v>
      </c>
      <c r="S34" s="162" t="s">
        <v>184</v>
      </c>
      <c r="T34" s="162" t="s">
        <v>185</v>
      </c>
      <c r="U34" s="163" t="s">
        <v>202</v>
      </c>
      <c r="V34" s="162" t="s">
        <v>186</v>
      </c>
      <c r="W34" s="162" t="s">
        <v>187</v>
      </c>
      <c r="X34" s="162" t="s">
        <v>188</v>
      </c>
      <c r="Y34" s="164">
        <f>IFERROR(IF(R34="Probabilidad",(J34-(+J34*U34)),IF(R34="Impacto",J34,"")),"")</f>
        <v>0.24</v>
      </c>
      <c r="Z34" s="165" t="str">
        <f>IFERROR(IF(Y34="","",IF(Y34&lt;=0.2,"Muy Baja",IF(Y34&lt;=0.4,"Baja",IF(Y34&lt;=0.6,"Media",IF(Y34&lt;=0.8,"Alta","Muy Alta"))))),"")</f>
        <v>Baja</v>
      </c>
      <c r="AA34" s="163">
        <f t="shared" si="22"/>
        <v>0.24</v>
      </c>
      <c r="AB34" s="165" t="str">
        <f>IFERROR(IF(AC34="","",IF(AC34&lt;=0.2,"Leve",IF(AC34&lt;=0.4,"Menor",IF(AC34&lt;=0.6,"Moderado",IF(AC34&lt;=0.8,"Mayor","Catastrófico"))))),"")</f>
        <v>Moderado</v>
      </c>
      <c r="AC34" s="163">
        <f>IFERROR(IF(R34="Impacto",(N34-(+N34*U34)),IF(R34="Probabilidad",N34,"")),"")</f>
        <v>0.6</v>
      </c>
      <c r="AD34" s="166"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162" t="s">
        <v>189</v>
      </c>
      <c r="AF34" s="196" t="s">
        <v>223</v>
      </c>
      <c r="AG34" s="196" t="s">
        <v>224</v>
      </c>
      <c r="AH34" s="158">
        <v>44439</v>
      </c>
      <c r="AI34" s="156" t="s">
        <v>389</v>
      </c>
      <c r="AJ34" s="204" t="s">
        <v>399</v>
      </c>
      <c r="AK34" s="205" t="s">
        <v>392</v>
      </c>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411"/>
      <c r="C35" s="350"/>
      <c r="D35" s="350"/>
      <c r="E35" s="350"/>
      <c r="F35" s="350"/>
      <c r="G35" s="350"/>
      <c r="H35" s="351"/>
      <c r="I35" s="415"/>
      <c r="J35" s="353"/>
      <c r="K35" s="354"/>
      <c r="L35" s="353">
        <f t="shared" ref="L35:L39" ca="1" si="28">IF(NOT(ISERROR(MATCH(K35,_xlfn.ANCHORARRAY(F46),0))),J48&amp;"Por favor no seleccionar los criterios de impacto",K35)</f>
        <v>0</v>
      </c>
      <c r="M35" s="415"/>
      <c r="N35" s="353"/>
      <c r="O35" s="355"/>
      <c r="P35" s="160">
        <v>2</v>
      </c>
      <c r="Q35" s="157"/>
      <c r="R35" s="161" t="str">
        <f>IF(OR(S35="Preventivo",S35="Detectivo"),"Probabilidad",IF(S35="Correctivo","Impacto",""))</f>
        <v/>
      </c>
      <c r="S35" s="162"/>
      <c r="T35" s="162"/>
      <c r="U35" s="163" t="str">
        <f t="shared" ref="U35:U39" si="29">IF(AND(S35="Preventivo",T35="Automático"),"50%",IF(AND(S35="Preventivo",T35="Manual"),"40%",IF(AND(S35="Detectivo",T35="Automático"),"40%",IF(AND(S35="Detectivo",T35="Manual"),"30%",IF(AND(S35="Correctivo",T35="Automático"),"35%",IF(AND(S35="Correctivo",T35="Manual"),"25%",""))))))</f>
        <v/>
      </c>
      <c r="V35" s="162"/>
      <c r="W35" s="162"/>
      <c r="X35" s="162"/>
      <c r="Y35" s="164" t="str">
        <f>IFERROR(IF(AND(R34="Probabilidad",R35="Probabilidad"),(AA34-(+AA34*U35)),IF(R35="Probabilidad",(J34-(+J34*U35)),IF(R35="Impacto",AA34,""))),"")</f>
        <v/>
      </c>
      <c r="Z35" s="165" t="str">
        <f t="shared" ref="Z35:Z39" si="30">IFERROR(IF(Y35="","",IF(Y35&lt;=0.2,"Muy Baja",IF(Y35&lt;=0.4,"Baja",IF(Y35&lt;=0.6,"Media",IF(Y35&lt;=0.8,"Alta","Muy Alta"))))),"")</f>
        <v/>
      </c>
      <c r="AA35" s="163" t="str">
        <f t="shared" si="22"/>
        <v/>
      </c>
      <c r="AB35" s="165" t="str">
        <f t="shared" ref="AB35:AB39" si="31">IFERROR(IF(AC35="","",IF(AC35&lt;=0.2,"Leve",IF(AC35&lt;=0.4,"Menor",IF(AC35&lt;=0.6,"Moderado",IF(AC35&lt;=0.8,"Mayor","Catastrófico"))))),"")</f>
        <v/>
      </c>
      <c r="AC35" s="163" t="str">
        <f>IFERROR(IF(AND(R34="Impacto",R35="Impacto"),(AC28-(+AC28*U35)),IF(R35="Impacto",($N$34-(+$N$34*U35)),IF(R35="Probabilidad",AC28,""))),"")</f>
        <v/>
      </c>
      <c r="AD35" s="166" t="str">
        <f t="shared" ref="AD35:AD36" si="32">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62"/>
      <c r="AF35" s="196"/>
      <c r="AG35" s="196"/>
      <c r="AH35" s="158"/>
      <c r="AI35" s="207" t="s">
        <v>387</v>
      </c>
      <c r="AJ35" s="204"/>
      <c r="AK35" s="203"/>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411"/>
      <c r="C36" s="350"/>
      <c r="D36" s="350"/>
      <c r="E36" s="350"/>
      <c r="F36" s="350"/>
      <c r="G36" s="350"/>
      <c r="H36" s="351"/>
      <c r="I36" s="415"/>
      <c r="J36" s="353"/>
      <c r="K36" s="354"/>
      <c r="L36" s="353">
        <f t="shared" si="28"/>
        <v>0</v>
      </c>
      <c r="M36" s="415"/>
      <c r="N36" s="353"/>
      <c r="O36" s="355"/>
      <c r="P36" s="160">
        <v>3</v>
      </c>
      <c r="Q36" s="167"/>
      <c r="R36" s="161" t="str">
        <f>IF(OR(S36="Preventivo",S36="Detectivo"),"Probabilidad",IF(S36="Correctivo","Impacto",""))</f>
        <v/>
      </c>
      <c r="S36" s="162"/>
      <c r="T36" s="162"/>
      <c r="U36" s="163" t="str">
        <f t="shared" si="29"/>
        <v/>
      </c>
      <c r="V36" s="162"/>
      <c r="W36" s="162"/>
      <c r="X36" s="162"/>
      <c r="Y36" s="164" t="str">
        <f>IFERROR(IF(AND(R35="Probabilidad",R36="Probabilidad"),(AA35-(+AA35*U36)),IF(AND(R35="Impacto",R36="Probabilidad"),(AA34-(+AA34*U36)),IF(R36="Impacto",AA35,""))),"")</f>
        <v/>
      </c>
      <c r="Z36" s="165" t="str">
        <f t="shared" si="30"/>
        <v/>
      </c>
      <c r="AA36" s="163" t="str">
        <f t="shared" si="22"/>
        <v/>
      </c>
      <c r="AB36" s="165" t="str">
        <f t="shared" si="31"/>
        <v/>
      </c>
      <c r="AC36" s="163" t="str">
        <f>IFERROR(IF(AND(R35="Impacto",R36="Impacto"),(AC35-(+AC35*U36)),IF(AND(R35="Probabilidad",R36="Impacto"),(AC34-(+AC34*U36)),IF(R36="Probabilidad",AC35,""))),"")</f>
        <v/>
      </c>
      <c r="AD36" s="166" t="str">
        <f t="shared" si="32"/>
        <v/>
      </c>
      <c r="AE36" s="162"/>
      <c r="AF36" s="196"/>
      <c r="AG36" s="196"/>
      <c r="AH36" s="158"/>
      <c r="AI36" s="207" t="s">
        <v>387</v>
      </c>
      <c r="AJ36" s="204"/>
      <c r="AK36" s="203"/>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411"/>
      <c r="C37" s="350"/>
      <c r="D37" s="350"/>
      <c r="E37" s="350"/>
      <c r="F37" s="350"/>
      <c r="G37" s="350"/>
      <c r="H37" s="351"/>
      <c r="I37" s="415"/>
      <c r="J37" s="353"/>
      <c r="K37" s="354"/>
      <c r="L37" s="353">
        <f t="shared" si="28"/>
        <v>0</v>
      </c>
      <c r="M37" s="415"/>
      <c r="N37" s="353"/>
      <c r="O37" s="355"/>
      <c r="P37" s="160">
        <v>4</v>
      </c>
      <c r="Q37" s="157"/>
      <c r="R37" s="161" t="str">
        <f t="shared" ref="R37:R39" si="33">IF(OR(S37="Preventivo",S37="Detectivo"),"Probabilidad",IF(S37="Correctivo","Impacto",""))</f>
        <v/>
      </c>
      <c r="S37" s="162"/>
      <c r="T37" s="162"/>
      <c r="U37" s="163" t="str">
        <f t="shared" si="29"/>
        <v/>
      </c>
      <c r="V37" s="162"/>
      <c r="W37" s="162"/>
      <c r="X37" s="162"/>
      <c r="Y37" s="164" t="str">
        <f t="shared" ref="Y37:Y39" si="34">IFERROR(IF(AND(R36="Probabilidad",R37="Probabilidad"),(AA36-(+AA36*U37)),IF(AND(R36="Impacto",R37="Probabilidad"),(AA35-(+AA35*U37)),IF(R37="Impacto",AA36,""))),"")</f>
        <v/>
      </c>
      <c r="Z37" s="165" t="str">
        <f t="shared" si="30"/>
        <v/>
      </c>
      <c r="AA37" s="163" t="str">
        <f t="shared" si="22"/>
        <v/>
      </c>
      <c r="AB37" s="165" t="str">
        <f t="shared" si="31"/>
        <v/>
      </c>
      <c r="AC37" s="163" t="str">
        <f t="shared" ref="AC37:AC39" si="35">IFERROR(IF(AND(R36="Impacto",R37="Impacto"),(AC36-(+AC36*U37)),IF(AND(R36="Probabilidad",R37="Impacto"),(AC35-(+AC35*U37)),IF(R37="Probabilidad",AC36,""))),"")</f>
        <v/>
      </c>
      <c r="AD37" s="166"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62"/>
      <c r="AF37" s="196"/>
      <c r="AG37" s="196"/>
      <c r="AH37" s="158"/>
      <c r="AI37" s="207" t="s">
        <v>387</v>
      </c>
      <c r="AJ37" s="204"/>
      <c r="AK37" s="203"/>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411"/>
      <c r="C38" s="350"/>
      <c r="D38" s="350"/>
      <c r="E38" s="350"/>
      <c r="F38" s="350"/>
      <c r="G38" s="350"/>
      <c r="H38" s="351"/>
      <c r="I38" s="415"/>
      <c r="J38" s="353"/>
      <c r="K38" s="354"/>
      <c r="L38" s="353">
        <f t="shared" si="28"/>
        <v>0</v>
      </c>
      <c r="M38" s="415"/>
      <c r="N38" s="353"/>
      <c r="O38" s="355"/>
      <c r="P38" s="160">
        <v>5</v>
      </c>
      <c r="Q38" s="157"/>
      <c r="R38" s="161" t="str">
        <f t="shared" si="33"/>
        <v/>
      </c>
      <c r="S38" s="162"/>
      <c r="T38" s="162"/>
      <c r="U38" s="163" t="str">
        <f t="shared" si="29"/>
        <v/>
      </c>
      <c r="V38" s="162"/>
      <c r="W38" s="162"/>
      <c r="X38" s="162"/>
      <c r="Y38" s="173" t="str">
        <f t="shared" si="34"/>
        <v/>
      </c>
      <c r="Z38" s="165" t="str">
        <f>IFERROR(IF(Y38="","",IF(Y38&lt;=0.2,"Muy Baja",IF(Y38&lt;=0.4,"Baja",IF(Y38&lt;=0.6,"Media",IF(Y38&lt;=0.8,"Alta","Muy Alta"))))),"")</f>
        <v/>
      </c>
      <c r="AA38" s="163" t="str">
        <f t="shared" si="22"/>
        <v/>
      </c>
      <c r="AB38" s="165" t="str">
        <f t="shared" si="31"/>
        <v/>
      </c>
      <c r="AC38" s="163" t="str">
        <f t="shared" si="35"/>
        <v/>
      </c>
      <c r="AD38" s="166" t="str">
        <f t="shared" ref="AD38:AD39" si="36">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62"/>
      <c r="AF38" s="196"/>
      <c r="AG38" s="196"/>
      <c r="AH38" s="158"/>
      <c r="AI38" s="207" t="s">
        <v>387</v>
      </c>
      <c r="AJ38" s="204"/>
      <c r="AK38" s="203"/>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411"/>
      <c r="C39" s="350"/>
      <c r="D39" s="350"/>
      <c r="E39" s="350"/>
      <c r="F39" s="350"/>
      <c r="G39" s="350"/>
      <c r="H39" s="351"/>
      <c r="I39" s="415"/>
      <c r="J39" s="353"/>
      <c r="K39" s="354"/>
      <c r="L39" s="353">
        <f t="shared" si="28"/>
        <v>0</v>
      </c>
      <c r="M39" s="415"/>
      <c r="N39" s="353"/>
      <c r="O39" s="355"/>
      <c r="P39" s="160">
        <v>6</v>
      </c>
      <c r="Q39" s="157"/>
      <c r="R39" s="161" t="str">
        <f t="shared" si="33"/>
        <v/>
      </c>
      <c r="S39" s="162"/>
      <c r="T39" s="162"/>
      <c r="U39" s="163" t="str">
        <f t="shared" si="29"/>
        <v/>
      </c>
      <c r="V39" s="162"/>
      <c r="W39" s="162"/>
      <c r="X39" s="162"/>
      <c r="Y39" s="164" t="str">
        <f t="shared" si="34"/>
        <v/>
      </c>
      <c r="Z39" s="165" t="str">
        <f t="shared" si="30"/>
        <v/>
      </c>
      <c r="AA39" s="163" t="str">
        <f t="shared" si="22"/>
        <v/>
      </c>
      <c r="AB39" s="165" t="str">
        <f t="shared" si="31"/>
        <v/>
      </c>
      <c r="AC39" s="163" t="str">
        <f t="shared" si="35"/>
        <v/>
      </c>
      <c r="AD39" s="166" t="str">
        <f t="shared" si="36"/>
        <v/>
      </c>
      <c r="AE39" s="162"/>
      <c r="AF39" s="196"/>
      <c r="AG39" s="196"/>
      <c r="AH39" s="158"/>
      <c r="AI39" s="207" t="s">
        <v>387</v>
      </c>
      <c r="AJ39" s="204"/>
      <c r="AK39" s="203"/>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66.5" customHeight="1" x14ac:dyDescent="0.3">
      <c r="B40" s="411">
        <v>5</v>
      </c>
      <c r="C40" s="350" t="s">
        <v>197</v>
      </c>
      <c r="D40" s="350" t="s">
        <v>225</v>
      </c>
      <c r="E40" s="350" t="s">
        <v>226</v>
      </c>
      <c r="F40" s="350" t="s">
        <v>227</v>
      </c>
      <c r="G40" s="350" t="s">
        <v>180</v>
      </c>
      <c r="H40" s="351">
        <v>2800</v>
      </c>
      <c r="I40" s="415" t="str">
        <f>IF(H40&lt;=0,"",IF(H40&lt;=2,"Muy Baja",IF(H40&lt;=24,"Baja",IF(H40&lt;=500,"Media",IF(H40&lt;=5000,"Alta","Muy Alta")))))</f>
        <v>Alta</v>
      </c>
      <c r="J40" s="353">
        <f>IF(I40="","",IF(I40="Muy Baja",0.2,IF(I40="Baja",0.4,IF(I40="Media",0.6,IF(I40="Alta",0.8,IF(I40="Muy Alta",1,))))))</f>
        <v>0.8</v>
      </c>
      <c r="K40" s="354" t="s">
        <v>200</v>
      </c>
      <c r="L40" s="353" t="str">
        <f>IF(NOT(ISERROR(MATCH(K40,'[1]Tabla Impacto'!$B$222:$B$224,0))),'[1]Tabla Impacto'!$F$224&amp;"Por favor no seleccionar los criterios de impacto(Afectación Económica o presupuestal y Pérdida Reputacional)",K40)</f>
        <v xml:space="preserve">     El riesgo afecta la imagen de la entidad con algunos usuarios de relevancia frente al logro de los objetivos</v>
      </c>
      <c r="M40" s="415" t="str">
        <f>IF(OR(L40='[1]Tabla Impacto'!$C$12,L40='[1]Tabla Impacto'!$D$12),"Leve",IF(OR(L40='[1]Tabla Impacto'!$C$13,L40='[1]Tabla Impacto'!$D$13),"Menor",IF(OR(L40='[1]Tabla Impacto'!$C$14,L40='[1]Tabla Impacto'!$D$14),"Moderado",IF(OR(L40='[1]Tabla Impacto'!$C$15,L40='[1]Tabla Impacto'!$D$15),"Mayor",IF(OR(L40='[1]Tabla Impacto'!$C$16,L40='[1]Tabla Impacto'!$D$16),"Catastrófico","")))))</f>
        <v>Moderado</v>
      </c>
      <c r="N40" s="353">
        <f>IF(M40="","",IF(M40="Leve",0.2,IF(M40="Menor",0.4,IF(M40="Moderado",0.6,IF(M40="Mayor",0.8,IF(M40="Catastrófico",1,))))))</f>
        <v>0.6</v>
      </c>
      <c r="O40" s="355"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Alto</v>
      </c>
      <c r="P40" s="160">
        <v>1</v>
      </c>
      <c r="Q40" s="157" t="s">
        <v>228</v>
      </c>
      <c r="R40" s="161" t="s">
        <v>183</v>
      </c>
      <c r="S40" s="162" t="s">
        <v>184</v>
      </c>
      <c r="T40" s="162" t="s">
        <v>185</v>
      </c>
      <c r="U40" s="163" t="s">
        <v>202</v>
      </c>
      <c r="V40" s="162" t="s">
        <v>186</v>
      </c>
      <c r="W40" s="162" t="s">
        <v>187</v>
      </c>
      <c r="X40" s="162" t="s">
        <v>188</v>
      </c>
      <c r="Y40" s="164">
        <f>IFERROR(IF(R40="Probabilidad",(J40-(+J40*U40)),IF(R40="Impacto",J40,"")),"")</f>
        <v>0.48</v>
      </c>
      <c r="Z40" s="165" t="str">
        <f>IFERROR(IF(Y40="","",IF(Y40&lt;=0.2,"Muy Baja",IF(Y40&lt;=0.4,"Baja",IF(Y40&lt;=0.6,"Media",IF(Y40&lt;=0.8,"Alta","Muy Alta"))))),"")</f>
        <v>Media</v>
      </c>
      <c r="AA40" s="163">
        <f t="shared" si="22"/>
        <v>0.48</v>
      </c>
      <c r="AB40" s="165" t="str">
        <f>IFERROR(IF(AC40="","",IF(AC40&lt;=0.2,"Leve",IF(AC40&lt;=0.4,"Menor",IF(AC40&lt;=0.6,"Moderado",IF(AC40&lt;=0.8,"Mayor","Catastrófico"))))),"")</f>
        <v>Moderado</v>
      </c>
      <c r="AC40" s="163">
        <f>IFERROR(IF(R40="Impacto",(N40-(+N40*U40)),IF(R40="Probabilidad",N40,"")),"")</f>
        <v>0.6</v>
      </c>
      <c r="AD40" s="166"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Moderado</v>
      </c>
      <c r="AE40" s="162" t="s">
        <v>189</v>
      </c>
      <c r="AF40" s="196" t="s">
        <v>229</v>
      </c>
      <c r="AG40" s="196" t="s">
        <v>230</v>
      </c>
      <c r="AH40" s="158">
        <v>44438</v>
      </c>
      <c r="AI40" s="156" t="s">
        <v>389</v>
      </c>
      <c r="AJ40" s="204" t="s">
        <v>400</v>
      </c>
      <c r="AK40" s="205" t="s">
        <v>392</v>
      </c>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411"/>
      <c r="C41" s="350"/>
      <c r="D41" s="350"/>
      <c r="E41" s="350"/>
      <c r="F41" s="350"/>
      <c r="G41" s="350"/>
      <c r="H41" s="351"/>
      <c r="I41" s="415"/>
      <c r="J41" s="353"/>
      <c r="K41" s="354"/>
      <c r="L41" s="353">
        <f t="shared" ref="L41:L45" si="37">IF(NOT(ISERROR(MATCH(K41,_xlfn.ANCHORARRAY(F52),0))),J54&amp;"Por favor no seleccionar los criterios de impacto",K41)</f>
        <v>0</v>
      </c>
      <c r="M41" s="415"/>
      <c r="N41" s="353"/>
      <c r="O41" s="355"/>
      <c r="P41" s="160">
        <v>2</v>
      </c>
      <c r="Q41" s="157"/>
      <c r="R41" s="161" t="str">
        <f>IF(OR(S41="Preventivo",S41="Detectivo"),"Probabilidad",IF(S41="Correctivo","Impacto",""))</f>
        <v/>
      </c>
      <c r="S41" s="162"/>
      <c r="T41" s="162"/>
      <c r="U41" s="163" t="str">
        <f t="shared" ref="U41:U45" si="38">IF(AND(S41="Preventivo",T41="Automático"),"50%",IF(AND(S41="Preventivo",T41="Manual"),"40%",IF(AND(S41="Detectivo",T41="Automático"),"40%",IF(AND(S41="Detectivo",T41="Manual"),"30%",IF(AND(S41="Correctivo",T41="Automático"),"35%",IF(AND(S41="Correctivo",T41="Manual"),"25%",""))))))</f>
        <v/>
      </c>
      <c r="V41" s="162"/>
      <c r="W41" s="162"/>
      <c r="X41" s="162"/>
      <c r="Y41" s="164" t="str">
        <f>IFERROR(IF(AND(R40="Probabilidad",R41="Probabilidad"),(AA40-(+AA40*U41)),IF(R41="Probabilidad",(J40-(+J40*U41)),IF(R41="Impacto",AA40,""))),"")</f>
        <v/>
      </c>
      <c r="Z41" s="165" t="str">
        <f t="shared" ref="Z41:Z45" si="39">IFERROR(IF(Y41="","",IF(Y41&lt;=0.2,"Muy Baja",IF(Y41&lt;=0.4,"Baja",IF(Y41&lt;=0.6,"Media",IF(Y41&lt;=0.8,"Alta","Muy Alta"))))),"")</f>
        <v/>
      </c>
      <c r="AA41" s="163" t="str">
        <f t="shared" si="22"/>
        <v/>
      </c>
      <c r="AB41" s="165" t="str">
        <f t="shared" ref="AB41:AB45" si="40">IFERROR(IF(AC41="","",IF(AC41&lt;=0.2,"Leve",IF(AC41&lt;=0.4,"Menor",IF(AC41&lt;=0.6,"Moderado",IF(AC41&lt;=0.8,"Mayor","Catastrófico"))))),"")</f>
        <v/>
      </c>
      <c r="AC41" s="163" t="str">
        <f>IFERROR(IF(AND(R40="Impacto",R41="Impacto"),(AC34-(+AC34*U41)),IF(R41="Impacto",($N$40-(+$N$40*U41)),IF(R41="Probabilidad",AC34,""))),"")</f>
        <v/>
      </c>
      <c r="AD41" s="166" t="str">
        <f t="shared" ref="AD41:AD42" si="41">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62"/>
      <c r="AF41" s="196"/>
      <c r="AG41" s="196"/>
      <c r="AH41" s="158"/>
      <c r="AI41" s="207" t="s">
        <v>387</v>
      </c>
      <c r="AJ41" s="204"/>
      <c r="AK41" s="203"/>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411"/>
      <c r="C42" s="350"/>
      <c r="D42" s="350"/>
      <c r="E42" s="350"/>
      <c r="F42" s="350"/>
      <c r="G42" s="350"/>
      <c r="H42" s="351"/>
      <c r="I42" s="415"/>
      <c r="J42" s="353"/>
      <c r="K42" s="354"/>
      <c r="L42" s="353">
        <f t="shared" si="37"/>
        <v>0</v>
      </c>
      <c r="M42" s="415"/>
      <c r="N42" s="353"/>
      <c r="O42" s="355"/>
      <c r="P42" s="160">
        <v>3</v>
      </c>
      <c r="Q42" s="167"/>
      <c r="R42" s="161" t="str">
        <f>IF(OR(S42="Preventivo",S42="Detectivo"),"Probabilidad",IF(S42="Correctivo","Impacto",""))</f>
        <v/>
      </c>
      <c r="S42" s="162"/>
      <c r="T42" s="162"/>
      <c r="U42" s="163" t="str">
        <f t="shared" si="38"/>
        <v/>
      </c>
      <c r="V42" s="162"/>
      <c r="W42" s="162"/>
      <c r="X42" s="162"/>
      <c r="Y42" s="164" t="str">
        <f>IFERROR(IF(AND(R41="Probabilidad",R42="Probabilidad"),(AA41-(+AA41*U42)),IF(AND(R41="Impacto",R42="Probabilidad"),(AA40-(+AA40*U42)),IF(R42="Impacto",AA41,""))),"")</f>
        <v/>
      </c>
      <c r="Z42" s="165" t="str">
        <f t="shared" si="39"/>
        <v/>
      </c>
      <c r="AA42" s="163" t="str">
        <f t="shared" si="22"/>
        <v/>
      </c>
      <c r="AB42" s="165" t="str">
        <f t="shared" si="40"/>
        <v/>
      </c>
      <c r="AC42" s="163" t="str">
        <f>IFERROR(IF(AND(R41="Impacto",R42="Impacto"),(AC41-(+AC41*U42)),IF(AND(R41="Probabilidad",R42="Impacto"),(AC40-(+AC40*U42)),IF(R42="Probabilidad",AC41,""))),"")</f>
        <v/>
      </c>
      <c r="AD42" s="166" t="str">
        <f t="shared" si="41"/>
        <v/>
      </c>
      <c r="AE42" s="162"/>
      <c r="AF42" s="196"/>
      <c r="AG42" s="196"/>
      <c r="AH42" s="158"/>
      <c r="AI42" s="207" t="s">
        <v>387</v>
      </c>
      <c r="AJ42" s="204"/>
      <c r="AK42" s="203"/>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411"/>
      <c r="C43" s="350"/>
      <c r="D43" s="350"/>
      <c r="E43" s="350"/>
      <c r="F43" s="350"/>
      <c r="G43" s="350"/>
      <c r="H43" s="351"/>
      <c r="I43" s="415"/>
      <c r="J43" s="353"/>
      <c r="K43" s="354"/>
      <c r="L43" s="353">
        <f t="shared" si="37"/>
        <v>0</v>
      </c>
      <c r="M43" s="415"/>
      <c r="N43" s="353"/>
      <c r="O43" s="355"/>
      <c r="P43" s="160">
        <v>4</v>
      </c>
      <c r="Q43" s="157"/>
      <c r="R43" s="161" t="str">
        <f t="shared" ref="R43:R45" si="42">IF(OR(S43="Preventivo",S43="Detectivo"),"Probabilidad",IF(S43="Correctivo","Impacto",""))</f>
        <v/>
      </c>
      <c r="S43" s="162"/>
      <c r="T43" s="162"/>
      <c r="U43" s="163" t="str">
        <f t="shared" si="38"/>
        <v/>
      </c>
      <c r="V43" s="162"/>
      <c r="W43" s="162"/>
      <c r="X43" s="162"/>
      <c r="Y43" s="164" t="str">
        <f t="shared" ref="Y43:Y45" si="43">IFERROR(IF(AND(R42="Probabilidad",R43="Probabilidad"),(AA42-(+AA42*U43)),IF(AND(R42="Impacto",R43="Probabilidad"),(AA41-(+AA41*U43)),IF(R43="Impacto",AA42,""))),"")</f>
        <v/>
      </c>
      <c r="Z43" s="165" t="str">
        <f t="shared" si="39"/>
        <v/>
      </c>
      <c r="AA43" s="163" t="str">
        <f t="shared" si="22"/>
        <v/>
      </c>
      <c r="AB43" s="165" t="str">
        <f t="shared" si="40"/>
        <v/>
      </c>
      <c r="AC43" s="163" t="str">
        <f t="shared" ref="AC43:AC45" si="44">IFERROR(IF(AND(R42="Impacto",R43="Impacto"),(AC42-(+AC42*U43)),IF(AND(R42="Probabilidad",R43="Impacto"),(AC41-(+AC41*U43)),IF(R43="Probabilidad",AC42,""))),"")</f>
        <v/>
      </c>
      <c r="AD43" s="166"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62"/>
      <c r="AF43" s="196"/>
      <c r="AG43" s="196"/>
      <c r="AH43" s="158"/>
      <c r="AI43" s="207" t="s">
        <v>387</v>
      </c>
      <c r="AJ43" s="204"/>
      <c r="AK43" s="203"/>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411"/>
      <c r="C44" s="350"/>
      <c r="D44" s="350"/>
      <c r="E44" s="350"/>
      <c r="F44" s="350"/>
      <c r="G44" s="350"/>
      <c r="H44" s="351"/>
      <c r="I44" s="415"/>
      <c r="J44" s="353"/>
      <c r="K44" s="354"/>
      <c r="L44" s="353">
        <f t="shared" si="37"/>
        <v>0</v>
      </c>
      <c r="M44" s="415"/>
      <c r="N44" s="353"/>
      <c r="O44" s="355"/>
      <c r="P44" s="160">
        <v>5</v>
      </c>
      <c r="Q44" s="157"/>
      <c r="R44" s="161" t="str">
        <f t="shared" si="42"/>
        <v/>
      </c>
      <c r="S44" s="162"/>
      <c r="T44" s="162"/>
      <c r="U44" s="163" t="str">
        <f t="shared" si="38"/>
        <v/>
      </c>
      <c r="V44" s="162"/>
      <c r="W44" s="162"/>
      <c r="X44" s="162"/>
      <c r="Y44" s="164" t="str">
        <f t="shared" si="43"/>
        <v/>
      </c>
      <c r="Z44" s="165" t="str">
        <f t="shared" si="39"/>
        <v/>
      </c>
      <c r="AA44" s="163" t="str">
        <f t="shared" si="22"/>
        <v/>
      </c>
      <c r="AB44" s="165" t="str">
        <f t="shared" si="40"/>
        <v/>
      </c>
      <c r="AC44" s="163" t="str">
        <f t="shared" si="44"/>
        <v/>
      </c>
      <c r="AD44" s="166" t="str">
        <f t="shared" ref="AD44:AD45" si="45">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62"/>
      <c r="AF44" s="196"/>
      <c r="AG44" s="196"/>
      <c r="AH44" s="158"/>
      <c r="AI44" s="207" t="s">
        <v>387</v>
      </c>
      <c r="AJ44" s="204"/>
      <c r="AK44" s="203"/>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411"/>
      <c r="C45" s="350"/>
      <c r="D45" s="350"/>
      <c r="E45" s="350"/>
      <c r="F45" s="350"/>
      <c r="G45" s="350"/>
      <c r="H45" s="351"/>
      <c r="I45" s="415"/>
      <c r="J45" s="353"/>
      <c r="K45" s="354"/>
      <c r="L45" s="353">
        <f t="shared" si="37"/>
        <v>0</v>
      </c>
      <c r="M45" s="415"/>
      <c r="N45" s="353"/>
      <c r="O45" s="355"/>
      <c r="P45" s="160">
        <v>6</v>
      </c>
      <c r="Q45" s="157"/>
      <c r="R45" s="161" t="str">
        <f t="shared" si="42"/>
        <v/>
      </c>
      <c r="S45" s="162"/>
      <c r="T45" s="162"/>
      <c r="U45" s="163" t="str">
        <f t="shared" si="38"/>
        <v/>
      </c>
      <c r="V45" s="162"/>
      <c r="W45" s="162"/>
      <c r="X45" s="162"/>
      <c r="Y45" s="164" t="str">
        <f t="shared" si="43"/>
        <v/>
      </c>
      <c r="Z45" s="165" t="str">
        <f t="shared" si="39"/>
        <v/>
      </c>
      <c r="AA45" s="163" t="str">
        <f t="shared" si="22"/>
        <v/>
      </c>
      <c r="AB45" s="165" t="str">
        <f t="shared" si="40"/>
        <v/>
      </c>
      <c r="AC45" s="163" t="str">
        <f t="shared" si="44"/>
        <v/>
      </c>
      <c r="AD45" s="166" t="str">
        <f t="shared" si="45"/>
        <v/>
      </c>
      <c r="AE45" s="162"/>
      <c r="AF45" s="196"/>
      <c r="AG45" s="196"/>
      <c r="AH45" s="158"/>
      <c r="AI45" s="207" t="s">
        <v>387</v>
      </c>
      <c r="AJ45" s="204"/>
      <c r="AK45" s="203"/>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93.5" customHeight="1" x14ac:dyDescent="0.3">
      <c r="B46" s="411">
        <v>6</v>
      </c>
      <c r="C46" s="350" t="s">
        <v>197</v>
      </c>
      <c r="D46" s="350" t="s">
        <v>231</v>
      </c>
      <c r="E46" s="350" t="s">
        <v>232</v>
      </c>
      <c r="F46" s="350" t="s">
        <v>233</v>
      </c>
      <c r="G46" s="350" t="s">
        <v>180</v>
      </c>
      <c r="H46" s="351">
        <v>200</v>
      </c>
      <c r="I46" s="415" t="str">
        <f>IF(H46&lt;=0,"",IF(H46&lt;=2,"Muy Baja",IF(H46&lt;=24,"Baja",IF(H46&lt;=500,"Media",IF(H46&lt;=5000,"Alta","Muy Alta")))))</f>
        <v>Media</v>
      </c>
      <c r="J46" s="353">
        <f>IF(I46="","",IF(I46="Muy Baja",0.2,IF(I46="Baja",0.4,IF(I46="Media",0.6,IF(I46="Alta",0.8,IF(I46="Muy Alta",1,))))))</f>
        <v>0.6</v>
      </c>
      <c r="K46" s="354" t="s">
        <v>200</v>
      </c>
      <c r="L46" s="353" t="str">
        <f>IF(NOT(ISERROR(MATCH(K46,'[1]Tabla Impacto'!$B$222:$B$224,0))),'[1]Tabla Impacto'!$F$224&amp;"Por favor no seleccionar los criterios de impacto(Afectación Económica o presupuestal y Pérdida Reputacional)",K46)</f>
        <v xml:space="preserve">     El riesgo afecta la imagen de la entidad con algunos usuarios de relevancia frente al logro de los objetivos</v>
      </c>
      <c r="M46" s="415" t="str">
        <f>IF(OR(L46='[1]Tabla Impacto'!$C$12,L46='[1]Tabla Impacto'!$D$12),"Leve",IF(OR(L46='[1]Tabla Impacto'!$C$13,L46='[1]Tabla Impacto'!$D$13),"Menor",IF(OR(L46='[1]Tabla Impacto'!$C$14,L46='[1]Tabla Impacto'!$D$14),"Moderado",IF(OR(L46='[1]Tabla Impacto'!$C$15,L46='[1]Tabla Impacto'!$D$15),"Mayor",IF(OR(L46='[1]Tabla Impacto'!$C$16,L46='[1]Tabla Impacto'!$D$16),"Catastrófico","")))))</f>
        <v>Moderado</v>
      </c>
      <c r="N46" s="353">
        <f>IF(M46="","",IF(M46="Leve",0.2,IF(M46="Menor",0.4,IF(M46="Moderado",0.6,IF(M46="Mayor",0.8,IF(M46="Catastrófico",1,))))))</f>
        <v>0.6</v>
      </c>
      <c r="O46" s="355"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Moderado</v>
      </c>
      <c r="P46" s="160">
        <v>1</v>
      </c>
      <c r="Q46" s="174" t="s">
        <v>234</v>
      </c>
      <c r="R46" s="161" t="str">
        <f>IF(OR(S46="Preventivo",S46="Detectivo"),"Probabilidad",IF(S46="Correctivo","Impacto",""))</f>
        <v>Probabilidad</v>
      </c>
      <c r="S46" s="162" t="s">
        <v>184</v>
      </c>
      <c r="T46" s="162" t="s">
        <v>185</v>
      </c>
      <c r="U46" s="163" t="str">
        <f>IF(AND(S46="Preventivo",T46="Automático"),"50%",IF(AND(S46="Preventivo",T46="Manual"),"40%",IF(AND(S46="Detectivo",T46="Automático"),"40%",IF(AND(S46="Detectivo",T46="Manual"),"30%",IF(AND(S46="Correctivo",T46="Automático"),"35%",IF(AND(S46="Correctivo",T46="Manual"),"25%",""))))))</f>
        <v>40%</v>
      </c>
      <c r="V46" s="162" t="s">
        <v>186</v>
      </c>
      <c r="W46" s="162" t="s">
        <v>187</v>
      </c>
      <c r="X46" s="162" t="s">
        <v>188</v>
      </c>
      <c r="Y46" s="164">
        <f>IFERROR(IF(R46="Probabilidad",(J46-(+J46*U46)),IF(R46="Impacto",J46,"")),"")</f>
        <v>0.36</v>
      </c>
      <c r="Z46" s="165" t="str">
        <f>IFERROR(IF(Y46="","",IF(Y46&lt;=0.2,"Muy Baja",IF(Y46&lt;=0.4,"Baja",IF(Y46&lt;=0.6,"Media",IF(Y46&lt;=0.8,"Alta","Muy Alta"))))),"")</f>
        <v>Baja</v>
      </c>
      <c r="AA46" s="163">
        <f t="shared" si="22"/>
        <v>0.36</v>
      </c>
      <c r="AB46" s="165" t="str">
        <f>IFERROR(IF(AC46="","",IF(AC46&lt;=0.2,"Leve",IF(AC46&lt;=0.4,"Menor",IF(AC46&lt;=0.6,"Moderado",IF(AC46&lt;=0.8,"Mayor","Catastrófico"))))),"")</f>
        <v>Moderado</v>
      </c>
      <c r="AC46" s="163">
        <f>IFERROR(IF(R46="Impacto",(N46-(+N46*U46)),IF(R46="Probabilidad",N46,"")),"")</f>
        <v>0.6</v>
      </c>
      <c r="AD46" s="166"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Moderado</v>
      </c>
      <c r="AE46" s="162" t="s">
        <v>189</v>
      </c>
      <c r="AF46" s="196" t="s">
        <v>235</v>
      </c>
      <c r="AG46" s="196" t="s">
        <v>236</v>
      </c>
      <c r="AH46" s="158">
        <v>44407</v>
      </c>
      <c r="AI46" s="156" t="s">
        <v>389</v>
      </c>
      <c r="AJ46" s="204" t="s">
        <v>401</v>
      </c>
      <c r="AK46" s="206">
        <v>1</v>
      </c>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411"/>
      <c r="C47" s="350"/>
      <c r="D47" s="350"/>
      <c r="E47" s="350"/>
      <c r="F47" s="350"/>
      <c r="G47" s="350"/>
      <c r="H47" s="351"/>
      <c r="I47" s="415"/>
      <c r="J47" s="353"/>
      <c r="K47" s="354"/>
      <c r="L47" s="353">
        <f t="shared" ref="L47:L50" ca="1" si="46">IF(NOT(ISERROR(MATCH(K47,_xlfn.ANCHORARRAY(F58),0))),J60&amp;"Por favor no seleccionar los criterios de impacto",K47)</f>
        <v>0</v>
      </c>
      <c r="M47" s="415"/>
      <c r="N47" s="353"/>
      <c r="O47" s="355"/>
      <c r="P47" s="160">
        <v>2</v>
      </c>
      <c r="Q47" s="157"/>
      <c r="R47" s="161" t="str">
        <f>IF(OR(S47="Preventivo",S47="Detectivo"),"Probabilidad",IF(S47="Correctivo","Impacto",""))</f>
        <v/>
      </c>
      <c r="S47" s="162"/>
      <c r="T47" s="162"/>
      <c r="U47" s="163" t="str">
        <f t="shared" ref="U47:U51" si="47">IF(AND(S47="Preventivo",T47="Automático"),"50%",IF(AND(S47="Preventivo",T47="Manual"),"40%",IF(AND(S47="Detectivo",T47="Automático"),"40%",IF(AND(S47="Detectivo",T47="Manual"),"30%",IF(AND(S47="Correctivo",T47="Automático"),"35%",IF(AND(S47="Correctivo",T47="Manual"),"25%",""))))))</f>
        <v/>
      </c>
      <c r="V47" s="162"/>
      <c r="W47" s="162"/>
      <c r="X47" s="162"/>
      <c r="Y47" s="164" t="str">
        <f>IFERROR(IF(AND(R46="Probabilidad",R47="Probabilidad"),(AA46-(+AA46*U47)),IF(R47="Probabilidad",(J46-(+J46*U47)),IF(R47="Impacto",AA46,""))),"")</f>
        <v/>
      </c>
      <c r="Z47" s="165" t="str">
        <f t="shared" ref="Z47:Z51" si="48">IFERROR(IF(Y47="","",IF(Y47&lt;=0.2,"Muy Baja",IF(Y47&lt;=0.4,"Baja",IF(Y47&lt;=0.6,"Media",IF(Y47&lt;=0.8,"Alta","Muy Alta"))))),"")</f>
        <v/>
      </c>
      <c r="AA47" s="163" t="str">
        <f t="shared" si="22"/>
        <v/>
      </c>
      <c r="AB47" s="165" t="str">
        <f t="shared" ref="AB47:AB50" si="49">IFERROR(IF(AC47="","",IF(AC47&lt;=0.2,"Leve",IF(AC47&lt;=0.4,"Menor",IF(AC47&lt;=0.6,"Moderado",IF(AC47&lt;=0.8,"Mayor","Catastrófico"))))),"")</f>
        <v/>
      </c>
      <c r="AC47" s="163" t="str">
        <f>IFERROR(IF(AND(R46="Impacto",R47="Impacto"),(AC40-(+AC40*U47)),IF(R47="Impacto",($N$46-(+$N$46*U47)),IF(R47="Probabilidad",AC40,""))),"")</f>
        <v/>
      </c>
      <c r="AD47" s="166" t="str">
        <f t="shared" ref="AD47:AD48" si="50">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62"/>
      <c r="AF47" s="196"/>
      <c r="AG47" s="196"/>
      <c r="AH47" s="158"/>
      <c r="AI47" s="207" t="s">
        <v>387</v>
      </c>
      <c r="AJ47" s="204"/>
      <c r="AK47" s="203"/>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411"/>
      <c r="C48" s="350"/>
      <c r="D48" s="350"/>
      <c r="E48" s="350"/>
      <c r="F48" s="350"/>
      <c r="G48" s="350"/>
      <c r="H48" s="351"/>
      <c r="I48" s="415"/>
      <c r="J48" s="353"/>
      <c r="K48" s="354"/>
      <c r="L48" s="353">
        <f t="shared" si="46"/>
        <v>0</v>
      </c>
      <c r="M48" s="415"/>
      <c r="N48" s="353"/>
      <c r="O48" s="355"/>
      <c r="P48" s="160">
        <v>3</v>
      </c>
      <c r="Q48" s="167"/>
      <c r="R48" s="161" t="str">
        <f>IF(OR(S48="Preventivo",S48="Detectivo"),"Probabilidad",IF(S48="Correctivo","Impacto",""))</f>
        <v/>
      </c>
      <c r="S48" s="162"/>
      <c r="T48" s="162"/>
      <c r="U48" s="163" t="str">
        <f t="shared" si="47"/>
        <v/>
      </c>
      <c r="V48" s="162"/>
      <c r="W48" s="162"/>
      <c r="X48" s="162"/>
      <c r="Y48" s="164" t="str">
        <f>IFERROR(IF(AND(R47="Probabilidad",R48="Probabilidad"),(AA47-(+AA47*U48)),IF(AND(R47="Impacto",R48="Probabilidad"),(AA46-(+AA46*U48)),IF(R48="Impacto",AA47,""))),"")</f>
        <v/>
      </c>
      <c r="Z48" s="165" t="str">
        <f t="shared" si="48"/>
        <v/>
      </c>
      <c r="AA48" s="163" t="str">
        <f t="shared" si="22"/>
        <v/>
      </c>
      <c r="AB48" s="165" t="str">
        <f t="shared" si="49"/>
        <v/>
      </c>
      <c r="AC48" s="163" t="str">
        <f>IFERROR(IF(AND(R47="Impacto",R48="Impacto"),(AC47-(+AC47*U48)),IF(AND(R47="Probabilidad",R48="Impacto"),(AC46-(+AC46*U48)),IF(R48="Probabilidad",AC47,""))),"")</f>
        <v/>
      </c>
      <c r="AD48" s="166" t="str">
        <f t="shared" si="50"/>
        <v/>
      </c>
      <c r="AE48" s="162"/>
      <c r="AF48" s="196"/>
      <c r="AG48" s="196"/>
      <c r="AH48" s="158"/>
      <c r="AI48" s="207" t="s">
        <v>387</v>
      </c>
      <c r="AJ48" s="204"/>
      <c r="AK48" s="203"/>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411"/>
      <c r="C49" s="350"/>
      <c r="D49" s="350"/>
      <c r="E49" s="350"/>
      <c r="F49" s="350"/>
      <c r="G49" s="350"/>
      <c r="H49" s="351"/>
      <c r="I49" s="415"/>
      <c r="J49" s="353"/>
      <c r="K49" s="354"/>
      <c r="L49" s="353">
        <f t="shared" si="46"/>
        <v>0</v>
      </c>
      <c r="M49" s="415"/>
      <c r="N49" s="353"/>
      <c r="O49" s="355"/>
      <c r="P49" s="160">
        <v>4</v>
      </c>
      <c r="Q49" s="157"/>
      <c r="R49" s="161" t="str">
        <f t="shared" ref="R49:R51" si="51">IF(OR(S49="Preventivo",S49="Detectivo"),"Probabilidad",IF(S49="Correctivo","Impacto",""))</f>
        <v/>
      </c>
      <c r="S49" s="162"/>
      <c r="T49" s="162"/>
      <c r="U49" s="163" t="str">
        <f t="shared" si="47"/>
        <v/>
      </c>
      <c r="V49" s="162"/>
      <c r="W49" s="162"/>
      <c r="X49" s="162"/>
      <c r="Y49" s="164" t="str">
        <f t="shared" ref="Y49:Y51" si="52">IFERROR(IF(AND(R48="Probabilidad",R49="Probabilidad"),(AA48-(+AA48*U49)),IF(AND(R48="Impacto",R49="Probabilidad"),(AA47-(+AA47*U49)),IF(R49="Impacto",AA48,""))),"")</f>
        <v/>
      </c>
      <c r="Z49" s="165" t="str">
        <f t="shared" si="48"/>
        <v/>
      </c>
      <c r="AA49" s="163" t="str">
        <f t="shared" si="22"/>
        <v/>
      </c>
      <c r="AB49" s="165" t="str">
        <f t="shared" si="49"/>
        <v/>
      </c>
      <c r="AC49" s="163" t="str">
        <f t="shared" ref="AC49:AC51" si="53">IFERROR(IF(AND(R48="Impacto",R49="Impacto"),(AC48-(+AC48*U49)),IF(AND(R48="Probabilidad",R49="Impacto"),(AC47-(+AC47*U49)),IF(R49="Probabilidad",AC48,""))),"")</f>
        <v/>
      </c>
      <c r="AD49" s="166"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62"/>
      <c r="AF49" s="196"/>
      <c r="AG49" s="196"/>
      <c r="AH49" s="158"/>
      <c r="AI49" s="207" t="s">
        <v>387</v>
      </c>
      <c r="AJ49" s="204"/>
      <c r="AK49" s="203"/>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411"/>
      <c r="C50" s="350"/>
      <c r="D50" s="350"/>
      <c r="E50" s="350"/>
      <c r="F50" s="350"/>
      <c r="G50" s="350"/>
      <c r="H50" s="351"/>
      <c r="I50" s="415"/>
      <c r="J50" s="353"/>
      <c r="K50" s="354"/>
      <c r="L50" s="353">
        <f t="shared" si="46"/>
        <v>0</v>
      </c>
      <c r="M50" s="415"/>
      <c r="N50" s="353"/>
      <c r="O50" s="355"/>
      <c r="P50" s="160">
        <v>5</v>
      </c>
      <c r="Q50" s="157"/>
      <c r="R50" s="161" t="str">
        <f t="shared" si="51"/>
        <v/>
      </c>
      <c r="S50" s="162"/>
      <c r="T50" s="162"/>
      <c r="U50" s="163" t="str">
        <f t="shared" si="47"/>
        <v/>
      </c>
      <c r="V50" s="162"/>
      <c r="W50" s="162"/>
      <c r="X50" s="162"/>
      <c r="Y50" s="164" t="str">
        <f t="shared" si="52"/>
        <v/>
      </c>
      <c r="Z50" s="165" t="str">
        <f t="shared" si="48"/>
        <v/>
      </c>
      <c r="AA50" s="163" t="str">
        <f t="shared" si="22"/>
        <v/>
      </c>
      <c r="AB50" s="165" t="str">
        <f t="shared" si="49"/>
        <v/>
      </c>
      <c r="AC50" s="163" t="str">
        <f t="shared" si="53"/>
        <v/>
      </c>
      <c r="AD50" s="166" t="str">
        <f t="shared" ref="AD50" si="54">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62"/>
      <c r="AF50" s="196"/>
      <c r="AG50" s="196"/>
      <c r="AH50" s="158"/>
      <c r="AI50" s="207" t="s">
        <v>387</v>
      </c>
      <c r="AJ50" s="204"/>
      <c r="AK50" s="203"/>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411"/>
      <c r="C51" s="350"/>
      <c r="D51" s="350"/>
      <c r="E51" s="350"/>
      <c r="F51" s="350"/>
      <c r="G51" s="350"/>
      <c r="H51" s="351"/>
      <c r="I51" s="415"/>
      <c r="J51" s="353"/>
      <c r="K51" s="354"/>
      <c r="L51" s="353">
        <f>IF(NOT(ISERROR(MATCH(K51,_xlfn.ANCHORARRAY(F62),0))),J76&amp;"Por favor no seleccionar los criterios de impacto",K51)</f>
        <v>0</v>
      </c>
      <c r="M51" s="415"/>
      <c r="N51" s="353"/>
      <c r="O51" s="355"/>
      <c r="P51" s="160">
        <v>6</v>
      </c>
      <c r="Q51" s="157"/>
      <c r="R51" s="161" t="str">
        <f t="shared" si="51"/>
        <v/>
      </c>
      <c r="S51" s="162"/>
      <c r="T51" s="162"/>
      <c r="U51" s="163" t="str">
        <f t="shared" si="47"/>
        <v/>
      </c>
      <c r="V51" s="162"/>
      <c r="W51" s="162"/>
      <c r="X51" s="162"/>
      <c r="Y51" s="164" t="str">
        <f t="shared" si="52"/>
        <v/>
      </c>
      <c r="Z51" s="165" t="str">
        <f t="shared" si="48"/>
        <v/>
      </c>
      <c r="AA51" s="163" t="str">
        <f t="shared" si="22"/>
        <v/>
      </c>
      <c r="AB51" s="165" t="str">
        <f>IFERROR(IF(AC51="","",IF(AC51&lt;=0.2,"Leve",IF(AC51&lt;=0.4,"Menor",IF(AC51&lt;=0.6,"Moderado",IF(AC51&lt;=0.8,"Mayor","Catastrófico"))))),"")</f>
        <v/>
      </c>
      <c r="AC51" s="163" t="str">
        <f t="shared" si="53"/>
        <v/>
      </c>
      <c r="AD51" s="166"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62"/>
      <c r="AF51" s="196"/>
      <c r="AG51" s="196"/>
      <c r="AH51" s="158"/>
      <c r="AI51" s="207" t="s">
        <v>387</v>
      </c>
      <c r="AJ51" s="204"/>
      <c r="AK51" s="203"/>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11" customHeight="1" x14ac:dyDescent="0.3">
      <c r="B52" s="411">
        <v>7</v>
      </c>
      <c r="C52" s="350" t="s">
        <v>197</v>
      </c>
      <c r="D52" s="350" t="s">
        <v>177</v>
      </c>
      <c r="E52" s="350" t="s">
        <v>237</v>
      </c>
      <c r="F52" s="350" t="s">
        <v>238</v>
      </c>
      <c r="G52" s="350" t="s">
        <v>180</v>
      </c>
      <c r="H52" s="351">
        <v>2</v>
      </c>
      <c r="I52" s="415" t="str">
        <f>IF(H52&lt;=0,"",IF(H52&lt;=2,"Muy Baja",IF(H52&lt;=24,"Baja",IF(H52&lt;=500,"Media",IF(H52&lt;=5000,"Alta","Muy Alta")))))</f>
        <v>Muy Baja</v>
      </c>
      <c r="J52" s="353">
        <f>IF(I52="","",IF(I52="Muy Baja",0.2,IF(I52="Baja",0.4,IF(I52="Media",0.6,IF(I52="Alta",0.8,IF(I52="Muy Alta",1,))))))</f>
        <v>0.2</v>
      </c>
      <c r="K52" s="354" t="s">
        <v>181</v>
      </c>
      <c r="L52" s="353" t="str">
        <f>IF(NOT(ISERROR(MATCH(K52,'[1]Tabla Impacto'!$B$222:$B$224,0))),'[1]Tabla Impacto'!$F$224&amp;"Por favor no seleccionar los criterios de impacto(Afectación Económica o presupuestal y Pérdida Reputacional)",K52)</f>
        <v xml:space="preserve">     El riesgo afecta la imagen de de la entidad con efecto publicitario sostenido a nivel de sector administrativo, nivel departamental o municipal</v>
      </c>
      <c r="M52" s="415" t="str">
        <f>IF(OR(L52='[1]Tabla Impacto'!$C$12,L52='[1]Tabla Impacto'!$D$12),"Leve",IF(OR(L52='[1]Tabla Impacto'!$C$13,L52='[1]Tabla Impacto'!$D$13),"Menor",IF(OR(L52='[1]Tabla Impacto'!$C$14,L52='[1]Tabla Impacto'!$D$14),"Moderado",IF(OR(L52='[1]Tabla Impacto'!$C$15,L52='[1]Tabla Impacto'!$D$15),"Mayor",IF(OR(L52='[1]Tabla Impacto'!$C$16,L52='[1]Tabla Impacto'!$D$16),"Catastrófico","")))))</f>
        <v>Mayor</v>
      </c>
      <c r="N52" s="353">
        <f>IF(M52="","",IF(M52="Leve",0.2,IF(M52="Menor",0.4,IF(M52="Moderado",0.6,IF(M52="Mayor",0.8,IF(M52="Catastrófico",1,))))))</f>
        <v>0.8</v>
      </c>
      <c r="O52" s="355"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Alto</v>
      </c>
      <c r="P52" s="168">
        <v>1</v>
      </c>
      <c r="Q52" s="157" t="s">
        <v>239</v>
      </c>
      <c r="R52" s="161" t="s">
        <v>183</v>
      </c>
      <c r="S52" s="162" t="s">
        <v>184</v>
      </c>
      <c r="T52" s="162" t="s">
        <v>185</v>
      </c>
      <c r="U52" s="163" t="s">
        <v>202</v>
      </c>
      <c r="V52" s="162" t="s">
        <v>186</v>
      </c>
      <c r="W52" s="162" t="s">
        <v>187</v>
      </c>
      <c r="X52" s="162" t="s">
        <v>188</v>
      </c>
      <c r="Y52" s="164">
        <f>IFERROR(IF(R52="Probabilidad",(J52-(+J52*U52)),IF(R52="Impacto",J52,"")),"")</f>
        <v>0.12</v>
      </c>
      <c r="Z52" s="165" t="str">
        <f>IFERROR(IF(Y52="","",IF(Y52&lt;=0.2,"Muy Baja",IF(Y52&lt;=0.4,"Baja",IF(Y52&lt;=0.6,"Media",IF(Y52&lt;=0.8,"Alta","Muy Alta"))))),"")</f>
        <v>Muy Baja</v>
      </c>
      <c r="AA52" s="163">
        <f t="shared" si="22"/>
        <v>0.12</v>
      </c>
      <c r="AB52" s="165" t="str">
        <f>IFERROR(IF(AC52="","",IF(AC52&lt;=0.2,"Leve",IF(AC52&lt;=0.4,"Menor",IF(AC52&lt;=0.6,"Moderado",IF(AC52&lt;=0.8,"Mayor","Catastrófico"))))),"")</f>
        <v>Mayor</v>
      </c>
      <c r="AC52" s="163">
        <f>IFERROR(IF(R52="Impacto",(N52-(+N52*U52)),IF(R52="Probabilidad",N52,"")),"")</f>
        <v>0.8</v>
      </c>
      <c r="AD52" s="166"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Alto</v>
      </c>
      <c r="AE52" s="162" t="s">
        <v>189</v>
      </c>
      <c r="AF52" s="196" t="s">
        <v>240</v>
      </c>
      <c r="AG52" s="196" t="s">
        <v>241</v>
      </c>
      <c r="AH52" s="158">
        <v>44469</v>
      </c>
      <c r="AI52" s="156" t="s">
        <v>389</v>
      </c>
      <c r="AJ52" s="204" t="s">
        <v>402</v>
      </c>
      <c r="AK52" s="205" t="s">
        <v>392</v>
      </c>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10.25" customHeight="1" x14ac:dyDescent="0.3">
      <c r="B53" s="411"/>
      <c r="C53" s="350"/>
      <c r="D53" s="350"/>
      <c r="E53" s="350"/>
      <c r="F53" s="350"/>
      <c r="G53" s="350"/>
      <c r="H53" s="351"/>
      <c r="I53" s="415"/>
      <c r="J53" s="353"/>
      <c r="K53" s="354"/>
      <c r="L53" s="353">
        <f ca="1">IF(NOT(ISERROR(MATCH(K53,_xlfn.ANCHORARRAY(F76),0))),J78&amp;"Por favor no seleccionar los criterios de impacto",K53)</f>
        <v>0</v>
      </c>
      <c r="M53" s="415"/>
      <c r="N53" s="353"/>
      <c r="O53" s="355"/>
      <c r="P53" s="168">
        <v>2</v>
      </c>
      <c r="Q53" s="157" t="s">
        <v>242</v>
      </c>
      <c r="R53" s="161" t="s">
        <v>183</v>
      </c>
      <c r="S53" s="162" t="s">
        <v>193</v>
      </c>
      <c r="T53" s="162" t="s">
        <v>185</v>
      </c>
      <c r="U53" s="163" t="s">
        <v>194</v>
      </c>
      <c r="V53" s="162" t="s">
        <v>186</v>
      </c>
      <c r="W53" s="162" t="s">
        <v>187</v>
      </c>
      <c r="X53" s="162" t="s">
        <v>188</v>
      </c>
      <c r="Y53" s="164">
        <f>IFERROR(IF(AND(R52="Probabilidad",R53="Probabilidad"),(AA52-(+AA52*U53)),IF(R53="Probabilidad",(J52-(+J52*U53)),IF(R53="Impacto",AA52,""))),"")</f>
        <v>8.3999999999999991E-2</v>
      </c>
      <c r="Z53" s="165" t="str">
        <f t="shared" ref="Z53" si="55">IFERROR(IF(Y53="","",IF(Y53&lt;=0.2,"Muy Baja",IF(Y53&lt;=0.4,"Baja",IF(Y53&lt;=0.6,"Media",IF(Y53&lt;=0.8,"Alta","Muy Alta"))))),"")</f>
        <v>Muy Baja</v>
      </c>
      <c r="AA53" s="163">
        <f t="shared" si="22"/>
        <v>8.3999999999999991E-2</v>
      </c>
      <c r="AB53" s="165" t="str">
        <f t="shared" ref="AB53" si="56">IFERROR(IF(AC53="","",IF(AC53&lt;=0.2,"Leve",IF(AC53&lt;=0.4,"Menor",IF(AC53&lt;=0.6,"Moderado",IF(AC53&lt;=0.8,"Mayor","Catastrófico"))))),"")</f>
        <v>Moderado</v>
      </c>
      <c r="AC53" s="163">
        <f>IFERROR(IF(AND(R52="Impacto",R53="Impacto"),(AC46-(+AC46*U53)),IF(R53="Impacto",($N$52-(+$N$52*U53)),IF(R53="Probabilidad",AC46,""))),"")</f>
        <v>0.6</v>
      </c>
      <c r="AD53" s="166" t="str">
        <f t="shared" ref="AD53" si="57">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Moderado</v>
      </c>
      <c r="AE53" s="162" t="s">
        <v>189</v>
      </c>
      <c r="AF53" s="196" t="s">
        <v>243</v>
      </c>
      <c r="AG53" s="196" t="s">
        <v>244</v>
      </c>
      <c r="AH53" s="158">
        <v>44560</v>
      </c>
      <c r="AI53" s="156" t="s">
        <v>389</v>
      </c>
      <c r="AJ53" s="204" t="s">
        <v>403</v>
      </c>
      <c r="AK53" s="205" t="s">
        <v>392</v>
      </c>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411"/>
      <c r="C54" s="350"/>
      <c r="D54" s="350"/>
      <c r="E54" s="350"/>
      <c r="F54" s="350"/>
      <c r="G54" s="350"/>
      <c r="H54" s="351"/>
      <c r="I54" s="415"/>
      <c r="J54" s="353"/>
      <c r="K54" s="354"/>
      <c r="L54" s="353">
        <f>IF(NOT(ISERROR(MATCH(K54,_xlfn.ANCHORARRAY(F77),0))),#REF!&amp;"Por favor no seleccionar los criterios de impacto",K54)</f>
        <v>0</v>
      </c>
      <c r="M54" s="415"/>
      <c r="N54" s="353"/>
      <c r="O54" s="355"/>
      <c r="P54" s="168">
        <v>3</v>
      </c>
      <c r="Q54" s="167"/>
      <c r="R54" s="161" t="str">
        <f>IF(OR(S54="Preventivo",S54="Detectivo"),"Probabilidad",IF(S54="Correctivo","Impacto",""))</f>
        <v/>
      </c>
      <c r="S54" s="162"/>
      <c r="T54" s="162"/>
      <c r="U54" s="163" t="str">
        <f t="shared" ref="U54:U57" si="58">IF(AND(S54="Preventivo",T54="Automático"),"50%",IF(AND(S54="Preventivo",T54="Manual"),"40%",IF(AND(S54="Detectivo",T54="Automático"),"40%",IF(AND(S54="Detectivo",T54="Manual"),"30%",IF(AND(S54="Correctivo",T54="Automático"),"35%",IF(AND(S54="Correctivo",T54="Manual"),"25%",""))))))</f>
        <v/>
      </c>
      <c r="V54" s="162"/>
      <c r="W54" s="162"/>
      <c r="X54" s="162"/>
      <c r="Y54" s="164" t="str">
        <f>IFERROR(IF(AND(R53="Probabilidad",R54="Probabilidad"),(AA53-(+AA53*U54)),IF(AND(R53="Impacto",R54="Probabilidad"),(AA52-(+AA52*U54)),IF(R54="Impacto",AA53,""))),"")</f>
        <v/>
      </c>
      <c r="Z54" s="169" t="str">
        <f t="shared" si="9"/>
        <v/>
      </c>
      <c r="AA54" s="163" t="str">
        <f t="shared" ref="AA54:AA63" si="59">+Y54</f>
        <v/>
      </c>
      <c r="AB54" s="169" t="str">
        <f t="shared" si="11"/>
        <v/>
      </c>
      <c r="AC54" s="163" t="str">
        <f>IFERROR(IF(AND(R53="Impacto",R54="Impacto"),(AC53-(+AC53*U54)),IF(AND(R53="Probabilidad",R54="Impacto"),(AC52-(+AC52*U54)),IF(R54="Probabilidad",AC53,""))),"")</f>
        <v/>
      </c>
      <c r="AD54" s="166" t="str">
        <f t="shared" ref="AD54" si="60">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62"/>
      <c r="AF54" s="196"/>
      <c r="AG54" s="196"/>
      <c r="AH54" s="158"/>
      <c r="AI54" s="207" t="s">
        <v>387</v>
      </c>
      <c r="AJ54" s="204"/>
      <c r="AK54" s="203"/>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411"/>
      <c r="C55" s="350"/>
      <c r="D55" s="350"/>
      <c r="E55" s="350"/>
      <c r="F55" s="350"/>
      <c r="G55" s="350"/>
      <c r="H55" s="351"/>
      <c r="I55" s="415"/>
      <c r="J55" s="353"/>
      <c r="K55" s="354"/>
      <c r="L55" s="353">
        <f>IF(NOT(ISERROR(MATCH(K55,_xlfn.ANCHORARRAY(F78),0))),#REF!&amp;"Por favor no seleccionar los criterios de impacto",K55)</f>
        <v>0</v>
      </c>
      <c r="M55" s="415"/>
      <c r="N55" s="353"/>
      <c r="O55" s="355"/>
      <c r="P55" s="168">
        <v>4</v>
      </c>
      <c r="Q55" s="157"/>
      <c r="R55" s="161" t="str">
        <f t="shared" ref="R55:R57" si="61">IF(OR(S55="Preventivo",S55="Detectivo"),"Probabilidad",IF(S55="Correctivo","Impacto",""))</f>
        <v/>
      </c>
      <c r="S55" s="162"/>
      <c r="T55" s="162"/>
      <c r="U55" s="163" t="str">
        <f t="shared" si="58"/>
        <v/>
      </c>
      <c r="V55" s="162"/>
      <c r="W55" s="162"/>
      <c r="X55" s="162"/>
      <c r="Y55" s="164" t="str">
        <f t="shared" ref="Y55:Y57" si="62">IFERROR(IF(AND(R54="Probabilidad",R55="Probabilidad"),(AA54-(+AA54*U55)),IF(AND(R54="Impacto",R55="Probabilidad"),(AA53-(+AA53*U55)),IF(R55="Impacto",AA54,""))),"")</f>
        <v/>
      </c>
      <c r="Z55" s="169" t="str">
        <f t="shared" si="9"/>
        <v/>
      </c>
      <c r="AA55" s="163" t="str">
        <f t="shared" si="59"/>
        <v/>
      </c>
      <c r="AB55" s="169" t="str">
        <f t="shared" si="11"/>
        <v/>
      </c>
      <c r="AC55" s="163" t="str">
        <f t="shared" ref="AC55:AC57" si="63">IFERROR(IF(AND(R54="Impacto",R55="Impacto"),(AC54-(+AC54*U55)),IF(AND(R54="Probabilidad",R55="Impacto"),(AC53-(+AC53*U55)),IF(R55="Probabilidad",AC54,""))),"")</f>
        <v/>
      </c>
      <c r="AD55" s="166"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62"/>
      <c r="AF55" s="196"/>
      <c r="AG55" s="196"/>
      <c r="AH55" s="158"/>
      <c r="AI55" s="207" t="s">
        <v>387</v>
      </c>
      <c r="AJ55" s="204"/>
      <c r="AK55" s="203"/>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411"/>
      <c r="C56" s="350"/>
      <c r="D56" s="350"/>
      <c r="E56" s="350"/>
      <c r="F56" s="350"/>
      <c r="G56" s="350"/>
      <c r="H56" s="351"/>
      <c r="I56" s="415"/>
      <c r="J56" s="353"/>
      <c r="K56" s="354"/>
      <c r="L56" s="353">
        <f>IF(NOT(ISERROR(MATCH(K56,_xlfn.ANCHORARRAY(#REF!),0))),#REF!&amp;"Por favor no seleccionar los criterios de impacto",K56)</f>
        <v>0</v>
      </c>
      <c r="M56" s="415"/>
      <c r="N56" s="353"/>
      <c r="O56" s="355"/>
      <c r="P56" s="168">
        <v>5</v>
      </c>
      <c r="Q56" s="157"/>
      <c r="R56" s="161" t="str">
        <f t="shared" si="61"/>
        <v/>
      </c>
      <c r="S56" s="162"/>
      <c r="T56" s="162"/>
      <c r="U56" s="163" t="str">
        <f t="shared" si="58"/>
        <v/>
      </c>
      <c r="V56" s="162"/>
      <c r="W56" s="162"/>
      <c r="X56" s="162"/>
      <c r="Y56" s="164" t="str">
        <f t="shared" si="62"/>
        <v/>
      </c>
      <c r="Z56" s="169" t="str">
        <f t="shared" si="9"/>
        <v/>
      </c>
      <c r="AA56" s="163" t="str">
        <f t="shared" si="59"/>
        <v/>
      </c>
      <c r="AB56" s="169" t="str">
        <f t="shared" si="11"/>
        <v/>
      </c>
      <c r="AC56" s="163" t="str">
        <f t="shared" si="63"/>
        <v/>
      </c>
      <c r="AD56" s="166" t="str">
        <f t="shared" ref="AD56:AD57" si="6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62"/>
      <c r="AF56" s="196"/>
      <c r="AG56" s="196"/>
      <c r="AH56" s="158"/>
      <c r="AI56" s="207" t="s">
        <v>387</v>
      </c>
      <c r="AJ56" s="204"/>
      <c r="AK56" s="203"/>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411"/>
      <c r="C57" s="350"/>
      <c r="D57" s="350"/>
      <c r="E57" s="350"/>
      <c r="F57" s="350"/>
      <c r="G57" s="350"/>
      <c r="H57" s="351"/>
      <c r="I57" s="415"/>
      <c r="J57" s="353"/>
      <c r="K57" s="354"/>
      <c r="L57" s="353">
        <f>IF(NOT(ISERROR(MATCH(K57,_xlfn.ANCHORARRAY(#REF!),0))),J79&amp;"Por favor no seleccionar los criterios de impacto",K57)</f>
        <v>0</v>
      </c>
      <c r="M57" s="415"/>
      <c r="N57" s="353"/>
      <c r="O57" s="355"/>
      <c r="P57" s="168">
        <v>6</v>
      </c>
      <c r="Q57" s="157"/>
      <c r="R57" s="161" t="str">
        <f t="shared" si="61"/>
        <v/>
      </c>
      <c r="S57" s="162"/>
      <c r="T57" s="162"/>
      <c r="U57" s="163" t="str">
        <f t="shared" si="58"/>
        <v/>
      </c>
      <c r="V57" s="162"/>
      <c r="W57" s="162"/>
      <c r="X57" s="162"/>
      <c r="Y57" s="164" t="str">
        <f t="shared" si="62"/>
        <v/>
      </c>
      <c r="Z57" s="169" t="str">
        <f t="shared" si="9"/>
        <v/>
      </c>
      <c r="AA57" s="163" t="str">
        <f t="shared" si="59"/>
        <v/>
      </c>
      <c r="AB57" s="169" t="str">
        <f t="shared" si="11"/>
        <v/>
      </c>
      <c r="AC57" s="163" t="str">
        <f t="shared" si="63"/>
        <v/>
      </c>
      <c r="AD57" s="166" t="str">
        <f t="shared" si="64"/>
        <v/>
      </c>
      <c r="AE57" s="162"/>
      <c r="AF57" s="196"/>
      <c r="AG57" s="196"/>
      <c r="AH57" s="158"/>
      <c r="AI57" s="207" t="s">
        <v>387</v>
      </c>
      <c r="AJ57" s="204"/>
      <c r="AK57" s="203"/>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72.5" customHeight="1" x14ac:dyDescent="0.3">
      <c r="B58" s="411">
        <v>8</v>
      </c>
      <c r="C58" s="350" t="s">
        <v>176</v>
      </c>
      <c r="D58" s="350" t="s">
        <v>245</v>
      </c>
      <c r="E58" s="350" t="s">
        <v>246</v>
      </c>
      <c r="F58" s="416" t="s">
        <v>247</v>
      </c>
      <c r="G58" s="350" t="s">
        <v>180</v>
      </c>
      <c r="H58" s="351">
        <v>24</v>
      </c>
      <c r="I58" s="415" t="str">
        <f>IF(H58&lt;=0,"",IF(H58&lt;=2,"Muy Baja",IF(H58&lt;=24,"Baja",IF(H58&lt;=500,"Media",IF(H58&lt;=5000,"Alta","Muy Alta")))))</f>
        <v>Baja</v>
      </c>
      <c r="J58" s="353">
        <f>IF(I58="","",IF(I58="Muy Baja",0.2,IF(I58="Baja",0.4,IF(I58="Media",0.6,IF(I58="Alta",0.8,IF(I58="Muy Alta",1,))))))</f>
        <v>0.4</v>
      </c>
      <c r="K58" s="354" t="s">
        <v>200</v>
      </c>
      <c r="L58" s="353" t="str">
        <f>IF(NOT(ISERROR(MATCH(K58,'[1]Tabla Impacto'!$B$222:$B$224,0))),'[1]Tabla Impacto'!$F$224&amp;"Por favor no seleccionar los criterios de impacto(Afectación Económica o presupuestal y Pérdida Reputacional)",K58)</f>
        <v xml:space="preserve">     El riesgo afecta la imagen de la entidad con algunos usuarios de relevancia frente al logro de los objetivos</v>
      </c>
      <c r="M58" s="415" t="str">
        <f>IF(OR(L58='[1]Tabla Impacto'!$C$12,L58='[1]Tabla Impacto'!$D$12),"Leve",IF(OR(L58='[1]Tabla Impacto'!$C$13,L58='[1]Tabla Impacto'!$D$13),"Menor",IF(OR(L58='[1]Tabla Impacto'!$C$14,L58='[1]Tabla Impacto'!$D$14),"Moderado",IF(OR(L58='[1]Tabla Impacto'!$C$15,L58='[1]Tabla Impacto'!$D$15),"Mayor",IF(OR(L58='[1]Tabla Impacto'!$C$16,L58='[1]Tabla Impacto'!$D$16),"Catastrófico","")))))</f>
        <v>Moderado</v>
      </c>
      <c r="N58" s="353">
        <f>IF(M58="","",IF(M58="Leve",0.2,IF(M58="Menor",0.4,IF(M58="Moderado",0.6,IF(M58="Mayor",0.8,IF(M58="Catastrófico",1,))))))</f>
        <v>0.6</v>
      </c>
      <c r="O58" s="355"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Moderado</v>
      </c>
      <c r="P58" s="160">
        <v>1</v>
      </c>
      <c r="Q58" s="157" t="s">
        <v>248</v>
      </c>
      <c r="R58" s="161" t="s">
        <v>183</v>
      </c>
      <c r="S58" s="162" t="s">
        <v>184</v>
      </c>
      <c r="T58" s="162" t="s">
        <v>185</v>
      </c>
      <c r="U58" s="163" t="str">
        <f>IF(AND(S58="Preventivo",T58="Automático"),"50%",IF(AND(S58="Preventivo",T58="Manual"),"40%",IF(AND(S58="Detectivo",T58="Automático"),"40%",IF(AND(S58="Detectivo",T58="Manual"),"30%",IF(AND(S58="Correctivo",T58="Automático"),"35%",IF(AND(S58="Correctivo",T58="Manual"),"25%",""))))))</f>
        <v>40%</v>
      </c>
      <c r="V58" s="162" t="s">
        <v>186</v>
      </c>
      <c r="W58" s="162" t="s">
        <v>187</v>
      </c>
      <c r="X58" s="162" t="s">
        <v>188</v>
      </c>
      <c r="Y58" s="164">
        <f>IFERROR(IF(R58="Probabilidad",(J58-(+J58*U58)),IF(R58="Impacto",J58,"")),"")</f>
        <v>0.24</v>
      </c>
      <c r="Z58" s="165" t="str">
        <f>IFERROR(IF(Y58="","",IF(Y58&lt;=0.2,"Muy Baja",IF(Y58&lt;=0.4,"Baja",IF(Y58&lt;=0.6,"Media",IF(Y58&lt;=0.8,"Alta","Muy Alta"))))),"")</f>
        <v>Baja</v>
      </c>
      <c r="AA58" s="163">
        <f t="shared" si="59"/>
        <v>0.24</v>
      </c>
      <c r="AB58" s="165" t="str">
        <f>IFERROR(IF(AC58="","",IF(AC58&lt;=0.2,"Leve",IF(AC58&lt;=0.4,"Menor",IF(AC58&lt;=0.6,"Moderado",IF(AC58&lt;=0.8,"Mayor","Catastrófico"))))),"")</f>
        <v>Moderado</v>
      </c>
      <c r="AC58" s="163">
        <f>IFERROR(IF(R58="Impacto",(N58-(+N58*U58)),IF(R58="Probabilidad",N58,"")),"")</f>
        <v>0.6</v>
      </c>
      <c r="AD58" s="166"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Moderado</v>
      </c>
      <c r="AE58" s="162" t="s">
        <v>189</v>
      </c>
      <c r="AF58" s="196" t="s">
        <v>249</v>
      </c>
      <c r="AG58" s="196" t="s">
        <v>250</v>
      </c>
      <c r="AH58" s="158">
        <v>44438</v>
      </c>
      <c r="AI58" s="156" t="s">
        <v>389</v>
      </c>
      <c r="AJ58" s="204" t="s">
        <v>404</v>
      </c>
      <c r="AK58" s="206">
        <v>1</v>
      </c>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411"/>
      <c r="C59" s="350"/>
      <c r="D59" s="350"/>
      <c r="E59" s="350"/>
      <c r="F59" s="416"/>
      <c r="G59" s="350"/>
      <c r="H59" s="351"/>
      <c r="I59" s="415"/>
      <c r="J59" s="353"/>
      <c r="K59" s="354"/>
      <c r="L59" s="353">
        <f>IF(NOT(ISERROR(MATCH(K59,_xlfn.ANCHORARRAY(F79),0))),#REF!&amp;"Por favor no seleccionar los criterios de impacto",K59)</f>
        <v>0</v>
      </c>
      <c r="M59" s="415"/>
      <c r="N59" s="353"/>
      <c r="O59" s="355"/>
      <c r="P59" s="160">
        <v>2</v>
      </c>
      <c r="Q59" s="157"/>
      <c r="R59" s="161" t="str">
        <f>IF(OR(S59="Preventivo",S59="Detectivo"),"Probabilidad",IF(S59="Correctivo","Impacto",""))</f>
        <v/>
      </c>
      <c r="S59" s="162"/>
      <c r="T59" s="162"/>
      <c r="U59" s="163" t="str">
        <f t="shared" ref="U59:U63" si="65">IF(AND(S59="Preventivo",T59="Automático"),"50%",IF(AND(S59="Preventivo",T59="Manual"),"40%",IF(AND(S59="Detectivo",T59="Automático"),"40%",IF(AND(S59="Detectivo",T59="Manual"),"30%",IF(AND(S59="Correctivo",T59="Automático"),"35%",IF(AND(S59="Correctivo",T59="Manual"),"25%",""))))))</f>
        <v/>
      </c>
      <c r="V59" s="162"/>
      <c r="W59" s="162"/>
      <c r="X59" s="162"/>
      <c r="Y59" s="164" t="str">
        <f>IFERROR(IF(AND(R58="Probabilidad",R59="Probabilidad"),(AA58-(+AA58*U59)),IF(R59="Probabilidad",(J58-(+J58*U59)),IF(R59="Impacto",AA58,""))),"")</f>
        <v/>
      </c>
      <c r="Z59" s="165" t="str">
        <f t="shared" ref="Z59:Z63" si="66">IFERROR(IF(Y59="","",IF(Y59&lt;=0.2,"Muy Baja",IF(Y59&lt;=0.4,"Baja",IF(Y59&lt;=0.6,"Media",IF(Y59&lt;=0.8,"Alta","Muy Alta"))))),"")</f>
        <v/>
      </c>
      <c r="AA59" s="163" t="str">
        <f t="shared" si="59"/>
        <v/>
      </c>
      <c r="AB59" s="165" t="str">
        <f t="shared" ref="AB59:AB63" si="67">IFERROR(IF(AC59="","",IF(AC59&lt;=0.2,"Leve",IF(AC59&lt;=0.4,"Menor",IF(AC59&lt;=0.6,"Moderado",IF(AC59&lt;=0.8,"Mayor","Catastrófico"))))),"")</f>
        <v/>
      </c>
      <c r="AC59" s="163" t="str">
        <f>IFERROR(IF(AND(R58="Impacto",R59="Impacto"),(AC52-(+AC52*U59)),IF(R59="Impacto",($N$58-(+$N$58*U59)),IF(R59="Probabilidad",AC52,""))),"")</f>
        <v/>
      </c>
      <c r="AD59" s="166" t="str">
        <f t="shared" ref="AD59:AD60" si="6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62"/>
      <c r="AF59" s="196"/>
      <c r="AG59" s="196"/>
      <c r="AH59" s="158"/>
      <c r="AI59" s="207" t="s">
        <v>387</v>
      </c>
      <c r="AJ59" s="204"/>
      <c r="AK59" s="203"/>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411"/>
      <c r="C60" s="350"/>
      <c r="D60" s="350"/>
      <c r="E60" s="350"/>
      <c r="F60" s="416"/>
      <c r="G60" s="350"/>
      <c r="H60" s="351"/>
      <c r="I60" s="415"/>
      <c r="J60" s="353"/>
      <c r="K60" s="354"/>
      <c r="L60" s="353">
        <f>IF(NOT(ISERROR(MATCH(K60,_xlfn.ANCHORARRAY(#REF!),0))),#REF!&amp;"Por favor no seleccionar los criterios de impacto",K60)</f>
        <v>0</v>
      </c>
      <c r="M60" s="415"/>
      <c r="N60" s="353"/>
      <c r="O60" s="355"/>
      <c r="P60" s="160">
        <v>3</v>
      </c>
      <c r="Q60" s="167"/>
      <c r="R60" s="161" t="str">
        <f>IF(OR(S60="Preventivo",S60="Detectivo"),"Probabilidad",IF(S60="Correctivo","Impacto",""))</f>
        <v/>
      </c>
      <c r="S60" s="162"/>
      <c r="T60" s="162"/>
      <c r="U60" s="163" t="str">
        <f t="shared" si="65"/>
        <v/>
      </c>
      <c r="V60" s="162"/>
      <c r="W60" s="162"/>
      <c r="X60" s="162"/>
      <c r="Y60" s="164" t="str">
        <f>IFERROR(IF(AND(R59="Probabilidad",R60="Probabilidad"),(AA59-(+AA59*U60)),IF(AND(R59="Impacto",R60="Probabilidad"),(AA58-(+AA58*U60)),IF(R60="Impacto",AA59,""))),"")</f>
        <v/>
      </c>
      <c r="Z60" s="165" t="str">
        <f t="shared" si="66"/>
        <v/>
      </c>
      <c r="AA60" s="163" t="str">
        <f t="shared" si="59"/>
        <v/>
      </c>
      <c r="AB60" s="165" t="str">
        <f t="shared" si="67"/>
        <v/>
      </c>
      <c r="AC60" s="163" t="str">
        <f>IFERROR(IF(AND(R59="Impacto",R60="Impacto"),(AC59-(+AC59*U60)),IF(AND(R59="Probabilidad",R60="Impacto"),(AC58-(+AC58*U60)),IF(R60="Probabilidad",AC59,""))),"")</f>
        <v/>
      </c>
      <c r="AD60" s="166" t="str">
        <f t="shared" si="68"/>
        <v/>
      </c>
      <c r="AE60" s="162"/>
      <c r="AF60" s="196"/>
      <c r="AG60" s="196"/>
      <c r="AH60" s="158"/>
      <c r="AI60" s="207" t="s">
        <v>387</v>
      </c>
      <c r="AJ60" s="204"/>
      <c r="AK60" s="203"/>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411"/>
      <c r="C61" s="350"/>
      <c r="D61" s="350"/>
      <c r="E61" s="350"/>
      <c r="F61" s="416"/>
      <c r="G61" s="350"/>
      <c r="H61" s="351"/>
      <c r="I61" s="415"/>
      <c r="J61" s="353"/>
      <c r="K61" s="354"/>
      <c r="L61" s="353">
        <f>IF(NOT(ISERROR(MATCH(K61,_xlfn.ANCHORARRAY(#REF!),0))),#REF!&amp;"Por favor no seleccionar los criterios de impacto",K61)</f>
        <v>0</v>
      </c>
      <c r="M61" s="415"/>
      <c r="N61" s="353"/>
      <c r="O61" s="355"/>
      <c r="P61" s="160">
        <v>4</v>
      </c>
      <c r="Q61" s="157"/>
      <c r="R61" s="161" t="str">
        <f t="shared" ref="R61:R78" si="69">IF(OR(S61="Preventivo",S61="Detectivo"),"Probabilidad",IF(S61="Correctivo","Impacto",""))</f>
        <v/>
      </c>
      <c r="S61" s="162"/>
      <c r="T61" s="162"/>
      <c r="U61" s="163" t="str">
        <f t="shared" si="65"/>
        <v/>
      </c>
      <c r="V61" s="162"/>
      <c r="W61" s="162"/>
      <c r="X61" s="162"/>
      <c r="Y61" s="164" t="str">
        <f t="shared" ref="Y61:Y63" si="70">IFERROR(IF(AND(R60="Probabilidad",R61="Probabilidad"),(AA60-(+AA60*U61)),IF(AND(R60="Impacto",R61="Probabilidad"),(AA59-(+AA59*U61)),IF(R61="Impacto",AA60,""))),"")</f>
        <v/>
      </c>
      <c r="Z61" s="165" t="str">
        <f t="shared" si="66"/>
        <v/>
      </c>
      <c r="AA61" s="163" t="str">
        <f t="shared" si="59"/>
        <v/>
      </c>
      <c r="AB61" s="165" t="str">
        <f t="shared" si="67"/>
        <v/>
      </c>
      <c r="AC61" s="163" t="str">
        <f t="shared" ref="AC61:AC63" si="71">IFERROR(IF(AND(R60="Impacto",R61="Impacto"),(AC60-(+AC60*U61)),IF(AND(R60="Probabilidad",R61="Impacto"),(AC59-(+AC59*U61)),IF(R61="Probabilidad",AC60,""))),"")</f>
        <v/>
      </c>
      <c r="AD61" s="166"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62"/>
      <c r="AF61" s="196"/>
      <c r="AG61" s="196"/>
      <c r="AH61" s="158"/>
      <c r="AI61" s="207" t="s">
        <v>387</v>
      </c>
      <c r="AJ61" s="204"/>
      <c r="AK61" s="203"/>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411"/>
      <c r="C62" s="350"/>
      <c r="D62" s="350"/>
      <c r="E62" s="350"/>
      <c r="F62" s="416"/>
      <c r="G62" s="350"/>
      <c r="H62" s="351"/>
      <c r="I62" s="415"/>
      <c r="J62" s="353"/>
      <c r="K62" s="354"/>
      <c r="L62" s="353">
        <f>IF(NOT(ISERROR(MATCH(K62,_xlfn.ANCHORARRAY(#REF!),0))),#REF!&amp;"Por favor no seleccionar los criterios de impacto",K62)</f>
        <v>0</v>
      </c>
      <c r="M62" s="415"/>
      <c r="N62" s="353"/>
      <c r="O62" s="355"/>
      <c r="P62" s="160">
        <v>5</v>
      </c>
      <c r="Q62" s="157"/>
      <c r="R62" s="161" t="str">
        <f t="shared" si="69"/>
        <v/>
      </c>
      <c r="S62" s="162"/>
      <c r="T62" s="162"/>
      <c r="U62" s="163" t="str">
        <f t="shared" si="65"/>
        <v/>
      </c>
      <c r="V62" s="162"/>
      <c r="W62" s="162"/>
      <c r="X62" s="162"/>
      <c r="Y62" s="164" t="str">
        <f t="shared" si="70"/>
        <v/>
      </c>
      <c r="Z62" s="165" t="str">
        <f t="shared" si="66"/>
        <v/>
      </c>
      <c r="AA62" s="163" t="str">
        <f t="shared" si="59"/>
        <v/>
      </c>
      <c r="AB62" s="165" t="str">
        <f t="shared" si="67"/>
        <v/>
      </c>
      <c r="AC62" s="163" t="str">
        <f t="shared" si="71"/>
        <v/>
      </c>
      <c r="AD62" s="166" t="str">
        <f t="shared" ref="AD62:AD63" si="7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62"/>
      <c r="AF62" s="196"/>
      <c r="AG62" s="196"/>
      <c r="AH62" s="158"/>
      <c r="AI62" s="207" t="s">
        <v>387</v>
      </c>
      <c r="AJ62" s="204"/>
      <c r="AK62" s="203"/>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411"/>
      <c r="C63" s="350"/>
      <c r="D63" s="350"/>
      <c r="E63" s="350"/>
      <c r="F63" s="416"/>
      <c r="G63" s="350"/>
      <c r="H63" s="351"/>
      <c r="I63" s="415"/>
      <c r="J63" s="353"/>
      <c r="K63" s="354"/>
      <c r="L63" s="353">
        <f>IF(NOT(ISERROR(MATCH(K63,_xlfn.ANCHORARRAY(#REF!),0))),J83&amp;"Por favor no seleccionar los criterios de impacto",K63)</f>
        <v>0</v>
      </c>
      <c r="M63" s="415"/>
      <c r="N63" s="353"/>
      <c r="O63" s="355"/>
      <c r="P63" s="160">
        <v>6</v>
      </c>
      <c r="Q63" s="157"/>
      <c r="R63" s="161" t="str">
        <f t="shared" si="69"/>
        <v/>
      </c>
      <c r="S63" s="162"/>
      <c r="T63" s="162"/>
      <c r="U63" s="163" t="str">
        <f t="shared" si="65"/>
        <v/>
      </c>
      <c r="V63" s="162"/>
      <c r="W63" s="162"/>
      <c r="X63" s="162"/>
      <c r="Y63" s="164" t="str">
        <f t="shared" si="70"/>
        <v/>
      </c>
      <c r="Z63" s="165" t="str">
        <f t="shared" si="66"/>
        <v/>
      </c>
      <c r="AA63" s="163" t="str">
        <f t="shared" si="59"/>
        <v/>
      </c>
      <c r="AB63" s="165" t="str">
        <f t="shared" si="67"/>
        <v/>
      </c>
      <c r="AC63" s="163" t="str">
        <f t="shared" si="71"/>
        <v/>
      </c>
      <c r="AD63" s="166" t="str">
        <f t="shared" si="72"/>
        <v/>
      </c>
      <c r="AE63" s="162"/>
      <c r="AF63" s="196"/>
      <c r="AG63" s="196"/>
      <c r="AH63" s="158"/>
      <c r="AI63" s="207" t="s">
        <v>387</v>
      </c>
      <c r="AJ63" s="204"/>
      <c r="AK63" s="203"/>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s="91" customFormat="1" ht="151.5" customHeight="1" x14ac:dyDescent="0.3">
      <c r="B64" s="413">
        <v>9</v>
      </c>
      <c r="C64" s="356" t="s">
        <v>197</v>
      </c>
      <c r="D64" s="356" t="s">
        <v>251</v>
      </c>
      <c r="E64" s="356" t="s">
        <v>252</v>
      </c>
      <c r="F64" s="356" t="s">
        <v>253</v>
      </c>
      <c r="G64" s="356" t="s">
        <v>180</v>
      </c>
      <c r="H64" s="359">
        <v>1</v>
      </c>
      <c r="I64" s="362" t="str">
        <f>IF(H64&lt;=0,"",IF(H64&lt;=2,"Muy Baja",IF(H64&lt;=24,"Baja",IF(H64&lt;=500,"Media",IF(H64&lt;=5000,"Alta","Muy Alta")))))</f>
        <v>Muy Baja</v>
      </c>
      <c r="J64" s="365">
        <f>IF(I64="","",IF(I64="Muy Baja",0.2,IF(I64="Baja",0.4,IF(I64="Media",0.6,IF(I64="Alta",0.8,IF(I64="Muy Alta",1,))))))</f>
        <v>0.2</v>
      </c>
      <c r="K64" s="368" t="s">
        <v>181</v>
      </c>
      <c r="L64" s="365" t="str">
        <f>IF(NOT(ISERROR(MATCH(K64,'Tabla Impacto'!$B$222:$B$224,0))),'Tabla Impacto'!$F$224&amp;"Por favor no seleccionar los criterios de impacto(Afectación Económica o presupuestal y Pérdida Reputacional)",K64)</f>
        <v xml:space="preserve">     El riesgo afecta la imagen de de la entidad con efecto publicitario sostenido a nivel de sector administrativo, nivel departamental o municipal</v>
      </c>
      <c r="M64" s="362" t="str">
        <f>IF(OR(L64='Tabla Impacto'!$C$12,L64='Tabla Impacto'!$D$12),"Leve",IF(OR(L64='Tabla Impacto'!$C$13,L64='Tabla Impacto'!$D$13),"Menor",IF(OR(L64='Tabla Impacto'!$C$14,L64='Tabla Impacto'!$D$14),"Moderado",IF(OR(L64='Tabla Impacto'!$C$15,L64='Tabla Impacto'!$D$15),"Mayor",IF(OR(L64='Tabla Impacto'!$C$16,L64='Tabla Impacto'!$D$16),"Catastrófico","")))))</f>
        <v>Mayor</v>
      </c>
      <c r="N64" s="365">
        <f>IF(M64="","",IF(M64="Leve",0.2,IF(M64="Menor",0.4,IF(M64="Moderado",0.6,IF(M64="Mayor",0.8,IF(M64="Catastrófico",1,))))))</f>
        <v>0.8</v>
      </c>
      <c r="O64" s="346"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Alto</v>
      </c>
      <c r="P64" s="168">
        <v>1</v>
      </c>
      <c r="Q64" s="157" t="s">
        <v>254</v>
      </c>
      <c r="R64" s="161" t="str">
        <f t="shared" si="69"/>
        <v>Probabilidad</v>
      </c>
      <c r="S64" s="162" t="s">
        <v>184</v>
      </c>
      <c r="T64" s="162" t="s">
        <v>185</v>
      </c>
      <c r="U64" s="163" t="str">
        <f>IF(AND(S64="Preventivo",T64="Automático"),"50%",IF(AND(S64="Preventivo",T64="Manual"),"40%",IF(AND(S64="Detectivo",T64="Automático"),"40%",IF(AND(S64="Detectivo",T64="Manual"),"30%",IF(AND(S64="Correctivo",T64="Automático"),"35%",IF(AND(S64="Correctivo",T64="Manual"),"25%",""))))))</f>
        <v>40%</v>
      </c>
      <c r="V64" s="162" t="s">
        <v>186</v>
      </c>
      <c r="W64" s="162" t="s">
        <v>187</v>
      </c>
      <c r="X64" s="162" t="s">
        <v>188</v>
      </c>
      <c r="Y64" s="164">
        <f>IFERROR(IF(R64="Probabilidad",(J64-(+J64*U64)),IF(R64="Impacto",J64,"")),"")</f>
        <v>0.12</v>
      </c>
      <c r="Z64" s="165" t="str">
        <f>IFERROR(IF(Y64="","",IF(Y64&lt;=0.2,"Muy Baja",IF(Y64&lt;=0.4,"Baja",IF(Y64&lt;=0.6,"Media",IF(Y64&lt;=0.8,"Alta","Muy Alta"))))),"")</f>
        <v>Muy Baja</v>
      </c>
      <c r="AA64" s="163">
        <f>+Y64</f>
        <v>0.12</v>
      </c>
      <c r="AB64" s="165" t="str">
        <f>IFERROR(IF(AC64="","",IF(AC64&lt;=0.2,"Leve",IF(AC64&lt;=0.4,"Menor",IF(AC64&lt;=0.6,"Moderado",IF(AC64&lt;=0.8,"Mayor","Catastrófico"))))),"")</f>
        <v>Mayor</v>
      </c>
      <c r="AC64" s="163">
        <f>IFERROR(IF(R64="Impacto",(N64-(+N64*U64)),IF(R64="Probabilidad",N64,"")),"")</f>
        <v>0.8</v>
      </c>
      <c r="AD64" s="166"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Alto</v>
      </c>
      <c r="AE64" s="162" t="s">
        <v>189</v>
      </c>
      <c r="AF64" s="196" t="s">
        <v>255</v>
      </c>
      <c r="AG64" s="196" t="s">
        <v>241</v>
      </c>
      <c r="AH64" s="158">
        <v>44530</v>
      </c>
      <c r="AI64" s="156" t="s">
        <v>389</v>
      </c>
      <c r="AJ64" s="204" t="s">
        <v>405</v>
      </c>
      <c r="AK64" s="206">
        <v>1</v>
      </c>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s="91" customFormat="1" ht="151.5" hidden="1" customHeight="1" x14ac:dyDescent="0.3">
      <c r="B65" s="413"/>
      <c r="C65" s="357"/>
      <c r="D65" s="357"/>
      <c r="E65" s="357"/>
      <c r="F65" s="357"/>
      <c r="G65" s="357"/>
      <c r="H65" s="360"/>
      <c r="I65" s="363"/>
      <c r="J65" s="366"/>
      <c r="K65" s="369"/>
      <c r="L65" s="366">
        <f>IF(NOT(ISERROR(MATCH(K65,_xlfn.ANCHORARRAY(F87),0))),#REF!&amp;"Por favor no seleccionar los criterios de impacto",K65)</f>
        <v>0</v>
      </c>
      <c r="M65" s="363"/>
      <c r="N65" s="366"/>
      <c r="O65" s="347"/>
      <c r="P65" s="168">
        <v>2</v>
      </c>
      <c r="Q65" s="157"/>
      <c r="R65" s="161" t="str">
        <f>IF(OR(S65="Preventivo",S65="Detectivo"),"Probabilidad",IF(S65="Correctivo","Impacto",""))</f>
        <v/>
      </c>
      <c r="S65" s="162"/>
      <c r="T65" s="162"/>
      <c r="U65" s="163" t="str">
        <f t="shared" ref="U65:U69" si="73">IF(AND(S65="Preventivo",T65="Automático"),"50%",IF(AND(S65="Preventivo",T65="Manual"),"40%",IF(AND(S65="Detectivo",T65="Automático"),"40%",IF(AND(S65="Detectivo",T65="Manual"),"30%",IF(AND(S65="Correctivo",T65="Automático"),"35%",IF(AND(S65="Correctivo",T65="Manual"),"25%",""))))))</f>
        <v/>
      </c>
      <c r="V65" s="162"/>
      <c r="W65" s="162"/>
      <c r="X65" s="162"/>
      <c r="Y65" s="164" t="str">
        <f>IFERROR(IF(AND(R64="Probabilidad",R65="Probabilidad"),(AA64-(+AA64*U65)),IF(R65="Probabilidad",(J64-(+J64*U65)),IF(R65="Impacto",AA64,""))),"")</f>
        <v/>
      </c>
      <c r="Z65" s="169" t="str">
        <f t="shared" ref="Z65:Z69" si="74">IFERROR(IF(Y65="","",IF(Y65&lt;=0.2,"Muy Baja",IF(Y65&lt;=0.4,"Baja",IF(Y65&lt;=0.6,"Media",IF(Y65&lt;=0.8,"Alta","Muy Alta"))))),"")</f>
        <v/>
      </c>
      <c r="AA65" s="163" t="str">
        <f t="shared" ref="AA65:AA69" si="75">+Y65</f>
        <v/>
      </c>
      <c r="AB65" s="169" t="str">
        <f t="shared" ref="AB65:AB69" si="76">IFERROR(IF(AC65="","",IF(AC65&lt;=0.2,"Leve",IF(AC65&lt;=0.4,"Menor",IF(AC65&lt;=0.6,"Moderado",IF(AC65&lt;=0.8,"Mayor","Catastrófico"))))),"")</f>
        <v/>
      </c>
      <c r="AC65" s="163" t="str">
        <f>IFERROR(IF(AND(R64="Impacto",R65="Impacto"),(AC58-(+AC58*U65)),IF(R65="Impacto",($N$82-(+$N$82*U65)),IF(R65="Probabilidad",AC58,""))),"")</f>
        <v/>
      </c>
      <c r="AD65" s="166" t="str">
        <f t="shared" ref="AD65:AD66" si="77">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62"/>
      <c r="AF65" s="196"/>
      <c r="AG65" s="196"/>
      <c r="AH65" s="158"/>
      <c r="AI65" s="207" t="s">
        <v>387</v>
      </c>
      <c r="AJ65" s="204"/>
      <c r="AK65" s="203"/>
    </row>
    <row r="66" spans="2:69" s="91" customFormat="1" ht="151.5" hidden="1" customHeight="1" x14ac:dyDescent="0.3">
      <c r="B66" s="413"/>
      <c r="C66" s="357"/>
      <c r="D66" s="357"/>
      <c r="E66" s="357"/>
      <c r="F66" s="357"/>
      <c r="G66" s="357"/>
      <c r="H66" s="360"/>
      <c r="I66" s="363"/>
      <c r="J66" s="366"/>
      <c r="K66" s="369"/>
      <c r="L66" s="366">
        <f>IF(NOT(ISERROR(MATCH(K66,_xlfn.ANCHORARRAY(#REF!),0))),#REF!&amp;"Por favor no seleccionar los criterios de impacto",K66)</f>
        <v>0</v>
      </c>
      <c r="M66" s="363"/>
      <c r="N66" s="366"/>
      <c r="O66" s="347"/>
      <c r="P66" s="168">
        <v>3</v>
      </c>
      <c r="Q66" s="167"/>
      <c r="R66" s="161" t="str">
        <f>IF(OR(S66="Preventivo",S66="Detectivo"),"Probabilidad",IF(S66="Correctivo","Impacto",""))</f>
        <v/>
      </c>
      <c r="S66" s="162"/>
      <c r="T66" s="162"/>
      <c r="U66" s="163" t="str">
        <f t="shared" si="73"/>
        <v/>
      </c>
      <c r="V66" s="162"/>
      <c r="W66" s="162"/>
      <c r="X66" s="162"/>
      <c r="Y66" s="164" t="str">
        <f>IFERROR(IF(AND(R65="Probabilidad",R66="Probabilidad"),(AA65-(+AA65*U66)),IF(AND(R65="Impacto",R66="Probabilidad"),(AA64-(+AA64*U66)),IF(R66="Impacto",AA65,""))),"")</f>
        <v/>
      </c>
      <c r="Z66" s="169" t="str">
        <f t="shared" si="74"/>
        <v/>
      </c>
      <c r="AA66" s="163" t="str">
        <f t="shared" si="75"/>
        <v/>
      </c>
      <c r="AB66" s="169" t="str">
        <f t="shared" si="76"/>
        <v/>
      </c>
      <c r="AC66" s="163" t="str">
        <f>IFERROR(IF(AND(R65="Impacto",R66="Impacto"),(AC65-(+AC65*U66)),IF(AND(R65="Probabilidad",R66="Impacto"),(AC64-(+AC64*U66)),IF(R66="Probabilidad",AC65,""))),"")</f>
        <v/>
      </c>
      <c r="AD66" s="166" t="str">
        <f t="shared" si="77"/>
        <v/>
      </c>
      <c r="AE66" s="162"/>
      <c r="AF66" s="196"/>
      <c r="AG66" s="196"/>
      <c r="AH66" s="158"/>
      <c r="AI66" s="207" t="s">
        <v>387</v>
      </c>
      <c r="AJ66" s="204"/>
      <c r="AK66" s="203"/>
    </row>
    <row r="67" spans="2:69" s="91" customFormat="1" ht="151.5" hidden="1" customHeight="1" x14ac:dyDescent="0.3">
      <c r="B67" s="413"/>
      <c r="C67" s="357"/>
      <c r="D67" s="357"/>
      <c r="E67" s="357"/>
      <c r="F67" s="357"/>
      <c r="G67" s="357"/>
      <c r="H67" s="360"/>
      <c r="I67" s="363"/>
      <c r="J67" s="366"/>
      <c r="K67" s="369"/>
      <c r="L67" s="366">
        <f>IF(NOT(ISERROR(MATCH(K67,_xlfn.ANCHORARRAY(#REF!),0))),#REF!&amp;"Por favor no seleccionar los criterios de impacto",K67)</f>
        <v>0</v>
      </c>
      <c r="M67" s="363"/>
      <c r="N67" s="366"/>
      <c r="O67" s="347"/>
      <c r="P67" s="168">
        <v>4</v>
      </c>
      <c r="Q67" s="157"/>
      <c r="R67" s="161" t="str">
        <f t="shared" ref="R67:R70" si="78">IF(OR(S67="Preventivo",S67="Detectivo"),"Probabilidad",IF(S67="Correctivo","Impacto",""))</f>
        <v/>
      </c>
      <c r="S67" s="162"/>
      <c r="T67" s="162"/>
      <c r="U67" s="163" t="str">
        <f t="shared" si="73"/>
        <v/>
      </c>
      <c r="V67" s="162"/>
      <c r="W67" s="162"/>
      <c r="X67" s="162"/>
      <c r="Y67" s="164" t="str">
        <f t="shared" ref="Y67:Y69" si="79">IFERROR(IF(AND(R66="Probabilidad",R67="Probabilidad"),(AA66-(+AA66*U67)),IF(AND(R66="Impacto",R67="Probabilidad"),(AA65-(+AA65*U67)),IF(R67="Impacto",AA66,""))),"")</f>
        <v/>
      </c>
      <c r="Z67" s="169" t="str">
        <f t="shared" si="74"/>
        <v/>
      </c>
      <c r="AA67" s="163" t="str">
        <f t="shared" si="75"/>
        <v/>
      </c>
      <c r="AB67" s="169" t="str">
        <f t="shared" si="76"/>
        <v/>
      </c>
      <c r="AC67" s="163" t="str">
        <f t="shared" ref="AC67:AC69" si="80">IFERROR(IF(AND(R66="Impacto",R67="Impacto"),(AC66-(+AC66*U67)),IF(AND(R66="Probabilidad",R67="Impacto"),(AC65-(+AC65*U67)),IF(R67="Probabilidad",AC66,""))),"")</f>
        <v/>
      </c>
      <c r="AD67" s="166" t="str">
        <f>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62"/>
      <c r="AF67" s="196"/>
      <c r="AG67" s="196"/>
      <c r="AH67" s="158"/>
      <c r="AI67" s="207" t="s">
        <v>387</v>
      </c>
      <c r="AJ67" s="204"/>
      <c r="AK67" s="203"/>
    </row>
    <row r="68" spans="2:69" s="91" customFormat="1" ht="151.5" hidden="1" customHeight="1" x14ac:dyDescent="0.3">
      <c r="B68" s="413"/>
      <c r="C68" s="357"/>
      <c r="D68" s="357"/>
      <c r="E68" s="357"/>
      <c r="F68" s="357"/>
      <c r="G68" s="357"/>
      <c r="H68" s="360"/>
      <c r="I68" s="363"/>
      <c r="J68" s="366"/>
      <c r="K68" s="369"/>
      <c r="L68" s="366">
        <f>IF(NOT(ISERROR(MATCH(K68,_xlfn.ANCHORARRAY(#REF!),0))),#REF!&amp;"Por favor no seleccionar los criterios de impacto",K68)</f>
        <v>0</v>
      </c>
      <c r="M68" s="363"/>
      <c r="N68" s="366"/>
      <c r="O68" s="347"/>
      <c r="P68" s="168">
        <v>5</v>
      </c>
      <c r="Q68" s="157"/>
      <c r="R68" s="161" t="str">
        <f t="shared" si="78"/>
        <v/>
      </c>
      <c r="S68" s="162"/>
      <c r="T68" s="162"/>
      <c r="U68" s="163" t="str">
        <f t="shared" si="73"/>
        <v/>
      </c>
      <c r="V68" s="162"/>
      <c r="W68" s="162"/>
      <c r="X68" s="162"/>
      <c r="Y68" s="164" t="str">
        <f t="shared" si="79"/>
        <v/>
      </c>
      <c r="Z68" s="169" t="str">
        <f t="shared" si="74"/>
        <v/>
      </c>
      <c r="AA68" s="163" t="str">
        <f t="shared" si="75"/>
        <v/>
      </c>
      <c r="AB68" s="169" t="str">
        <f t="shared" si="76"/>
        <v/>
      </c>
      <c r="AC68" s="163" t="str">
        <f t="shared" si="80"/>
        <v/>
      </c>
      <c r="AD68" s="166" t="str">
        <f t="shared" ref="AD68:AD69" si="81">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62"/>
      <c r="AF68" s="196"/>
      <c r="AG68" s="196"/>
      <c r="AH68" s="158"/>
      <c r="AI68" s="207" t="s">
        <v>387</v>
      </c>
      <c r="AJ68" s="204"/>
      <c r="AK68" s="203"/>
    </row>
    <row r="69" spans="2:69" s="91" customFormat="1" ht="151.5" hidden="1" customHeight="1" x14ac:dyDescent="0.3">
      <c r="B69" s="413"/>
      <c r="C69" s="358"/>
      <c r="D69" s="358"/>
      <c r="E69" s="358"/>
      <c r="F69" s="358"/>
      <c r="G69" s="358"/>
      <c r="H69" s="361"/>
      <c r="I69" s="364"/>
      <c r="J69" s="367"/>
      <c r="K69" s="370"/>
      <c r="L69" s="367">
        <f>IF(NOT(ISERROR(MATCH(K69,_xlfn.ANCHORARRAY(#REF!),0))),#REF!&amp;"Por favor no seleccionar los criterios de impacto",K69)</f>
        <v>0</v>
      </c>
      <c r="M69" s="364"/>
      <c r="N69" s="367"/>
      <c r="O69" s="348"/>
      <c r="P69" s="168">
        <v>6</v>
      </c>
      <c r="Q69" s="157"/>
      <c r="R69" s="161" t="str">
        <f t="shared" si="78"/>
        <v/>
      </c>
      <c r="S69" s="162"/>
      <c r="T69" s="162"/>
      <c r="U69" s="163" t="str">
        <f t="shared" si="73"/>
        <v/>
      </c>
      <c r="V69" s="162"/>
      <c r="W69" s="162"/>
      <c r="X69" s="162"/>
      <c r="Y69" s="164" t="str">
        <f t="shared" si="79"/>
        <v/>
      </c>
      <c r="Z69" s="169" t="str">
        <f t="shared" si="74"/>
        <v/>
      </c>
      <c r="AA69" s="163" t="str">
        <f t="shared" si="75"/>
        <v/>
      </c>
      <c r="AB69" s="169" t="str">
        <f t="shared" si="76"/>
        <v/>
      </c>
      <c r="AC69" s="163" t="str">
        <f t="shared" si="80"/>
        <v/>
      </c>
      <c r="AD69" s="166" t="str">
        <f t="shared" si="81"/>
        <v/>
      </c>
      <c r="AE69" s="162"/>
      <c r="AF69" s="196"/>
      <c r="AG69" s="196"/>
      <c r="AH69" s="158"/>
      <c r="AI69" s="207" t="s">
        <v>387</v>
      </c>
      <c r="AJ69" s="204"/>
      <c r="AK69" s="203"/>
    </row>
    <row r="70" spans="2:69" s="91" customFormat="1" ht="207" customHeight="1" x14ac:dyDescent="0.3">
      <c r="B70" s="349">
        <v>10</v>
      </c>
      <c r="C70" s="350" t="s">
        <v>197</v>
      </c>
      <c r="D70" s="350" t="s">
        <v>256</v>
      </c>
      <c r="E70" s="350" t="s">
        <v>257</v>
      </c>
      <c r="F70" s="350" t="s">
        <v>258</v>
      </c>
      <c r="G70" s="350" t="s">
        <v>180</v>
      </c>
      <c r="H70" s="351">
        <v>621</v>
      </c>
      <c r="I70" s="352" t="str">
        <f>IF(H70&lt;=0,"",IF(H70&lt;=2,"Muy Baja",IF(H70&lt;=24,"Baja",IF(H70&lt;=500,"Media",IF(H70&lt;=5000,"Alta","Muy Alta")))))</f>
        <v>Alta</v>
      </c>
      <c r="J70" s="353">
        <f>IF(I70="","",IF(I70="Muy Baja",0.2,IF(I70="Baja",0.4,IF(I70="Media",0.6,IF(I70="Alta",0.8,IF(I70="Muy Alta",1,))))))</f>
        <v>0.8</v>
      </c>
      <c r="K70" s="354" t="s">
        <v>181</v>
      </c>
      <c r="L70" s="353" t="str">
        <f>IF(NOT(ISERROR(MATCH(K70,'Tabla Impacto'!$B$222:$B$224,0))),'Tabla Impacto'!$F$224&amp;"Por favor no seleccionar los criterios de impacto(Afectación Económica o presupuestal y Pérdida Reputacional)",K70)</f>
        <v xml:space="preserve">     El riesgo afecta la imagen de de la entidad con efecto publicitario sostenido a nivel de sector administrativo, nivel departamental o municipal</v>
      </c>
      <c r="M70" s="352" t="str">
        <f>IF(OR(L70='Tabla Impacto'!$C$12,L70='Tabla Impacto'!$D$12),"Leve",IF(OR(L70='Tabla Impacto'!$C$13,L70='Tabla Impacto'!$D$13),"Menor",IF(OR(L70='Tabla Impacto'!$C$14,L70='Tabla Impacto'!$D$14),"Moderado",IF(OR(L70='Tabla Impacto'!$C$15,L70='Tabla Impacto'!$D$15),"Mayor",IF(OR(L70='Tabla Impacto'!$C$16,L70='Tabla Impacto'!$D$16),"Catastrófico","")))))</f>
        <v>Mayor</v>
      </c>
      <c r="N70" s="353">
        <f>IF(M70="","",IF(M70="Leve",0.2,IF(M70="Menor",0.4,IF(M70="Moderado",0.6,IF(M70="Mayor",0.8,IF(M70="Catastrófico",1,))))))</f>
        <v>0.8</v>
      </c>
      <c r="O70" s="355"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Alto</v>
      </c>
      <c r="P70" s="168">
        <v>1</v>
      </c>
      <c r="Q70" s="157" t="s">
        <v>259</v>
      </c>
      <c r="R70" s="161" t="str">
        <f t="shared" si="78"/>
        <v>Probabilidad</v>
      </c>
      <c r="S70" s="162" t="s">
        <v>184</v>
      </c>
      <c r="T70" s="162" t="s">
        <v>185</v>
      </c>
      <c r="U70" s="163" t="str">
        <f>IF(AND(S70="Preventivo",T70="Automático"),"50%",IF(AND(S70="Preventivo",T70="Manual"),"40%",IF(AND(S70="Detectivo",T70="Automático"),"40%",IF(AND(S70="Detectivo",T70="Manual"),"30%",IF(AND(S70="Correctivo",T70="Automático"),"35%",IF(AND(S70="Correctivo",T70="Manual"),"25%",""))))))</f>
        <v>40%</v>
      </c>
      <c r="V70" s="162" t="s">
        <v>186</v>
      </c>
      <c r="W70" s="162" t="s">
        <v>187</v>
      </c>
      <c r="X70" s="162" t="s">
        <v>188</v>
      </c>
      <c r="Y70" s="164">
        <f>IFERROR(IF(R70="Probabilidad",(J70-(+J70*U70)),IF(R70="Impacto",J70,"")),"")</f>
        <v>0.48</v>
      </c>
      <c r="Z70" s="165" t="str">
        <f>IFERROR(IF(Y70="","",IF(Y70&lt;=0.2,"Muy Baja",IF(Y70&lt;=0.4,"Baja",IF(Y70&lt;=0.6,"Media",IF(Y70&lt;=0.8,"Alta","Muy Alta"))))),"")</f>
        <v>Media</v>
      </c>
      <c r="AA70" s="163">
        <f>+Y70</f>
        <v>0.48</v>
      </c>
      <c r="AB70" s="165" t="str">
        <f>IFERROR(IF(AC70="","",IF(AC70&lt;=0.2,"Leve",IF(AC70&lt;=0.4,"Menor",IF(AC70&lt;=0.6,"Moderado",IF(AC70&lt;=0.8,"Mayor","Catastrófico"))))),"")</f>
        <v>Mayor</v>
      </c>
      <c r="AC70" s="163">
        <f>IFERROR(IF(R70="Impacto",(N70-(+N70*U70)),IF(R70="Probabilidad",N70,"")),"")</f>
        <v>0.8</v>
      </c>
      <c r="AD70" s="166"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Alto</v>
      </c>
      <c r="AE70" s="162" t="s">
        <v>189</v>
      </c>
      <c r="AF70" s="196" t="s">
        <v>260</v>
      </c>
      <c r="AG70" s="196" t="s">
        <v>261</v>
      </c>
      <c r="AH70" s="158">
        <v>44469</v>
      </c>
      <c r="AI70" s="156" t="s">
        <v>389</v>
      </c>
      <c r="AJ70" s="204" t="s">
        <v>406</v>
      </c>
      <c r="AK70" s="206">
        <v>1</v>
      </c>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s="91" customFormat="1" ht="151.5" hidden="1" customHeight="1" x14ac:dyDescent="0.3">
      <c r="B71" s="349"/>
      <c r="C71" s="350"/>
      <c r="D71" s="350"/>
      <c r="E71" s="350"/>
      <c r="F71" s="350"/>
      <c r="G71" s="350"/>
      <c r="H71" s="351"/>
      <c r="I71" s="352"/>
      <c r="J71" s="353"/>
      <c r="K71" s="354"/>
      <c r="L71" s="353">
        <f>IF(NOT(ISERROR(MATCH(K71,_xlfn.ANCHORARRAY(#REF!),0))),#REF!&amp;"Por favor no seleccionar los criterios de impacto",K71)</f>
        <v>0</v>
      </c>
      <c r="M71" s="352"/>
      <c r="N71" s="353"/>
      <c r="O71" s="355"/>
      <c r="P71" s="168">
        <v>2</v>
      </c>
      <c r="Q71" s="157"/>
      <c r="R71" s="161" t="str">
        <f>IF(OR(S71="Preventivo",S71="Detectivo"),"Probabilidad",IF(S71="Correctivo","Impacto",""))</f>
        <v/>
      </c>
      <c r="S71" s="162"/>
      <c r="T71" s="162"/>
      <c r="U71" s="163" t="str">
        <f t="shared" ref="U71:U75" si="82">IF(AND(S71="Preventivo",T71="Automático"),"50%",IF(AND(S71="Preventivo",T71="Manual"),"40%",IF(AND(S71="Detectivo",T71="Automático"),"40%",IF(AND(S71="Detectivo",T71="Manual"),"30%",IF(AND(S71="Correctivo",T71="Automático"),"35%",IF(AND(S71="Correctivo",T71="Manual"),"25%",""))))))</f>
        <v/>
      </c>
      <c r="V71" s="162"/>
      <c r="W71" s="162"/>
      <c r="X71" s="162"/>
      <c r="Y71" s="164" t="str">
        <f>IFERROR(IF(AND(R70="Probabilidad",R71="Probabilidad"),(AA70-(+AA70*U71)),IF(R71="Probabilidad",(J70-(+J70*U71)),IF(R71="Impacto",AA70,""))),"")</f>
        <v/>
      </c>
      <c r="Z71" s="169" t="str">
        <f t="shared" ref="Z71:Z75" si="83">IFERROR(IF(Y71="","",IF(Y71&lt;=0.2,"Muy Baja",IF(Y71&lt;=0.4,"Baja",IF(Y71&lt;=0.6,"Media",IF(Y71&lt;=0.8,"Alta","Muy Alta"))))),"")</f>
        <v/>
      </c>
      <c r="AA71" s="163" t="str">
        <f t="shared" ref="AA71:AA75" si="84">+Y71</f>
        <v/>
      </c>
      <c r="AB71" s="169" t="str">
        <f t="shared" ref="AB71:AB75" si="85">IFERROR(IF(AC71="","",IF(AC71&lt;=0.2,"Leve",IF(AC71&lt;=0.4,"Menor",IF(AC71&lt;=0.6,"Moderado",IF(AC71&lt;=0.8,"Mayor","Catastrófico"))))),"")</f>
        <v/>
      </c>
      <c r="AC71" s="163" t="str">
        <f>IFERROR(IF(AND(R70="Impacto",R71="Impacto"),(AC64-(+AC64*U71)),IF(R71="Impacto",($N$82-(+$N$82*U71)),IF(R71="Probabilidad",AC64,""))),"")</f>
        <v/>
      </c>
      <c r="AD71" s="166" t="str">
        <f t="shared" ref="AD71:AD72" si="86">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62"/>
      <c r="AF71" s="196"/>
      <c r="AG71" s="196"/>
      <c r="AH71" s="158"/>
      <c r="AI71" s="85">
        <v>44469</v>
      </c>
      <c r="AJ71" s="204"/>
      <c r="AK71" s="203"/>
    </row>
    <row r="72" spans="2:69" s="91" customFormat="1" ht="151.5" hidden="1" customHeight="1" x14ac:dyDescent="0.3">
      <c r="B72" s="349"/>
      <c r="C72" s="350"/>
      <c r="D72" s="350"/>
      <c r="E72" s="350"/>
      <c r="F72" s="350"/>
      <c r="G72" s="350"/>
      <c r="H72" s="351"/>
      <c r="I72" s="352"/>
      <c r="J72" s="353"/>
      <c r="K72" s="354"/>
      <c r="L72" s="353">
        <f>IF(NOT(ISERROR(MATCH(K72,_xlfn.ANCHORARRAY(#REF!),0))),#REF!&amp;"Por favor no seleccionar los criterios de impacto",K72)</f>
        <v>0</v>
      </c>
      <c r="M72" s="352"/>
      <c r="N72" s="353"/>
      <c r="O72" s="355"/>
      <c r="P72" s="168">
        <v>3</v>
      </c>
      <c r="Q72" s="167"/>
      <c r="R72" s="161" t="str">
        <f>IF(OR(S72="Preventivo",S72="Detectivo"),"Probabilidad",IF(S72="Correctivo","Impacto",""))</f>
        <v/>
      </c>
      <c r="S72" s="162"/>
      <c r="T72" s="162"/>
      <c r="U72" s="163" t="str">
        <f t="shared" si="82"/>
        <v/>
      </c>
      <c r="V72" s="162"/>
      <c r="W72" s="162"/>
      <c r="X72" s="162"/>
      <c r="Y72" s="164" t="str">
        <f>IFERROR(IF(AND(R71="Probabilidad",R72="Probabilidad"),(AA71-(+AA71*U72)),IF(AND(R71="Impacto",R72="Probabilidad"),(AA70-(+AA70*U72)),IF(R72="Impacto",AA71,""))),"")</f>
        <v/>
      </c>
      <c r="Z72" s="169" t="str">
        <f t="shared" si="83"/>
        <v/>
      </c>
      <c r="AA72" s="163" t="str">
        <f t="shared" si="84"/>
        <v/>
      </c>
      <c r="AB72" s="169" t="str">
        <f t="shared" si="85"/>
        <v/>
      </c>
      <c r="AC72" s="163" t="str">
        <f>IFERROR(IF(AND(R71="Impacto",R72="Impacto"),(AC71-(+AC71*U72)),IF(AND(R71="Probabilidad",R72="Impacto"),(AC70-(+AC70*U72)),IF(R72="Probabilidad",AC71,""))),"")</f>
        <v/>
      </c>
      <c r="AD72" s="166" t="str">
        <f t="shared" si="86"/>
        <v/>
      </c>
      <c r="AE72" s="162"/>
      <c r="AF72" s="196"/>
      <c r="AG72" s="196"/>
      <c r="AH72" s="158"/>
      <c r="AI72" s="85">
        <v>44469</v>
      </c>
      <c r="AJ72" s="204"/>
      <c r="AK72" s="203"/>
    </row>
    <row r="73" spans="2:69" s="91" customFormat="1" ht="151.5" hidden="1" customHeight="1" x14ac:dyDescent="0.3">
      <c r="B73" s="349"/>
      <c r="C73" s="350"/>
      <c r="D73" s="350"/>
      <c r="E73" s="350"/>
      <c r="F73" s="350"/>
      <c r="G73" s="350"/>
      <c r="H73" s="351"/>
      <c r="I73" s="352"/>
      <c r="J73" s="353"/>
      <c r="K73" s="354"/>
      <c r="L73" s="353">
        <f>IF(NOT(ISERROR(MATCH(K73,_xlfn.ANCHORARRAY(#REF!),0))),#REF!&amp;"Por favor no seleccionar los criterios de impacto",K73)</f>
        <v>0</v>
      </c>
      <c r="M73" s="352"/>
      <c r="N73" s="353"/>
      <c r="O73" s="355"/>
      <c r="P73" s="168">
        <v>4</v>
      </c>
      <c r="Q73" s="157"/>
      <c r="R73" s="161" t="str">
        <f t="shared" ref="R73:R75" si="87">IF(OR(S73="Preventivo",S73="Detectivo"),"Probabilidad",IF(S73="Correctivo","Impacto",""))</f>
        <v/>
      </c>
      <c r="S73" s="162"/>
      <c r="T73" s="162"/>
      <c r="U73" s="163" t="str">
        <f t="shared" si="82"/>
        <v/>
      </c>
      <c r="V73" s="162"/>
      <c r="W73" s="162"/>
      <c r="X73" s="162"/>
      <c r="Y73" s="164" t="str">
        <f t="shared" ref="Y73:Y75" si="88">IFERROR(IF(AND(R72="Probabilidad",R73="Probabilidad"),(AA72-(+AA72*U73)),IF(AND(R72="Impacto",R73="Probabilidad"),(AA71-(+AA71*U73)),IF(R73="Impacto",AA72,""))),"")</f>
        <v/>
      </c>
      <c r="Z73" s="169" t="str">
        <f t="shared" si="83"/>
        <v/>
      </c>
      <c r="AA73" s="163" t="str">
        <f t="shared" si="84"/>
        <v/>
      </c>
      <c r="AB73" s="169" t="str">
        <f t="shared" si="85"/>
        <v/>
      </c>
      <c r="AC73" s="163" t="str">
        <f t="shared" ref="AC73:AC75" si="89">IFERROR(IF(AND(R72="Impacto",R73="Impacto"),(AC72-(+AC72*U73)),IF(AND(R72="Probabilidad",R73="Impacto"),(AC71-(+AC71*U73)),IF(R73="Probabilidad",AC72,""))),"")</f>
        <v/>
      </c>
      <c r="AD73" s="166"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62"/>
      <c r="AF73" s="196"/>
      <c r="AG73" s="196"/>
      <c r="AH73" s="158"/>
      <c r="AI73" s="85">
        <v>44469</v>
      </c>
      <c r="AJ73" s="204"/>
      <c r="AK73" s="203"/>
    </row>
    <row r="74" spans="2:69" s="91" customFormat="1" ht="151.5" hidden="1" customHeight="1" x14ac:dyDescent="0.3">
      <c r="B74" s="349"/>
      <c r="C74" s="350"/>
      <c r="D74" s="350"/>
      <c r="E74" s="350"/>
      <c r="F74" s="350"/>
      <c r="G74" s="350"/>
      <c r="H74" s="351"/>
      <c r="I74" s="352"/>
      <c r="J74" s="353"/>
      <c r="K74" s="354"/>
      <c r="L74" s="353">
        <f>IF(NOT(ISERROR(MATCH(K74,_xlfn.ANCHORARRAY(#REF!),0))),#REF!&amp;"Por favor no seleccionar los criterios de impacto",K74)</f>
        <v>0</v>
      </c>
      <c r="M74" s="352"/>
      <c r="N74" s="353"/>
      <c r="O74" s="355"/>
      <c r="P74" s="168">
        <v>5</v>
      </c>
      <c r="Q74" s="157"/>
      <c r="R74" s="161" t="str">
        <f t="shared" si="87"/>
        <v/>
      </c>
      <c r="S74" s="162"/>
      <c r="T74" s="162"/>
      <c r="U74" s="163" t="str">
        <f t="shared" si="82"/>
        <v/>
      </c>
      <c r="V74" s="162"/>
      <c r="W74" s="162"/>
      <c r="X74" s="162"/>
      <c r="Y74" s="164" t="str">
        <f t="shared" si="88"/>
        <v/>
      </c>
      <c r="Z74" s="169" t="str">
        <f t="shared" si="83"/>
        <v/>
      </c>
      <c r="AA74" s="163" t="str">
        <f t="shared" si="84"/>
        <v/>
      </c>
      <c r="AB74" s="169" t="str">
        <f t="shared" si="85"/>
        <v/>
      </c>
      <c r="AC74" s="163" t="str">
        <f t="shared" si="89"/>
        <v/>
      </c>
      <c r="AD74" s="166" t="str">
        <f t="shared" ref="AD74:AD75" si="90">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62"/>
      <c r="AF74" s="196"/>
      <c r="AG74" s="196"/>
      <c r="AH74" s="158"/>
      <c r="AI74" s="85">
        <v>44469</v>
      </c>
      <c r="AJ74" s="204"/>
      <c r="AK74" s="203"/>
    </row>
    <row r="75" spans="2:69" s="91" customFormat="1" ht="151.5" hidden="1" customHeight="1" x14ac:dyDescent="0.3">
      <c r="B75" s="349"/>
      <c r="C75" s="350"/>
      <c r="D75" s="350"/>
      <c r="E75" s="350"/>
      <c r="F75" s="350"/>
      <c r="G75" s="350"/>
      <c r="H75" s="351"/>
      <c r="I75" s="352"/>
      <c r="J75" s="353"/>
      <c r="K75" s="354"/>
      <c r="L75" s="353">
        <f>IF(NOT(ISERROR(MATCH(K75,_xlfn.ANCHORARRAY(#REF!),0))),#REF!&amp;"Por favor no seleccionar los criterios de impacto",K75)</f>
        <v>0</v>
      </c>
      <c r="M75" s="352"/>
      <c r="N75" s="353"/>
      <c r="O75" s="355"/>
      <c r="P75" s="168">
        <v>6</v>
      </c>
      <c r="Q75" s="157"/>
      <c r="R75" s="161" t="str">
        <f t="shared" si="87"/>
        <v/>
      </c>
      <c r="S75" s="162"/>
      <c r="T75" s="162"/>
      <c r="U75" s="163" t="str">
        <f t="shared" si="82"/>
        <v/>
      </c>
      <c r="V75" s="162"/>
      <c r="W75" s="162"/>
      <c r="X75" s="162"/>
      <c r="Y75" s="164" t="str">
        <f t="shared" si="88"/>
        <v/>
      </c>
      <c r="Z75" s="169" t="str">
        <f t="shared" si="83"/>
        <v/>
      </c>
      <c r="AA75" s="163" t="str">
        <f t="shared" si="84"/>
        <v/>
      </c>
      <c r="AB75" s="169" t="str">
        <f t="shared" si="85"/>
        <v/>
      </c>
      <c r="AC75" s="163" t="str">
        <f t="shared" si="89"/>
        <v/>
      </c>
      <c r="AD75" s="166" t="str">
        <f t="shared" si="90"/>
        <v/>
      </c>
      <c r="AE75" s="162"/>
      <c r="AF75" s="196"/>
      <c r="AG75" s="196"/>
      <c r="AH75" s="158"/>
      <c r="AI75" s="85">
        <v>44469</v>
      </c>
      <c r="AJ75" s="204"/>
      <c r="AK75" s="203"/>
    </row>
    <row r="76" spans="2:69" ht="84.75" customHeight="1" x14ac:dyDescent="0.3">
      <c r="B76" s="411">
        <v>11</v>
      </c>
      <c r="C76" s="350" t="s">
        <v>197</v>
      </c>
      <c r="D76" s="350" t="s">
        <v>262</v>
      </c>
      <c r="E76" s="350" t="s">
        <v>263</v>
      </c>
      <c r="F76" s="350" t="s">
        <v>264</v>
      </c>
      <c r="G76" s="350" t="s">
        <v>180</v>
      </c>
      <c r="H76" s="351">
        <v>300</v>
      </c>
      <c r="I76" s="415" t="str">
        <f>IF(H76&lt;=0,"",IF(H76&lt;=2,"Muy Baja",IF(H76&lt;=24,"Baja",IF(H76&lt;=500,"Media",IF(H76&lt;=5000,"Alta","Muy Alta")))))</f>
        <v>Media</v>
      </c>
      <c r="J76" s="353">
        <f>IF(I76="","",IF(I76="Muy Baja",0.2,IF(I76="Baja",0.4,IF(I76="Media",0.6,IF(I76="Alta",0.8,IF(I76="Muy Alta",1,))))))</f>
        <v>0.6</v>
      </c>
      <c r="K76" s="354" t="s">
        <v>200</v>
      </c>
      <c r="L76" s="353" t="str">
        <f>IF(NOT(ISERROR(MATCH(K76,'[1]Tabla Impacto'!$B$222:$B$224,0))),'[1]Tabla Impacto'!$F$224&amp;"Por favor no seleccionar los criterios de impacto(Afectación Económica o presupuestal y Pérdida Reputacional)",K76)</f>
        <v xml:space="preserve">     El riesgo afecta la imagen de la entidad con algunos usuarios de relevancia frente al logro de los objetivos</v>
      </c>
      <c r="M76" s="415" t="str">
        <f>IF(OR(L76='[1]Tabla Impacto'!$C$12,L76='[1]Tabla Impacto'!$D$12),"Leve",IF(OR(L76='[1]Tabla Impacto'!$C$13,L76='[1]Tabla Impacto'!$D$13),"Menor",IF(OR(L76='[1]Tabla Impacto'!$C$14,L76='[1]Tabla Impacto'!$D$14),"Moderado",IF(OR(L76='[1]Tabla Impacto'!$C$15,L76='[1]Tabla Impacto'!$D$15),"Mayor",IF(OR(L76='[1]Tabla Impacto'!$C$16,L76='[1]Tabla Impacto'!$D$16),"Catastrófico","")))))</f>
        <v>Moderado</v>
      </c>
      <c r="N76" s="353">
        <f>IF(M76="","",IF(M76="Leve",0.2,IF(M76="Menor",0.4,IF(M76="Moderado",0.6,IF(M76="Mayor",0.8,IF(M76="Catastrófico",1,))))))</f>
        <v>0.6</v>
      </c>
      <c r="O76" s="355" t="str">
        <f>IF(OR(AND(I76="Muy Baja",M76="Leve"),AND(I76="Muy Baja",M76="Menor"),AND(I76="Baja",M76="Leve")),"Bajo",IF(OR(AND(I76="Muy baja",M76="Moderado"),AND(I76="Baja",M76="Menor"),AND(I76="Baja",M76="Moderado"),AND(I76="Media",M76="Leve"),AND(I76="Media",M76="Menor"),AND(I76="Media",M76="Moderado"),AND(I76="Alta",M76="Leve"),AND(I76="Alta",M76="Menor")),"Moderado",IF(OR(AND(I76="Muy Baja",M76="Mayor"),AND(I76="Baja",M76="Mayor"),AND(I76="Media",M76="Mayor"),AND(I76="Alta",M76="Moderado"),AND(I76="Alta",M76="Mayor"),AND(I76="Muy Alta",M76="Leve"),AND(I76="Muy Alta",M76="Menor"),AND(I76="Muy Alta",M76="Moderado"),AND(I76="Muy Alta",M76="Mayor")),"Alto",IF(OR(AND(I76="Muy Baja",M76="Catastrófico"),AND(I76="Baja",M76="Catastrófico"),AND(I76="Media",M76="Catastrófico"),AND(I76="Alta",M76="Catastrófico"),AND(I76="Muy Alta",M76="Catastrófico")),"Extremo",""))))</f>
        <v>Moderado</v>
      </c>
      <c r="P76" s="168">
        <v>1</v>
      </c>
      <c r="Q76" s="157" t="s">
        <v>265</v>
      </c>
      <c r="R76" s="161" t="str">
        <f t="shared" si="69"/>
        <v>Probabilidad</v>
      </c>
      <c r="S76" s="162" t="s">
        <v>184</v>
      </c>
      <c r="T76" s="162" t="s">
        <v>185</v>
      </c>
      <c r="U76" s="163" t="str">
        <f>IF(AND(S76="Preventivo",T76="Automático"),"50%",IF(AND(S76="Preventivo",T76="Manual"),"40%",IF(AND(S76="Detectivo",T76="Automático"),"40%",IF(AND(S76="Detectivo",T76="Manual"),"30%",IF(AND(S76="Correctivo",T76="Automático"),"35%",IF(AND(S76="Correctivo",T76="Manual"),"25%",""))))))</f>
        <v>40%</v>
      </c>
      <c r="V76" s="162" t="s">
        <v>186</v>
      </c>
      <c r="W76" s="162" t="s">
        <v>187</v>
      </c>
      <c r="X76" s="162" t="s">
        <v>188</v>
      </c>
      <c r="Y76" s="164">
        <f>IFERROR(IF(R76="Probabilidad",(J76-(+J76*U76)),IF(R76="Impacto",J76,"")),"")</f>
        <v>0.36</v>
      </c>
      <c r="Z76" s="165" t="str">
        <f>IFERROR(IF(Y76="","",IF(Y76&lt;=0.2,"Muy Baja",IF(Y76&lt;=0.4,"Baja",IF(Y76&lt;=0.6,"Media",IF(Y76&lt;=0.8,"Alta","Muy Alta"))))),"")</f>
        <v>Baja</v>
      </c>
      <c r="AA76" s="163">
        <f>+Y76</f>
        <v>0.36</v>
      </c>
      <c r="AB76" s="165" t="str">
        <f>IFERROR(IF(AC76="","",IF(AC76&lt;=0.2,"Leve",IF(AC76&lt;=0.4,"Menor",IF(AC76&lt;=0.6,"Moderado",IF(AC76&lt;=0.8,"Mayor","Catastrófico"))))),"")</f>
        <v>Moderado</v>
      </c>
      <c r="AC76" s="163">
        <f>IFERROR(IF(R76="Impacto",(N76-(+N76*U76)),IF(R76="Probabilidad",N76,"")),"")</f>
        <v>0.6</v>
      </c>
      <c r="AD76" s="166" t="str">
        <f>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Moderado</v>
      </c>
      <c r="AE76" s="162" t="s">
        <v>189</v>
      </c>
      <c r="AF76" s="196" t="s">
        <v>266</v>
      </c>
      <c r="AG76" s="196" t="s">
        <v>267</v>
      </c>
      <c r="AH76" s="158">
        <v>44407</v>
      </c>
      <c r="AI76" s="156" t="s">
        <v>389</v>
      </c>
      <c r="AJ76" s="204" t="s">
        <v>407</v>
      </c>
      <c r="AK76" s="205" t="s">
        <v>392</v>
      </c>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row>
    <row r="77" spans="2:69" ht="113.25" customHeight="1" x14ac:dyDescent="0.3">
      <c r="B77" s="411"/>
      <c r="C77" s="350"/>
      <c r="D77" s="350"/>
      <c r="E77" s="350"/>
      <c r="F77" s="350"/>
      <c r="G77" s="350"/>
      <c r="H77" s="351"/>
      <c r="I77" s="415"/>
      <c r="J77" s="353"/>
      <c r="K77" s="354"/>
      <c r="L77" s="353">
        <f>IF(NOT(ISERROR(MATCH(K77,_xlfn.ANCHORARRAY(F83),0))),J85&amp;"Por favor no seleccionar los criterios de impacto",K77)</f>
        <v>0</v>
      </c>
      <c r="M77" s="415"/>
      <c r="N77" s="353"/>
      <c r="O77" s="355"/>
      <c r="P77" s="168">
        <v>2</v>
      </c>
      <c r="Q77" s="157" t="s">
        <v>268</v>
      </c>
      <c r="R77" s="161" t="str">
        <f t="shared" si="69"/>
        <v>Probabilidad</v>
      </c>
      <c r="S77" s="162" t="s">
        <v>184</v>
      </c>
      <c r="T77" s="162" t="s">
        <v>185</v>
      </c>
      <c r="U77" s="163" t="str">
        <f t="shared" ref="U77:U78" si="91">IF(AND(S77="Preventivo",T77="Automático"),"50%",IF(AND(S77="Preventivo",T77="Manual"),"40%",IF(AND(S77="Detectivo",T77="Automático"),"40%",IF(AND(S77="Detectivo",T77="Manual"),"30%",IF(AND(S77="Correctivo",T77="Automático"),"35%",IF(AND(S77="Correctivo",T77="Manual"),"25%",""))))))</f>
        <v>40%</v>
      </c>
      <c r="V77" s="162" t="s">
        <v>186</v>
      </c>
      <c r="W77" s="162" t="s">
        <v>187</v>
      </c>
      <c r="X77" s="162" t="s">
        <v>188</v>
      </c>
      <c r="Y77" s="164">
        <f>IFERROR(IF(AND(R76="Probabilidad",R77="Probabilidad"),(AA76-(+AA76*U77)),IF(R77="Probabilidad",(J76-(+J76*U77)),IF(R77="Impacto",AA76,""))),"")</f>
        <v>0.216</v>
      </c>
      <c r="Z77" s="165" t="str">
        <f t="shared" ref="Z77:Z78" si="92">IFERROR(IF(Y77="","",IF(Y77&lt;=0.2,"Muy Baja",IF(Y77&lt;=0.4,"Baja",IF(Y77&lt;=0.6,"Media",IF(Y77&lt;=0.8,"Alta","Muy Alta"))))),"")</f>
        <v>Baja</v>
      </c>
      <c r="AA77" s="163">
        <f t="shared" ref="AA77:AA78" si="93">+Y77</f>
        <v>0.216</v>
      </c>
      <c r="AB77" s="165" t="str">
        <f t="shared" ref="AB77:AB78" si="94">IFERROR(IF(AC77="","",IF(AC77&lt;=0.2,"Leve",IF(AC77&lt;=0.4,"Menor",IF(AC77&lt;=0.6,"Moderado",IF(AC77&lt;=0.8,"Mayor","Catastrófico"))))),"")</f>
        <v>Moderado</v>
      </c>
      <c r="AC77" s="163">
        <f>IFERROR(IF(AND(R76="Impacto",R77="Impacto"),(AC58-(+AC58*U77)),IF(R77="Impacto",($N$76-(+$N$76*U77)),IF(R77="Probabilidad",AC58,""))),"")</f>
        <v>0.6</v>
      </c>
      <c r="AD77" s="166" t="str">
        <f t="shared" ref="AD77:AD78" si="95">IFERROR(IF(OR(AND(Z77="Muy Baja",AB77="Leve"),AND(Z77="Muy Baja",AB77="Menor"),AND(Z77="Baja",AB77="Leve")),"Bajo",IF(OR(AND(Z77="Muy baja",AB77="Moderado"),AND(Z77="Baja",AB77="Menor"),AND(Z77="Baja",AB77="Moderado"),AND(Z77="Media",AB77="Leve"),AND(Z77="Media",AB77="Menor"),AND(Z77="Media",AB77="Moderado"),AND(Z77="Alta",AB77="Leve"),AND(Z77="Alta",AB77="Menor")),"Moderado",IF(OR(AND(Z77="Muy Baja",AB77="Mayor"),AND(Z77="Baja",AB77="Mayor"),AND(Z77="Media",AB77="Mayor"),AND(Z77="Alta",AB77="Moderado"),AND(Z77="Alta",AB77="Mayor"),AND(Z77="Muy Alta",AB77="Leve"),AND(Z77="Muy Alta",AB77="Menor"),AND(Z77="Muy Alta",AB77="Moderado"),AND(Z77="Muy Alta",AB77="Mayor")),"Alto",IF(OR(AND(Z77="Muy Baja",AB77="Catastrófico"),AND(Z77="Baja",AB77="Catastrófico"),AND(Z77="Media",AB77="Catastrófico"),AND(Z77="Alta",AB77="Catastrófico"),AND(Z77="Muy Alta",AB77="Catastrófico")),"Extremo","")))),"")</f>
        <v>Moderado</v>
      </c>
      <c r="AE77" s="162" t="s">
        <v>189</v>
      </c>
      <c r="AF77" s="196" t="s">
        <v>269</v>
      </c>
      <c r="AG77" s="196" t="s">
        <v>270</v>
      </c>
      <c r="AH77" s="158">
        <v>44438</v>
      </c>
      <c r="AI77" s="156" t="s">
        <v>389</v>
      </c>
      <c r="AJ77" s="204" t="s">
        <v>408</v>
      </c>
      <c r="AK77" s="205">
        <v>100</v>
      </c>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row>
    <row r="78" spans="2:69" ht="90" customHeight="1" x14ac:dyDescent="0.3">
      <c r="B78" s="411"/>
      <c r="C78" s="350"/>
      <c r="D78" s="350"/>
      <c r="E78" s="350"/>
      <c r="F78" s="350"/>
      <c r="G78" s="350"/>
      <c r="H78" s="351"/>
      <c r="I78" s="415"/>
      <c r="J78" s="353"/>
      <c r="K78" s="354"/>
      <c r="L78" s="353">
        <f>IF(NOT(ISERROR(MATCH(K78,_xlfn.ANCHORARRAY(F84),0))),J86&amp;"Por favor no seleccionar los criterios de impacto",K78)</f>
        <v>0</v>
      </c>
      <c r="M78" s="415"/>
      <c r="N78" s="353"/>
      <c r="O78" s="355"/>
      <c r="P78" s="168">
        <v>3</v>
      </c>
      <c r="Q78" s="167" t="s">
        <v>271</v>
      </c>
      <c r="R78" s="161" t="str">
        <f t="shared" si="69"/>
        <v>Probabilidad</v>
      </c>
      <c r="S78" s="162" t="s">
        <v>184</v>
      </c>
      <c r="T78" s="162" t="s">
        <v>185</v>
      </c>
      <c r="U78" s="163" t="str">
        <f t="shared" si="91"/>
        <v>40%</v>
      </c>
      <c r="V78" s="162" t="s">
        <v>186</v>
      </c>
      <c r="W78" s="162" t="s">
        <v>187</v>
      </c>
      <c r="X78" s="162" t="s">
        <v>188</v>
      </c>
      <c r="Y78" s="164">
        <f>IFERROR(IF(AND(R77="Probabilidad",R78="Probabilidad"),(AA77-(+AA77*U78)),IF(AND(R77="Impacto",R78="Probabilidad"),(AA76-(+AA76*U78)),IF(R78="Impacto",AA77,""))),"")</f>
        <v>0.12959999999999999</v>
      </c>
      <c r="Z78" s="165" t="str">
        <f t="shared" si="92"/>
        <v>Muy Baja</v>
      </c>
      <c r="AA78" s="163">
        <f t="shared" si="93"/>
        <v>0.12959999999999999</v>
      </c>
      <c r="AB78" s="165" t="str">
        <f t="shared" si="94"/>
        <v>Moderado</v>
      </c>
      <c r="AC78" s="163">
        <f>IFERROR(IF(AND(R77="Impacto",R78="Impacto"),(AC77-(+AC77*U78)),IF(AND(R77="Probabilidad",R78="Impacto"),(AC76-(+AC76*U78)),IF(R78="Probabilidad",AC77,""))),"")</f>
        <v>0.6</v>
      </c>
      <c r="AD78" s="166" t="str">
        <f t="shared" si="95"/>
        <v>Moderado</v>
      </c>
      <c r="AE78" s="162"/>
      <c r="AF78" s="196" t="s">
        <v>272</v>
      </c>
      <c r="AG78" s="196" t="s">
        <v>270</v>
      </c>
      <c r="AH78" s="158">
        <v>44407</v>
      </c>
      <c r="AI78" s="156" t="s">
        <v>389</v>
      </c>
      <c r="AJ78" s="204" t="s">
        <v>409</v>
      </c>
      <c r="AK78" s="205" t="s">
        <v>392</v>
      </c>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row>
    <row r="79" spans="2:69" hidden="1" x14ac:dyDescent="0.3">
      <c r="B79" s="414"/>
      <c r="C79" s="350"/>
      <c r="D79" s="350"/>
      <c r="E79" s="350"/>
      <c r="F79" s="350"/>
      <c r="G79" s="350"/>
      <c r="H79" s="351"/>
      <c r="I79" s="415"/>
      <c r="J79" s="353"/>
      <c r="K79" s="354"/>
      <c r="L79" s="353"/>
      <c r="M79" s="415"/>
      <c r="N79" s="353"/>
      <c r="O79" s="355"/>
      <c r="P79" s="175"/>
      <c r="Q79" s="175"/>
      <c r="R79" s="175"/>
      <c r="S79" s="175"/>
      <c r="T79" s="175"/>
      <c r="U79" s="175"/>
      <c r="V79" s="175"/>
      <c r="W79" s="175"/>
      <c r="X79" s="175"/>
      <c r="Y79" s="175"/>
      <c r="Z79" s="175"/>
      <c r="AA79" s="175"/>
      <c r="AB79" s="175"/>
      <c r="AC79" s="175"/>
      <c r="AD79" s="175"/>
      <c r="AE79" s="175"/>
      <c r="AF79" s="175"/>
      <c r="AG79" s="176"/>
      <c r="AH79" s="175"/>
      <c r="AI79" s="85">
        <v>44469</v>
      </c>
      <c r="AJ79" s="204"/>
      <c r="AK79" s="203"/>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c r="BL79" s="91"/>
      <c r="BM79" s="91"/>
      <c r="BN79" s="91"/>
      <c r="BO79" s="91"/>
      <c r="BP79" s="91"/>
      <c r="BQ79" s="91"/>
    </row>
    <row r="80" spans="2:69" ht="151.5" hidden="1" customHeight="1" x14ac:dyDescent="0.3">
      <c r="B80" s="411"/>
      <c r="C80" s="350"/>
      <c r="D80" s="350"/>
      <c r="E80" s="350"/>
      <c r="F80" s="350"/>
      <c r="G80" s="350"/>
      <c r="H80" s="351"/>
      <c r="I80" s="415"/>
      <c r="J80" s="353"/>
      <c r="K80" s="354"/>
      <c r="L80" s="353"/>
      <c r="M80" s="415"/>
      <c r="N80" s="353"/>
      <c r="O80" s="355"/>
      <c r="P80" s="168">
        <v>5</v>
      </c>
      <c r="Q80" s="157"/>
      <c r="R80" s="161" t="str">
        <f t="shared" ref="R80:R82" si="96">IF(OR(S80="Preventivo",S80="Detectivo"),"Probabilidad",IF(S80="Correctivo","Impacto",""))</f>
        <v/>
      </c>
      <c r="S80" s="162"/>
      <c r="T80" s="162"/>
      <c r="U80" s="163" t="str">
        <f t="shared" ref="U80:U81" si="97">IF(AND(S80="Preventivo",T80="Automático"),"50%",IF(AND(S80="Preventivo",T80="Manual"),"40%",IF(AND(S80="Detectivo",T80="Automático"),"40%",IF(AND(S80="Detectivo",T80="Manual"),"30%",IF(AND(S80="Correctivo",T80="Automático"),"35%",IF(AND(S80="Correctivo",T80="Manual"),"25%",""))))))</f>
        <v/>
      </c>
      <c r="V80" s="162"/>
      <c r="W80" s="162"/>
      <c r="X80" s="162"/>
      <c r="Y80" s="164" t="str">
        <f t="shared" ref="Y80:Y81" si="98">IFERROR(IF(AND(R79="Probabilidad",R80="Probabilidad"),(AA79-(+AA79*U80)),IF(AND(R79="Impacto",R80="Probabilidad"),(AA78-(+AA78*U80)),IF(R80="Impacto",AA79,""))),"")</f>
        <v/>
      </c>
      <c r="Z80" s="169" t="str">
        <f t="shared" si="9"/>
        <v/>
      </c>
      <c r="AA80" s="163" t="str">
        <f t="shared" ref="AA80:AA81" si="99">+Y80</f>
        <v/>
      </c>
      <c r="AB80" s="169" t="str">
        <f t="shared" si="11"/>
        <v/>
      </c>
      <c r="AC80" s="163" t="str">
        <f t="shared" ref="AC80:AC81" si="100">IFERROR(IF(AND(R79="Impacto",R80="Impacto"),(AC79-(+AC79*U80)),IF(AND(R79="Probabilidad",R80="Impacto"),(AC78-(+AC78*U80)),IF(R80="Probabilidad",AC79,""))),"")</f>
        <v/>
      </c>
      <c r="AD80" s="166" t="str">
        <f t="shared" ref="AD80:AD81" si="101">IFERROR(IF(OR(AND(Z80="Muy Baja",AB80="Leve"),AND(Z80="Muy Baja",AB80="Menor"),AND(Z80="Baja",AB80="Leve")),"Bajo",IF(OR(AND(Z80="Muy baja",AB80="Moderado"),AND(Z80="Baja",AB80="Menor"),AND(Z80="Baja",AB80="Moderado"),AND(Z80="Media",AB80="Leve"),AND(Z80="Media",AB80="Menor"),AND(Z80="Media",AB80="Moderado"),AND(Z80="Alta",AB80="Leve"),AND(Z80="Alta",AB80="Menor")),"Moderado",IF(OR(AND(Z80="Muy Baja",AB80="Mayor"),AND(Z80="Baja",AB80="Mayor"),AND(Z80="Media",AB80="Mayor"),AND(Z80="Alta",AB80="Moderado"),AND(Z80="Alta",AB80="Mayor"),AND(Z80="Muy Alta",AB80="Leve"),AND(Z80="Muy Alta",AB80="Menor"),AND(Z80="Muy Alta",AB80="Moderado"),AND(Z80="Muy Alta",AB80="Mayor")),"Alto",IF(OR(AND(Z80="Muy Baja",AB80="Catastrófico"),AND(Z80="Baja",AB80="Catastrófico"),AND(Z80="Media",AB80="Catastrófico"),AND(Z80="Alta",AB80="Catastrófico"),AND(Z80="Muy Alta",AB80="Catastrófico")),"Extremo","")))),"")</f>
        <v/>
      </c>
      <c r="AE80" s="162"/>
      <c r="AF80" s="196"/>
      <c r="AG80" s="196"/>
      <c r="AH80" s="158"/>
      <c r="AI80" s="85">
        <v>44469</v>
      </c>
      <c r="AJ80" s="204"/>
      <c r="AK80" s="203"/>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row>
    <row r="81" spans="2:69" ht="151.5" hidden="1" customHeight="1" x14ac:dyDescent="0.3">
      <c r="B81" s="411"/>
      <c r="C81" s="350"/>
      <c r="D81" s="350"/>
      <c r="E81" s="350"/>
      <c r="F81" s="350"/>
      <c r="G81" s="350"/>
      <c r="H81" s="351"/>
      <c r="I81" s="415"/>
      <c r="J81" s="353"/>
      <c r="K81" s="354"/>
      <c r="L81" s="353"/>
      <c r="M81" s="415"/>
      <c r="N81" s="353"/>
      <c r="O81" s="355"/>
      <c r="P81" s="168">
        <v>6</v>
      </c>
      <c r="Q81" s="157"/>
      <c r="R81" s="161" t="str">
        <f t="shared" si="96"/>
        <v/>
      </c>
      <c r="S81" s="162"/>
      <c r="T81" s="162"/>
      <c r="U81" s="163" t="str">
        <f t="shared" si="97"/>
        <v/>
      </c>
      <c r="V81" s="162"/>
      <c r="W81" s="162"/>
      <c r="X81" s="162"/>
      <c r="Y81" s="164" t="str">
        <f t="shared" si="98"/>
        <v/>
      </c>
      <c r="Z81" s="169" t="str">
        <f t="shared" si="9"/>
        <v/>
      </c>
      <c r="AA81" s="163" t="str">
        <f t="shared" si="99"/>
        <v/>
      </c>
      <c r="AB81" s="169" t="str">
        <f t="shared" si="11"/>
        <v/>
      </c>
      <c r="AC81" s="163" t="str">
        <f t="shared" si="100"/>
        <v/>
      </c>
      <c r="AD81" s="166" t="str">
        <f t="shared" si="101"/>
        <v/>
      </c>
      <c r="AE81" s="162"/>
      <c r="AF81" s="196"/>
      <c r="AG81" s="196"/>
      <c r="AH81" s="158"/>
      <c r="AI81" s="85">
        <v>44469</v>
      </c>
      <c r="AJ81" s="204"/>
      <c r="AK81" s="203"/>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row>
    <row r="82" spans="2:69" ht="126.75" customHeight="1" x14ac:dyDescent="0.3">
      <c r="B82" s="411">
        <v>12</v>
      </c>
      <c r="C82" s="356" t="s">
        <v>176</v>
      </c>
      <c r="D82" s="356" t="s">
        <v>177</v>
      </c>
      <c r="E82" s="356" t="s">
        <v>273</v>
      </c>
      <c r="F82" s="356" t="s">
        <v>274</v>
      </c>
      <c r="G82" s="356" t="s">
        <v>180</v>
      </c>
      <c r="H82" s="359">
        <v>246</v>
      </c>
      <c r="I82" s="362" t="str">
        <f>IF(H82&lt;=0,"",IF(H82&lt;=2,"Muy Baja",IF(H82&lt;=24,"Baja",IF(H82&lt;=500,"Media",IF(H82&lt;=5000,"Alta","Muy Alta")))))</f>
        <v>Media</v>
      </c>
      <c r="J82" s="365">
        <f>IF(I82="","",IF(I82="Muy Baja",0.2,IF(I82="Baja",0.4,IF(I82="Media",0.6,IF(I82="Alta",0.8,IF(I82="Muy Alta",1,))))))</f>
        <v>0.6</v>
      </c>
      <c r="K82" s="368" t="s">
        <v>200</v>
      </c>
      <c r="L82" s="365" t="str">
        <f>IF(NOT(ISERROR(MATCH(K82,'Tabla Impacto'!$B$222:$B$224,0))),'Tabla Impacto'!$F$224&amp;"Por favor no seleccionar los criterios de impacto(Afectación Económica o presupuestal y Pérdida Reputacional)",K82)</f>
        <v xml:space="preserve">     El riesgo afecta la imagen de la entidad con algunos usuarios de relevancia frente al logro de los objetivos</v>
      </c>
      <c r="M82" s="362" t="str">
        <f>IF(OR(L82='Tabla Impacto'!$C$12,L82='Tabla Impacto'!$D$12),"Leve",IF(OR(L82='Tabla Impacto'!$C$13,L82='Tabla Impacto'!$D$13),"Menor",IF(OR(L82='Tabla Impacto'!$C$14,L82='Tabla Impacto'!$D$14),"Moderado",IF(OR(L82='Tabla Impacto'!$C$15,L82='Tabla Impacto'!$D$15),"Mayor",IF(OR(L82='Tabla Impacto'!$C$16,L82='Tabla Impacto'!$D$16),"Catastrófico","")))))</f>
        <v>Moderado</v>
      </c>
      <c r="N82" s="365">
        <f>IF(M82="","",IF(M82="Leve",0.2,IF(M82="Menor",0.4,IF(M82="Moderado",0.6,IF(M82="Mayor",0.8,IF(M82="Catastrófico",1,))))))</f>
        <v>0.6</v>
      </c>
      <c r="O82" s="346" t="str">
        <f>IF(OR(AND(I82="Muy Baja",M82="Leve"),AND(I82="Muy Baja",M82="Menor"),AND(I82="Baja",M82="Leve")),"Bajo",IF(OR(AND(I82="Muy baja",M82="Moderado"),AND(I82="Baja",M82="Menor"),AND(I82="Baja",M82="Moderado"),AND(I82="Media",M82="Leve"),AND(I82="Media",M82="Menor"),AND(I82="Media",M82="Moderado"),AND(I82="Alta",M82="Leve"),AND(I82="Alta",M82="Menor")),"Moderado",IF(OR(AND(I82="Muy Baja",M82="Mayor"),AND(I82="Baja",M82="Mayor"),AND(I82="Media",M82="Mayor"),AND(I82="Alta",M82="Moderado"),AND(I82="Alta",M82="Mayor"),AND(I82="Muy Alta",M82="Leve"),AND(I82="Muy Alta",M82="Menor"),AND(I82="Muy Alta",M82="Moderado"),AND(I82="Muy Alta",M82="Mayor")),"Alto",IF(OR(AND(I82="Muy Baja",M82="Catastrófico"),AND(I82="Baja",M82="Catastrófico"),AND(I82="Media",M82="Catastrófico"),AND(I82="Alta",M82="Catastrófico"),AND(I82="Muy Alta",M82="Catastrófico")),"Extremo",""))))</f>
        <v>Moderado</v>
      </c>
      <c r="P82" s="168">
        <v>1</v>
      </c>
      <c r="Q82" s="157" t="s">
        <v>275</v>
      </c>
      <c r="R82" s="161" t="str">
        <f t="shared" si="96"/>
        <v>Probabilidad</v>
      </c>
      <c r="S82" s="162" t="s">
        <v>184</v>
      </c>
      <c r="T82" s="162" t="s">
        <v>185</v>
      </c>
      <c r="U82" s="163" t="str">
        <f>IF(AND(S82="Preventivo",T82="Automático"),"50%",IF(AND(S82="Preventivo",T82="Manual"),"40%",IF(AND(S82="Detectivo",T82="Automático"),"40%",IF(AND(S82="Detectivo",T82="Manual"),"30%",IF(AND(S82="Correctivo",T82="Automático"),"35%",IF(AND(S82="Correctivo",T82="Manual"),"25%",""))))))</f>
        <v>40%</v>
      </c>
      <c r="V82" s="162" t="s">
        <v>186</v>
      </c>
      <c r="W82" s="162" t="s">
        <v>187</v>
      </c>
      <c r="X82" s="162" t="s">
        <v>188</v>
      </c>
      <c r="Y82" s="164">
        <f>IFERROR(IF(R82="Probabilidad",(J82-(+J82*U82)),IF(R82="Impacto",J82,"")),"")</f>
        <v>0.36</v>
      </c>
      <c r="Z82" s="165" t="str">
        <f>IFERROR(IF(Y82="","",IF(Y82&lt;=0.2,"Muy Baja",IF(Y82&lt;=0.4,"Baja",IF(Y82&lt;=0.6,"Media",IF(Y82&lt;=0.8,"Alta","Muy Alta"))))),"")</f>
        <v>Baja</v>
      </c>
      <c r="AA82" s="163">
        <f>+Y82</f>
        <v>0.36</v>
      </c>
      <c r="AB82" s="165" t="str">
        <f>IFERROR(IF(AC82="","",IF(AC82&lt;=0.2,"Leve",IF(AC82&lt;=0.4,"Menor",IF(AC82&lt;=0.6,"Moderado",IF(AC82&lt;=0.8,"Mayor","Catastrófico"))))),"")</f>
        <v>Moderado</v>
      </c>
      <c r="AC82" s="163">
        <f>IFERROR(IF(R82="Impacto",(N82-(+N82*U82)),IF(R82="Probabilidad",N82,"")),"")</f>
        <v>0.6</v>
      </c>
      <c r="AD82" s="166" t="str">
        <f>IFERROR(IF(OR(AND(Z82="Muy Baja",AB82="Leve"),AND(Z82="Muy Baja",AB82="Menor"),AND(Z82="Baja",AB82="Leve")),"Bajo",IF(OR(AND(Z82="Muy baja",AB82="Moderado"),AND(Z82="Baja",AB82="Menor"),AND(Z82="Baja",AB82="Moderado"),AND(Z82="Media",AB82="Leve"),AND(Z82="Media",AB82="Menor"),AND(Z82="Media",AB82="Moderado"),AND(Z82="Alta",AB82="Leve"),AND(Z82="Alta",AB82="Menor")),"Moderado",IF(OR(AND(Z82="Muy Baja",AB82="Mayor"),AND(Z82="Baja",AB82="Mayor"),AND(Z82="Media",AB82="Mayor"),AND(Z82="Alta",AB82="Moderado"),AND(Z82="Alta",AB82="Mayor"),AND(Z82="Muy Alta",AB82="Leve"),AND(Z82="Muy Alta",AB82="Menor"),AND(Z82="Muy Alta",AB82="Moderado"),AND(Z82="Muy Alta",AB82="Mayor")),"Alto",IF(OR(AND(Z82="Muy Baja",AB82="Catastrófico"),AND(Z82="Baja",AB82="Catastrófico"),AND(Z82="Media",AB82="Catastrófico"),AND(Z82="Alta",AB82="Catastrófico"),AND(Z82="Muy Alta",AB82="Catastrófico")),"Extremo","")))),"")</f>
        <v>Moderado</v>
      </c>
      <c r="AE82" s="162" t="s">
        <v>189</v>
      </c>
      <c r="AF82" s="196" t="s">
        <v>276</v>
      </c>
      <c r="AG82" s="196" t="s">
        <v>277</v>
      </c>
      <c r="AH82" s="158">
        <v>44469</v>
      </c>
      <c r="AI82" s="156" t="s">
        <v>389</v>
      </c>
      <c r="AJ82" s="204" t="s">
        <v>410</v>
      </c>
      <c r="AK82" s="205" t="s">
        <v>392</v>
      </c>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row>
    <row r="83" spans="2:69" ht="102" customHeight="1" thickBot="1" x14ac:dyDescent="0.35">
      <c r="B83" s="411"/>
      <c r="C83" s="357"/>
      <c r="D83" s="357"/>
      <c r="E83" s="357"/>
      <c r="F83" s="357"/>
      <c r="G83" s="357"/>
      <c r="H83" s="360"/>
      <c r="I83" s="363"/>
      <c r="J83" s="366"/>
      <c r="K83" s="369"/>
      <c r="L83" s="366">
        <f>IF(NOT(ISERROR(MATCH(K83,_xlfn.ANCHORARRAY(F94),0))),J96&amp;"Por favor no seleccionar los criterios de impacto",K83)</f>
        <v>0</v>
      </c>
      <c r="M83" s="363"/>
      <c r="N83" s="366"/>
      <c r="O83" s="347"/>
      <c r="P83" s="168">
        <v>2</v>
      </c>
      <c r="Q83" s="157" t="s">
        <v>278</v>
      </c>
      <c r="R83" s="161" t="str">
        <f>IF(OR(S83="Preventivo",S83="Detectivo"),"Probabilidad",IF(S83="Correctivo","Impacto",""))</f>
        <v>Probabilidad</v>
      </c>
      <c r="S83" s="162" t="s">
        <v>184</v>
      </c>
      <c r="T83" s="162" t="s">
        <v>185</v>
      </c>
      <c r="U83" s="163" t="str">
        <f t="shared" ref="U83:U87" si="102">IF(AND(S83="Preventivo",T83="Automático"),"50%",IF(AND(S83="Preventivo",T83="Manual"),"40%",IF(AND(S83="Detectivo",T83="Automático"),"40%",IF(AND(S83="Detectivo",T83="Manual"),"30%",IF(AND(S83="Correctivo",T83="Automático"),"35%",IF(AND(S83="Correctivo",T83="Manual"),"25%",""))))))</f>
        <v>40%</v>
      </c>
      <c r="V83" s="162" t="s">
        <v>186</v>
      </c>
      <c r="W83" s="162" t="s">
        <v>187</v>
      </c>
      <c r="X83" s="162" t="s">
        <v>188</v>
      </c>
      <c r="Y83" s="164">
        <f>IFERROR(IF(AND(R82="Probabilidad",R83="Probabilidad"),(AA82-(+AA82*U83)),IF(R83="Probabilidad",(J82-(+J82*U83)),IF(R83="Impacto",AA82,""))),"")</f>
        <v>0.216</v>
      </c>
      <c r="Z83" s="169" t="str">
        <f t="shared" si="9"/>
        <v>Baja</v>
      </c>
      <c r="AA83" s="163">
        <f t="shared" ref="AA83:AA87" si="103">+Y83</f>
        <v>0.216</v>
      </c>
      <c r="AB83" s="169" t="str">
        <f t="shared" si="11"/>
        <v>Moderado</v>
      </c>
      <c r="AC83" s="163">
        <f>IFERROR(IF(AND(R82="Impacto",R83="Impacto"),(AC76-(+AC76*U83)),IF(R83="Impacto",($N$82-(+$N$82*U83)),IF(R83="Probabilidad",AC76,""))),"")</f>
        <v>0.6</v>
      </c>
      <c r="AD83" s="166" t="str">
        <f t="shared" ref="AD83:AD84" si="104">IFERROR(IF(OR(AND(Z83="Muy Baja",AB83="Leve"),AND(Z83="Muy Baja",AB83="Menor"),AND(Z83="Baja",AB83="Leve")),"Bajo",IF(OR(AND(Z83="Muy baja",AB83="Moderado"),AND(Z83="Baja",AB83="Menor"),AND(Z83="Baja",AB83="Moderado"),AND(Z83="Media",AB83="Leve"),AND(Z83="Media",AB83="Menor"),AND(Z83="Media",AB83="Moderado"),AND(Z83="Alta",AB83="Leve"),AND(Z83="Alta",AB83="Menor")),"Moderado",IF(OR(AND(Z83="Muy Baja",AB83="Mayor"),AND(Z83="Baja",AB83="Mayor"),AND(Z83="Media",AB83="Mayor"),AND(Z83="Alta",AB83="Moderado"),AND(Z83="Alta",AB83="Mayor"),AND(Z83="Muy Alta",AB83="Leve"),AND(Z83="Muy Alta",AB83="Menor"),AND(Z83="Muy Alta",AB83="Moderado"),AND(Z83="Muy Alta",AB83="Mayor")),"Alto",IF(OR(AND(Z83="Muy Baja",AB83="Catastrófico"),AND(Z83="Baja",AB83="Catastrófico"),AND(Z83="Media",AB83="Catastrófico"),AND(Z83="Alta",AB83="Catastrófico"),AND(Z83="Muy Alta",AB83="Catastrófico")),"Extremo","")))),"")</f>
        <v>Moderado</v>
      </c>
      <c r="AE83" s="162" t="s">
        <v>189</v>
      </c>
      <c r="AF83" s="196" t="s">
        <v>279</v>
      </c>
      <c r="AG83" s="196" t="s">
        <v>277</v>
      </c>
      <c r="AH83" s="158">
        <v>44469</v>
      </c>
      <c r="AI83" s="156" t="s">
        <v>389</v>
      </c>
      <c r="AJ83" s="204" t="s">
        <v>411</v>
      </c>
      <c r="AK83" s="205" t="s">
        <v>412</v>
      </c>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row>
    <row r="84" spans="2:69" ht="151.5" hidden="1" customHeight="1" x14ac:dyDescent="0.3">
      <c r="B84" s="411"/>
      <c r="C84" s="357"/>
      <c r="D84" s="357"/>
      <c r="E84" s="357"/>
      <c r="F84" s="357"/>
      <c r="G84" s="357"/>
      <c r="H84" s="360"/>
      <c r="I84" s="363"/>
      <c r="J84" s="366"/>
      <c r="K84" s="369"/>
      <c r="L84" s="366">
        <f>IF(NOT(ISERROR(MATCH(K84,_xlfn.ANCHORARRAY(F95),0))),J97&amp;"Por favor no seleccionar los criterios de impacto",K84)</f>
        <v>0</v>
      </c>
      <c r="M84" s="363"/>
      <c r="N84" s="366"/>
      <c r="O84" s="347"/>
      <c r="P84" s="168">
        <v>3</v>
      </c>
      <c r="Q84" s="167"/>
      <c r="R84" s="161" t="str">
        <f>IF(OR(S84="Preventivo",S84="Detectivo"),"Probabilidad",IF(S84="Correctivo","Impacto",""))</f>
        <v/>
      </c>
      <c r="S84" s="162"/>
      <c r="T84" s="162"/>
      <c r="U84" s="163" t="str">
        <f t="shared" si="102"/>
        <v/>
      </c>
      <c r="V84" s="162"/>
      <c r="W84" s="162"/>
      <c r="X84" s="162"/>
      <c r="Y84" s="164" t="str">
        <f>IFERROR(IF(AND(R83="Probabilidad",R84="Probabilidad"),(AA83-(+AA83*U84)),IF(AND(R83="Impacto",R84="Probabilidad"),(AA82-(+AA82*U84)),IF(R84="Impacto",AA83,""))),"")</f>
        <v/>
      </c>
      <c r="Z84" s="169" t="str">
        <f t="shared" si="9"/>
        <v/>
      </c>
      <c r="AA84" s="163" t="str">
        <f t="shared" si="103"/>
        <v/>
      </c>
      <c r="AB84" s="169" t="str">
        <f t="shared" si="11"/>
        <v/>
      </c>
      <c r="AC84" s="163" t="str">
        <f>IFERROR(IF(AND(R83="Impacto",R84="Impacto"),(AC83-(+AC83*U84)),IF(AND(R83="Probabilidad",R84="Impacto"),(AC82-(+AC82*U84)),IF(R84="Probabilidad",AC83,""))),"")</f>
        <v/>
      </c>
      <c r="AD84" s="166" t="str">
        <f t="shared" si="104"/>
        <v/>
      </c>
      <c r="AE84" s="162"/>
      <c r="AF84" s="196"/>
      <c r="AG84" s="196"/>
      <c r="AH84" s="158"/>
      <c r="AI84" s="85"/>
      <c r="AJ84" s="156"/>
      <c r="AK84" s="93"/>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1"/>
    </row>
    <row r="85" spans="2:69" ht="151.5" hidden="1" customHeight="1" x14ac:dyDescent="0.3">
      <c r="B85" s="411"/>
      <c r="C85" s="357"/>
      <c r="D85" s="357"/>
      <c r="E85" s="357"/>
      <c r="F85" s="357"/>
      <c r="G85" s="357"/>
      <c r="H85" s="360"/>
      <c r="I85" s="363"/>
      <c r="J85" s="366"/>
      <c r="K85" s="369"/>
      <c r="L85" s="366">
        <f>IF(NOT(ISERROR(MATCH(K85,_xlfn.ANCHORARRAY(F96),0))),J98&amp;"Por favor no seleccionar los criterios de impacto",K85)</f>
        <v>0</v>
      </c>
      <c r="M85" s="363"/>
      <c r="N85" s="366"/>
      <c r="O85" s="347"/>
      <c r="P85" s="168">
        <v>4</v>
      </c>
      <c r="Q85" s="157"/>
      <c r="R85" s="161" t="str">
        <f t="shared" ref="R85:R87" si="105">IF(OR(S85="Preventivo",S85="Detectivo"),"Probabilidad",IF(S85="Correctivo","Impacto",""))</f>
        <v/>
      </c>
      <c r="S85" s="162"/>
      <c r="T85" s="162"/>
      <c r="U85" s="163" t="str">
        <f t="shared" si="102"/>
        <v/>
      </c>
      <c r="V85" s="162"/>
      <c r="W85" s="162"/>
      <c r="X85" s="162"/>
      <c r="Y85" s="164" t="str">
        <f t="shared" ref="Y85:Y87" si="106">IFERROR(IF(AND(R84="Probabilidad",R85="Probabilidad"),(AA84-(+AA84*U85)),IF(AND(R84="Impacto",R85="Probabilidad"),(AA83-(+AA83*U85)),IF(R85="Impacto",AA84,""))),"")</f>
        <v/>
      </c>
      <c r="Z85" s="169" t="str">
        <f t="shared" si="9"/>
        <v/>
      </c>
      <c r="AA85" s="163" t="str">
        <f t="shared" si="103"/>
        <v/>
      </c>
      <c r="AB85" s="169" t="str">
        <f t="shared" si="11"/>
        <v/>
      </c>
      <c r="AC85" s="163" t="str">
        <f t="shared" ref="AC85:AC87" si="107">IFERROR(IF(AND(R84="Impacto",R85="Impacto"),(AC84-(+AC84*U85)),IF(AND(R84="Probabilidad",R85="Impacto"),(AC83-(+AC83*U85)),IF(R85="Probabilidad",AC84,""))),"")</f>
        <v/>
      </c>
      <c r="AD85" s="166" t="str">
        <f>IFERROR(IF(OR(AND(Z85="Muy Baja",AB85="Leve"),AND(Z85="Muy Baja",AB85="Menor"),AND(Z85="Baja",AB85="Leve")),"Bajo",IF(OR(AND(Z85="Muy baja",AB85="Moderado"),AND(Z85="Baja",AB85="Menor"),AND(Z85="Baja",AB85="Moderado"),AND(Z85="Media",AB85="Leve"),AND(Z85="Media",AB85="Menor"),AND(Z85="Media",AB85="Moderado"),AND(Z85="Alta",AB85="Leve"),AND(Z85="Alta",AB85="Menor")),"Moderado",IF(OR(AND(Z85="Muy Baja",AB85="Mayor"),AND(Z85="Baja",AB85="Mayor"),AND(Z85="Media",AB85="Mayor"),AND(Z85="Alta",AB85="Moderado"),AND(Z85="Alta",AB85="Mayor"),AND(Z85="Muy Alta",AB85="Leve"),AND(Z85="Muy Alta",AB85="Menor"),AND(Z85="Muy Alta",AB85="Moderado"),AND(Z85="Muy Alta",AB85="Mayor")),"Alto",IF(OR(AND(Z85="Muy Baja",AB85="Catastrófico"),AND(Z85="Baja",AB85="Catastrófico"),AND(Z85="Media",AB85="Catastrófico"),AND(Z85="Alta",AB85="Catastrófico"),AND(Z85="Muy Alta",AB85="Catastrófico")),"Extremo","")))),"")</f>
        <v/>
      </c>
      <c r="AE85" s="162"/>
      <c r="AF85" s="196"/>
      <c r="AG85" s="196"/>
      <c r="AH85" s="158"/>
      <c r="AI85" s="85"/>
      <c r="AJ85" s="156"/>
      <c r="AK85" s="93"/>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1"/>
    </row>
    <row r="86" spans="2:69" ht="151.5" hidden="1" customHeight="1" x14ac:dyDescent="0.3">
      <c r="B86" s="411"/>
      <c r="C86" s="357"/>
      <c r="D86" s="357"/>
      <c r="E86" s="357"/>
      <c r="F86" s="357"/>
      <c r="G86" s="357"/>
      <c r="H86" s="360"/>
      <c r="I86" s="363"/>
      <c r="J86" s="366"/>
      <c r="K86" s="369"/>
      <c r="L86" s="366">
        <f>IF(NOT(ISERROR(MATCH(K86,_xlfn.ANCHORARRAY(F97),0))),J99&amp;"Por favor no seleccionar los criterios de impacto",K86)</f>
        <v>0</v>
      </c>
      <c r="M86" s="363"/>
      <c r="N86" s="366"/>
      <c r="O86" s="347"/>
      <c r="P86" s="168">
        <v>5</v>
      </c>
      <c r="Q86" s="157"/>
      <c r="R86" s="161" t="str">
        <f t="shared" si="105"/>
        <v/>
      </c>
      <c r="S86" s="162"/>
      <c r="T86" s="162"/>
      <c r="U86" s="163" t="str">
        <f t="shared" si="102"/>
        <v/>
      </c>
      <c r="V86" s="162"/>
      <c r="W86" s="162"/>
      <c r="X86" s="162"/>
      <c r="Y86" s="164" t="str">
        <f t="shared" si="106"/>
        <v/>
      </c>
      <c r="Z86" s="169" t="str">
        <f t="shared" si="9"/>
        <v/>
      </c>
      <c r="AA86" s="163" t="str">
        <f t="shared" si="103"/>
        <v/>
      </c>
      <c r="AB86" s="169" t="str">
        <f t="shared" si="11"/>
        <v/>
      </c>
      <c r="AC86" s="163" t="str">
        <f t="shared" si="107"/>
        <v/>
      </c>
      <c r="AD86" s="166" t="str">
        <f t="shared" ref="AD86:AD87" si="108">IFERROR(IF(OR(AND(Z86="Muy Baja",AB86="Leve"),AND(Z86="Muy Baja",AB86="Menor"),AND(Z86="Baja",AB86="Leve")),"Bajo",IF(OR(AND(Z86="Muy baja",AB86="Moderado"),AND(Z86="Baja",AB86="Menor"),AND(Z86="Baja",AB86="Moderado"),AND(Z86="Media",AB86="Leve"),AND(Z86="Media",AB86="Menor"),AND(Z86="Media",AB86="Moderado"),AND(Z86="Alta",AB86="Leve"),AND(Z86="Alta",AB86="Menor")),"Moderado",IF(OR(AND(Z86="Muy Baja",AB86="Mayor"),AND(Z86="Baja",AB86="Mayor"),AND(Z86="Media",AB86="Mayor"),AND(Z86="Alta",AB86="Moderado"),AND(Z86="Alta",AB86="Mayor"),AND(Z86="Muy Alta",AB86="Leve"),AND(Z86="Muy Alta",AB86="Menor"),AND(Z86="Muy Alta",AB86="Moderado"),AND(Z86="Muy Alta",AB86="Mayor")),"Alto",IF(OR(AND(Z86="Muy Baja",AB86="Catastrófico"),AND(Z86="Baja",AB86="Catastrófico"),AND(Z86="Media",AB86="Catastrófico"),AND(Z86="Alta",AB86="Catastrófico"),AND(Z86="Muy Alta",AB86="Catastrófico")),"Extremo","")))),"")</f>
        <v/>
      </c>
      <c r="AE86" s="162"/>
      <c r="AF86" s="196"/>
      <c r="AG86" s="196"/>
      <c r="AH86" s="158"/>
      <c r="AI86" s="85"/>
      <c r="AJ86" s="156"/>
      <c r="AK86" s="93"/>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c r="BQ86" s="91"/>
    </row>
    <row r="87" spans="2:69" ht="151.5" hidden="1" customHeight="1" x14ac:dyDescent="0.3">
      <c r="B87" s="412"/>
      <c r="C87" s="357"/>
      <c r="D87" s="357"/>
      <c r="E87" s="357"/>
      <c r="F87" s="357"/>
      <c r="G87" s="357"/>
      <c r="H87" s="360"/>
      <c r="I87" s="363"/>
      <c r="J87" s="366"/>
      <c r="K87" s="369"/>
      <c r="L87" s="366">
        <f>IF(NOT(ISERROR(MATCH(K87,_xlfn.ANCHORARRAY(F98),0))),J100&amp;"Por favor no seleccionar los criterios de impacto",K87)</f>
        <v>0</v>
      </c>
      <c r="M87" s="363"/>
      <c r="N87" s="366"/>
      <c r="O87" s="347"/>
      <c r="P87" s="181">
        <v>6</v>
      </c>
      <c r="Q87" s="182"/>
      <c r="R87" s="183" t="str">
        <f t="shared" si="105"/>
        <v/>
      </c>
      <c r="S87" s="184"/>
      <c r="T87" s="184"/>
      <c r="U87" s="185" t="str">
        <f t="shared" si="102"/>
        <v/>
      </c>
      <c r="V87" s="184"/>
      <c r="W87" s="184"/>
      <c r="X87" s="184"/>
      <c r="Y87" s="186" t="str">
        <f t="shared" si="106"/>
        <v/>
      </c>
      <c r="Z87" s="187" t="str">
        <f t="shared" si="9"/>
        <v/>
      </c>
      <c r="AA87" s="185" t="str">
        <f t="shared" si="103"/>
        <v/>
      </c>
      <c r="AB87" s="187" t="str">
        <f t="shared" si="11"/>
        <v/>
      </c>
      <c r="AC87" s="185" t="str">
        <f t="shared" si="107"/>
        <v/>
      </c>
      <c r="AD87" s="188" t="str">
        <f t="shared" si="108"/>
        <v/>
      </c>
      <c r="AE87" s="184"/>
      <c r="AF87" s="197"/>
      <c r="AG87" s="197"/>
      <c r="AH87" s="189"/>
      <c r="AI87" s="190"/>
      <c r="AJ87" s="159"/>
      <c r="AK87" s="1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row>
    <row r="88" spans="2:69" ht="49.5" customHeight="1" thickBot="1" x14ac:dyDescent="0.35">
      <c r="B88" s="192"/>
      <c r="C88" s="408" t="s">
        <v>280</v>
      </c>
      <c r="D88" s="409"/>
      <c r="E88" s="409"/>
      <c r="F88" s="409"/>
      <c r="G88" s="409"/>
      <c r="H88" s="409"/>
      <c r="I88" s="409"/>
      <c r="J88" s="409"/>
      <c r="K88" s="409"/>
      <c r="L88" s="409"/>
      <c r="M88" s="409"/>
      <c r="N88" s="409"/>
      <c r="O88" s="409"/>
      <c r="P88" s="409"/>
      <c r="Q88" s="409"/>
      <c r="R88" s="409"/>
      <c r="S88" s="409"/>
      <c r="T88" s="409"/>
      <c r="U88" s="409"/>
      <c r="V88" s="409"/>
      <c r="W88" s="409"/>
      <c r="X88" s="409"/>
      <c r="Y88" s="409"/>
      <c r="Z88" s="409"/>
      <c r="AA88" s="409"/>
      <c r="AB88" s="409"/>
      <c r="AC88" s="409"/>
      <c r="AD88" s="409"/>
      <c r="AE88" s="409"/>
      <c r="AF88" s="409"/>
      <c r="AG88" s="409"/>
      <c r="AH88" s="409"/>
      <c r="AI88" s="409"/>
      <c r="AJ88" s="409"/>
      <c r="AK88" s="410"/>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c r="BL88" s="91"/>
      <c r="BM88" s="91"/>
      <c r="BN88" s="91"/>
      <c r="BO88" s="91"/>
      <c r="BP88" s="91"/>
      <c r="BQ88" s="91"/>
    </row>
    <row r="90" spans="2:69" x14ac:dyDescent="0.3">
      <c r="B90" s="91"/>
      <c r="C90" s="9" t="s">
        <v>281</v>
      </c>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1"/>
    </row>
  </sheetData>
  <dataConsolidate/>
  <mergeCells count="231">
    <mergeCell ref="N76:N78"/>
    <mergeCell ref="O76:O78"/>
    <mergeCell ref="C79:C81"/>
    <mergeCell ref="D79:D81"/>
    <mergeCell ref="E79:E81"/>
    <mergeCell ref="F79:F81"/>
    <mergeCell ref="G79:G81"/>
    <mergeCell ref="H79:H81"/>
    <mergeCell ref="I79:I81"/>
    <mergeCell ref="J79:J81"/>
    <mergeCell ref="K79:K81"/>
    <mergeCell ref="L79:L81"/>
    <mergeCell ref="M79:M81"/>
    <mergeCell ref="N79:N81"/>
    <mergeCell ref="O79:O81"/>
    <mergeCell ref="K76:K78"/>
    <mergeCell ref="L76:L78"/>
    <mergeCell ref="M76:M78"/>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B76:B81"/>
    <mergeCell ref="C76:C78"/>
    <mergeCell ref="D76:D78"/>
    <mergeCell ref="E76:E78"/>
    <mergeCell ref="F76:F78"/>
    <mergeCell ref="G76:G78"/>
    <mergeCell ref="H76:H78"/>
    <mergeCell ref="I76:I78"/>
    <mergeCell ref="J76:J78"/>
    <mergeCell ref="B13:H13"/>
    <mergeCell ref="I13:O13"/>
    <mergeCell ref="P13:X13"/>
    <mergeCell ref="Y13:AE13"/>
    <mergeCell ref="AF13:AK13"/>
    <mergeCell ref="C88:AK88"/>
    <mergeCell ref="B82:B87"/>
    <mergeCell ref="C82:C87"/>
    <mergeCell ref="D82:D87"/>
    <mergeCell ref="E82:E87"/>
    <mergeCell ref="F82:F87"/>
    <mergeCell ref="G82:G87"/>
    <mergeCell ref="H82:H87"/>
    <mergeCell ref="I82:I87"/>
    <mergeCell ref="J82:J87"/>
    <mergeCell ref="K82:K87"/>
    <mergeCell ref="L82:L87"/>
    <mergeCell ref="M82:M87"/>
    <mergeCell ref="N82:N87"/>
    <mergeCell ref="O82:O87"/>
    <mergeCell ref="B64:B69"/>
    <mergeCell ref="C64:C69"/>
    <mergeCell ref="D64:D69"/>
    <mergeCell ref="E64:E69"/>
    <mergeCell ref="AJ7:AK7"/>
    <mergeCell ref="AJ6:AK6"/>
    <mergeCell ref="AJ5:AK5"/>
    <mergeCell ref="AJ4:AK4"/>
    <mergeCell ref="F4:AI7"/>
    <mergeCell ref="B4:E7"/>
    <mergeCell ref="B12:AK12"/>
    <mergeCell ref="B9:C9"/>
    <mergeCell ref="B10:C10"/>
    <mergeCell ref="B11:C11"/>
    <mergeCell ref="D9:AK9"/>
    <mergeCell ref="D10:AK10"/>
    <mergeCell ref="D11:AK11"/>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F64:F69"/>
    <mergeCell ref="G64:G69"/>
    <mergeCell ref="H64:H69"/>
    <mergeCell ref="I64:I69"/>
    <mergeCell ref="J64:J69"/>
    <mergeCell ref="K64:K69"/>
    <mergeCell ref="L64:L69"/>
    <mergeCell ref="M64:M69"/>
    <mergeCell ref="N64:N69"/>
  </mergeCells>
  <conditionalFormatting sqref="M82">
    <cfRule type="cellIs" dxfId="497" priority="803" operator="equal">
      <formula>"Catastrófico"</formula>
    </cfRule>
    <cfRule type="cellIs" dxfId="496" priority="804" operator="equal">
      <formula>"Mayor"</formula>
    </cfRule>
    <cfRule type="cellIs" dxfId="495" priority="805" operator="equal">
      <formula>"Moderado"</formula>
    </cfRule>
    <cfRule type="cellIs" dxfId="494" priority="806" operator="equal">
      <formula>"Menor"</formula>
    </cfRule>
    <cfRule type="cellIs" dxfId="493" priority="807" operator="equal">
      <formula>"Leve"</formula>
    </cfRule>
  </conditionalFormatting>
  <conditionalFormatting sqref="I16">
    <cfRule type="cellIs" dxfId="492" priority="485" operator="equal">
      <formula>"Muy Alta"</formula>
    </cfRule>
    <cfRule type="cellIs" dxfId="491" priority="486" operator="equal">
      <formula>"Alta"</formula>
    </cfRule>
    <cfRule type="cellIs" dxfId="490" priority="487" operator="equal">
      <formula>"Media"</formula>
    </cfRule>
    <cfRule type="cellIs" dxfId="489" priority="488" operator="equal">
      <formula>"Baja"</formula>
    </cfRule>
    <cfRule type="cellIs" dxfId="488" priority="489" operator="equal">
      <formula>"Muy Baja"</formula>
    </cfRule>
  </conditionalFormatting>
  <conditionalFormatting sqref="Z23 Z25:Z27">
    <cfRule type="cellIs" dxfId="487" priority="724" operator="equal">
      <formula>"Muy Alta"</formula>
    </cfRule>
    <cfRule type="cellIs" dxfId="486" priority="725" operator="equal">
      <formula>"Alta"</formula>
    </cfRule>
    <cfRule type="cellIs" dxfId="485" priority="726" operator="equal">
      <formula>"Media"</formula>
    </cfRule>
    <cfRule type="cellIs" dxfId="484" priority="727" operator="equal">
      <formula>"Baja"</formula>
    </cfRule>
    <cfRule type="cellIs" dxfId="483" priority="728" operator="equal">
      <formula>"Muy Baja"</formula>
    </cfRule>
  </conditionalFormatting>
  <conditionalFormatting sqref="AB23 AB25:AB27">
    <cfRule type="cellIs" dxfId="482" priority="719" operator="equal">
      <formula>"Catastrófico"</formula>
    </cfRule>
    <cfRule type="cellIs" dxfId="481" priority="720" operator="equal">
      <formula>"Mayor"</formula>
    </cfRule>
    <cfRule type="cellIs" dxfId="480" priority="721" operator="equal">
      <formula>"Moderado"</formula>
    </cfRule>
    <cfRule type="cellIs" dxfId="479" priority="722" operator="equal">
      <formula>"Menor"</formula>
    </cfRule>
    <cfRule type="cellIs" dxfId="478" priority="723" operator="equal">
      <formula>"Leve"</formula>
    </cfRule>
  </conditionalFormatting>
  <conditionalFormatting sqref="AD23 AD25:AD27">
    <cfRule type="cellIs" dxfId="477" priority="715" operator="equal">
      <formula>"Extremo"</formula>
    </cfRule>
    <cfRule type="cellIs" dxfId="476" priority="716" operator="equal">
      <formula>"Alto"</formula>
    </cfRule>
    <cfRule type="cellIs" dxfId="475" priority="717" operator="equal">
      <formula>"Moderado"</formula>
    </cfRule>
    <cfRule type="cellIs" dxfId="474" priority="718" operator="equal">
      <formula>"Bajo"</formula>
    </cfRule>
  </conditionalFormatting>
  <conditionalFormatting sqref="Z30:Z33">
    <cfRule type="cellIs" dxfId="473" priority="696" operator="equal">
      <formula>"Muy Alta"</formula>
    </cfRule>
    <cfRule type="cellIs" dxfId="472" priority="697" operator="equal">
      <formula>"Alta"</formula>
    </cfRule>
    <cfRule type="cellIs" dxfId="471" priority="698" operator="equal">
      <formula>"Media"</formula>
    </cfRule>
    <cfRule type="cellIs" dxfId="470" priority="699" operator="equal">
      <formula>"Baja"</formula>
    </cfRule>
    <cfRule type="cellIs" dxfId="469" priority="700" operator="equal">
      <formula>"Muy Baja"</formula>
    </cfRule>
  </conditionalFormatting>
  <conditionalFormatting sqref="AB30:AB33">
    <cfRule type="cellIs" dxfId="468" priority="691" operator="equal">
      <formula>"Catastrófico"</formula>
    </cfRule>
    <cfRule type="cellIs" dxfId="467" priority="692" operator="equal">
      <formula>"Mayor"</formula>
    </cfRule>
    <cfRule type="cellIs" dxfId="466" priority="693" operator="equal">
      <formula>"Moderado"</formula>
    </cfRule>
    <cfRule type="cellIs" dxfId="465" priority="694" operator="equal">
      <formula>"Menor"</formula>
    </cfRule>
    <cfRule type="cellIs" dxfId="464" priority="695" operator="equal">
      <formula>"Leve"</formula>
    </cfRule>
  </conditionalFormatting>
  <conditionalFormatting sqref="AD30:AD33">
    <cfRule type="cellIs" dxfId="463" priority="687" operator="equal">
      <formula>"Extremo"</formula>
    </cfRule>
    <cfRule type="cellIs" dxfId="462" priority="688" operator="equal">
      <formula>"Alto"</formula>
    </cfRule>
    <cfRule type="cellIs" dxfId="461" priority="689" operator="equal">
      <formula>"Moderado"</formula>
    </cfRule>
    <cfRule type="cellIs" dxfId="460" priority="690" operator="equal">
      <formula>"Bajo"</formula>
    </cfRule>
  </conditionalFormatting>
  <conditionalFormatting sqref="Z54:Z57">
    <cfRule type="cellIs" dxfId="459" priority="584" operator="equal">
      <formula>"Muy Alta"</formula>
    </cfRule>
    <cfRule type="cellIs" dxfId="458" priority="585" operator="equal">
      <formula>"Alta"</formula>
    </cfRule>
    <cfRule type="cellIs" dxfId="457" priority="586" operator="equal">
      <formula>"Media"</formula>
    </cfRule>
    <cfRule type="cellIs" dxfId="456" priority="587" operator="equal">
      <formula>"Baja"</formula>
    </cfRule>
    <cfRule type="cellIs" dxfId="455" priority="588" operator="equal">
      <formula>"Muy Baja"</formula>
    </cfRule>
  </conditionalFormatting>
  <conditionalFormatting sqref="AB54:AB57">
    <cfRule type="cellIs" dxfId="454" priority="579" operator="equal">
      <formula>"Catastrófico"</formula>
    </cfRule>
    <cfRule type="cellIs" dxfId="453" priority="580" operator="equal">
      <formula>"Mayor"</formula>
    </cfRule>
    <cfRule type="cellIs" dxfId="452" priority="581" operator="equal">
      <formula>"Moderado"</formula>
    </cfRule>
    <cfRule type="cellIs" dxfId="451" priority="582" operator="equal">
      <formula>"Menor"</formula>
    </cfRule>
    <cfRule type="cellIs" dxfId="450" priority="583" operator="equal">
      <formula>"Leve"</formula>
    </cfRule>
  </conditionalFormatting>
  <conditionalFormatting sqref="AD54:AD57">
    <cfRule type="cellIs" dxfId="449" priority="575" operator="equal">
      <formula>"Extremo"</formula>
    </cfRule>
    <cfRule type="cellIs" dxfId="448" priority="576" operator="equal">
      <formula>"Alto"</formula>
    </cfRule>
    <cfRule type="cellIs" dxfId="447" priority="577" operator="equal">
      <formula>"Moderado"</formula>
    </cfRule>
    <cfRule type="cellIs" dxfId="446" priority="578" operator="equal">
      <formula>"Bajo"</formula>
    </cfRule>
  </conditionalFormatting>
  <conditionalFormatting sqref="O16">
    <cfRule type="cellIs" dxfId="445" priority="476" operator="equal">
      <formula>"Extremo"</formula>
    </cfRule>
    <cfRule type="cellIs" dxfId="444" priority="477" operator="equal">
      <formula>"Alto"</formula>
    </cfRule>
    <cfRule type="cellIs" dxfId="443" priority="478" operator="equal">
      <formula>"Moderado"</formula>
    </cfRule>
    <cfRule type="cellIs" dxfId="442" priority="479" operator="equal">
      <formula>"Bajo"</formula>
    </cfRule>
  </conditionalFormatting>
  <conditionalFormatting sqref="Z79:Z81">
    <cfRule type="cellIs" dxfId="441" priority="528" operator="equal">
      <formula>"Muy Alta"</formula>
    </cfRule>
    <cfRule type="cellIs" dxfId="440" priority="529" operator="equal">
      <formula>"Alta"</formula>
    </cfRule>
    <cfRule type="cellIs" dxfId="439" priority="530" operator="equal">
      <formula>"Media"</formula>
    </cfRule>
    <cfRule type="cellIs" dxfId="438" priority="531" operator="equal">
      <formula>"Baja"</formula>
    </cfRule>
    <cfRule type="cellIs" dxfId="437" priority="532" operator="equal">
      <formula>"Muy Baja"</formula>
    </cfRule>
  </conditionalFormatting>
  <conditionalFormatting sqref="AB79:AB81">
    <cfRule type="cellIs" dxfId="436" priority="523" operator="equal">
      <formula>"Catastrófico"</formula>
    </cfRule>
    <cfRule type="cellIs" dxfId="435" priority="524" operator="equal">
      <formula>"Mayor"</formula>
    </cfRule>
    <cfRule type="cellIs" dxfId="434" priority="525" operator="equal">
      <formula>"Moderado"</formula>
    </cfRule>
    <cfRule type="cellIs" dxfId="433" priority="526" operator="equal">
      <formula>"Menor"</formula>
    </cfRule>
    <cfRule type="cellIs" dxfId="432" priority="527" operator="equal">
      <formula>"Leve"</formula>
    </cfRule>
  </conditionalFormatting>
  <conditionalFormatting sqref="AD79:AD81">
    <cfRule type="cellIs" dxfId="431" priority="519" operator="equal">
      <formula>"Extremo"</formula>
    </cfRule>
    <cfRule type="cellIs" dxfId="430" priority="520" operator="equal">
      <formula>"Alto"</formula>
    </cfRule>
    <cfRule type="cellIs" dxfId="429" priority="521" operator="equal">
      <formula>"Moderado"</formula>
    </cfRule>
    <cfRule type="cellIs" dxfId="428" priority="522" operator="equal">
      <formula>"Bajo"</formula>
    </cfRule>
  </conditionalFormatting>
  <conditionalFormatting sqref="I82">
    <cfRule type="cellIs" dxfId="427" priority="514" operator="equal">
      <formula>"Muy Alta"</formula>
    </cfRule>
    <cfRule type="cellIs" dxfId="426" priority="515" operator="equal">
      <formula>"Alta"</formula>
    </cfRule>
    <cfRule type="cellIs" dxfId="425" priority="516" operator="equal">
      <formula>"Media"</formula>
    </cfRule>
    <cfRule type="cellIs" dxfId="424" priority="517" operator="equal">
      <formula>"Baja"</formula>
    </cfRule>
    <cfRule type="cellIs" dxfId="423" priority="518" operator="equal">
      <formula>"Muy Baja"</formula>
    </cfRule>
  </conditionalFormatting>
  <conditionalFormatting sqref="O82">
    <cfRule type="cellIs" dxfId="422" priority="505" operator="equal">
      <formula>"Extremo"</formula>
    </cfRule>
    <cfRule type="cellIs" dxfId="421" priority="506" operator="equal">
      <formula>"Alto"</formula>
    </cfRule>
    <cfRule type="cellIs" dxfId="420" priority="507" operator="equal">
      <formula>"Moderado"</formula>
    </cfRule>
    <cfRule type="cellIs" dxfId="419" priority="508" operator="equal">
      <formula>"Bajo"</formula>
    </cfRule>
  </conditionalFormatting>
  <conditionalFormatting sqref="Z83:Z87">
    <cfRule type="cellIs" dxfId="418" priority="500" operator="equal">
      <formula>"Muy Alta"</formula>
    </cfRule>
    <cfRule type="cellIs" dxfId="417" priority="501" operator="equal">
      <formula>"Alta"</formula>
    </cfRule>
    <cfRule type="cellIs" dxfId="416" priority="502" operator="equal">
      <formula>"Media"</formula>
    </cfRule>
    <cfRule type="cellIs" dxfId="415" priority="503" operator="equal">
      <formula>"Baja"</formula>
    </cfRule>
    <cfRule type="cellIs" dxfId="414" priority="504" operator="equal">
      <formula>"Muy Baja"</formula>
    </cfRule>
  </conditionalFormatting>
  <conditionalFormatting sqref="AB83:AB87">
    <cfRule type="cellIs" dxfId="413" priority="495" operator="equal">
      <formula>"Catastrófico"</formula>
    </cfRule>
    <cfRule type="cellIs" dxfId="412" priority="496" operator="equal">
      <formula>"Mayor"</formula>
    </cfRule>
    <cfRule type="cellIs" dxfId="411" priority="497" operator="equal">
      <formula>"Moderado"</formula>
    </cfRule>
    <cfRule type="cellIs" dxfId="410" priority="498" operator="equal">
      <formula>"Menor"</formula>
    </cfRule>
    <cfRule type="cellIs" dxfId="409" priority="499" operator="equal">
      <formula>"Leve"</formula>
    </cfRule>
  </conditionalFormatting>
  <conditionalFormatting sqref="AD83:AD87">
    <cfRule type="cellIs" dxfId="408" priority="491" operator="equal">
      <formula>"Extremo"</formula>
    </cfRule>
    <cfRule type="cellIs" dxfId="407" priority="492" operator="equal">
      <formula>"Alto"</formula>
    </cfRule>
    <cfRule type="cellIs" dxfId="406" priority="493" operator="equal">
      <formula>"Moderado"</formula>
    </cfRule>
    <cfRule type="cellIs" dxfId="405" priority="494" operator="equal">
      <formula>"Bajo"</formula>
    </cfRule>
  </conditionalFormatting>
  <conditionalFormatting sqref="L82:L87">
    <cfRule type="containsText" dxfId="404" priority="490" operator="containsText" text="❌">
      <formula>NOT(ISERROR(SEARCH("❌",L82)))</formula>
    </cfRule>
  </conditionalFormatting>
  <conditionalFormatting sqref="I22">
    <cfRule type="cellIs" dxfId="403" priority="456" operator="equal">
      <formula>"Muy Alta"</formula>
    </cfRule>
    <cfRule type="cellIs" dxfId="402" priority="457" operator="equal">
      <formula>"Alta"</formula>
    </cfRule>
    <cfRule type="cellIs" dxfId="401" priority="458" operator="equal">
      <formula>"Media"</formula>
    </cfRule>
    <cfRule type="cellIs" dxfId="400" priority="459" operator="equal">
      <formula>"Baja"</formula>
    </cfRule>
    <cfRule type="cellIs" dxfId="399" priority="460" operator="equal">
      <formula>"Muy Baja"</formula>
    </cfRule>
  </conditionalFormatting>
  <conditionalFormatting sqref="M16">
    <cfRule type="cellIs" dxfId="398" priority="480" operator="equal">
      <formula>"Catastrófico"</formula>
    </cfRule>
    <cfRule type="cellIs" dxfId="397" priority="481" operator="equal">
      <formula>"Mayor"</formula>
    </cfRule>
    <cfRule type="cellIs" dxfId="396" priority="482" operator="equal">
      <formula>"Moderado"</formula>
    </cfRule>
    <cfRule type="cellIs" dxfId="395" priority="483" operator="equal">
      <formula>"Menor"</formula>
    </cfRule>
    <cfRule type="cellIs" dxfId="394" priority="484" operator="equal">
      <formula>"Leve"</formula>
    </cfRule>
  </conditionalFormatting>
  <conditionalFormatting sqref="O22">
    <cfRule type="cellIs" dxfId="393" priority="447" operator="equal">
      <formula>"Extremo"</formula>
    </cfRule>
    <cfRule type="cellIs" dxfId="392" priority="448" operator="equal">
      <formula>"Alto"</formula>
    </cfRule>
    <cfRule type="cellIs" dxfId="391" priority="449" operator="equal">
      <formula>"Moderado"</formula>
    </cfRule>
    <cfRule type="cellIs" dxfId="390" priority="450" operator="equal">
      <formula>"Bajo"</formula>
    </cfRule>
  </conditionalFormatting>
  <conditionalFormatting sqref="Z16:Z21">
    <cfRule type="cellIs" dxfId="389" priority="471" operator="equal">
      <formula>"Muy Alta"</formula>
    </cfRule>
    <cfRule type="cellIs" dxfId="388" priority="472" operator="equal">
      <formula>"Alta"</formula>
    </cfRule>
    <cfRule type="cellIs" dxfId="387" priority="473" operator="equal">
      <formula>"Media"</formula>
    </cfRule>
    <cfRule type="cellIs" dxfId="386" priority="474" operator="equal">
      <formula>"Baja"</formula>
    </cfRule>
    <cfRule type="cellIs" dxfId="385" priority="475" operator="equal">
      <formula>"Muy Baja"</formula>
    </cfRule>
  </conditionalFormatting>
  <conditionalFormatting sqref="AB16:AB21">
    <cfRule type="cellIs" dxfId="384" priority="466" operator="equal">
      <formula>"Catastrófico"</formula>
    </cfRule>
    <cfRule type="cellIs" dxfId="383" priority="467" operator="equal">
      <formula>"Mayor"</formula>
    </cfRule>
    <cfRule type="cellIs" dxfId="382" priority="468" operator="equal">
      <formula>"Moderado"</formula>
    </cfRule>
    <cfRule type="cellIs" dxfId="381" priority="469" operator="equal">
      <formula>"Menor"</formula>
    </cfRule>
    <cfRule type="cellIs" dxfId="380" priority="470" operator="equal">
      <formula>"Leve"</formula>
    </cfRule>
  </conditionalFormatting>
  <conditionalFormatting sqref="AD16:AD21">
    <cfRule type="cellIs" dxfId="379" priority="462" operator="equal">
      <formula>"Extremo"</formula>
    </cfRule>
    <cfRule type="cellIs" dxfId="378" priority="463" operator="equal">
      <formula>"Alto"</formula>
    </cfRule>
    <cfRule type="cellIs" dxfId="377" priority="464" operator="equal">
      <formula>"Moderado"</formula>
    </cfRule>
    <cfRule type="cellIs" dxfId="376" priority="465" operator="equal">
      <formula>"Bajo"</formula>
    </cfRule>
  </conditionalFormatting>
  <conditionalFormatting sqref="L16:L21">
    <cfRule type="containsText" dxfId="375" priority="461" operator="containsText" text="❌">
      <formula>NOT(ISERROR(SEARCH("❌",L16)))</formula>
    </cfRule>
  </conditionalFormatting>
  <conditionalFormatting sqref="M22">
    <cfRule type="cellIs" dxfId="374" priority="451" operator="equal">
      <formula>"Catastrófico"</formula>
    </cfRule>
    <cfRule type="cellIs" dxfId="373" priority="452" operator="equal">
      <formula>"Mayor"</formula>
    </cfRule>
    <cfRule type="cellIs" dxfId="372" priority="453" operator="equal">
      <formula>"Moderado"</formula>
    </cfRule>
    <cfRule type="cellIs" dxfId="371" priority="454" operator="equal">
      <formula>"Menor"</formula>
    </cfRule>
    <cfRule type="cellIs" dxfId="370" priority="455" operator="equal">
      <formula>"Leve"</formula>
    </cfRule>
  </conditionalFormatting>
  <conditionalFormatting sqref="L22:L27">
    <cfRule type="containsText" dxfId="369" priority="446" operator="containsText" text="❌">
      <formula>NOT(ISERROR(SEARCH("❌",L22)))</formula>
    </cfRule>
  </conditionalFormatting>
  <conditionalFormatting sqref="Z22">
    <cfRule type="cellIs" dxfId="368" priority="441" operator="equal">
      <formula>"Muy Alta"</formula>
    </cfRule>
    <cfRule type="cellIs" dxfId="367" priority="442" operator="equal">
      <formula>"Alta"</formula>
    </cfRule>
    <cfRule type="cellIs" dxfId="366" priority="443" operator="equal">
      <formula>"Media"</formula>
    </cfRule>
    <cfRule type="cellIs" dxfId="365" priority="444" operator="equal">
      <formula>"Baja"</formula>
    </cfRule>
    <cfRule type="cellIs" dxfId="364" priority="445" operator="equal">
      <formula>"Muy Baja"</formula>
    </cfRule>
  </conditionalFormatting>
  <conditionalFormatting sqref="AB22">
    <cfRule type="cellIs" dxfId="363" priority="436" operator="equal">
      <formula>"Catastrófico"</formula>
    </cfRule>
    <cfRule type="cellIs" dxfId="362" priority="437" operator="equal">
      <formula>"Mayor"</formula>
    </cfRule>
    <cfRule type="cellIs" dxfId="361" priority="438" operator="equal">
      <formula>"Moderado"</formula>
    </cfRule>
    <cfRule type="cellIs" dxfId="360" priority="439" operator="equal">
      <formula>"Menor"</formula>
    </cfRule>
    <cfRule type="cellIs" dxfId="359" priority="440" operator="equal">
      <formula>"Leve"</formula>
    </cfRule>
  </conditionalFormatting>
  <conditionalFormatting sqref="AD22">
    <cfRule type="cellIs" dxfId="358" priority="432" operator="equal">
      <formula>"Extremo"</formula>
    </cfRule>
    <cfRule type="cellIs" dxfId="357" priority="433" operator="equal">
      <formula>"Alto"</formula>
    </cfRule>
    <cfRule type="cellIs" dxfId="356" priority="434" operator="equal">
      <formula>"Moderado"</formula>
    </cfRule>
    <cfRule type="cellIs" dxfId="355" priority="435" operator="equal">
      <formula>"Bajo"</formula>
    </cfRule>
  </conditionalFormatting>
  <conditionalFormatting sqref="Z24">
    <cfRule type="cellIs" dxfId="354" priority="427" operator="equal">
      <formula>"Muy Alta"</formula>
    </cfRule>
    <cfRule type="cellIs" dxfId="353" priority="428" operator="equal">
      <formula>"Alta"</formula>
    </cfRule>
    <cfRule type="cellIs" dxfId="352" priority="429" operator="equal">
      <formula>"Media"</formula>
    </cfRule>
    <cfRule type="cellIs" dxfId="351" priority="430" operator="equal">
      <formula>"Baja"</formula>
    </cfRule>
    <cfRule type="cellIs" dxfId="350" priority="431" operator="equal">
      <formula>"Muy Baja"</formula>
    </cfRule>
  </conditionalFormatting>
  <conditionalFormatting sqref="AB24">
    <cfRule type="cellIs" dxfId="349" priority="422" operator="equal">
      <formula>"Catastrófico"</formula>
    </cfRule>
    <cfRule type="cellIs" dxfId="348" priority="423" operator="equal">
      <formula>"Mayor"</formula>
    </cfRule>
    <cfRule type="cellIs" dxfId="347" priority="424" operator="equal">
      <formula>"Moderado"</formula>
    </cfRule>
    <cfRule type="cellIs" dxfId="346" priority="425" operator="equal">
      <formula>"Menor"</formula>
    </cfRule>
    <cfRule type="cellIs" dxfId="345" priority="426" operator="equal">
      <formula>"Leve"</formula>
    </cfRule>
  </conditionalFormatting>
  <conditionalFormatting sqref="AD24">
    <cfRule type="cellIs" dxfId="344" priority="418" operator="equal">
      <formula>"Extremo"</formula>
    </cfRule>
    <cfRule type="cellIs" dxfId="343" priority="419" operator="equal">
      <formula>"Alto"</formula>
    </cfRule>
    <cfRule type="cellIs" dxfId="342" priority="420" operator="equal">
      <formula>"Moderado"</formula>
    </cfRule>
    <cfRule type="cellIs" dxfId="341" priority="421" operator="equal">
      <formula>"Bajo"</formula>
    </cfRule>
  </conditionalFormatting>
  <conditionalFormatting sqref="M28">
    <cfRule type="cellIs" dxfId="340" priority="413" operator="equal">
      <formula>"Catastrófico"</formula>
    </cfRule>
    <cfRule type="cellIs" dxfId="339" priority="414" operator="equal">
      <formula>"Mayor"</formula>
    </cfRule>
    <cfRule type="cellIs" dxfId="338" priority="415" operator="equal">
      <formula>"Moderado"</formula>
    </cfRule>
    <cfRule type="cellIs" dxfId="337" priority="416" operator="equal">
      <formula>"Menor"</formula>
    </cfRule>
    <cfRule type="cellIs" dxfId="336" priority="417" operator="equal">
      <formula>"Leve"</formula>
    </cfRule>
  </conditionalFormatting>
  <conditionalFormatting sqref="I28">
    <cfRule type="cellIs" dxfId="335" priority="408" operator="equal">
      <formula>"Muy Alta"</formula>
    </cfRule>
    <cfRule type="cellIs" dxfId="334" priority="409" operator="equal">
      <formula>"Alta"</formula>
    </cfRule>
    <cfRule type="cellIs" dxfId="333" priority="410" operator="equal">
      <formula>"Media"</formula>
    </cfRule>
    <cfRule type="cellIs" dxfId="332" priority="411" operator="equal">
      <formula>"Baja"</formula>
    </cfRule>
    <cfRule type="cellIs" dxfId="331" priority="412" operator="equal">
      <formula>"Muy Baja"</formula>
    </cfRule>
  </conditionalFormatting>
  <conditionalFormatting sqref="O28">
    <cfRule type="cellIs" dxfId="330" priority="404" operator="equal">
      <formula>"Extremo"</formula>
    </cfRule>
    <cfRule type="cellIs" dxfId="329" priority="405" operator="equal">
      <formula>"Alto"</formula>
    </cfRule>
    <cfRule type="cellIs" dxfId="328" priority="406" operator="equal">
      <formula>"Moderado"</formula>
    </cfRule>
    <cfRule type="cellIs" dxfId="327" priority="407" operator="equal">
      <formula>"Bajo"</formula>
    </cfRule>
  </conditionalFormatting>
  <conditionalFormatting sqref="L28:L33">
    <cfRule type="containsText" dxfId="326" priority="403" operator="containsText" text="❌">
      <formula>NOT(ISERROR(SEARCH("❌",L28)))</formula>
    </cfRule>
  </conditionalFormatting>
  <conditionalFormatting sqref="Z28:Z29">
    <cfRule type="cellIs" dxfId="325" priority="398" operator="equal">
      <formula>"Muy Alta"</formula>
    </cfRule>
    <cfRule type="cellIs" dxfId="324" priority="399" operator="equal">
      <formula>"Alta"</formula>
    </cfRule>
    <cfRule type="cellIs" dxfId="323" priority="400" operator="equal">
      <formula>"Media"</formula>
    </cfRule>
    <cfRule type="cellIs" dxfId="322" priority="401" operator="equal">
      <formula>"Baja"</formula>
    </cfRule>
    <cfRule type="cellIs" dxfId="321" priority="402" operator="equal">
      <formula>"Muy Baja"</formula>
    </cfRule>
  </conditionalFormatting>
  <conditionalFormatting sqref="AB28:AB29">
    <cfRule type="cellIs" dxfId="320" priority="393" operator="equal">
      <formula>"Catastrófico"</formula>
    </cfRule>
    <cfRule type="cellIs" dxfId="319" priority="394" operator="equal">
      <formula>"Mayor"</formula>
    </cfRule>
    <cfRule type="cellIs" dxfId="318" priority="395" operator="equal">
      <formula>"Moderado"</formula>
    </cfRule>
    <cfRule type="cellIs" dxfId="317" priority="396" operator="equal">
      <formula>"Menor"</formula>
    </cfRule>
    <cfRule type="cellIs" dxfId="316" priority="397" operator="equal">
      <formula>"Leve"</formula>
    </cfRule>
  </conditionalFormatting>
  <conditionalFormatting sqref="AD28:AD29">
    <cfRule type="cellIs" dxfId="315" priority="389" operator="equal">
      <formula>"Extremo"</formula>
    </cfRule>
    <cfRule type="cellIs" dxfId="314" priority="390" operator="equal">
      <formula>"Alto"</formula>
    </cfRule>
    <cfRule type="cellIs" dxfId="313" priority="391" operator="equal">
      <formula>"Moderado"</formula>
    </cfRule>
    <cfRule type="cellIs" dxfId="312" priority="392" operator="equal">
      <formula>"Bajo"</formula>
    </cfRule>
  </conditionalFormatting>
  <conditionalFormatting sqref="M34">
    <cfRule type="cellIs" dxfId="311" priority="384" operator="equal">
      <formula>"Catastrófico"</formula>
    </cfRule>
    <cfRule type="cellIs" dxfId="310" priority="385" operator="equal">
      <formula>"Mayor"</formula>
    </cfRule>
    <cfRule type="cellIs" dxfId="309" priority="386" operator="equal">
      <formula>"Moderado"</formula>
    </cfRule>
    <cfRule type="cellIs" dxfId="308" priority="387" operator="equal">
      <formula>"Menor"</formula>
    </cfRule>
    <cfRule type="cellIs" dxfId="307" priority="388" operator="equal">
      <formula>"Leve"</formula>
    </cfRule>
  </conditionalFormatting>
  <conditionalFormatting sqref="I34">
    <cfRule type="cellIs" dxfId="306" priority="379" operator="equal">
      <formula>"Muy Alta"</formula>
    </cfRule>
    <cfRule type="cellIs" dxfId="305" priority="380" operator="equal">
      <formula>"Alta"</formula>
    </cfRule>
    <cfRule type="cellIs" dxfId="304" priority="381" operator="equal">
      <formula>"Media"</formula>
    </cfRule>
    <cfRule type="cellIs" dxfId="303" priority="382" operator="equal">
      <formula>"Baja"</formula>
    </cfRule>
    <cfRule type="cellIs" dxfId="302" priority="383" operator="equal">
      <formula>"Muy Baja"</formula>
    </cfRule>
  </conditionalFormatting>
  <conditionalFormatting sqref="O34">
    <cfRule type="cellIs" dxfId="301" priority="375" operator="equal">
      <formula>"Extremo"</formula>
    </cfRule>
    <cfRule type="cellIs" dxfId="300" priority="376" operator="equal">
      <formula>"Alto"</formula>
    </cfRule>
    <cfRule type="cellIs" dxfId="299" priority="377" operator="equal">
      <formula>"Moderado"</formula>
    </cfRule>
    <cfRule type="cellIs" dxfId="298" priority="378" operator="equal">
      <formula>"Bajo"</formula>
    </cfRule>
  </conditionalFormatting>
  <conditionalFormatting sqref="Z34:Z39">
    <cfRule type="cellIs" dxfId="297" priority="370" operator="equal">
      <formula>"Muy Alta"</formula>
    </cfRule>
    <cfRule type="cellIs" dxfId="296" priority="371" operator="equal">
      <formula>"Alta"</formula>
    </cfRule>
    <cfRule type="cellIs" dxfId="295" priority="372" operator="equal">
      <formula>"Media"</formula>
    </cfRule>
    <cfRule type="cellIs" dxfId="294" priority="373" operator="equal">
      <formula>"Baja"</formula>
    </cfRule>
    <cfRule type="cellIs" dxfId="293" priority="374" operator="equal">
      <formula>"Muy Baja"</formula>
    </cfRule>
  </conditionalFormatting>
  <conditionalFormatting sqref="AB34:AB39">
    <cfRule type="cellIs" dxfId="292" priority="365" operator="equal">
      <formula>"Catastrófico"</formula>
    </cfRule>
    <cfRule type="cellIs" dxfId="291" priority="366" operator="equal">
      <formula>"Mayor"</formula>
    </cfRule>
    <cfRule type="cellIs" dxfId="290" priority="367" operator="equal">
      <formula>"Moderado"</formula>
    </cfRule>
    <cfRule type="cellIs" dxfId="289" priority="368" operator="equal">
      <formula>"Menor"</formula>
    </cfRule>
    <cfRule type="cellIs" dxfId="288" priority="369" operator="equal">
      <formula>"Leve"</formula>
    </cfRule>
  </conditionalFormatting>
  <conditionalFormatting sqref="AD34:AD39">
    <cfRule type="cellIs" dxfId="287" priority="361" operator="equal">
      <formula>"Extremo"</formula>
    </cfRule>
    <cfRule type="cellIs" dxfId="286" priority="362" operator="equal">
      <formula>"Alto"</formula>
    </cfRule>
    <cfRule type="cellIs" dxfId="285" priority="363" operator="equal">
      <formula>"Moderado"</formula>
    </cfRule>
    <cfRule type="cellIs" dxfId="284" priority="364" operator="equal">
      <formula>"Bajo"</formula>
    </cfRule>
  </conditionalFormatting>
  <conditionalFormatting sqref="L34:L39">
    <cfRule type="containsText" dxfId="283" priority="360" operator="containsText" text="❌">
      <formula>NOT(ISERROR(SEARCH("❌",L34)))</formula>
    </cfRule>
  </conditionalFormatting>
  <conditionalFormatting sqref="M40">
    <cfRule type="cellIs" dxfId="282" priority="355" operator="equal">
      <formula>"Catastrófico"</formula>
    </cfRule>
    <cfRule type="cellIs" dxfId="281" priority="356" operator="equal">
      <formula>"Mayor"</formula>
    </cfRule>
    <cfRule type="cellIs" dxfId="280" priority="357" operator="equal">
      <formula>"Moderado"</formula>
    </cfRule>
    <cfRule type="cellIs" dxfId="279" priority="358" operator="equal">
      <formula>"Menor"</formula>
    </cfRule>
    <cfRule type="cellIs" dxfId="278" priority="359" operator="equal">
      <formula>"Leve"</formula>
    </cfRule>
  </conditionalFormatting>
  <conditionalFormatting sqref="I40">
    <cfRule type="cellIs" dxfId="277" priority="350" operator="equal">
      <formula>"Muy Alta"</formula>
    </cfRule>
    <cfRule type="cellIs" dxfId="276" priority="351" operator="equal">
      <formula>"Alta"</formula>
    </cfRule>
    <cfRule type="cellIs" dxfId="275" priority="352" operator="equal">
      <formula>"Media"</formula>
    </cfRule>
    <cfRule type="cellIs" dxfId="274" priority="353" operator="equal">
      <formula>"Baja"</formula>
    </cfRule>
    <cfRule type="cellIs" dxfId="273" priority="354" operator="equal">
      <formula>"Muy Baja"</formula>
    </cfRule>
  </conditionalFormatting>
  <conditionalFormatting sqref="O40">
    <cfRule type="cellIs" dxfId="272" priority="346" operator="equal">
      <formula>"Extremo"</formula>
    </cfRule>
    <cfRule type="cellIs" dxfId="271" priority="347" operator="equal">
      <formula>"Alto"</formula>
    </cfRule>
    <cfRule type="cellIs" dxfId="270" priority="348" operator="equal">
      <formula>"Moderado"</formula>
    </cfRule>
    <cfRule type="cellIs" dxfId="269" priority="349" operator="equal">
      <formula>"Bajo"</formula>
    </cfRule>
  </conditionalFormatting>
  <conditionalFormatting sqref="Z40:Z45">
    <cfRule type="cellIs" dxfId="268" priority="341" operator="equal">
      <formula>"Muy Alta"</formula>
    </cfRule>
    <cfRule type="cellIs" dxfId="267" priority="342" operator="equal">
      <formula>"Alta"</formula>
    </cfRule>
    <cfRule type="cellIs" dxfId="266" priority="343" operator="equal">
      <formula>"Media"</formula>
    </cfRule>
    <cfRule type="cellIs" dxfId="265" priority="344" operator="equal">
      <formula>"Baja"</formula>
    </cfRule>
    <cfRule type="cellIs" dxfId="264" priority="345" operator="equal">
      <formula>"Muy Baja"</formula>
    </cfRule>
  </conditionalFormatting>
  <conditionalFormatting sqref="AB40:AB45">
    <cfRule type="cellIs" dxfId="263" priority="336" operator="equal">
      <formula>"Catastrófico"</formula>
    </cfRule>
    <cfRule type="cellIs" dxfId="262" priority="337" operator="equal">
      <formula>"Mayor"</formula>
    </cfRule>
    <cfRule type="cellIs" dxfId="261" priority="338" operator="equal">
      <formula>"Moderado"</formula>
    </cfRule>
    <cfRule type="cellIs" dxfId="260" priority="339" operator="equal">
      <formula>"Menor"</formula>
    </cfRule>
    <cfRule type="cellIs" dxfId="259" priority="340" operator="equal">
      <formula>"Leve"</formula>
    </cfRule>
  </conditionalFormatting>
  <conditionalFormatting sqref="AD40:AD45">
    <cfRule type="cellIs" dxfId="258" priority="332" operator="equal">
      <formula>"Extremo"</formula>
    </cfRule>
    <cfRule type="cellIs" dxfId="257" priority="333" operator="equal">
      <formula>"Alto"</formula>
    </cfRule>
    <cfRule type="cellIs" dxfId="256" priority="334" operator="equal">
      <formula>"Moderado"</formula>
    </cfRule>
    <cfRule type="cellIs" dxfId="255" priority="335" operator="equal">
      <formula>"Bajo"</formula>
    </cfRule>
  </conditionalFormatting>
  <conditionalFormatting sqref="L40:L45">
    <cfRule type="containsText" dxfId="254" priority="331" operator="containsText" text="❌">
      <formula>NOT(ISERROR(SEARCH("❌",L40)))</formula>
    </cfRule>
  </conditionalFormatting>
  <conditionalFormatting sqref="M46">
    <cfRule type="cellIs" dxfId="253" priority="326" operator="equal">
      <formula>"Catastrófico"</formula>
    </cfRule>
    <cfRule type="cellIs" dxfId="252" priority="327" operator="equal">
      <formula>"Mayor"</formula>
    </cfRule>
    <cfRule type="cellIs" dxfId="251" priority="328" operator="equal">
      <formula>"Moderado"</formula>
    </cfRule>
    <cfRule type="cellIs" dxfId="250" priority="329" operator="equal">
      <formula>"Menor"</formula>
    </cfRule>
    <cfRule type="cellIs" dxfId="249" priority="330" operator="equal">
      <formula>"Leve"</formula>
    </cfRule>
  </conditionalFormatting>
  <conditionalFormatting sqref="I46">
    <cfRule type="cellIs" dxfId="248" priority="321" operator="equal">
      <formula>"Muy Alta"</formula>
    </cfRule>
    <cfRule type="cellIs" dxfId="247" priority="322" operator="equal">
      <formula>"Alta"</formula>
    </cfRule>
    <cfRule type="cellIs" dxfId="246" priority="323" operator="equal">
      <formula>"Media"</formula>
    </cfRule>
    <cfRule type="cellIs" dxfId="245" priority="324" operator="equal">
      <formula>"Baja"</formula>
    </cfRule>
    <cfRule type="cellIs" dxfId="244" priority="325" operator="equal">
      <formula>"Muy Baja"</formula>
    </cfRule>
  </conditionalFormatting>
  <conditionalFormatting sqref="O46">
    <cfRule type="cellIs" dxfId="243" priority="317" operator="equal">
      <formula>"Extremo"</formula>
    </cfRule>
    <cfRule type="cellIs" dxfId="242" priority="318" operator="equal">
      <formula>"Alto"</formula>
    </cfRule>
    <cfRule type="cellIs" dxfId="241" priority="319" operator="equal">
      <formula>"Moderado"</formula>
    </cfRule>
    <cfRule type="cellIs" dxfId="240" priority="320" operator="equal">
      <formula>"Bajo"</formula>
    </cfRule>
  </conditionalFormatting>
  <conditionalFormatting sqref="Z46:Z51">
    <cfRule type="cellIs" dxfId="239" priority="312" operator="equal">
      <formula>"Muy Alta"</formula>
    </cfRule>
    <cfRule type="cellIs" dxfId="238" priority="313" operator="equal">
      <formula>"Alta"</formula>
    </cfRule>
    <cfRule type="cellIs" dxfId="237" priority="314" operator="equal">
      <formula>"Media"</formula>
    </cfRule>
    <cfRule type="cellIs" dxfId="236" priority="315" operator="equal">
      <formula>"Baja"</formula>
    </cfRule>
    <cfRule type="cellIs" dxfId="235" priority="316" operator="equal">
      <formula>"Muy Baja"</formula>
    </cfRule>
  </conditionalFormatting>
  <conditionalFormatting sqref="AB46:AB51">
    <cfRule type="cellIs" dxfId="234" priority="307" operator="equal">
      <formula>"Catastrófico"</formula>
    </cfRule>
    <cfRule type="cellIs" dxfId="233" priority="308" operator="equal">
      <formula>"Mayor"</formula>
    </cfRule>
    <cfRule type="cellIs" dxfId="232" priority="309" operator="equal">
      <formula>"Moderado"</formula>
    </cfRule>
    <cfRule type="cellIs" dxfId="231" priority="310" operator="equal">
      <formula>"Menor"</formula>
    </cfRule>
    <cfRule type="cellIs" dxfId="230" priority="311" operator="equal">
      <formula>"Leve"</formula>
    </cfRule>
  </conditionalFormatting>
  <conditionalFormatting sqref="AD46:AD51">
    <cfRule type="cellIs" dxfId="229" priority="303" operator="equal">
      <formula>"Extremo"</formula>
    </cfRule>
    <cfRule type="cellIs" dxfId="228" priority="304" operator="equal">
      <formula>"Alto"</formula>
    </cfRule>
    <cfRule type="cellIs" dxfId="227" priority="305" operator="equal">
      <formula>"Moderado"</formula>
    </cfRule>
    <cfRule type="cellIs" dxfId="226" priority="306" operator="equal">
      <formula>"Bajo"</formula>
    </cfRule>
  </conditionalFormatting>
  <conditionalFormatting sqref="L46:L51">
    <cfRule type="containsText" dxfId="225" priority="302" operator="containsText" text="❌">
      <formula>NOT(ISERROR(SEARCH("❌",L46)))</formula>
    </cfRule>
  </conditionalFormatting>
  <conditionalFormatting sqref="M52">
    <cfRule type="cellIs" dxfId="224" priority="297" operator="equal">
      <formula>"Catastrófico"</formula>
    </cfRule>
    <cfRule type="cellIs" dxfId="223" priority="298" operator="equal">
      <formula>"Mayor"</formula>
    </cfRule>
    <cfRule type="cellIs" dxfId="222" priority="299" operator="equal">
      <formula>"Moderado"</formula>
    </cfRule>
    <cfRule type="cellIs" dxfId="221" priority="300" operator="equal">
      <formula>"Menor"</formula>
    </cfRule>
    <cfRule type="cellIs" dxfId="220" priority="301" operator="equal">
      <formula>"Leve"</formula>
    </cfRule>
  </conditionalFormatting>
  <conditionalFormatting sqref="I52">
    <cfRule type="cellIs" dxfId="219" priority="292" operator="equal">
      <formula>"Muy Alta"</formula>
    </cfRule>
    <cfRule type="cellIs" dxfId="218" priority="293" operator="equal">
      <formula>"Alta"</formula>
    </cfRule>
    <cfRule type="cellIs" dxfId="217" priority="294" operator="equal">
      <formula>"Media"</formula>
    </cfRule>
    <cfRule type="cellIs" dxfId="216" priority="295" operator="equal">
      <formula>"Baja"</formula>
    </cfRule>
    <cfRule type="cellIs" dxfId="215" priority="296" operator="equal">
      <formula>"Muy Baja"</formula>
    </cfRule>
  </conditionalFormatting>
  <conditionalFormatting sqref="O52">
    <cfRule type="cellIs" dxfId="214" priority="288" operator="equal">
      <formula>"Extremo"</formula>
    </cfRule>
    <cfRule type="cellIs" dxfId="213" priority="289" operator="equal">
      <formula>"Alto"</formula>
    </cfRule>
    <cfRule type="cellIs" dxfId="212" priority="290" operator="equal">
      <formula>"Moderado"</formula>
    </cfRule>
    <cfRule type="cellIs" dxfId="211" priority="291" operator="equal">
      <formula>"Bajo"</formula>
    </cfRule>
  </conditionalFormatting>
  <conditionalFormatting sqref="L52:L57">
    <cfRule type="containsText" dxfId="210" priority="287" operator="containsText" text="❌">
      <formula>NOT(ISERROR(SEARCH("❌",L52)))</formula>
    </cfRule>
  </conditionalFormatting>
  <conditionalFormatting sqref="Z52:Z53">
    <cfRule type="cellIs" dxfId="209" priority="282" operator="equal">
      <formula>"Muy Alta"</formula>
    </cfRule>
    <cfRule type="cellIs" dxfId="208" priority="283" operator="equal">
      <formula>"Alta"</formula>
    </cfRule>
    <cfRule type="cellIs" dxfId="207" priority="284" operator="equal">
      <formula>"Media"</formula>
    </cfRule>
    <cfRule type="cellIs" dxfId="206" priority="285" operator="equal">
      <formula>"Baja"</formula>
    </cfRule>
    <cfRule type="cellIs" dxfId="205" priority="286" operator="equal">
      <formula>"Muy Baja"</formula>
    </cfRule>
  </conditionalFormatting>
  <conditionalFormatting sqref="AB52:AB53">
    <cfRule type="cellIs" dxfId="204" priority="277" operator="equal">
      <formula>"Catastrófico"</formula>
    </cfRule>
    <cfRule type="cellIs" dxfId="203" priority="278" operator="equal">
      <formula>"Mayor"</formula>
    </cfRule>
    <cfRule type="cellIs" dxfId="202" priority="279" operator="equal">
      <formula>"Moderado"</formula>
    </cfRule>
    <cfRule type="cellIs" dxfId="201" priority="280" operator="equal">
      <formula>"Menor"</formula>
    </cfRule>
    <cfRule type="cellIs" dxfId="200" priority="281" operator="equal">
      <formula>"Leve"</formula>
    </cfRule>
  </conditionalFormatting>
  <conditionalFormatting sqref="AD52:AD53">
    <cfRule type="cellIs" dxfId="199" priority="273" operator="equal">
      <formula>"Extremo"</formula>
    </cfRule>
    <cfRule type="cellIs" dxfId="198" priority="274" operator="equal">
      <formula>"Alto"</formula>
    </cfRule>
    <cfRule type="cellIs" dxfId="197" priority="275" operator="equal">
      <formula>"Moderado"</formula>
    </cfRule>
    <cfRule type="cellIs" dxfId="196" priority="276" operator="equal">
      <formula>"Bajo"</formula>
    </cfRule>
  </conditionalFormatting>
  <conditionalFormatting sqref="M58">
    <cfRule type="cellIs" dxfId="195" priority="268" operator="equal">
      <formula>"Catastrófico"</formula>
    </cfRule>
    <cfRule type="cellIs" dxfId="194" priority="269" operator="equal">
      <formula>"Mayor"</formula>
    </cfRule>
    <cfRule type="cellIs" dxfId="193" priority="270" operator="equal">
      <formula>"Moderado"</formula>
    </cfRule>
    <cfRule type="cellIs" dxfId="192" priority="271" operator="equal">
      <formula>"Menor"</formula>
    </cfRule>
    <cfRule type="cellIs" dxfId="191" priority="272" operator="equal">
      <formula>"Leve"</formula>
    </cfRule>
  </conditionalFormatting>
  <conditionalFormatting sqref="I58">
    <cfRule type="cellIs" dxfId="190" priority="263" operator="equal">
      <formula>"Muy Alta"</formula>
    </cfRule>
    <cfRule type="cellIs" dxfId="189" priority="264" operator="equal">
      <formula>"Alta"</formula>
    </cfRule>
    <cfRule type="cellIs" dxfId="188" priority="265" operator="equal">
      <formula>"Media"</formula>
    </cfRule>
    <cfRule type="cellIs" dxfId="187" priority="266" operator="equal">
      <formula>"Baja"</formula>
    </cfRule>
    <cfRule type="cellIs" dxfId="186" priority="267" operator="equal">
      <formula>"Muy Baja"</formula>
    </cfRule>
  </conditionalFormatting>
  <conditionalFormatting sqref="O58">
    <cfRule type="cellIs" dxfId="185" priority="259" operator="equal">
      <formula>"Extremo"</formula>
    </cfRule>
    <cfRule type="cellIs" dxfId="184" priority="260" operator="equal">
      <formula>"Alto"</formula>
    </cfRule>
    <cfRule type="cellIs" dxfId="183" priority="261" operator="equal">
      <formula>"Moderado"</formula>
    </cfRule>
    <cfRule type="cellIs" dxfId="182" priority="262" operator="equal">
      <formula>"Bajo"</formula>
    </cfRule>
  </conditionalFormatting>
  <conditionalFormatting sqref="Z58:Z63">
    <cfRule type="cellIs" dxfId="181" priority="254" operator="equal">
      <formula>"Muy Alta"</formula>
    </cfRule>
    <cfRule type="cellIs" dxfId="180" priority="255" operator="equal">
      <formula>"Alta"</formula>
    </cfRule>
    <cfRule type="cellIs" dxfId="179" priority="256" operator="equal">
      <formula>"Media"</formula>
    </cfRule>
    <cfRule type="cellIs" dxfId="178" priority="257" operator="equal">
      <formula>"Baja"</formula>
    </cfRule>
    <cfRule type="cellIs" dxfId="177" priority="258" operator="equal">
      <formula>"Muy Baja"</formula>
    </cfRule>
  </conditionalFormatting>
  <conditionalFormatting sqref="AB58:AB63">
    <cfRule type="cellIs" dxfId="176" priority="249" operator="equal">
      <formula>"Catastrófico"</formula>
    </cfRule>
    <cfRule type="cellIs" dxfId="175" priority="250" operator="equal">
      <formula>"Mayor"</formula>
    </cfRule>
    <cfRule type="cellIs" dxfId="174" priority="251" operator="equal">
      <formula>"Moderado"</formula>
    </cfRule>
    <cfRule type="cellIs" dxfId="173" priority="252" operator="equal">
      <formula>"Menor"</formula>
    </cfRule>
    <cfRule type="cellIs" dxfId="172" priority="253" operator="equal">
      <formula>"Leve"</formula>
    </cfRule>
  </conditionalFormatting>
  <conditionalFormatting sqref="AD58:AD63">
    <cfRule type="cellIs" dxfId="171" priority="245" operator="equal">
      <formula>"Extremo"</formula>
    </cfRule>
    <cfRule type="cellIs" dxfId="170" priority="246" operator="equal">
      <formula>"Alto"</formula>
    </cfRule>
    <cfRule type="cellIs" dxfId="169" priority="247" operator="equal">
      <formula>"Moderado"</formula>
    </cfRule>
    <cfRule type="cellIs" dxfId="168" priority="248" operator="equal">
      <formula>"Bajo"</formula>
    </cfRule>
  </conditionalFormatting>
  <conditionalFormatting sqref="L58:L63">
    <cfRule type="containsText" dxfId="167" priority="244" operator="containsText" text="❌">
      <formula>NOT(ISERROR(SEARCH("❌",L58)))</formula>
    </cfRule>
  </conditionalFormatting>
  <conditionalFormatting sqref="M76 M79">
    <cfRule type="cellIs" dxfId="166" priority="239" operator="equal">
      <formula>"Catastrófico"</formula>
    </cfRule>
    <cfRule type="cellIs" dxfId="165" priority="240" operator="equal">
      <formula>"Mayor"</formula>
    </cfRule>
    <cfRule type="cellIs" dxfId="164" priority="241" operator="equal">
      <formula>"Moderado"</formula>
    </cfRule>
    <cfRule type="cellIs" dxfId="163" priority="242" operator="equal">
      <formula>"Menor"</formula>
    </cfRule>
    <cfRule type="cellIs" dxfId="162" priority="243" operator="equal">
      <formula>"Leve"</formula>
    </cfRule>
  </conditionalFormatting>
  <conditionalFormatting sqref="I76 I79">
    <cfRule type="cellIs" dxfId="161" priority="234" operator="equal">
      <formula>"Muy Alta"</formula>
    </cfRule>
    <cfRule type="cellIs" dxfId="160" priority="235" operator="equal">
      <formula>"Alta"</formula>
    </cfRule>
    <cfRule type="cellIs" dxfId="159" priority="236" operator="equal">
      <formula>"Media"</formula>
    </cfRule>
    <cfRule type="cellIs" dxfId="158" priority="237" operator="equal">
      <formula>"Baja"</formula>
    </cfRule>
    <cfRule type="cellIs" dxfId="157" priority="238" operator="equal">
      <formula>"Muy Baja"</formula>
    </cfRule>
  </conditionalFormatting>
  <conditionalFormatting sqref="O76 O79">
    <cfRule type="cellIs" dxfId="156" priority="230" operator="equal">
      <formula>"Extremo"</formula>
    </cfRule>
    <cfRule type="cellIs" dxfId="155" priority="231" operator="equal">
      <formula>"Alto"</formula>
    </cfRule>
    <cfRule type="cellIs" dxfId="154" priority="232" operator="equal">
      <formula>"Moderado"</formula>
    </cfRule>
    <cfRule type="cellIs" dxfId="153" priority="233" operator="equal">
      <formula>"Bajo"</formula>
    </cfRule>
  </conditionalFormatting>
  <conditionalFormatting sqref="L76:L81">
    <cfRule type="containsText" dxfId="152" priority="229" operator="containsText" text="❌">
      <formula>NOT(ISERROR(SEARCH("❌",L76)))</formula>
    </cfRule>
  </conditionalFormatting>
  <conditionalFormatting sqref="AD78">
    <cfRule type="cellIs" dxfId="151" priority="187" operator="equal">
      <formula>"Extremo"</formula>
    </cfRule>
    <cfRule type="cellIs" dxfId="150" priority="188" operator="equal">
      <formula>"Alto"</formula>
    </cfRule>
    <cfRule type="cellIs" dxfId="149" priority="189" operator="equal">
      <formula>"Moderado"</formula>
    </cfRule>
    <cfRule type="cellIs" dxfId="148" priority="190" operator="equal">
      <formula>"Bajo"</formula>
    </cfRule>
  </conditionalFormatting>
  <conditionalFormatting sqref="Z76">
    <cfRule type="cellIs" dxfId="147" priority="224" operator="equal">
      <formula>"Muy Alta"</formula>
    </cfRule>
    <cfRule type="cellIs" dxfId="146" priority="225" operator="equal">
      <formula>"Alta"</formula>
    </cfRule>
    <cfRule type="cellIs" dxfId="145" priority="226" operator="equal">
      <formula>"Media"</formula>
    </cfRule>
    <cfRule type="cellIs" dxfId="144" priority="227" operator="equal">
      <formula>"Baja"</formula>
    </cfRule>
    <cfRule type="cellIs" dxfId="143" priority="228" operator="equal">
      <formula>"Muy Baja"</formula>
    </cfRule>
  </conditionalFormatting>
  <conditionalFormatting sqref="AB76">
    <cfRule type="cellIs" dxfId="142" priority="219" operator="equal">
      <formula>"Catastrófico"</formula>
    </cfRule>
    <cfRule type="cellIs" dxfId="141" priority="220" operator="equal">
      <formula>"Mayor"</formula>
    </cfRule>
    <cfRule type="cellIs" dxfId="140" priority="221" operator="equal">
      <formula>"Moderado"</formula>
    </cfRule>
    <cfRule type="cellIs" dxfId="139" priority="222" operator="equal">
      <formula>"Menor"</formula>
    </cfRule>
    <cfRule type="cellIs" dxfId="138" priority="223" operator="equal">
      <formula>"Leve"</formula>
    </cfRule>
  </conditionalFormatting>
  <conditionalFormatting sqref="AD76">
    <cfRule type="cellIs" dxfId="137" priority="215" operator="equal">
      <formula>"Extremo"</formula>
    </cfRule>
    <cfRule type="cellIs" dxfId="136" priority="216" operator="equal">
      <formula>"Alto"</formula>
    </cfRule>
    <cfRule type="cellIs" dxfId="135" priority="217" operator="equal">
      <formula>"Moderado"</formula>
    </cfRule>
    <cfRule type="cellIs" dxfId="134" priority="218" operator="equal">
      <formula>"Bajo"</formula>
    </cfRule>
  </conditionalFormatting>
  <conditionalFormatting sqref="Z77">
    <cfRule type="cellIs" dxfId="133" priority="210" operator="equal">
      <formula>"Muy Alta"</formula>
    </cfRule>
    <cfRule type="cellIs" dxfId="132" priority="211" operator="equal">
      <formula>"Alta"</formula>
    </cfRule>
    <cfRule type="cellIs" dxfId="131" priority="212" operator="equal">
      <formula>"Media"</formula>
    </cfRule>
    <cfRule type="cellIs" dxfId="130" priority="213" operator="equal">
      <formula>"Baja"</formula>
    </cfRule>
    <cfRule type="cellIs" dxfId="129" priority="214" operator="equal">
      <formula>"Muy Baja"</formula>
    </cfRule>
  </conditionalFormatting>
  <conditionalFormatting sqref="AB77">
    <cfRule type="cellIs" dxfId="128" priority="205" operator="equal">
      <formula>"Catastrófico"</formula>
    </cfRule>
    <cfRule type="cellIs" dxfId="127" priority="206" operator="equal">
      <formula>"Mayor"</formula>
    </cfRule>
    <cfRule type="cellIs" dxfId="126" priority="207" operator="equal">
      <formula>"Moderado"</formula>
    </cfRule>
    <cfRule type="cellIs" dxfId="125" priority="208" operator="equal">
      <formula>"Menor"</formula>
    </cfRule>
    <cfRule type="cellIs" dxfId="124" priority="209" operator="equal">
      <formula>"Leve"</formula>
    </cfRule>
  </conditionalFormatting>
  <conditionalFormatting sqref="AD77">
    <cfRule type="cellIs" dxfId="123" priority="201" operator="equal">
      <formula>"Extremo"</formula>
    </cfRule>
    <cfRule type="cellIs" dxfId="122" priority="202" operator="equal">
      <formula>"Alto"</formula>
    </cfRule>
    <cfRule type="cellIs" dxfId="121" priority="203" operator="equal">
      <formula>"Moderado"</formula>
    </cfRule>
    <cfRule type="cellIs" dxfId="120" priority="204" operator="equal">
      <formula>"Bajo"</formula>
    </cfRule>
  </conditionalFormatting>
  <conditionalFormatting sqref="Z78">
    <cfRule type="cellIs" dxfId="119" priority="196" operator="equal">
      <formula>"Muy Alta"</formula>
    </cfRule>
    <cfRule type="cellIs" dxfId="118" priority="197" operator="equal">
      <formula>"Alta"</formula>
    </cfRule>
    <cfRule type="cellIs" dxfId="117" priority="198" operator="equal">
      <formula>"Media"</formula>
    </cfRule>
    <cfRule type="cellIs" dxfId="116" priority="199" operator="equal">
      <formula>"Baja"</formula>
    </cfRule>
    <cfRule type="cellIs" dxfId="115" priority="200" operator="equal">
      <formula>"Muy Baja"</formula>
    </cfRule>
  </conditionalFormatting>
  <conditionalFormatting sqref="AB78">
    <cfRule type="cellIs" dxfId="114" priority="191" operator="equal">
      <formula>"Catastrófico"</formula>
    </cfRule>
    <cfRule type="cellIs" dxfId="113" priority="192" operator="equal">
      <formula>"Mayor"</formula>
    </cfRule>
    <cfRule type="cellIs" dxfId="112" priority="193" operator="equal">
      <formula>"Moderado"</formula>
    </cfRule>
    <cfRule type="cellIs" dxfId="111" priority="194" operator="equal">
      <formula>"Menor"</formula>
    </cfRule>
    <cfRule type="cellIs" dxfId="110" priority="195" operator="equal">
      <formula>"Leve"</formula>
    </cfRule>
  </conditionalFormatting>
  <conditionalFormatting sqref="Z82">
    <cfRule type="cellIs" dxfId="109" priority="124" operator="equal">
      <formula>"Muy Alta"</formula>
    </cfRule>
    <cfRule type="cellIs" dxfId="108" priority="125" operator="equal">
      <formula>"Alta"</formula>
    </cfRule>
    <cfRule type="cellIs" dxfId="107" priority="126" operator="equal">
      <formula>"Media"</formula>
    </cfRule>
    <cfRule type="cellIs" dxfId="106" priority="127" operator="equal">
      <formula>"Baja"</formula>
    </cfRule>
    <cfRule type="cellIs" dxfId="105" priority="128" operator="equal">
      <formula>"Muy Baja"</formula>
    </cfRule>
  </conditionalFormatting>
  <conditionalFormatting sqref="AB82">
    <cfRule type="cellIs" dxfId="104" priority="119" operator="equal">
      <formula>"Catastrófico"</formula>
    </cfRule>
    <cfRule type="cellIs" dxfId="103" priority="120" operator="equal">
      <formula>"Mayor"</formula>
    </cfRule>
    <cfRule type="cellIs" dxfId="102" priority="121" operator="equal">
      <formula>"Moderado"</formula>
    </cfRule>
    <cfRule type="cellIs" dxfId="101" priority="122" operator="equal">
      <formula>"Menor"</formula>
    </cfRule>
    <cfRule type="cellIs" dxfId="100" priority="123" operator="equal">
      <formula>"Leve"</formula>
    </cfRule>
  </conditionalFormatting>
  <conditionalFormatting sqref="AD82">
    <cfRule type="cellIs" dxfId="99" priority="115" operator="equal">
      <formula>"Extremo"</formula>
    </cfRule>
    <cfRule type="cellIs" dxfId="98" priority="116" operator="equal">
      <formula>"Alto"</formula>
    </cfRule>
    <cfRule type="cellIs" dxfId="97" priority="117" operator="equal">
      <formula>"Moderado"</formula>
    </cfRule>
    <cfRule type="cellIs" dxfId="96" priority="118" operator="equal">
      <formula>"Bajo"</formula>
    </cfRule>
  </conditionalFormatting>
  <conditionalFormatting sqref="M64">
    <cfRule type="cellIs" dxfId="95" priority="82" operator="equal">
      <formula>"Catastrófico"</formula>
    </cfRule>
    <cfRule type="cellIs" dxfId="94" priority="83" operator="equal">
      <formula>"Mayor"</formula>
    </cfRule>
    <cfRule type="cellIs" dxfId="93" priority="84" operator="equal">
      <formula>"Moderado"</formula>
    </cfRule>
    <cfRule type="cellIs" dxfId="92" priority="85" operator="equal">
      <formula>"Menor"</formula>
    </cfRule>
    <cfRule type="cellIs" dxfId="91" priority="86" operator="equal">
      <formula>"Leve"</formula>
    </cfRule>
  </conditionalFormatting>
  <conditionalFormatting sqref="I64">
    <cfRule type="cellIs" dxfId="90" priority="77" operator="equal">
      <formula>"Muy Alta"</formula>
    </cfRule>
    <cfRule type="cellIs" dxfId="89" priority="78" operator="equal">
      <formula>"Alta"</formula>
    </cfRule>
    <cfRule type="cellIs" dxfId="88" priority="79" operator="equal">
      <formula>"Media"</formula>
    </cfRule>
    <cfRule type="cellIs" dxfId="87" priority="80" operator="equal">
      <formula>"Baja"</formula>
    </cfRule>
    <cfRule type="cellIs" dxfId="86" priority="81" operator="equal">
      <formula>"Muy Baja"</formula>
    </cfRule>
  </conditionalFormatting>
  <conditionalFormatting sqref="O64">
    <cfRule type="cellIs" dxfId="85" priority="73" operator="equal">
      <formula>"Extremo"</formula>
    </cfRule>
    <cfRule type="cellIs" dxfId="84" priority="74" operator="equal">
      <formula>"Alto"</formula>
    </cfRule>
    <cfRule type="cellIs" dxfId="83" priority="75" operator="equal">
      <formula>"Moderado"</formula>
    </cfRule>
    <cfRule type="cellIs" dxfId="82" priority="76" operator="equal">
      <formula>"Bajo"</formula>
    </cfRule>
  </conditionalFormatting>
  <conditionalFormatting sqref="Z65:Z69">
    <cfRule type="cellIs" dxfId="81" priority="68" operator="equal">
      <formula>"Muy Alta"</formula>
    </cfRule>
    <cfRule type="cellIs" dxfId="80" priority="69" operator="equal">
      <formula>"Alta"</formula>
    </cfRule>
    <cfRule type="cellIs" dxfId="79" priority="70" operator="equal">
      <formula>"Media"</formula>
    </cfRule>
    <cfRule type="cellIs" dxfId="78" priority="71" operator="equal">
      <formula>"Baja"</formula>
    </cfRule>
    <cfRule type="cellIs" dxfId="77" priority="72" operator="equal">
      <formula>"Muy Baja"</formula>
    </cfRule>
  </conditionalFormatting>
  <conditionalFormatting sqref="AB65:AB69">
    <cfRule type="cellIs" dxfId="76" priority="63" operator="equal">
      <formula>"Catastrófico"</formula>
    </cfRule>
    <cfRule type="cellIs" dxfId="75" priority="64" operator="equal">
      <formula>"Mayor"</formula>
    </cfRule>
    <cfRule type="cellIs" dxfId="74" priority="65" operator="equal">
      <formula>"Moderado"</formula>
    </cfRule>
    <cfRule type="cellIs" dxfId="73" priority="66" operator="equal">
      <formula>"Menor"</formula>
    </cfRule>
    <cfRule type="cellIs" dxfId="72" priority="67" operator="equal">
      <formula>"Leve"</formula>
    </cfRule>
  </conditionalFormatting>
  <conditionalFormatting sqref="AD65:AD69">
    <cfRule type="cellIs" dxfId="71" priority="59" operator="equal">
      <formula>"Extremo"</formula>
    </cfRule>
    <cfRule type="cellIs" dxfId="70" priority="60" operator="equal">
      <formula>"Alto"</formula>
    </cfRule>
    <cfRule type="cellIs" dxfId="69" priority="61" operator="equal">
      <formula>"Moderado"</formula>
    </cfRule>
    <cfRule type="cellIs" dxfId="68" priority="62" operator="equal">
      <formula>"Bajo"</formula>
    </cfRule>
  </conditionalFormatting>
  <conditionalFormatting sqref="L64:L69">
    <cfRule type="containsText" dxfId="67" priority="58" operator="containsText" text="❌">
      <formula>NOT(ISERROR(SEARCH("❌",L64)))</formula>
    </cfRule>
  </conditionalFormatting>
  <conditionalFormatting sqref="M70">
    <cfRule type="cellIs" dxfId="66" priority="53" operator="equal">
      <formula>"Catastrófico"</formula>
    </cfRule>
    <cfRule type="cellIs" dxfId="65" priority="54" operator="equal">
      <formula>"Mayor"</formula>
    </cfRule>
    <cfRule type="cellIs" dxfId="64" priority="55" operator="equal">
      <formula>"Moderado"</formula>
    </cfRule>
    <cfRule type="cellIs" dxfId="63" priority="56" operator="equal">
      <formula>"Menor"</formula>
    </cfRule>
    <cfRule type="cellIs" dxfId="62" priority="57" operator="equal">
      <formula>"Leve"</formula>
    </cfRule>
  </conditionalFormatting>
  <conditionalFormatting sqref="I70">
    <cfRule type="cellIs" dxfId="61" priority="48" operator="equal">
      <formula>"Muy Alta"</formula>
    </cfRule>
    <cfRule type="cellIs" dxfId="60" priority="49" operator="equal">
      <formula>"Alta"</formula>
    </cfRule>
    <cfRule type="cellIs" dxfId="59" priority="50" operator="equal">
      <formula>"Media"</formula>
    </cfRule>
    <cfRule type="cellIs" dxfId="58" priority="51" operator="equal">
      <formula>"Baja"</formula>
    </cfRule>
    <cfRule type="cellIs" dxfId="57" priority="52" operator="equal">
      <formula>"Muy Baja"</formula>
    </cfRule>
  </conditionalFormatting>
  <conditionalFormatting sqref="O70">
    <cfRule type="cellIs" dxfId="56" priority="44" operator="equal">
      <formula>"Extremo"</formula>
    </cfRule>
    <cfRule type="cellIs" dxfId="55" priority="45" operator="equal">
      <formula>"Alto"</formula>
    </cfRule>
    <cfRule type="cellIs" dxfId="54" priority="46" operator="equal">
      <formula>"Moderado"</formula>
    </cfRule>
    <cfRule type="cellIs" dxfId="53" priority="47" operator="equal">
      <formula>"Bajo"</formula>
    </cfRule>
  </conditionalFormatting>
  <conditionalFormatting sqref="Z71:Z75">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AB71:AB75">
    <cfRule type="cellIs" dxfId="47" priority="34" operator="equal">
      <formula>"Catastrófico"</formula>
    </cfRule>
    <cfRule type="cellIs" dxfId="46" priority="35" operator="equal">
      <formula>"Mayor"</formula>
    </cfRule>
    <cfRule type="cellIs" dxfId="45" priority="36" operator="equal">
      <formula>"Moderado"</formula>
    </cfRule>
    <cfRule type="cellIs" dxfId="44" priority="37" operator="equal">
      <formula>"Menor"</formula>
    </cfRule>
    <cfRule type="cellIs" dxfId="43" priority="38" operator="equal">
      <formula>"Leve"</formula>
    </cfRule>
  </conditionalFormatting>
  <conditionalFormatting sqref="AD71:AD75">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L70:L75">
    <cfRule type="containsText" dxfId="38" priority="29" operator="containsText" text="❌">
      <formula>NOT(ISERROR(SEARCH("❌",L70)))</formula>
    </cfRule>
  </conditionalFormatting>
  <conditionalFormatting sqref="Z64">
    <cfRule type="cellIs" dxfId="37" priority="24" operator="equal">
      <formula>"Muy Alta"</formula>
    </cfRule>
    <cfRule type="cellIs" dxfId="36" priority="25" operator="equal">
      <formula>"Alta"</formula>
    </cfRule>
    <cfRule type="cellIs" dxfId="35" priority="26" operator="equal">
      <formula>"Media"</formula>
    </cfRule>
    <cfRule type="cellIs" dxfId="34" priority="27" operator="equal">
      <formula>"Baja"</formula>
    </cfRule>
    <cfRule type="cellIs" dxfId="33" priority="28" operator="equal">
      <formula>"Muy Baja"</formula>
    </cfRule>
  </conditionalFormatting>
  <conditionalFormatting sqref="AB64">
    <cfRule type="cellIs" dxfId="32" priority="19" operator="equal">
      <formula>"Catastrófico"</formula>
    </cfRule>
    <cfRule type="cellIs" dxfId="31" priority="20" operator="equal">
      <formula>"Mayor"</formula>
    </cfRule>
    <cfRule type="cellIs" dxfId="30" priority="21" operator="equal">
      <formula>"Moderado"</formula>
    </cfRule>
    <cfRule type="cellIs" dxfId="29" priority="22" operator="equal">
      <formula>"Menor"</formula>
    </cfRule>
    <cfRule type="cellIs" dxfId="28" priority="23" operator="equal">
      <formula>"Leve"</formula>
    </cfRule>
  </conditionalFormatting>
  <conditionalFormatting sqref="AD64">
    <cfRule type="cellIs" dxfId="27" priority="15" operator="equal">
      <formula>"Extremo"</formula>
    </cfRule>
    <cfRule type="cellIs" dxfId="26" priority="16" operator="equal">
      <formula>"Alto"</formula>
    </cfRule>
    <cfRule type="cellIs" dxfId="25" priority="17" operator="equal">
      <formula>"Moderado"</formula>
    </cfRule>
    <cfRule type="cellIs" dxfId="24" priority="18" operator="equal">
      <formula>"Bajo"</formula>
    </cfRule>
  </conditionalFormatting>
  <conditionalFormatting sqref="Z70">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B70">
    <cfRule type="cellIs" dxfId="18" priority="5" operator="equal">
      <formula>"Catastrófico"</formula>
    </cfRule>
    <cfRule type="cellIs" dxfId="17" priority="6" operator="equal">
      <formula>"Mayor"</formula>
    </cfRule>
    <cfRule type="cellIs" dxfId="16" priority="7" operator="equal">
      <formula>"Moderado"</formula>
    </cfRule>
    <cfRule type="cellIs" dxfId="15" priority="8" operator="equal">
      <formula>"Menor"</formula>
    </cfRule>
    <cfRule type="cellIs" dxfId="14" priority="9" operator="equal">
      <formula>"Leve"</formula>
    </cfRule>
  </conditionalFormatting>
  <conditionalFormatting sqref="AD70">
    <cfRule type="cellIs" dxfId="13" priority="1" operator="equal">
      <formula>"Extremo"</formula>
    </cfRule>
    <cfRule type="cellIs" dxfId="12" priority="2" operator="equal">
      <formula>"Alto"</formula>
    </cfRule>
    <cfRule type="cellIs" dxfId="11" priority="3" operator="equal">
      <formula>"Moderado"</formula>
    </cfRule>
    <cfRule type="cellIs" dxfId="10"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S23 S25:S27 S30:S33 S54:S57 S79:S81 S83:S87 S65:S69 S71:S75</xm:sqref>
        </x14:dataValidation>
        <x14:dataValidation type="list" allowBlank="1" showInputMessage="1" showErrorMessage="1">
          <x14:formula1>
            <xm:f>'Tabla Valoración controles'!$D$8:$D$9</xm:f>
          </x14:formula1>
          <xm:sqref>T23 T25:T27 T30:T33 T54:T57 T79:T81 T83:T87 T65:T69 T71:T75</xm:sqref>
        </x14:dataValidation>
        <x14:dataValidation type="list" allowBlank="1" showInputMessage="1" showErrorMessage="1">
          <x14:formula1>
            <xm:f>'Tabla Valoración controles'!$D$10:$D$11</xm:f>
          </x14:formula1>
          <xm:sqref>V23 V25:V27 V30:V33 V54:V57 V79:V81 V83:V87 V65:V69 V71:V75</xm:sqref>
        </x14:dataValidation>
        <x14:dataValidation type="list" allowBlank="1" showInputMessage="1" showErrorMessage="1">
          <x14:formula1>
            <xm:f>'Tabla Valoración controles'!$D$12:$D$13</xm:f>
          </x14:formula1>
          <xm:sqref>W23 W25:W27 W30:W33 W54:W57 W79:W81 W83:W87 W65:W69 W71:W75</xm:sqref>
        </x14:dataValidation>
        <x14:dataValidation type="list" allowBlank="1" showInputMessage="1" showErrorMessage="1">
          <x14:formula1>
            <xm:f>'Opciones Tratamiento'!$B$9:$B$10</xm:f>
          </x14:formula1>
          <xm:sqref>AK85:AK86</xm:sqref>
        </x14:dataValidation>
        <x14:dataValidation type="list" allowBlank="1" showInputMessage="1" showErrorMessage="1">
          <x14:formula1>
            <xm:f>'Tabla Valoración controles'!$D$14:$D$15</xm:f>
          </x14:formula1>
          <xm:sqref>X23 X25:X27 X30:X33 X54:X57 X79:X81 X83:X87 X65:X69 X71:X75</xm:sqref>
        </x14:dataValidation>
        <x14:dataValidation type="list" allowBlank="1" showInputMessage="1" showErrorMessage="1">
          <x14:formula1>
            <xm:f>'Opciones Tratamiento'!$B$13:$B$19</xm:f>
          </x14:formula1>
          <xm:sqref>G82:G87 G64:G75</xm:sqref>
        </x14:dataValidation>
        <x14:dataValidation type="list" allowBlank="1" showInputMessage="1" showErrorMessage="1">
          <x14:formula1>
            <xm:f>'Opciones Tratamiento'!$E$2:$E$4</xm:f>
          </x14:formula1>
          <xm:sqref>C82:C87 C64:C75</xm:sqref>
        </x14:dataValidation>
        <x14:dataValidation type="list" allowBlank="1" showInputMessage="1" showErrorMessage="1">
          <x14:formula1>
            <xm:f>'Opciones Tratamiento'!$B$2:$B$5</xm:f>
          </x14:formula1>
          <xm:sqref>AE23 AE25:AE27 AE30:AE33 AE54:AE57 AE79:AE81 AE83:AE87 AE65:AE69 AE71:AE75</xm:sqref>
        </x14:dataValidation>
        <x14:dataValidation type="list" allowBlank="1" showInputMessage="1" showErrorMessage="1">
          <x14:formula1>
            <xm:f>'Tabla Impacto'!$F$211:$F$222</xm:f>
          </x14:formula1>
          <xm:sqref>K82:K87 K64:K75</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AF23 AF25:AF27 AF30:AF33 AF54:AF57 AF79:AF81 AF84:AF87 AF65:AF69 AF71:AF75</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AG23 AG25:AG27 AG30:AG33 AG54:AG57 AG79:AG81 AG84:AG87 AG65:AG69 AG71:AG75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AH71:AH75 AH25:AH27 AH30:AH33 AH54:AH57 AH79:AH81 AH84:AH87 AH65:AH69 AH23 AI16:AI21 AI25:AI83</xm:sqref>
        </x14:dataValidation>
        <x14:dataValidation type="custom" allowBlank="1" showInputMessage="1" showErrorMessage="1" error="Recuerde que las acciones se generan bajo la medida de mitigar el riesgo">
          <x14:formula1>
            <xm:f>IF(OR(AE84='Opciones Tratamiento'!$B$2,AE84='Opciones Tratamiento'!$B$3,AE84='Opciones Tratamiento'!$B$4),ISBLANK(AE84),ISTEXT(AE84))</xm:f>
          </x14:formula1>
          <xm:sqref>AI84:AI87</xm:sqref>
        </x14:dataValidation>
        <x14:dataValidation type="custom" allowBlank="1" showInputMessage="1" showErrorMessage="1" error="Recuerde que las acciones se generan bajo la medida de mitigar el riesgo">
          <x14:formula1>
            <xm:f>IF(OR(AE84='Opciones Tratamiento'!$B$2,AE84='Opciones Tratamiento'!$B$3,AE84='Opciones Tratamiento'!$B$4),ISBLANK(AE84),ISTEXT(AE84))</xm:f>
          </x14:formula1>
          <xm:sqref>AJ84:AJ87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ColWidth="11.42578125" defaultRowHeight="15" x14ac:dyDescent="0.25"/>
  <cols>
    <col min="2" max="39" width="5.7109375" customWidth="1" collapsed="1"/>
    <col min="41" max="46" width="5.7109375" customWidth="1" collapsed="1"/>
  </cols>
  <sheetData>
    <row r="1" spans="1:99"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ht="18" customHeight="1" x14ac:dyDescent="0.25">
      <c r="A2" s="54"/>
      <c r="B2" s="510" t="s">
        <v>282</v>
      </c>
      <c r="C2" s="510"/>
      <c r="D2" s="510"/>
      <c r="E2" s="510"/>
      <c r="F2" s="510"/>
      <c r="G2" s="510"/>
      <c r="H2" s="510"/>
      <c r="I2" s="510"/>
      <c r="J2" s="477" t="s">
        <v>23</v>
      </c>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row>
    <row r="3" spans="1:99" ht="18.75" customHeight="1" x14ac:dyDescent="0.25">
      <c r="A3" s="54"/>
      <c r="B3" s="510"/>
      <c r="C3" s="510"/>
      <c r="D3" s="510"/>
      <c r="E3" s="510"/>
      <c r="F3" s="510"/>
      <c r="G3" s="510"/>
      <c r="H3" s="510"/>
      <c r="I3" s="510"/>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row>
    <row r="4" spans="1:99" ht="15" customHeight="1" x14ac:dyDescent="0.25">
      <c r="A4" s="54"/>
      <c r="B4" s="510"/>
      <c r="C4" s="510"/>
      <c r="D4" s="510"/>
      <c r="E4" s="510"/>
      <c r="F4" s="510"/>
      <c r="G4" s="510"/>
      <c r="H4" s="510"/>
      <c r="I4" s="510"/>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row>
    <row r="5" spans="1:99"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row>
    <row r="6" spans="1:99" ht="15" customHeight="1" x14ac:dyDescent="0.25">
      <c r="A6" s="54"/>
      <c r="B6" s="423" t="s">
        <v>183</v>
      </c>
      <c r="C6" s="423"/>
      <c r="D6" s="424"/>
      <c r="E6" s="461" t="s">
        <v>283</v>
      </c>
      <c r="F6" s="462"/>
      <c r="G6" s="462"/>
      <c r="H6" s="462"/>
      <c r="I6" s="463"/>
      <c r="J6" s="473" t="str">
        <f>IF(AND('MAPA DE RIESGO'!$I$16="Muy Alta",'MAPA DE RIESGO'!$M$16="Leve"),CONCATENATE("R",'MAPA DE RIESGO'!$B$16),"")</f>
        <v/>
      </c>
      <c r="K6" s="474"/>
      <c r="L6" s="474" t="str">
        <f>IF(AND('MAPA DE RIESGO'!$I$22="Muy Alta",'MAPA DE RIESGO'!$M$22="Leve"),CONCATENATE("R",'MAPA DE RIESGO'!$B$22),"")</f>
        <v/>
      </c>
      <c r="M6" s="474"/>
      <c r="N6" s="474" t="str">
        <f>IF(AND('MAPA DE RIESGO'!$I$28="Muy Alta",'MAPA DE RIESGO'!$M$28="Leve"),CONCATENATE("R",'MAPA DE RIESGO'!$B$28),"")</f>
        <v/>
      </c>
      <c r="O6" s="476"/>
      <c r="P6" s="473" t="str">
        <f>IF(AND('MAPA DE RIESGO'!$I$16="Muy Alta",'MAPA DE RIESGO'!$M$16="Menor"),CONCATENATE("R",'MAPA DE RIESGO'!$B$16),"")</f>
        <v/>
      </c>
      <c r="Q6" s="474"/>
      <c r="R6" s="474" t="str">
        <f>IF(AND('MAPA DE RIESGO'!$I$22="Muy Alta",'MAPA DE RIESGO'!$M$22="Menor"),CONCATENATE("R",'MAPA DE RIESGO'!$B$22),"")</f>
        <v/>
      </c>
      <c r="S6" s="474"/>
      <c r="T6" s="474" t="str">
        <f>IF(AND('MAPA DE RIESGO'!$I$28="Muy Alta",'MAPA DE RIESGO'!$M$28="Menor"),CONCATENATE("R",'MAPA DE RIESGO'!$B$28),"")</f>
        <v/>
      </c>
      <c r="U6" s="476"/>
      <c r="V6" s="473" t="str">
        <f>IF(AND('MAPA DE RIESGO'!$I$16="Muy Alta",'MAPA DE RIESGO'!$M$16="Moderado"),CONCATENATE("R",'MAPA DE RIESGO'!$B$16),"")</f>
        <v/>
      </c>
      <c r="W6" s="474"/>
      <c r="X6" s="474" t="str">
        <f>IF(AND('MAPA DE RIESGO'!$I$22="Muy Alta",'MAPA DE RIESGO'!$M$22="Moderado"),CONCATENATE("R",'MAPA DE RIESGO'!$B$22),"")</f>
        <v/>
      </c>
      <c r="Y6" s="474"/>
      <c r="Z6" s="474" t="str">
        <f>IF(AND('MAPA DE RIESGO'!$I$28="Muy Alta",'MAPA DE RIESGO'!$M$28="Moderado"),CONCATENATE("R",'MAPA DE RIESGO'!$B$28),"")</f>
        <v/>
      </c>
      <c r="AA6" s="476"/>
      <c r="AB6" s="473" t="str">
        <f>IF(AND('MAPA DE RIESGO'!$I$16="Muy Alta",'MAPA DE RIESGO'!$M$16="Mayor"),CONCATENATE("R",'MAPA DE RIESGO'!$B$16),"")</f>
        <v/>
      </c>
      <c r="AC6" s="474"/>
      <c r="AD6" s="474" t="str">
        <f>IF(AND('MAPA DE RIESGO'!$I$22="Muy Alta",'MAPA DE RIESGO'!$M$22="Mayor"),CONCATENATE("R",'MAPA DE RIESGO'!$B$22),"")</f>
        <v/>
      </c>
      <c r="AE6" s="474"/>
      <c r="AF6" s="474" t="str">
        <f>IF(AND('MAPA DE RIESGO'!$I$28="Muy Alta",'MAPA DE RIESGO'!$M$28="Mayor"),CONCATENATE("R",'MAPA DE RIESGO'!$B$28),"")</f>
        <v/>
      </c>
      <c r="AG6" s="476"/>
      <c r="AH6" s="489" t="str">
        <f>IF(AND('MAPA DE RIESGO'!$I$16="Muy Alta",'MAPA DE RIESGO'!$M$16="Catastrófico"),CONCATENATE("R",'MAPA DE RIESGO'!$B$16),"")</f>
        <v/>
      </c>
      <c r="AI6" s="490"/>
      <c r="AJ6" s="490" t="str">
        <f>IF(AND('MAPA DE RIESGO'!$I$22="Muy Alta",'MAPA DE RIESGO'!$M$22="Catastrófico"),CONCATENATE("R",'MAPA DE RIESGO'!$B$22),"")</f>
        <v/>
      </c>
      <c r="AK6" s="490"/>
      <c r="AL6" s="490" t="str">
        <f>IF(AND('MAPA DE RIESGO'!$I$28="Muy Alta",'MAPA DE RIESGO'!$M$28="Catastrófico"),CONCATENATE("R",'MAPA DE RIESGO'!$B$28),"")</f>
        <v/>
      </c>
      <c r="AM6" s="491"/>
      <c r="AO6" s="425" t="s">
        <v>284</v>
      </c>
      <c r="AP6" s="426"/>
      <c r="AQ6" s="426"/>
      <c r="AR6" s="426"/>
      <c r="AS6" s="426"/>
      <c r="AT6" s="427"/>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99" ht="15" customHeight="1" x14ac:dyDescent="0.25">
      <c r="A7" s="54"/>
      <c r="B7" s="423"/>
      <c r="C7" s="423"/>
      <c r="D7" s="424"/>
      <c r="E7" s="464"/>
      <c r="F7" s="465"/>
      <c r="G7" s="465"/>
      <c r="H7" s="465"/>
      <c r="I7" s="466"/>
      <c r="J7" s="475"/>
      <c r="K7" s="472"/>
      <c r="L7" s="472"/>
      <c r="M7" s="472"/>
      <c r="N7" s="472"/>
      <c r="O7" s="471"/>
      <c r="P7" s="475"/>
      <c r="Q7" s="472"/>
      <c r="R7" s="472"/>
      <c r="S7" s="472"/>
      <c r="T7" s="472"/>
      <c r="U7" s="471"/>
      <c r="V7" s="475"/>
      <c r="W7" s="472"/>
      <c r="X7" s="472"/>
      <c r="Y7" s="472"/>
      <c r="Z7" s="472"/>
      <c r="AA7" s="471"/>
      <c r="AB7" s="475"/>
      <c r="AC7" s="472"/>
      <c r="AD7" s="472"/>
      <c r="AE7" s="472"/>
      <c r="AF7" s="472"/>
      <c r="AG7" s="471"/>
      <c r="AH7" s="483"/>
      <c r="AI7" s="484"/>
      <c r="AJ7" s="484"/>
      <c r="AK7" s="484"/>
      <c r="AL7" s="484"/>
      <c r="AM7" s="485"/>
      <c r="AN7" s="54"/>
      <c r="AO7" s="428"/>
      <c r="AP7" s="429"/>
      <c r="AQ7" s="429"/>
      <c r="AR7" s="429"/>
      <c r="AS7" s="429"/>
      <c r="AT7" s="430"/>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99" ht="15" customHeight="1" x14ac:dyDescent="0.25">
      <c r="A8" s="54"/>
      <c r="B8" s="423"/>
      <c r="C8" s="423"/>
      <c r="D8" s="424"/>
      <c r="E8" s="464"/>
      <c r="F8" s="465"/>
      <c r="G8" s="465"/>
      <c r="H8" s="465"/>
      <c r="I8" s="466"/>
      <c r="J8" s="475" t="str">
        <f>IF(AND('MAPA DE RIESGO'!$I$34="Muy Alta",'MAPA DE RIESGO'!$M$34="Leve"),CONCATENATE("R",'MAPA DE RIESGO'!$B$34),"")</f>
        <v/>
      </c>
      <c r="K8" s="472"/>
      <c r="L8" s="470" t="str">
        <f>IF(AND('MAPA DE RIESGO'!$I$40="Muy Alta",'MAPA DE RIESGO'!$M$40="Leve"),CONCATENATE("R",'MAPA DE RIESGO'!$B$40),"")</f>
        <v/>
      </c>
      <c r="M8" s="470"/>
      <c r="N8" s="470" t="str">
        <f>IF(AND('MAPA DE RIESGO'!$I$46="Muy Alta",'MAPA DE RIESGO'!$M$46="Leve"),CONCATENATE("R",'MAPA DE RIESGO'!$B$46),"")</f>
        <v/>
      </c>
      <c r="O8" s="471"/>
      <c r="P8" s="475" t="str">
        <f>IF(AND('MAPA DE RIESGO'!$I$34="Muy Alta",'MAPA DE RIESGO'!$M$34="Menor"),CONCATENATE("R",'MAPA DE RIESGO'!$B$34),"")</f>
        <v/>
      </c>
      <c r="Q8" s="472"/>
      <c r="R8" s="470" t="str">
        <f>IF(AND('MAPA DE RIESGO'!$I$40="Muy Alta",'MAPA DE RIESGO'!$M$40="Menor"),CONCATENATE("R",'MAPA DE RIESGO'!$B$40),"")</f>
        <v/>
      </c>
      <c r="S8" s="470"/>
      <c r="T8" s="470" t="str">
        <f>IF(AND('MAPA DE RIESGO'!$I$46="Muy Alta",'MAPA DE RIESGO'!$M$46="Menor"),CONCATENATE("R",'MAPA DE RIESGO'!$B$46),"")</f>
        <v/>
      </c>
      <c r="U8" s="471"/>
      <c r="V8" s="475" t="str">
        <f>IF(AND('MAPA DE RIESGO'!$I$34="Muy Alta",'MAPA DE RIESGO'!$M$34="Moderado"),CONCATENATE("R",'MAPA DE RIESGO'!$B$34),"")</f>
        <v/>
      </c>
      <c r="W8" s="472"/>
      <c r="X8" s="470" t="str">
        <f>IF(AND('MAPA DE RIESGO'!$I$40="Muy Alta",'MAPA DE RIESGO'!$M$40="Moderado"),CONCATENATE("R",'MAPA DE RIESGO'!$B$40),"")</f>
        <v/>
      </c>
      <c r="Y8" s="470"/>
      <c r="Z8" s="470" t="str">
        <f>IF(AND('MAPA DE RIESGO'!$I$46="Muy Alta",'MAPA DE RIESGO'!$M$46="Moderado"),CONCATENATE("R",'MAPA DE RIESGO'!$B$46),"")</f>
        <v/>
      </c>
      <c r="AA8" s="471"/>
      <c r="AB8" s="475" t="str">
        <f>IF(AND('MAPA DE RIESGO'!$I$34="Muy Alta",'MAPA DE RIESGO'!$M$34="Mayor"),CONCATENATE("R",'MAPA DE RIESGO'!$B$34),"")</f>
        <v/>
      </c>
      <c r="AC8" s="472"/>
      <c r="AD8" s="470" t="str">
        <f>IF(AND('MAPA DE RIESGO'!$I$40="Muy Alta",'MAPA DE RIESGO'!$M$40="Mayor"),CONCATENATE("R",'MAPA DE RIESGO'!$B$40),"")</f>
        <v/>
      </c>
      <c r="AE8" s="470"/>
      <c r="AF8" s="470" t="str">
        <f>IF(AND('MAPA DE RIESGO'!$I$46="Muy Alta",'MAPA DE RIESGO'!$M$46="Mayor"),CONCATENATE("R",'MAPA DE RIESGO'!$B$46),"")</f>
        <v/>
      </c>
      <c r="AG8" s="471"/>
      <c r="AH8" s="483" t="str">
        <f>IF(AND('MAPA DE RIESGO'!$I$34="Muy Alta",'MAPA DE RIESGO'!$M$34="Catastrófico"),CONCATENATE("R",'MAPA DE RIESGO'!$B$34),"")</f>
        <v/>
      </c>
      <c r="AI8" s="484"/>
      <c r="AJ8" s="484" t="str">
        <f>IF(AND('MAPA DE RIESGO'!$I$40="Muy Alta",'MAPA DE RIESGO'!$M$40="Catastrófico"),CONCATENATE("R",'MAPA DE RIESGO'!$B$40),"")</f>
        <v/>
      </c>
      <c r="AK8" s="484"/>
      <c r="AL8" s="484" t="str">
        <f>IF(AND('MAPA DE RIESGO'!$I$46="Muy Alta",'MAPA DE RIESGO'!$M$46="Catastrófico"),CONCATENATE("R",'MAPA DE RIESGO'!$B$46),"")</f>
        <v/>
      </c>
      <c r="AM8" s="485"/>
      <c r="AN8" s="54"/>
      <c r="AO8" s="428"/>
      <c r="AP8" s="429"/>
      <c r="AQ8" s="429"/>
      <c r="AR8" s="429"/>
      <c r="AS8" s="429"/>
      <c r="AT8" s="430"/>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row>
    <row r="9" spans="1:99" ht="15" customHeight="1" x14ac:dyDescent="0.25">
      <c r="A9" s="54"/>
      <c r="B9" s="423"/>
      <c r="C9" s="423"/>
      <c r="D9" s="424"/>
      <c r="E9" s="464"/>
      <c r="F9" s="465"/>
      <c r="G9" s="465"/>
      <c r="H9" s="465"/>
      <c r="I9" s="466"/>
      <c r="J9" s="475"/>
      <c r="K9" s="472"/>
      <c r="L9" s="470"/>
      <c r="M9" s="470"/>
      <c r="N9" s="470"/>
      <c r="O9" s="471"/>
      <c r="P9" s="475"/>
      <c r="Q9" s="472"/>
      <c r="R9" s="470"/>
      <c r="S9" s="470"/>
      <c r="T9" s="470"/>
      <c r="U9" s="471"/>
      <c r="V9" s="475"/>
      <c r="W9" s="472"/>
      <c r="X9" s="470"/>
      <c r="Y9" s="470"/>
      <c r="Z9" s="470"/>
      <c r="AA9" s="471"/>
      <c r="AB9" s="475"/>
      <c r="AC9" s="472"/>
      <c r="AD9" s="470"/>
      <c r="AE9" s="470"/>
      <c r="AF9" s="470"/>
      <c r="AG9" s="471"/>
      <c r="AH9" s="483"/>
      <c r="AI9" s="484"/>
      <c r="AJ9" s="484"/>
      <c r="AK9" s="484"/>
      <c r="AL9" s="484"/>
      <c r="AM9" s="485"/>
      <c r="AN9" s="54"/>
      <c r="AO9" s="428"/>
      <c r="AP9" s="429"/>
      <c r="AQ9" s="429"/>
      <c r="AR9" s="429"/>
      <c r="AS9" s="429"/>
      <c r="AT9" s="430"/>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row>
    <row r="10" spans="1:99" ht="15" customHeight="1" x14ac:dyDescent="0.25">
      <c r="A10" s="54"/>
      <c r="B10" s="423"/>
      <c r="C10" s="423"/>
      <c r="D10" s="424"/>
      <c r="E10" s="464"/>
      <c r="F10" s="465"/>
      <c r="G10" s="465"/>
      <c r="H10" s="465"/>
      <c r="I10" s="466"/>
      <c r="J10" s="475" t="str">
        <f>IF(AND('MAPA DE RIESGO'!$I$52="Muy Alta",'MAPA DE RIESGO'!$M$52="Leve"),CONCATENATE("R",'MAPA DE RIESGO'!$B$52),"")</f>
        <v/>
      </c>
      <c r="K10" s="472"/>
      <c r="L10" s="470" t="str">
        <f>IF(AND('MAPA DE RIESGO'!$I$58="Muy Alta",'MAPA DE RIESGO'!$M$58="Leve"),CONCATENATE("R",'MAPA DE RIESGO'!$B$58),"")</f>
        <v/>
      </c>
      <c r="M10" s="470"/>
      <c r="N10" s="470" t="str">
        <f>IF(AND('MAPA DE RIESGO'!$I$76="Muy Alta",'MAPA DE RIESGO'!$M$76="Leve"),CONCATENATE("R",'MAPA DE RIESGO'!$B$76),"")</f>
        <v/>
      </c>
      <c r="O10" s="471"/>
      <c r="P10" s="475" t="str">
        <f>IF(AND('MAPA DE RIESGO'!$I$52="Muy Alta",'MAPA DE RIESGO'!$M$52="Menor"),CONCATENATE("R",'MAPA DE RIESGO'!$B$52),"")</f>
        <v/>
      </c>
      <c r="Q10" s="472"/>
      <c r="R10" s="470" t="str">
        <f>IF(AND('MAPA DE RIESGO'!$I$58="Muy Alta",'MAPA DE RIESGO'!$M$58="Menor"),CONCATENATE("R",'MAPA DE RIESGO'!$B$58),"")</f>
        <v/>
      </c>
      <c r="S10" s="470"/>
      <c r="T10" s="470" t="str">
        <f>IF(AND('MAPA DE RIESGO'!$I$76="Muy Alta",'MAPA DE RIESGO'!$M$76="Menor"),CONCATENATE("R",'MAPA DE RIESGO'!$B$76),"")</f>
        <v/>
      </c>
      <c r="U10" s="471"/>
      <c r="V10" s="475" t="str">
        <f>IF(AND('MAPA DE RIESGO'!$I$52="Muy Alta",'MAPA DE RIESGO'!$M$52="Moderado"),CONCATENATE("R",'MAPA DE RIESGO'!$B$52),"")</f>
        <v/>
      </c>
      <c r="W10" s="472"/>
      <c r="X10" s="470" t="str">
        <f>IF(AND('MAPA DE RIESGO'!$I$58="Muy Alta",'MAPA DE RIESGO'!$M$58="Moderado"),CONCATENATE("R",'MAPA DE RIESGO'!$B$58),"")</f>
        <v/>
      </c>
      <c r="Y10" s="470"/>
      <c r="Z10" s="470" t="str">
        <f>IF(AND('MAPA DE RIESGO'!$I$76="Muy Alta",'MAPA DE RIESGO'!$M$76="Moderado"),CONCATENATE("R",'MAPA DE RIESGO'!$B$76),"")</f>
        <v/>
      </c>
      <c r="AA10" s="471"/>
      <c r="AB10" s="475" t="str">
        <f>IF(AND('MAPA DE RIESGO'!$I$52="Muy Alta",'MAPA DE RIESGO'!$M$52="Mayor"),CONCATENATE("R",'MAPA DE RIESGO'!$B$52),"")</f>
        <v/>
      </c>
      <c r="AC10" s="472"/>
      <c r="AD10" s="470" t="str">
        <f>IF(AND('MAPA DE RIESGO'!$I$58="Muy Alta",'MAPA DE RIESGO'!$M$58="Mayor"),CONCATENATE("R",'MAPA DE RIESGO'!$B$58),"")</f>
        <v/>
      </c>
      <c r="AE10" s="470"/>
      <c r="AF10" s="470" t="str">
        <f>IF(AND('MAPA DE RIESGO'!$I$76="Muy Alta",'MAPA DE RIESGO'!$M$76="Mayor"),CONCATENATE("R",'MAPA DE RIESGO'!$B$76),"")</f>
        <v/>
      </c>
      <c r="AG10" s="471"/>
      <c r="AH10" s="483" t="str">
        <f>IF(AND('MAPA DE RIESGO'!$I$52="Muy Alta",'MAPA DE RIESGO'!$M$52="Catastrófico"),CONCATENATE("R",'MAPA DE RIESGO'!$B$52),"")</f>
        <v/>
      </c>
      <c r="AI10" s="484"/>
      <c r="AJ10" s="484" t="str">
        <f>IF(AND('MAPA DE RIESGO'!$I$58="Muy Alta",'MAPA DE RIESGO'!$M$58="Catastrófico"),CONCATENATE("R",'MAPA DE RIESGO'!$B$58),"")</f>
        <v/>
      </c>
      <c r="AK10" s="484"/>
      <c r="AL10" s="484" t="str">
        <f>IF(AND('MAPA DE RIESGO'!$I$76="Muy Alta",'MAPA DE RIESGO'!$M$76="Catastrófico"),CONCATENATE("R",'MAPA DE RIESGO'!$B$76),"")</f>
        <v/>
      </c>
      <c r="AM10" s="485"/>
      <c r="AN10" s="54"/>
      <c r="AO10" s="428"/>
      <c r="AP10" s="429"/>
      <c r="AQ10" s="429"/>
      <c r="AR10" s="429"/>
      <c r="AS10" s="429"/>
      <c r="AT10" s="430"/>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row>
    <row r="11" spans="1:99" ht="15" customHeight="1" x14ac:dyDescent="0.25">
      <c r="A11" s="54"/>
      <c r="B11" s="423"/>
      <c r="C11" s="423"/>
      <c r="D11" s="424"/>
      <c r="E11" s="464"/>
      <c r="F11" s="465"/>
      <c r="G11" s="465"/>
      <c r="H11" s="465"/>
      <c r="I11" s="466"/>
      <c r="J11" s="475"/>
      <c r="K11" s="472"/>
      <c r="L11" s="470"/>
      <c r="M11" s="470"/>
      <c r="N11" s="470"/>
      <c r="O11" s="471"/>
      <c r="P11" s="475"/>
      <c r="Q11" s="472"/>
      <c r="R11" s="470"/>
      <c r="S11" s="470"/>
      <c r="T11" s="470"/>
      <c r="U11" s="471"/>
      <c r="V11" s="475"/>
      <c r="W11" s="472"/>
      <c r="X11" s="470"/>
      <c r="Y11" s="470"/>
      <c r="Z11" s="470"/>
      <c r="AA11" s="471"/>
      <c r="AB11" s="475"/>
      <c r="AC11" s="472"/>
      <c r="AD11" s="470"/>
      <c r="AE11" s="470"/>
      <c r="AF11" s="470"/>
      <c r="AG11" s="471"/>
      <c r="AH11" s="483"/>
      <c r="AI11" s="484"/>
      <c r="AJ11" s="484"/>
      <c r="AK11" s="484"/>
      <c r="AL11" s="484"/>
      <c r="AM11" s="485"/>
      <c r="AN11" s="54"/>
      <c r="AO11" s="428"/>
      <c r="AP11" s="429"/>
      <c r="AQ11" s="429"/>
      <c r="AR11" s="429"/>
      <c r="AS11" s="429"/>
      <c r="AT11" s="430"/>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row>
    <row r="12" spans="1:99" ht="15" customHeight="1" x14ac:dyDescent="0.25">
      <c r="A12" s="54"/>
      <c r="B12" s="423"/>
      <c r="C12" s="423"/>
      <c r="D12" s="424"/>
      <c r="E12" s="464"/>
      <c r="F12" s="465"/>
      <c r="G12" s="465"/>
      <c r="H12" s="465"/>
      <c r="I12" s="466"/>
      <c r="J12" s="475" t="str">
        <f>IF(AND('MAPA DE RIESGO'!$I$82="Muy Alta",'MAPA DE RIESGO'!$M$82="Leve"),CONCATENATE("R",'MAPA DE RIESGO'!$B$82),"")</f>
        <v/>
      </c>
      <c r="K12" s="472"/>
      <c r="L12" s="470" t="str">
        <f>IF(AND('MAPA DE RIESGO'!$I$88="Muy Alta",'MAPA DE RIESGO'!$M$88="Leve"),CONCATENATE("R",'MAPA DE RIESGO'!$B$88),"")</f>
        <v/>
      </c>
      <c r="M12" s="470"/>
      <c r="N12" s="470" t="str">
        <f>IF(AND('MAPA DE RIESGO'!$I$94="Muy Alta",'MAPA DE RIESGO'!$M$94="Leve"),CONCATENATE("R",'MAPA DE RIESGO'!$B$94),"")</f>
        <v/>
      </c>
      <c r="O12" s="471"/>
      <c r="P12" s="475" t="str">
        <f>IF(AND('MAPA DE RIESGO'!$I$82="Muy Alta",'MAPA DE RIESGO'!$M$82="Menor"),CONCATENATE("R",'MAPA DE RIESGO'!$B$82),"")</f>
        <v/>
      </c>
      <c r="Q12" s="472"/>
      <c r="R12" s="470" t="str">
        <f>IF(AND('MAPA DE RIESGO'!$I$88="Muy Alta",'MAPA DE RIESGO'!$M$88="Menor"),CONCATENATE("R",'MAPA DE RIESGO'!$B$88),"")</f>
        <v/>
      </c>
      <c r="S12" s="470"/>
      <c r="T12" s="470" t="str">
        <f>IF(AND('MAPA DE RIESGO'!$I$94="Muy Alta",'MAPA DE RIESGO'!$M$94="Menor"),CONCATENATE("R",'MAPA DE RIESGO'!$B$94),"")</f>
        <v/>
      </c>
      <c r="U12" s="471"/>
      <c r="V12" s="475" t="str">
        <f>IF(AND('MAPA DE RIESGO'!$I$82="Muy Alta",'MAPA DE RIESGO'!$M$82="Moderado"),CONCATENATE("R",'MAPA DE RIESGO'!$B$82),"")</f>
        <v/>
      </c>
      <c r="W12" s="472"/>
      <c r="X12" s="470" t="str">
        <f>IF(AND('MAPA DE RIESGO'!$I$88="Muy Alta",'MAPA DE RIESGO'!$M$88="Moderado"),CONCATENATE("R",'MAPA DE RIESGO'!$B$88),"")</f>
        <v/>
      </c>
      <c r="Y12" s="470"/>
      <c r="Z12" s="470" t="str">
        <f>IF(AND('MAPA DE RIESGO'!$I$94="Muy Alta",'MAPA DE RIESGO'!$M$94="Moderado"),CONCATENATE("R",'MAPA DE RIESGO'!$B$94),"")</f>
        <v/>
      </c>
      <c r="AA12" s="471"/>
      <c r="AB12" s="475" t="str">
        <f>IF(AND('MAPA DE RIESGO'!$I$82="Muy Alta",'MAPA DE RIESGO'!$M$82="Mayor"),CONCATENATE("R",'MAPA DE RIESGO'!$B$82),"")</f>
        <v/>
      </c>
      <c r="AC12" s="472"/>
      <c r="AD12" s="470" t="str">
        <f>IF(AND('MAPA DE RIESGO'!$I$88="Muy Alta",'MAPA DE RIESGO'!$M$88="Mayor"),CONCATENATE("R",'MAPA DE RIESGO'!$B$88),"")</f>
        <v/>
      </c>
      <c r="AE12" s="470"/>
      <c r="AF12" s="470" t="str">
        <f>IF(AND('MAPA DE RIESGO'!$I$94="Muy Alta",'MAPA DE RIESGO'!$M$94="Mayor"),CONCATENATE("R",'MAPA DE RIESGO'!$B$94),"")</f>
        <v/>
      </c>
      <c r="AG12" s="471"/>
      <c r="AH12" s="483" t="str">
        <f>IF(AND('MAPA DE RIESGO'!$I$82="Muy Alta",'MAPA DE RIESGO'!$M$82="Catastrófico"),CONCATENATE("R",'MAPA DE RIESGO'!$B$82),"")</f>
        <v/>
      </c>
      <c r="AI12" s="484"/>
      <c r="AJ12" s="484" t="str">
        <f>IF(AND('MAPA DE RIESGO'!$I$88="Muy Alta",'MAPA DE RIESGO'!$M$88="Catastrófico"),CONCATENATE("R",'MAPA DE RIESGO'!$B$88),"")</f>
        <v/>
      </c>
      <c r="AK12" s="484"/>
      <c r="AL12" s="484" t="str">
        <f>IF(AND('MAPA DE RIESGO'!$I$94="Muy Alta",'MAPA DE RIESGO'!$M$94="Catastrófico"),CONCATENATE("R",'MAPA DE RIESGO'!$B$94),"")</f>
        <v/>
      </c>
      <c r="AM12" s="485"/>
      <c r="AN12" s="54"/>
      <c r="AO12" s="428"/>
      <c r="AP12" s="429"/>
      <c r="AQ12" s="429"/>
      <c r="AR12" s="429"/>
      <c r="AS12" s="429"/>
      <c r="AT12" s="430"/>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row>
    <row r="13" spans="1:99" ht="15.75" customHeight="1" thickBot="1" x14ac:dyDescent="0.3">
      <c r="A13" s="54"/>
      <c r="B13" s="423"/>
      <c r="C13" s="423"/>
      <c r="D13" s="424"/>
      <c r="E13" s="467"/>
      <c r="F13" s="468"/>
      <c r="G13" s="468"/>
      <c r="H13" s="468"/>
      <c r="I13" s="469"/>
      <c r="J13" s="475"/>
      <c r="K13" s="472"/>
      <c r="L13" s="472"/>
      <c r="M13" s="472"/>
      <c r="N13" s="472"/>
      <c r="O13" s="471"/>
      <c r="P13" s="475"/>
      <c r="Q13" s="472"/>
      <c r="R13" s="472"/>
      <c r="S13" s="472"/>
      <c r="T13" s="472"/>
      <c r="U13" s="471"/>
      <c r="V13" s="475"/>
      <c r="W13" s="472"/>
      <c r="X13" s="472"/>
      <c r="Y13" s="472"/>
      <c r="Z13" s="472"/>
      <c r="AA13" s="471"/>
      <c r="AB13" s="475"/>
      <c r="AC13" s="472"/>
      <c r="AD13" s="472"/>
      <c r="AE13" s="472"/>
      <c r="AF13" s="472"/>
      <c r="AG13" s="471"/>
      <c r="AH13" s="486"/>
      <c r="AI13" s="487"/>
      <c r="AJ13" s="487"/>
      <c r="AK13" s="487"/>
      <c r="AL13" s="487"/>
      <c r="AM13" s="488"/>
      <c r="AN13" s="54"/>
      <c r="AO13" s="431"/>
      <c r="AP13" s="432"/>
      <c r="AQ13" s="432"/>
      <c r="AR13" s="432"/>
      <c r="AS13" s="432"/>
      <c r="AT13" s="433"/>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row>
    <row r="14" spans="1:99" ht="15" customHeight="1" x14ac:dyDescent="0.25">
      <c r="A14" s="54"/>
      <c r="B14" s="423"/>
      <c r="C14" s="423"/>
      <c r="D14" s="424"/>
      <c r="E14" s="461" t="s">
        <v>285</v>
      </c>
      <c r="F14" s="462"/>
      <c r="G14" s="462"/>
      <c r="H14" s="462"/>
      <c r="I14" s="462"/>
      <c r="J14" s="498" t="str">
        <f>IF(AND('MAPA DE RIESGO'!$I$16="Alta",'MAPA DE RIESGO'!$M$16="Leve"),CONCATENATE("R",'MAPA DE RIESGO'!$B$16),"")</f>
        <v/>
      </c>
      <c r="K14" s="499"/>
      <c r="L14" s="499" t="str">
        <f>IF(AND('MAPA DE RIESGO'!$I$22="Alta",'MAPA DE RIESGO'!$M$22="Leve"),CONCATENATE("R",'MAPA DE RIESGO'!$B$22),"")</f>
        <v/>
      </c>
      <c r="M14" s="499"/>
      <c r="N14" s="499" t="str">
        <f>IF(AND('MAPA DE RIESGO'!$I$28="Alta",'MAPA DE RIESGO'!$M$28="Leve"),CONCATENATE("R",'MAPA DE RIESGO'!$B$28),"")</f>
        <v/>
      </c>
      <c r="O14" s="500"/>
      <c r="P14" s="498" t="str">
        <f>IF(AND('MAPA DE RIESGO'!$I$16="Alta",'MAPA DE RIESGO'!$M$16="Menor"),CONCATENATE("R",'MAPA DE RIESGO'!$B$16),"")</f>
        <v/>
      </c>
      <c r="Q14" s="499"/>
      <c r="R14" s="499" t="str">
        <f>IF(AND('MAPA DE RIESGO'!$I$22="Alta",'MAPA DE RIESGO'!$M$22="Menor"),CONCATENATE("R",'MAPA DE RIESGO'!$B$22),"")</f>
        <v/>
      </c>
      <c r="S14" s="499"/>
      <c r="T14" s="499" t="str">
        <f>IF(AND('MAPA DE RIESGO'!$I$28="Alta",'MAPA DE RIESGO'!$M$28="Menor"),CONCATENATE("R",'MAPA DE RIESGO'!$B$28),"")</f>
        <v/>
      </c>
      <c r="U14" s="500"/>
      <c r="V14" s="473" t="str">
        <f>IF(AND('MAPA DE RIESGO'!$I$16="Alta",'MAPA DE RIESGO'!$M$16="Moderado"),CONCATENATE("R",'MAPA DE RIESGO'!$B$16),"")</f>
        <v/>
      </c>
      <c r="W14" s="474"/>
      <c r="X14" s="474" t="str">
        <f>IF(AND('MAPA DE RIESGO'!$I$22="Alta",'MAPA DE RIESGO'!$M$22="Moderado"),CONCATENATE("R",'MAPA DE RIESGO'!$B$22),"")</f>
        <v/>
      </c>
      <c r="Y14" s="474"/>
      <c r="Z14" s="474" t="str">
        <f>IF(AND('MAPA DE RIESGO'!$I$28="Alta",'MAPA DE RIESGO'!$M$28="Moderado"),CONCATENATE("R",'MAPA DE RIESGO'!$B$28),"")</f>
        <v/>
      </c>
      <c r="AA14" s="476"/>
      <c r="AB14" s="473" t="str">
        <f>IF(AND('MAPA DE RIESGO'!$I$16="Alta",'MAPA DE RIESGO'!$M$16="Mayor"),CONCATENATE("R",'MAPA DE RIESGO'!$B$16),"")</f>
        <v/>
      </c>
      <c r="AC14" s="474"/>
      <c r="AD14" s="474" t="str">
        <f>IF(AND('MAPA DE RIESGO'!$I$22="Alta",'MAPA DE RIESGO'!$M$22="Mayor"),CONCATENATE("R",'MAPA DE RIESGO'!$B$22),"")</f>
        <v/>
      </c>
      <c r="AE14" s="474"/>
      <c r="AF14" s="474" t="str">
        <f>IF(AND('MAPA DE RIESGO'!$I$28="Alta",'MAPA DE RIESGO'!$M$28="Mayor"),CONCATENATE("R",'MAPA DE RIESGO'!$B$28),"")</f>
        <v/>
      </c>
      <c r="AG14" s="476"/>
      <c r="AH14" s="489" t="str">
        <f>IF(AND('MAPA DE RIESGO'!$I$16="Alta",'MAPA DE RIESGO'!$M$16="Catastrófico"),CONCATENATE("R",'MAPA DE RIESGO'!$B$16),"")</f>
        <v/>
      </c>
      <c r="AI14" s="490"/>
      <c r="AJ14" s="490" t="str">
        <f>IF(AND('MAPA DE RIESGO'!$I$22="Alta",'MAPA DE RIESGO'!$M$22="Catastrófico"),CONCATENATE("R",'MAPA DE RIESGO'!$B$22),"")</f>
        <v/>
      </c>
      <c r="AK14" s="490"/>
      <c r="AL14" s="490" t="str">
        <f>IF(AND('MAPA DE RIESGO'!$I$28="Alta",'MAPA DE RIESGO'!$M$28="Catastrófico"),CONCATENATE("R",'MAPA DE RIESGO'!$B$28),"")</f>
        <v/>
      </c>
      <c r="AM14" s="491"/>
      <c r="AN14" s="54"/>
      <c r="AO14" s="434" t="s">
        <v>286</v>
      </c>
      <c r="AP14" s="435"/>
      <c r="AQ14" s="435"/>
      <c r="AR14" s="435"/>
      <c r="AS14" s="435"/>
      <c r="AT14" s="436"/>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row>
    <row r="15" spans="1:99" ht="15" customHeight="1" x14ac:dyDescent="0.25">
      <c r="A15" s="54"/>
      <c r="B15" s="423"/>
      <c r="C15" s="423"/>
      <c r="D15" s="424"/>
      <c r="E15" s="464"/>
      <c r="F15" s="465"/>
      <c r="G15" s="465"/>
      <c r="H15" s="465"/>
      <c r="I15" s="478"/>
      <c r="J15" s="492"/>
      <c r="K15" s="493"/>
      <c r="L15" s="493"/>
      <c r="M15" s="493"/>
      <c r="N15" s="493"/>
      <c r="O15" s="494"/>
      <c r="P15" s="492"/>
      <c r="Q15" s="493"/>
      <c r="R15" s="493"/>
      <c r="S15" s="493"/>
      <c r="T15" s="493"/>
      <c r="U15" s="494"/>
      <c r="V15" s="475"/>
      <c r="W15" s="472"/>
      <c r="X15" s="472"/>
      <c r="Y15" s="472"/>
      <c r="Z15" s="472"/>
      <c r="AA15" s="471"/>
      <c r="AB15" s="475"/>
      <c r="AC15" s="472"/>
      <c r="AD15" s="472"/>
      <c r="AE15" s="472"/>
      <c r="AF15" s="472"/>
      <c r="AG15" s="471"/>
      <c r="AH15" s="483"/>
      <c r="AI15" s="484"/>
      <c r="AJ15" s="484"/>
      <c r="AK15" s="484"/>
      <c r="AL15" s="484"/>
      <c r="AM15" s="485"/>
      <c r="AN15" s="54"/>
      <c r="AO15" s="437"/>
      <c r="AP15" s="438"/>
      <c r="AQ15" s="438"/>
      <c r="AR15" s="438"/>
      <c r="AS15" s="438"/>
      <c r="AT15" s="439"/>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row>
    <row r="16" spans="1:99" ht="15" customHeight="1" x14ac:dyDescent="0.25">
      <c r="A16" s="54"/>
      <c r="B16" s="423"/>
      <c r="C16" s="423"/>
      <c r="D16" s="424"/>
      <c r="E16" s="464"/>
      <c r="F16" s="465"/>
      <c r="G16" s="465"/>
      <c r="H16" s="465"/>
      <c r="I16" s="478"/>
      <c r="J16" s="492" t="str">
        <f>IF(AND('MAPA DE RIESGO'!$I$34="Alta",'MAPA DE RIESGO'!$M$34="Leve"),CONCATENATE("R",'MAPA DE RIESGO'!$B$34),"")</f>
        <v/>
      </c>
      <c r="K16" s="493"/>
      <c r="L16" s="493" t="str">
        <f>IF(AND('MAPA DE RIESGO'!$I$40="Alta",'MAPA DE RIESGO'!$M$40="Leve"),CONCATENATE("R",'MAPA DE RIESGO'!$B$40),"")</f>
        <v/>
      </c>
      <c r="M16" s="493"/>
      <c r="N16" s="493" t="str">
        <f>IF(AND('MAPA DE RIESGO'!$I$46="Alta",'MAPA DE RIESGO'!$M$46="Leve"),CONCATENATE("R",'MAPA DE RIESGO'!$B$46),"")</f>
        <v/>
      </c>
      <c r="O16" s="494"/>
      <c r="P16" s="492" t="str">
        <f>IF(AND('MAPA DE RIESGO'!$I$34="Alta",'MAPA DE RIESGO'!$M$34="Menor"),CONCATENATE("R",'MAPA DE RIESGO'!$B$34),"")</f>
        <v/>
      </c>
      <c r="Q16" s="493"/>
      <c r="R16" s="493" t="str">
        <f>IF(AND('MAPA DE RIESGO'!$I$40="Alta",'MAPA DE RIESGO'!$M$40="Menor"),CONCATENATE("R",'MAPA DE RIESGO'!$B$40),"")</f>
        <v/>
      </c>
      <c r="S16" s="493"/>
      <c r="T16" s="493" t="str">
        <f>IF(AND('MAPA DE RIESGO'!$I$46="Alta",'MAPA DE RIESGO'!$M$46="Menor"),CONCATENATE("R",'MAPA DE RIESGO'!$B$46),"")</f>
        <v/>
      </c>
      <c r="U16" s="494"/>
      <c r="V16" s="475" t="str">
        <f>IF(AND('MAPA DE RIESGO'!$I$34="Alta",'MAPA DE RIESGO'!$M$34="Moderado"),CONCATENATE("R",'MAPA DE RIESGO'!$B$34),"")</f>
        <v/>
      </c>
      <c r="W16" s="472"/>
      <c r="X16" s="470" t="str">
        <f>IF(AND('MAPA DE RIESGO'!$I$40="Alta",'MAPA DE RIESGO'!$M$40="Moderado"),CONCATENATE("R",'MAPA DE RIESGO'!$B$40),"")</f>
        <v>R5</v>
      </c>
      <c r="Y16" s="470"/>
      <c r="Z16" s="470" t="str">
        <f>IF(AND('MAPA DE RIESGO'!$I$46="Alta",'MAPA DE RIESGO'!$M$46="Moderado"),CONCATENATE("R",'MAPA DE RIESGO'!$B$46),"")</f>
        <v/>
      </c>
      <c r="AA16" s="471"/>
      <c r="AB16" s="475" t="str">
        <f>IF(AND('MAPA DE RIESGO'!$I$34="Alta",'MAPA DE RIESGO'!$M$34="Mayor"),CONCATENATE("R",'MAPA DE RIESGO'!$B$34),"")</f>
        <v/>
      </c>
      <c r="AC16" s="472"/>
      <c r="AD16" s="470" t="str">
        <f>IF(AND('MAPA DE RIESGO'!$I$40="Alta",'MAPA DE RIESGO'!$M$40="Mayor"),CONCATENATE("R",'MAPA DE RIESGO'!$B$40),"")</f>
        <v/>
      </c>
      <c r="AE16" s="470"/>
      <c r="AF16" s="470" t="str">
        <f>IF(AND('MAPA DE RIESGO'!$I$46="Alta",'MAPA DE RIESGO'!$M$46="Mayor"),CONCATENATE("R",'MAPA DE RIESGO'!$B$46),"")</f>
        <v/>
      </c>
      <c r="AG16" s="471"/>
      <c r="AH16" s="483" t="str">
        <f>IF(AND('MAPA DE RIESGO'!$I$34="Alta",'MAPA DE RIESGO'!$M$34="Catastrófico"),CONCATENATE("R",'MAPA DE RIESGO'!$B$34),"")</f>
        <v/>
      </c>
      <c r="AI16" s="484"/>
      <c r="AJ16" s="484" t="str">
        <f>IF(AND('MAPA DE RIESGO'!$I$40="Alta",'MAPA DE RIESGO'!$M$40="Catastrófico"),CONCATENATE("R",'MAPA DE RIESGO'!$B$40),"")</f>
        <v/>
      </c>
      <c r="AK16" s="484"/>
      <c r="AL16" s="484" t="str">
        <f>IF(AND('MAPA DE RIESGO'!$I$46="Alta",'MAPA DE RIESGO'!$M$46="Catastrófico"),CONCATENATE("R",'MAPA DE RIESGO'!$B$46),"")</f>
        <v/>
      </c>
      <c r="AM16" s="485"/>
      <c r="AN16" s="54"/>
      <c r="AO16" s="437"/>
      <c r="AP16" s="438"/>
      <c r="AQ16" s="438"/>
      <c r="AR16" s="438"/>
      <c r="AS16" s="438"/>
      <c r="AT16" s="439"/>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row>
    <row r="17" spans="1:80" ht="15" customHeight="1" x14ac:dyDescent="0.25">
      <c r="A17" s="54"/>
      <c r="B17" s="423"/>
      <c r="C17" s="423"/>
      <c r="D17" s="424"/>
      <c r="E17" s="464"/>
      <c r="F17" s="465"/>
      <c r="G17" s="465"/>
      <c r="H17" s="465"/>
      <c r="I17" s="478"/>
      <c r="J17" s="492"/>
      <c r="K17" s="493"/>
      <c r="L17" s="493"/>
      <c r="M17" s="493"/>
      <c r="N17" s="493"/>
      <c r="O17" s="494"/>
      <c r="P17" s="492"/>
      <c r="Q17" s="493"/>
      <c r="R17" s="493"/>
      <c r="S17" s="493"/>
      <c r="T17" s="493"/>
      <c r="U17" s="494"/>
      <c r="V17" s="475"/>
      <c r="W17" s="472"/>
      <c r="X17" s="470"/>
      <c r="Y17" s="470"/>
      <c r="Z17" s="470"/>
      <c r="AA17" s="471"/>
      <c r="AB17" s="475"/>
      <c r="AC17" s="472"/>
      <c r="AD17" s="470"/>
      <c r="AE17" s="470"/>
      <c r="AF17" s="470"/>
      <c r="AG17" s="471"/>
      <c r="AH17" s="483"/>
      <c r="AI17" s="484"/>
      <c r="AJ17" s="484"/>
      <c r="AK17" s="484"/>
      <c r="AL17" s="484"/>
      <c r="AM17" s="485"/>
      <c r="AN17" s="54"/>
      <c r="AO17" s="437"/>
      <c r="AP17" s="438"/>
      <c r="AQ17" s="438"/>
      <c r="AR17" s="438"/>
      <c r="AS17" s="438"/>
      <c r="AT17" s="439"/>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row>
    <row r="18" spans="1:80" ht="15" customHeight="1" x14ac:dyDescent="0.25">
      <c r="A18" s="54"/>
      <c r="B18" s="423"/>
      <c r="C18" s="423"/>
      <c r="D18" s="424"/>
      <c r="E18" s="464"/>
      <c r="F18" s="465"/>
      <c r="G18" s="465"/>
      <c r="H18" s="465"/>
      <c r="I18" s="478"/>
      <c r="J18" s="492" t="str">
        <f>IF(AND('MAPA DE RIESGO'!$I$52="Alta",'MAPA DE RIESGO'!$M$52="Leve"),CONCATENATE("R",'MAPA DE RIESGO'!$B$52),"")</f>
        <v/>
      </c>
      <c r="K18" s="493"/>
      <c r="L18" s="493" t="str">
        <f>IF(AND('MAPA DE RIESGO'!$I$58="Alta",'MAPA DE RIESGO'!$M$58="Leve"),CONCATENATE("R",'MAPA DE RIESGO'!$B$58),"")</f>
        <v/>
      </c>
      <c r="M18" s="493"/>
      <c r="N18" s="493" t="str">
        <f>IF(AND('MAPA DE RIESGO'!$I$76="Alta",'MAPA DE RIESGO'!$M$76="Leve"),CONCATENATE("R",'MAPA DE RIESGO'!$B$76),"")</f>
        <v/>
      </c>
      <c r="O18" s="494"/>
      <c r="P18" s="492" t="str">
        <f>IF(AND('MAPA DE RIESGO'!$I$52="Alta",'MAPA DE RIESGO'!$M$52="Menor"),CONCATENATE("R",'MAPA DE RIESGO'!$B$52),"")</f>
        <v/>
      </c>
      <c r="Q18" s="493"/>
      <c r="R18" s="493" t="str">
        <f>IF(AND('MAPA DE RIESGO'!$I$58="Alta",'MAPA DE RIESGO'!$M$58="Menor"),CONCATENATE("R",'MAPA DE RIESGO'!$B$58),"")</f>
        <v/>
      </c>
      <c r="S18" s="493"/>
      <c r="T18" s="493" t="str">
        <f>IF(AND('MAPA DE RIESGO'!$I$76="Alta",'MAPA DE RIESGO'!$M$76="Menor"),CONCATENATE("R",'MAPA DE RIESGO'!$B$76),"")</f>
        <v/>
      </c>
      <c r="U18" s="494"/>
      <c r="V18" s="475" t="str">
        <f>IF(AND('MAPA DE RIESGO'!$I$52="Alta",'MAPA DE RIESGO'!$M$52="Moderado"),CONCATENATE("R",'MAPA DE RIESGO'!$B$52),"")</f>
        <v/>
      </c>
      <c r="W18" s="472"/>
      <c r="X18" s="470" t="str">
        <f>IF(AND('MAPA DE RIESGO'!$I$58="Alta",'MAPA DE RIESGO'!$M$58="Moderado"),CONCATENATE("R",'MAPA DE RIESGO'!$B$58),"")</f>
        <v/>
      </c>
      <c r="Y18" s="470"/>
      <c r="Z18" s="470" t="str">
        <f>IF(AND('MAPA DE RIESGO'!$I$76="Alta",'MAPA DE RIESGO'!$M$76="Moderado"),CONCATENATE("R",'MAPA DE RIESGO'!$B$76),"")</f>
        <v/>
      </c>
      <c r="AA18" s="471"/>
      <c r="AB18" s="475" t="str">
        <f>IF(AND('MAPA DE RIESGO'!$I$52="Alta",'MAPA DE RIESGO'!$M$52="Mayor"),CONCATENATE("R",'MAPA DE RIESGO'!$B$52),"")</f>
        <v/>
      </c>
      <c r="AC18" s="472"/>
      <c r="AD18" s="470" t="str">
        <f>IF(AND('MAPA DE RIESGO'!$I$58="Alta",'MAPA DE RIESGO'!$M$58="Mayor"),CONCATENATE("R",'MAPA DE RIESGO'!$B$58),"")</f>
        <v/>
      </c>
      <c r="AE18" s="470"/>
      <c r="AF18" s="470" t="str">
        <f>IF(AND('MAPA DE RIESGO'!$I$76="Alta",'MAPA DE RIESGO'!$M$76="Mayor"),CONCATENATE("R",'MAPA DE RIESGO'!$B$76),"")</f>
        <v/>
      </c>
      <c r="AG18" s="471"/>
      <c r="AH18" s="483" t="str">
        <f>IF(AND('MAPA DE RIESGO'!$I$52="Alta",'MAPA DE RIESGO'!$M$52="Catastrófico"),CONCATENATE("R",'MAPA DE RIESGO'!$B$52),"")</f>
        <v/>
      </c>
      <c r="AI18" s="484"/>
      <c r="AJ18" s="484" t="str">
        <f>IF(AND('MAPA DE RIESGO'!$I$58="Alta",'MAPA DE RIESGO'!$M$58="Catastrófico"),CONCATENATE("R",'MAPA DE RIESGO'!$B$58),"")</f>
        <v/>
      </c>
      <c r="AK18" s="484"/>
      <c r="AL18" s="484" t="str">
        <f>IF(AND('MAPA DE RIESGO'!$I$76="Alta",'MAPA DE RIESGO'!$M$76="Catastrófico"),CONCATENATE("R",'MAPA DE RIESGO'!$B$76),"")</f>
        <v/>
      </c>
      <c r="AM18" s="485"/>
      <c r="AN18" s="54"/>
      <c r="AO18" s="437"/>
      <c r="AP18" s="438"/>
      <c r="AQ18" s="438"/>
      <c r="AR18" s="438"/>
      <c r="AS18" s="438"/>
      <c r="AT18" s="439"/>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row>
    <row r="19" spans="1:80" ht="15" customHeight="1" x14ac:dyDescent="0.25">
      <c r="A19" s="54"/>
      <c r="B19" s="423"/>
      <c r="C19" s="423"/>
      <c r="D19" s="424"/>
      <c r="E19" s="464"/>
      <c r="F19" s="465"/>
      <c r="G19" s="465"/>
      <c r="H19" s="465"/>
      <c r="I19" s="478"/>
      <c r="J19" s="492"/>
      <c r="K19" s="493"/>
      <c r="L19" s="493"/>
      <c r="M19" s="493"/>
      <c r="N19" s="493"/>
      <c r="O19" s="494"/>
      <c r="P19" s="492"/>
      <c r="Q19" s="493"/>
      <c r="R19" s="493"/>
      <c r="S19" s="493"/>
      <c r="T19" s="493"/>
      <c r="U19" s="494"/>
      <c r="V19" s="475"/>
      <c r="W19" s="472"/>
      <c r="X19" s="470"/>
      <c r="Y19" s="470"/>
      <c r="Z19" s="470"/>
      <c r="AA19" s="471"/>
      <c r="AB19" s="475"/>
      <c r="AC19" s="472"/>
      <c r="AD19" s="470"/>
      <c r="AE19" s="470"/>
      <c r="AF19" s="470"/>
      <c r="AG19" s="471"/>
      <c r="AH19" s="483"/>
      <c r="AI19" s="484"/>
      <c r="AJ19" s="484"/>
      <c r="AK19" s="484"/>
      <c r="AL19" s="484"/>
      <c r="AM19" s="485"/>
      <c r="AN19" s="54"/>
      <c r="AO19" s="437"/>
      <c r="AP19" s="438"/>
      <c r="AQ19" s="438"/>
      <c r="AR19" s="438"/>
      <c r="AS19" s="438"/>
      <c r="AT19" s="439"/>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row>
    <row r="20" spans="1:80" ht="15" customHeight="1" x14ac:dyDescent="0.25">
      <c r="A20" s="54"/>
      <c r="B20" s="423"/>
      <c r="C20" s="423"/>
      <c r="D20" s="424"/>
      <c r="E20" s="464"/>
      <c r="F20" s="465"/>
      <c r="G20" s="465"/>
      <c r="H20" s="465"/>
      <c r="I20" s="478"/>
      <c r="J20" s="492" t="str">
        <f>IF(AND('MAPA DE RIESGO'!$I$82="Alta",'MAPA DE RIESGO'!$M$82="Leve"),CONCATENATE("R",'MAPA DE RIESGO'!$B$82),"")</f>
        <v/>
      </c>
      <c r="K20" s="493"/>
      <c r="L20" s="493" t="str">
        <f>IF(AND('MAPA DE RIESGO'!$I$88="Alta",'MAPA DE RIESGO'!$M$88="Leve"),CONCATENATE("R",'MAPA DE RIESGO'!$B$88),"")</f>
        <v/>
      </c>
      <c r="M20" s="493"/>
      <c r="N20" s="493" t="str">
        <f>IF(AND('MAPA DE RIESGO'!$I$94="Alta",'MAPA DE RIESGO'!$M$94="Leve"),CONCATENATE("R",'MAPA DE RIESGO'!$B$94),"")</f>
        <v/>
      </c>
      <c r="O20" s="494"/>
      <c r="P20" s="492" t="str">
        <f>IF(AND('MAPA DE RIESGO'!$I$82="Alta",'MAPA DE RIESGO'!$M$82="Menor"),CONCATENATE("R",'MAPA DE RIESGO'!$B$82),"")</f>
        <v/>
      </c>
      <c r="Q20" s="493"/>
      <c r="R20" s="493" t="str">
        <f>IF(AND('MAPA DE RIESGO'!$I$88="Alta",'MAPA DE RIESGO'!$M$88="Menor"),CONCATENATE("R",'MAPA DE RIESGO'!$B$88),"")</f>
        <v/>
      </c>
      <c r="S20" s="493"/>
      <c r="T20" s="493" t="str">
        <f>IF(AND('MAPA DE RIESGO'!$I$94="Alta",'MAPA DE RIESGO'!$M$94="Menor"),CONCATENATE("R",'MAPA DE RIESGO'!$B$94),"")</f>
        <v/>
      </c>
      <c r="U20" s="494"/>
      <c r="V20" s="475" t="str">
        <f>IF(AND('MAPA DE RIESGO'!$I$82="Alta",'MAPA DE RIESGO'!$M$82="Moderado"),CONCATENATE("R",'MAPA DE RIESGO'!$B$82),"")</f>
        <v/>
      </c>
      <c r="W20" s="472"/>
      <c r="X20" s="470" t="str">
        <f>IF(AND('MAPA DE RIESGO'!$I$88="Alta",'MAPA DE RIESGO'!$M$88="Moderado"),CONCATENATE("R",'MAPA DE RIESGO'!$B$88),"")</f>
        <v/>
      </c>
      <c r="Y20" s="470"/>
      <c r="Z20" s="470" t="str">
        <f>IF(AND('MAPA DE RIESGO'!$I$94="Alta",'MAPA DE RIESGO'!$M$94="Moderado"),CONCATENATE("R",'MAPA DE RIESGO'!$B$94),"")</f>
        <v/>
      </c>
      <c r="AA20" s="471"/>
      <c r="AB20" s="475" t="str">
        <f>IF(AND('MAPA DE RIESGO'!$I$82="Alta",'MAPA DE RIESGO'!$M$82="Mayor"),CONCATENATE("R",'MAPA DE RIESGO'!$B$82),"")</f>
        <v/>
      </c>
      <c r="AC20" s="472"/>
      <c r="AD20" s="470" t="str">
        <f>IF(AND('MAPA DE RIESGO'!$I$88="Alta",'MAPA DE RIESGO'!$M$88="Mayor"),CONCATENATE("R",'MAPA DE RIESGO'!$B$88),"")</f>
        <v/>
      </c>
      <c r="AE20" s="470"/>
      <c r="AF20" s="470" t="str">
        <f>IF(AND('MAPA DE RIESGO'!$I$94="Alta",'MAPA DE RIESGO'!$M$94="Mayor"),CONCATENATE("R",'MAPA DE RIESGO'!$B$94),"")</f>
        <v/>
      </c>
      <c r="AG20" s="471"/>
      <c r="AH20" s="483" t="str">
        <f>IF(AND('MAPA DE RIESGO'!$I$82="Alta",'MAPA DE RIESGO'!$M$82="Catastrófico"),CONCATENATE("R",'MAPA DE RIESGO'!$B$82),"")</f>
        <v/>
      </c>
      <c r="AI20" s="484"/>
      <c r="AJ20" s="484" t="str">
        <f>IF(AND('MAPA DE RIESGO'!$I$88="Alta",'MAPA DE RIESGO'!$M$88="Catastrófico"),CONCATENATE("R",'MAPA DE RIESGO'!$B$88),"")</f>
        <v/>
      </c>
      <c r="AK20" s="484"/>
      <c r="AL20" s="484" t="str">
        <f>IF(AND('MAPA DE RIESGO'!$I$94="Alta",'MAPA DE RIESGO'!$M$94="Catastrófico"),CONCATENATE("R",'MAPA DE RIESGO'!$B$94),"")</f>
        <v/>
      </c>
      <c r="AM20" s="485"/>
      <c r="AN20" s="54"/>
      <c r="AO20" s="437"/>
      <c r="AP20" s="438"/>
      <c r="AQ20" s="438"/>
      <c r="AR20" s="438"/>
      <c r="AS20" s="438"/>
      <c r="AT20" s="439"/>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row>
    <row r="21" spans="1:80" ht="15.75" customHeight="1" thickBot="1" x14ac:dyDescent="0.3">
      <c r="A21" s="54"/>
      <c r="B21" s="423"/>
      <c r="C21" s="423"/>
      <c r="D21" s="424"/>
      <c r="E21" s="467"/>
      <c r="F21" s="468"/>
      <c r="G21" s="468"/>
      <c r="H21" s="468"/>
      <c r="I21" s="468"/>
      <c r="J21" s="495"/>
      <c r="K21" s="496"/>
      <c r="L21" s="496"/>
      <c r="M21" s="496"/>
      <c r="N21" s="496"/>
      <c r="O21" s="497"/>
      <c r="P21" s="495"/>
      <c r="Q21" s="496"/>
      <c r="R21" s="496"/>
      <c r="S21" s="496"/>
      <c r="T21" s="496"/>
      <c r="U21" s="497"/>
      <c r="V21" s="480"/>
      <c r="W21" s="481"/>
      <c r="X21" s="481"/>
      <c r="Y21" s="481"/>
      <c r="Z21" s="481"/>
      <c r="AA21" s="482"/>
      <c r="AB21" s="480"/>
      <c r="AC21" s="481"/>
      <c r="AD21" s="481"/>
      <c r="AE21" s="481"/>
      <c r="AF21" s="481"/>
      <c r="AG21" s="482"/>
      <c r="AH21" s="486"/>
      <c r="AI21" s="487"/>
      <c r="AJ21" s="487"/>
      <c r="AK21" s="487"/>
      <c r="AL21" s="487"/>
      <c r="AM21" s="488"/>
      <c r="AN21" s="54"/>
      <c r="AO21" s="440"/>
      <c r="AP21" s="441"/>
      <c r="AQ21" s="441"/>
      <c r="AR21" s="441"/>
      <c r="AS21" s="441"/>
      <c r="AT21" s="442"/>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row>
    <row r="22" spans="1:80" x14ac:dyDescent="0.25">
      <c r="A22" s="54"/>
      <c r="B22" s="423"/>
      <c r="C22" s="423"/>
      <c r="D22" s="424"/>
      <c r="E22" s="461" t="s">
        <v>287</v>
      </c>
      <c r="F22" s="462"/>
      <c r="G22" s="462"/>
      <c r="H22" s="462"/>
      <c r="I22" s="463"/>
      <c r="J22" s="498" t="str">
        <f>IF(AND('MAPA DE RIESGO'!$I$16="Media",'MAPA DE RIESGO'!$M$16="Leve"),CONCATENATE("R",'MAPA DE RIESGO'!$B$16),"")</f>
        <v/>
      </c>
      <c r="K22" s="499"/>
      <c r="L22" s="499" t="str">
        <f>IF(AND('MAPA DE RIESGO'!$I$22="Media",'MAPA DE RIESGO'!$M$22="Leve"),CONCATENATE("R",'MAPA DE RIESGO'!$B$22),"")</f>
        <v/>
      </c>
      <c r="M22" s="499"/>
      <c r="N22" s="499" t="str">
        <f>IF(AND('MAPA DE RIESGO'!$I$28="Media",'MAPA DE RIESGO'!$M$28="Leve"),CONCATENATE("R",'MAPA DE RIESGO'!$B$28),"")</f>
        <v/>
      </c>
      <c r="O22" s="500"/>
      <c r="P22" s="498" t="str">
        <f>IF(AND('MAPA DE RIESGO'!$I$16="Media",'MAPA DE RIESGO'!$M$16="Menor"),CONCATENATE("R",'MAPA DE RIESGO'!$B$16),"")</f>
        <v/>
      </c>
      <c r="Q22" s="499"/>
      <c r="R22" s="499" t="str">
        <f>IF(AND('MAPA DE RIESGO'!$I$22="Media",'MAPA DE RIESGO'!$M$22="Menor"),CONCATENATE("R",'MAPA DE RIESGO'!$B$22),"")</f>
        <v/>
      </c>
      <c r="S22" s="499"/>
      <c r="T22" s="499" t="str">
        <f>IF(AND('MAPA DE RIESGO'!$I$28="Media",'MAPA DE RIESGO'!$M$28="Menor"),CONCATENATE("R",'MAPA DE RIESGO'!$B$28),"")</f>
        <v>R3</v>
      </c>
      <c r="U22" s="500"/>
      <c r="V22" s="498" t="str">
        <f>IF(AND('MAPA DE RIESGO'!$I$16="Media",'MAPA DE RIESGO'!$M$16="Moderado"),CONCATENATE("R",'MAPA DE RIESGO'!$B$16),"")</f>
        <v/>
      </c>
      <c r="W22" s="499"/>
      <c r="X22" s="499" t="str">
        <f>IF(AND('MAPA DE RIESGO'!$I$22="Media",'MAPA DE RIESGO'!$M$22="Moderado"),CONCATENATE("R",'MAPA DE RIESGO'!$B$22),"")</f>
        <v>R2</v>
      </c>
      <c r="Y22" s="499"/>
      <c r="Z22" s="499" t="str">
        <f>IF(AND('MAPA DE RIESGO'!$I$28="Media",'MAPA DE RIESGO'!$M$28="Moderado"),CONCATENATE("R",'MAPA DE RIESGO'!$B$28),"")</f>
        <v/>
      </c>
      <c r="AA22" s="500"/>
      <c r="AB22" s="473" t="str">
        <f>IF(AND('MAPA DE RIESGO'!$I$16="Media",'MAPA DE RIESGO'!$M$16="Mayor"),CONCATENATE("R",'MAPA DE RIESGO'!$B$16),"")</f>
        <v/>
      </c>
      <c r="AC22" s="474"/>
      <c r="AD22" s="474" t="str">
        <f>IF(AND('MAPA DE RIESGO'!$I$22="Media",'MAPA DE RIESGO'!$M$22="Mayor"),CONCATENATE("R",'MAPA DE RIESGO'!$B$22),"")</f>
        <v/>
      </c>
      <c r="AE22" s="474"/>
      <c r="AF22" s="474" t="str">
        <f>IF(AND('MAPA DE RIESGO'!$I$28="Media",'MAPA DE RIESGO'!$M$28="Mayor"),CONCATENATE("R",'MAPA DE RIESGO'!$B$28),"")</f>
        <v/>
      </c>
      <c r="AG22" s="476"/>
      <c r="AH22" s="489" t="str">
        <f>IF(AND('MAPA DE RIESGO'!$I$16="Media",'MAPA DE RIESGO'!$M$16="Catastrófico"),CONCATENATE("R",'MAPA DE RIESGO'!$B$16),"")</f>
        <v/>
      </c>
      <c r="AI22" s="490"/>
      <c r="AJ22" s="490" t="str">
        <f>IF(AND('MAPA DE RIESGO'!$I$22="Media",'MAPA DE RIESGO'!$M$22="Catastrófico"),CONCATENATE("R",'MAPA DE RIESGO'!$B$22),"")</f>
        <v/>
      </c>
      <c r="AK22" s="490"/>
      <c r="AL22" s="490" t="str">
        <f>IF(AND('MAPA DE RIESGO'!$I$28="Media",'MAPA DE RIESGO'!$M$28="Catastrófico"),CONCATENATE("R",'MAPA DE RIESGO'!$B$28),"")</f>
        <v/>
      </c>
      <c r="AM22" s="491"/>
      <c r="AN22" s="54"/>
      <c r="AO22" s="443" t="s">
        <v>288</v>
      </c>
      <c r="AP22" s="444"/>
      <c r="AQ22" s="444"/>
      <c r="AR22" s="444"/>
      <c r="AS22" s="444"/>
      <c r="AT22" s="445"/>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row>
    <row r="23" spans="1:80" x14ac:dyDescent="0.25">
      <c r="A23" s="54"/>
      <c r="B23" s="423"/>
      <c r="C23" s="423"/>
      <c r="D23" s="424"/>
      <c r="E23" s="464"/>
      <c r="F23" s="465"/>
      <c r="G23" s="465"/>
      <c r="H23" s="465"/>
      <c r="I23" s="466"/>
      <c r="J23" s="492"/>
      <c r="K23" s="493"/>
      <c r="L23" s="493"/>
      <c r="M23" s="493"/>
      <c r="N23" s="493"/>
      <c r="O23" s="494"/>
      <c r="P23" s="492"/>
      <c r="Q23" s="493"/>
      <c r="R23" s="493"/>
      <c r="S23" s="493"/>
      <c r="T23" s="493"/>
      <c r="U23" s="494"/>
      <c r="V23" s="492"/>
      <c r="W23" s="493"/>
      <c r="X23" s="493"/>
      <c r="Y23" s="493"/>
      <c r="Z23" s="493"/>
      <c r="AA23" s="494"/>
      <c r="AB23" s="475"/>
      <c r="AC23" s="472"/>
      <c r="AD23" s="472"/>
      <c r="AE23" s="472"/>
      <c r="AF23" s="472"/>
      <c r="AG23" s="471"/>
      <c r="AH23" s="483"/>
      <c r="AI23" s="484"/>
      <c r="AJ23" s="484"/>
      <c r="AK23" s="484"/>
      <c r="AL23" s="484"/>
      <c r="AM23" s="485"/>
      <c r="AN23" s="54"/>
      <c r="AO23" s="446"/>
      <c r="AP23" s="447"/>
      <c r="AQ23" s="447"/>
      <c r="AR23" s="447"/>
      <c r="AS23" s="447"/>
      <c r="AT23" s="448"/>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row>
    <row r="24" spans="1:80" x14ac:dyDescent="0.25">
      <c r="A24" s="54"/>
      <c r="B24" s="423"/>
      <c r="C24" s="423"/>
      <c r="D24" s="424"/>
      <c r="E24" s="464"/>
      <c r="F24" s="465"/>
      <c r="G24" s="465"/>
      <c r="H24" s="465"/>
      <c r="I24" s="466"/>
      <c r="J24" s="492" t="str">
        <f>IF(AND('MAPA DE RIESGO'!$I$34="Media",'MAPA DE RIESGO'!$M$34="Leve"),CONCATENATE("R",'MAPA DE RIESGO'!$B$34),"")</f>
        <v/>
      </c>
      <c r="K24" s="493"/>
      <c r="L24" s="493" t="str">
        <f>IF(AND('MAPA DE RIESGO'!$I$40="Media",'MAPA DE RIESGO'!$M$40="Leve"),CONCATENATE("R",'MAPA DE RIESGO'!$B$40),"")</f>
        <v/>
      </c>
      <c r="M24" s="493"/>
      <c r="N24" s="493" t="str">
        <f>IF(AND('MAPA DE RIESGO'!$I$46="Media",'MAPA DE RIESGO'!$M$46="Leve"),CONCATENATE("R",'MAPA DE RIESGO'!$B$46),"")</f>
        <v/>
      </c>
      <c r="O24" s="494"/>
      <c r="P24" s="492" t="str">
        <f>IF(AND('MAPA DE RIESGO'!$I$34="Media",'MAPA DE RIESGO'!$M$34="Menor"),CONCATENATE("R",'MAPA DE RIESGO'!$B$34),"")</f>
        <v/>
      </c>
      <c r="Q24" s="493"/>
      <c r="R24" s="493" t="str">
        <f>IF(AND('MAPA DE RIESGO'!$I$40="Media",'MAPA DE RIESGO'!$M$40="Menor"),CONCATENATE("R",'MAPA DE RIESGO'!$B$40),"")</f>
        <v/>
      </c>
      <c r="S24" s="493"/>
      <c r="T24" s="493" t="str">
        <f>IF(AND('MAPA DE RIESGO'!$I$46="Media",'MAPA DE RIESGO'!$M$46="Menor"),CONCATENATE("R",'MAPA DE RIESGO'!$B$46),"")</f>
        <v/>
      </c>
      <c r="U24" s="494"/>
      <c r="V24" s="492" t="str">
        <f>IF(AND('MAPA DE RIESGO'!$I$34="Media",'MAPA DE RIESGO'!$M$34="Moderado"),CONCATENATE("R",'MAPA DE RIESGO'!$B$34),"")</f>
        <v/>
      </c>
      <c r="W24" s="493"/>
      <c r="X24" s="493" t="str">
        <f>IF(AND('MAPA DE RIESGO'!$I$40="Media",'MAPA DE RIESGO'!$M$40="Moderado"),CONCATENATE("R",'MAPA DE RIESGO'!$B$40),"")</f>
        <v/>
      </c>
      <c r="Y24" s="493"/>
      <c r="Z24" s="493" t="str">
        <f>IF(AND('MAPA DE RIESGO'!$I$46="Media",'MAPA DE RIESGO'!$M$46="Moderado"),CONCATENATE("R",'MAPA DE RIESGO'!$B$46),"")</f>
        <v>R6</v>
      </c>
      <c r="AA24" s="494"/>
      <c r="AB24" s="475" t="str">
        <f>IF(AND('MAPA DE RIESGO'!$I$34="Media",'MAPA DE RIESGO'!$M$34="Mayor"),CONCATENATE("R",'MAPA DE RIESGO'!$B$34),"")</f>
        <v/>
      </c>
      <c r="AC24" s="472"/>
      <c r="AD24" s="470" t="str">
        <f>IF(AND('MAPA DE RIESGO'!$I$40="Media",'MAPA DE RIESGO'!$M$40="Mayor"),CONCATENATE("R",'MAPA DE RIESGO'!$B$40),"")</f>
        <v/>
      </c>
      <c r="AE24" s="470"/>
      <c r="AF24" s="470" t="str">
        <f>IF(AND('MAPA DE RIESGO'!$I$46="Media",'MAPA DE RIESGO'!$M$46="Mayor"),CONCATENATE("R",'MAPA DE RIESGO'!$B$46),"")</f>
        <v/>
      </c>
      <c r="AG24" s="471"/>
      <c r="AH24" s="483" t="str">
        <f>IF(AND('MAPA DE RIESGO'!$I$34="Media",'MAPA DE RIESGO'!$M$34="Catastrófico"),CONCATENATE("R",'MAPA DE RIESGO'!$B$34),"")</f>
        <v/>
      </c>
      <c r="AI24" s="484"/>
      <c r="AJ24" s="484" t="str">
        <f>IF(AND('MAPA DE RIESGO'!$I$40="Media",'MAPA DE RIESGO'!$M$40="Catastrófico"),CONCATENATE("R",'MAPA DE RIESGO'!$B$40),"")</f>
        <v/>
      </c>
      <c r="AK24" s="484"/>
      <c r="AL24" s="484" t="str">
        <f>IF(AND('MAPA DE RIESGO'!$I$46="Media",'MAPA DE RIESGO'!$M$46="Catastrófico"),CONCATENATE("R",'MAPA DE RIESGO'!$B$46),"")</f>
        <v/>
      </c>
      <c r="AM24" s="485"/>
      <c r="AN24" s="54"/>
      <c r="AO24" s="446"/>
      <c r="AP24" s="447"/>
      <c r="AQ24" s="447"/>
      <c r="AR24" s="447"/>
      <c r="AS24" s="447"/>
      <c r="AT24" s="448"/>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row>
    <row r="25" spans="1:80" x14ac:dyDescent="0.25">
      <c r="A25" s="54"/>
      <c r="B25" s="423"/>
      <c r="C25" s="423"/>
      <c r="D25" s="424"/>
      <c r="E25" s="464"/>
      <c r="F25" s="465"/>
      <c r="G25" s="465"/>
      <c r="H25" s="465"/>
      <c r="I25" s="466"/>
      <c r="J25" s="492"/>
      <c r="K25" s="493"/>
      <c r="L25" s="493"/>
      <c r="M25" s="493"/>
      <c r="N25" s="493"/>
      <c r="O25" s="494"/>
      <c r="P25" s="492"/>
      <c r="Q25" s="493"/>
      <c r="R25" s="493"/>
      <c r="S25" s="493"/>
      <c r="T25" s="493"/>
      <c r="U25" s="494"/>
      <c r="V25" s="492"/>
      <c r="W25" s="493"/>
      <c r="X25" s="493"/>
      <c r="Y25" s="493"/>
      <c r="Z25" s="493"/>
      <c r="AA25" s="494"/>
      <c r="AB25" s="475"/>
      <c r="AC25" s="472"/>
      <c r="AD25" s="470"/>
      <c r="AE25" s="470"/>
      <c r="AF25" s="470"/>
      <c r="AG25" s="471"/>
      <c r="AH25" s="483"/>
      <c r="AI25" s="484"/>
      <c r="AJ25" s="484"/>
      <c r="AK25" s="484"/>
      <c r="AL25" s="484"/>
      <c r="AM25" s="485"/>
      <c r="AN25" s="54"/>
      <c r="AO25" s="446"/>
      <c r="AP25" s="447"/>
      <c r="AQ25" s="447"/>
      <c r="AR25" s="447"/>
      <c r="AS25" s="447"/>
      <c r="AT25" s="448"/>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row>
    <row r="26" spans="1:80" x14ac:dyDescent="0.25">
      <c r="A26" s="54"/>
      <c r="B26" s="423"/>
      <c r="C26" s="423"/>
      <c r="D26" s="424"/>
      <c r="E26" s="464"/>
      <c r="F26" s="465"/>
      <c r="G26" s="465"/>
      <c r="H26" s="465"/>
      <c r="I26" s="466"/>
      <c r="J26" s="492" t="str">
        <f>IF(AND('MAPA DE RIESGO'!$I$52="Media",'MAPA DE RIESGO'!$M$52="Leve"),CONCATENATE("R",'MAPA DE RIESGO'!$B$52),"")</f>
        <v/>
      </c>
      <c r="K26" s="493"/>
      <c r="L26" s="493" t="str">
        <f>IF(AND('MAPA DE RIESGO'!$I$58="Media",'MAPA DE RIESGO'!$M$58="Leve"),CONCATENATE("R",'MAPA DE RIESGO'!$B$58),"")</f>
        <v/>
      </c>
      <c r="M26" s="493"/>
      <c r="N26" s="493" t="str">
        <f>IF(AND('MAPA DE RIESGO'!$I$76="Media",'MAPA DE RIESGO'!$M$76="Leve"),CONCATENATE("R",'MAPA DE RIESGO'!$B$76),"")</f>
        <v/>
      </c>
      <c r="O26" s="494"/>
      <c r="P26" s="492" t="str">
        <f>IF(AND('MAPA DE RIESGO'!$I$52="Media",'MAPA DE RIESGO'!$M$52="Menor"),CONCATENATE("R",'MAPA DE RIESGO'!$B$52),"")</f>
        <v/>
      </c>
      <c r="Q26" s="493"/>
      <c r="R26" s="493" t="str">
        <f>IF(AND('MAPA DE RIESGO'!$I$58="Media",'MAPA DE RIESGO'!$M$58="Menor"),CONCATENATE("R",'MAPA DE RIESGO'!$B$58),"")</f>
        <v/>
      </c>
      <c r="S26" s="493"/>
      <c r="T26" s="493" t="str">
        <f>IF(AND('MAPA DE RIESGO'!$I$76="Media",'MAPA DE RIESGO'!$M$76="Menor"),CONCATENATE("R",'MAPA DE RIESGO'!$B$76),"")</f>
        <v/>
      </c>
      <c r="U26" s="494"/>
      <c r="V26" s="492" t="str">
        <f>IF(AND('MAPA DE RIESGO'!$I$52="Media",'MAPA DE RIESGO'!$M$52="Moderado"),CONCATENATE("R",'MAPA DE RIESGO'!$B$52),"")</f>
        <v/>
      </c>
      <c r="W26" s="493"/>
      <c r="X26" s="493" t="str">
        <f>IF(AND('MAPA DE RIESGO'!$I$58="Media",'MAPA DE RIESGO'!$M$58="Moderado"),CONCATENATE("R",'MAPA DE RIESGO'!$B$58),"")</f>
        <v/>
      </c>
      <c r="Y26" s="493"/>
      <c r="Z26" s="493" t="str">
        <f>IF(AND('MAPA DE RIESGO'!$I$76="Media",'MAPA DE RIESGO'!$M$76="Moderado"),CONCATENATE("R",'MAPA DE RIESGO'!$B$76),"")</f>
        <v>R11</v>
      </c>
      <c r="AA26" s="494"/>
      <c r="AB26" s="475" t="str">
        <f>IF(AND('MAPA DE RIESGO'!$I$52="Media",'MAPA DE RIESGO'!$M$52="Mayor"),CONCATENATE("R",'MAPA DE RIESGO'!$B$52),"")</f>
        <v/>
      </c>
      <c r="AC26" s="472"/>
      <c r="AD26" s="470" t="str">
        <f>IF(AND('MAPA DE RIESGO'!$I$58="Media",'MAPA DE RIESGO'!$M$58="Mayor"),CONCATENATE("R",'MAPA DE RIESGO'!$B$58),"")</f>
        <v/>
      </c>
      <c r="AE26" s="470"/>
      <c r="AF26" s="470" t="str">
        <f>IF(AND('MAPA DE RIESGO'!$I$76="Media",'MAPA DE RIESGO'!$M$76="Mayor"),CONCATENATE("R",'MAPA DE RIESGO'!$B$76),"")</f>
        <v/>
      </c>
      <c r="AG26" s="471"/>
      <c r="AH26" s="483" t="str">
        <f>IF(AND('MAPA DE RIESGO'!$I$52="Media",'MAPA DE RIESGO'!$M$52="Catastrófico"),CONCATENATE("R",'MAPA DE RIESGO'!$B$52),"")</f>
        <v/>
      </c>
      <c r="AI26" s="484"/>
      <c r="AJ26" s="484" t="str">
        <f>IF(AND('MAPA DE RIESGO'!$I$58="Media",'MAPA DE RIESGO'!$M$58="Catastrófico"),CONCATENATE("R",'MAPA DE RIESGO'!$B$58),"")</f>
        <v/>
      </c>
      <c r="AK26" s="484"/>
      <c r="AL26" s="484" t="str">
        <f>IF(AND('MAPA DE RIESGO'!$I$76="Media",'MAPA DE RIESGO'!$M$76="Catastrófico"),CONCATENATE("R",'MAPA DE RIESGO'!$B$76),"")</f>
        <v/>
      </c>
      <c r="AM26" s="485"/>
      <c r="AN26" s="54"/>
      <c r="AO26" s="446"/>
      <c r="AP26" s="447"/>
      <c r="AQ26" s="447"/>
      <c r="AR26" s="447"/>
      <c r="AS26" s="447"/>
      <c r="AT26" s="448"/>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row>
    <row r="27" spans="1:80" x14ac:dyDescent="0.25">
      <c r="A27" s="54"/>
      <c r="B27" s="423"/>
      <c r="C27" s="423"/>
      <c r="D27" s="424"/>
      <c r="E27" s="464"/>
      <c r="F27" s="465"/>
      <c r="G27" s="465"/>
      <c r="H27" s="465"/>
      <c r="I27" s="466"/>
      <c r="J27" s="492"/>
      <c r="K27" s="493"/>
      <c r="L27" s="493"/>
      <c r="M27" s="493"/>
      <c r="N27" s="493"/>
      <c r="O27" s="494"/>
      <c r="P27" s="492"/>
      <c r="Q27" s="493"/>
      <c r="R27" s="493"/>
      <c r="S27" s="493"/>
      <c r="T27" s="493"/>
      <c r="U27" s="494"/>
      <c r="V27" s="492"/>
      <c r="W27" s="493"/>
      <c r="X27" s="493"/>
      <c r="Y27" s="493"/>
      <c r="Z27" s="493"/>
      <c r="AA27" s="494"/>
      <c r="AB27" s="475"/>
      <c r="AC27" s="472"/>
      <c r="AD27" s="470"/>
      <c r="AE27" s="470"/>
      <c r="AF27" s="470"/>
      <c r="AG27" s="471"/>
      <c r="AH27" s="483"/>
      <c r="AI27" s="484"/>
      <c r="AJ27" s="484"/>
      <c r="AK27" s="484"/>
      <c r="AL27" s="484"/>
      <c r="AM27" s="485"/>
      <c r="AN27" s="54"/>
      <c r="AO27" s="446"/>
      <c r="AP27" s="447"/>
      <c r="AQ27" s="447"/>
      <c r="AR27" s="447"/>
      <c r="AS27" s="447"/>
      <c r="AT27" s="448"/>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80" x14ac:dyDescent="0.25">
      <c r="A28" s="54"/>
      <c r="B28" s="423"/>
      <c r="C28" s="423"/>
      <c r="D28" s="424"/>
      <c r="E28" s="464"/>
      <c r="F28" s="465"/>
      <c r="G28" s="465"/>
      <c r="H28" s="465"/>
      <c r="I28" s="466"/>
      <c r="J28" s="492" t="str">
        <f>IF(AND('MAPA DE RIESGO'!$I$82="Media",'MAPA DE RIESGO'!$M$82="Leve"),CONCATENATE("R",'MAPA DE RIESGO'!$B$82),"")</f>
        <v/>
      </c>
      <c r="K28" s="493"/>
      <c r="L28" s="493" t="str">
        <f>IF(AND('MAPA DE RIESGO'!$I$88="Media",'MAPA DE RIESGO'!$M$88="Leve"),CONCATENATE("R",'MAPA DE RIESGO'!$B$88),"")</f>
        <v/>
      </c>
      <c r="M28" s="493"/>
      <c r="N28" s="493" t="str">
        <f>IF(AND('MAPA DE RIESGO'!$I$94="Media",'MAPA DE RIESGO'!$M$94="Leve"),CONCATENATE("R",'MAPA DE RIESGO'!$B$94),"")</f>
        <v/>
      </c>
      <c r="O28" s="494"/>
      <c r="P28" s="492" t="str">
        <f>IF(AND('MAPA DE RIESGO'!$I$82="Media",'MAPA DE RIESGO'!$M$82="Menor"),CONCATENATE("R",'MAPA DE RIESGO'!$B$82),"")</f>
        <v/>
      </c>
      <c r="Q28" s="493"/>
      <c r="R28" s="493" t="str">
        <f>IF(AND('MAPA DE RIESGO'!$I$88="Media",'MAPA DE RIESGO'!$M$88="Menor"),CONCATENATE("R",'MAPA DE RIESGO'!$B$88),"")</f>
        <v/>
      </c>
      <c r="S28" s="493"/>
      <c r="T28" s="493" t="str">
        <f>IF(AND('MAPA DE RIESGO'!$I$94="Media",'MAPA DE RIESGO'!$M$94="Menor"),CONCATENATE("R",'MAPA DE RIESGO'!$B$94),"")</f>
        <v/>
      </c>
      <c r="U28" s="494"/>
      <c r="V28" s="492" t="str">
        <f>IF(AND('MAPA DE RIESGO'!$I$82="Media",'MAPA DE RIESGO'!$M$82="Moderado"),CONCATENATE("R",'MAPA DE RIESGO'!$B$82),"")</f>
        <v>R12</v>
      </c>
      <c r="W28" s="493"/>
      <c r="X28" s="493" t="str">
        <f>IF(AND('MAPA DE RIESGO'!$I$88="Media",'MAPA DE RIESGO'!$M$88="Moderado"),CONCATENATE("R",'MAPA DE RIESGO'!$B$88),"")</f>
        <v/>
      </c>
      <c r="Y28" s="493"/>
      <c r="Z28" s="493" t="str">
        <f>IF(AND('MAPA DE RIESGO'!$I$94="Media",'MAPA DE RIESGO'!$M$94="Moderado"),CONCATENATE("R",'MAPA DE RIESGO'!$B$94),"")</f>
        <v/>
      </c>
      <c r="AA28" s="494"/>
      <c r="AB28" s="475" t="str">
        <f>IF(AND('MAPA DE RIESGO'!$I$82="Media",'MAPA DE RIESGO'!$M$82="Mayor"),CONCATENATE("R",'MAPA DE RIESGO'!$B$82),"")</f>
        <v/>
      </c>
      <c r="AC28" s="472"/>
      <c r="AD28" s="470" t="str">
        <f>IF(AND('MAPA DE RIESGO'!$I$88="Media",'MAPA DE RIESGO'!$M$88="Mayor"),CONCATENATE("R",'MAPA DE RIESGO'!$B$88),"")</f>
        <v/>
      </c>
      <c r="AE28" s="470"/>
      <c r="AF28" s="470" t="str">
        <f>IF(AND('MAPA DE RIESGO'!$I$94="Media",'MAPA DE RIESGO'!$M$94="Mayor"),CONCATENATE("R",'MAPA DE RIESGO'!$B$94),"")</f>
        <v/>
      </c>
      <c r="AG28" s="471"/>
      <c r="AH28" s="483" t="str">
        <f>IF(AND('MAPA DE RIESGO'!$I$82="Media",'MAPA DE RIESGO'!$M$82="Catastrófico"),CONCATENATE("R",'MAPA DE RIESGO'!$B$82),"")</f>
        <v/>
      </c>
      <c r="AI28" s="484"/>
      <c r="AJ28" s="484" t="str">
        <f>IF(AND('MAPA DE RIESGO'!$I$88="Media",'MAPA DE RIESGO'!$M$88="Catastrófico"),CONCATENATE("R",'MAPA DE RIESGO'!$B$88),"")</f>
        <v/>
      </c>
      <c r="AK28" s="484"/>
      <c r="AL28" s="484" t="str">
        <f>IF(AND('MAPA DE RIESGO'!$I$94="Media",'MAPA DE RIESGO'!$M$94="Catastrófico"),CONCATENATE("R",'MAPA DE RIESGO'!$B$94),"")</f>
        <v/>
      </c>
      <c r="AM28" s="485"/>
      <c r="AN28" s="54"/>
      <c r="AO28" s="446"/>
      <c r="AP28" s="447"/>
      <c r="AQ28" s="447"/>
      <c r="AR28" s="447"/>
      <c r="AS28" s="447"/>
      <c r="AT28" s="448"/>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ht="15.75" thickBot="1" x14ac:dyDescent="0.3">
      <c r="A29" s="54"/>
      <c r="B29" s="423"/>
      <c r="C29" s="423"/>
      <c r="D29" s="424"/>
      <c r="E29" s="467"/>
      <c r="F29" s="468"/>
      <c r="G29" s="468"/>
      <c r="H29" s="468"/>
      <c r="I29" s="469"/>
      <c r="J29" s="492"/>
      <c r="K29" s="493"/>
      <c r="L29" s="493"/>
      <c r="M29" s="493"/>
      <c r="N29" s="493"/>
      <c r="O29" s="494"/>
      <c r="P29" s="495"/>
      <c r="Q29" s="496"/>
      <c r="R29" s="496"/>
      <c r="S29" s="496"/>
      <c r="T29" s="496"/>
      <c r="U29" s="497"/>
      <c r="V29" s="495"/>
      <c r="W29" s="496"/>
      <c r="X29" s="496"/>
      <c r="Y29" s="496"/>
      <c r="Z29" s="496"/>
      <c r="AA29" s="497"/>
      <c r="AB29" s="480"/>
      <c r="AC29" s="481"/>
      <c r="AD29" s="481"/>
      <c r="AE29" s="481"/>
      <c r="AF29" s="481"/>
      <c r="AG29" s="482"/>
      <c r="AH29" s="486"/>
      <c r="AI29" s="487"/>
      <c r="AJ29" s="487"/>
      <c r="AK29" s="487"/>
      <c r="AL29" s="487"/>
      <c r="AM29" s="488"/>
      <c r="AN29" s="54"/>
      <c r="AO29" s="449"/>
      <c r="AP29" s="450"/>
      <c r="AQ29" s="450"/>
      <c r="AR29" s="450"/>
      <c r="AS29" s="450"/>
      <c r="AT29" s="451"/>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row>
    <row r="30" spans="1:80" x14ac:dyDescent="0.25">
      <c r="A30" s="54"/>
      <c r="B30" s="423"/>
      <c r="C30" s="423"/>
      <c r="D30" s="424"/>
      <c r="E30" s="461" t="s">
        <v>289</v>
      </c>
      <c r="F30" s="462"/>
      <c r="G30" s="462"/>
      <c r="H30" s="462"/>
      <c r="I30" s="462"/>
      <c r="J30" s="507" t="str">
        <f>IF(AND('MAPA DE RIESGO'!$I$16="Baja",'MAPA DE RIESGO'!$M$16="Leve"),CONCATENATE("R",'MAPA DE RIESGO'!$B$16),"")</f>
        <v/>
      </c>
      <c r="K30" s="508"/>
      <c r="L30" s="508" t="str">
        <f>IF(AND('MAPA DE RIESGO'!$I$22="Baja",'MAPA DE RIESGO'!$M$22="Leve"),CONCATENATE("R",'MAPA DE RIESGO'!$B$22),"")</f>
        <v/>
      </c>
      <c r="M30" s="508"/>
      <c r="N30" s="508" t="str">
        <f>IF(AND('MAPA DE RIESGO'!$I$28="Baja",'MAPA DE RIESGO'!$M$28="Leve"),CONCATENATE("R",'MAPA DE RIESGO'!$B$28),"")</f>
        <v/>
      </c>
      <c r="O30" s="509"/>
      <c r="P30" s="499" t="str">
        <f>IF(AND('MAPA DE RIESGO'!$I$16="Baja",'MAPA DE RIESGO'!$M$16="Menor"),CONCATENATE("R",'MAPA DE RIESGO'!$B$16),"")</f>
        <v/>
      </c>
      <c r="Q30" s="499"/>
      <c r="R30" s="499" t="str">
        <f>IF(AND('MAPA DE RIESGO'!$I$22="Baja",'MAPA DE RIESGO'!$M$22="Menor"),CONCATENATE("R",'MAPA DE RIESGO'!$B$22),"")</f>
        <v/>
      </c>
      <c r="S30" s="499"/>
      <c r="T30" s="499" t="str">
        <f>IF(AND('MAPA DE RIESGO'!$I$28="Baja",'MAPA DE RIESGO'!$M$28="Menor"),CONCATENATE("R",'MAPA DE RIESGO'!$B$28),"")</f>
        <v/>
      </c>
      <c r="U30" s="500"/>
      <c r="V30" s="498" t="str">
        <f>IF(AND('MAPA DE RIESGO'!$I$16="Baja",'MAPA DE RIESGO'!$M$16="Moderado"),CONCATENATE("R",'MAPA DE RIESGO'!$B$16),"")</f>
        <v/>
      </c>
      <c r="W30" s="499"/>
      <c r="X30" s="499" t="str">
        <f>IF(AND('MAPA DE RIESGO'!$I$22="Baja",'MAPA DE RIESGO'!$M$22="Moderado"),CONCATENATE("R",'MAPA DE RIESGO'!$B$22),"")</f>
        <v/>
      </c>
      <c r="Y30" s="499"/>
      <c r="Z30" s="499" t="str">
        <f>IF(AND('MAPA DE RIESGO'!$I$28="Baja",'MAPA DE RIESGO'!$M$28="Moderado"),CONCATENATE("R",'MAPA DE RIESGO'!$B$28),"")</f>
        <v/>
      </c>
      <c r="AA30" s="500"/>
      <c r="AB30" s="473" t="str">
        <f>IF(AND('MAPA DE RIESGO'!$I$16="Baja",'MAPA DE RIESGO'!$M$16="Mayor"),CONCATENATE("R",'MAPA DE RIESGO'!$B$16),"")</f>
        <v>R1</v>
      </c>
      <c r="AC30" s="474"/>
      <c r="AD30" s="474" t="str">
        <f>IF(AND('MAPA DE RIESGO'!$I$22="Baja",'MAPA DE RIESGO'!$M$22="Mayor"),CONCATENATE("R",'MAPA DE RIESGO'!$B$22),"")</f>
        <v/>
      </c>
      <c r="AE30" s="474"/>
      <c r="AF30" s="474" t="str">
        <f>IF(AND('MAPA DE RIESGO'!$I$28="Baja",'MAPA DE RIESGO'!$M$28="Mayor"),CONCATENATE("R",'MAPA DE RIESGO'!$B$28),"")</f>
        <v/>
      </c>
      <c r="AG30" s="476"/>
      <c r="AH30" s="489" t="str">
        <f>IF(AND('MAPA DE RIESGO'!$I$16="Baja",'MAPA DE RIESGO'!$M$16="Catastrófico"),CONCATENATE("R",'MAPA DE RIESGO'!$B$16),"")</f>
        <v/>
      </c>
      <c r="AI30" s="490"/>
      <c r="AJ30" s="490" t="str">
        <f>IF(AND('MAPA DE RIESGO'!$I$22="Baja",'MAPA DE RIESGO'!$M$22="Catastrófico"),CONCATENATE("R",'MAPA DE RIESGO'!$B$22),"")</f>
        <v/>
      </c>
      <c r="AK30" s="490"/>
      <c r="AL30" s="490" t="str">
        <f>IF(AND('MAPA DE RIESGO'!$I$28="Baja",'MAPA DE RIESGO'!$M$28="Catastrófico"),CONCATENATE("R",'MAPA DE RIESGO'!$B$28),"")</f>
        <v/>
      </c>
      <c r="AM30" s="491"/>
      <c r="AN30" s="54"/>
      <c r="AO30" s="452" t="s">
        <v>290</v>
      </c>
      <c r="AP30" s="453"/>
      <c r="AQ30" s="453"/>
      <c r="AR30" s="453"/>
      <c r="AS30" s="453"/>
      <c r="AT30" s="4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row>
    <row r="31" spans="1:80" x14ac:dyDescent="0.25">
      <c r="A31" s="54"/>
      <c r="B31" s="423"/>
      <c r="C31" s="423"/>
      <c r="D31" s="424"/>
      <c r="E31" s="464"/>
      <c r="F31" s="465"/>
      <c r="G31" s="465"/>
      <c r="H31" s="465"/>
      <c r="I31" s="478"/>
      <c r="J31" s="503"/>
      <c r="K31" s="501"/>
      <c r="L31" s="501"/>
      <c r="M31" s="501"/>
      <c r="N31" s="501"/>
      <c r="O31" s="502"/>
      <c r="P31" s="493"/>
      <c r="Q31" s="493"/>
      <c r="R31" s="493"/>
      <c r="S31" s="493"/>
      <c r="T31" s="493"/>
      <c r="U31" s="494"/>
      <c r="V31" s="492"/>
      <c r="W31" s="493"/>
      <c r="X31" s="493"/>
      <c r="Y31" s="493"/>
      <c r="Z31" s="493"/>
      <c r="AA31" s="494"/>
      <c r="AB31" s="475"/>
      <c r="AC31" s="472"/>
      <c r="AD31" s="472"/>
      <c r="AE31" s="472"/>
      <c r="AF31" s="472"/>
      <c r="AG31" s="471"/>
      <c r="AH31" s="483"/>
      <c r="AI31" s="484"/>
      <c r="AJ31" s="484"/>
      <c r="AK31" s="484"/>
      <c r="AL31" s="484"/>
      <c r="AM31" s="485"/>
      <c r="AN31" s="54"/>
      <c r="AO31" s="455"/>
      <c r="AP31" s="456"/>
      <c r="AQ31" s="456"/>
      <c r="AR31" s="456"/>
      <c r="AS31" s="456"/>
      <c r="AT31" s="457"/>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row>
    <row r="32" spans="1:80" x14ac:dyDescent="0.25">
      <c r="A32" s="54"/>
      <c r="B32" s="423"/>
      <c r="C32" s="423"/>
      <c r="D32" s="424"/>
      <c r="E32" s="464"/>
      <c r="F32" s="465"/>
      <c r="G32" s="465"/>
      <c r="H32" s="465"/>
      <c r="I32" s="478"/>
      <c r="J32" s="503" t="str">
        <f>IF(AND('MAPA DE RIESGO'!$I$34="Baja",'MAPA DE RIESGO'!$M$34="Leve"),CONCATENATE("R",'MAPA DE RIESGO'!$B$34),"")</f>
        <v/>
      </c>
      <c r="K32" s="501"/>
      <c r="L32" s="501" t="str">
        <f>IF(AND('MAPA DE RIESGO'!$I$40="Baja",'MAPA DE RIESGO'!$M$40="Leve"),CONCATENATE("R",'MAPA DE RIESGO'!$B$40),"")</f>
        <v/>
      </c>
      <c r="M32" s="501"/>
      <c r="N32" s="501" t="str">
        <f>IF(AND('MAPA DE RIESGO'!$I$46="Baja",'MAPA DE RIESGO'!$M$46="Leve"),CONCATENATE("R",'MAPA DE RIESGO'!$B$46),"")</f>
        <v/>
      </c>
      <c r="O32" s="502"/>
      <c r="P32" s="493" t="str">
        <f>IF(AND('MAPA DE RIESGO'!$I$34="Baja",'MAPA DE RIESGO'!$M$34="Menor"),CONCATENATE("R",'MAPA DE RIESGO'!$B$34),"")</f>
        <v/>
      </c>
      <c r="Q32" s="493"/>
      <c r="R32" s="493" t="str">
        <f>IF(AND('MAPA DE RIESGO'!$I$40="Baja",'MAPA DE RIESGO'!$M$40="Menor"),CONCATENATE("R",'MAPA DE RIESGO'!$B$40),"")</f>
        <v/>
      </c>
      <c r="S32" s="493"/>
      <c r="T32" s="493" t="str">
        <f>IF(AND('MAPA DE RIESGO'!$I$46="Baja",'MAPA DE RIESGO'!$M$46="Menor"),CONCATENATE("R",'MAPA DE RIESGO'!$B$46),"")</f>
        <v/>
      </c>
      <c r="U32" s="494"/>
      <c r="V32" s="492" t="str">
        <f>IF(AND('MAPA DE RIESGO'!$I$34="Baja",'MAPA DE RIESGO'!$M$34="Moderado"),CONCATENATE("R",'MAPA DE RIESGO'!$B$34),"")</f>
        <v>R4</v>
      </c>
      <c r="W32" s="493"/>
      <c r="X32" s="493" t="str">
        <f>IF(AND('MAPA DE RIESGO'!$I$40="Baja",'MAPA DE RIESGO'!$M$40="Moderado"),CONCATENATE("R",'MAPA DE RIESGO'!$B$40),"")</f>
        <v/>
      </c>
      <c r="Y32" s="493"/>
      <c r="Z32" s="493" t="str">
        <f>IF(AND('MAPA DE RIESGO'!$I$46="Baja",'MAPA DE RIESGO'!$M$46="Moderado"),CONCATENATE("R",'MAPA DE RIESGO'!$B$46),"")</f>
        <v/>
      </c>
      <c r="AA32" s="494"/>
      <c r="AB32" s="475" t="str">
        <f>IF(AND('MAPA DE RIESGO'!$I$34="Baja",'MAPA DE RIESGO'!$M$34="Mayor"),CONCATENATE("R",'MAPA DE RIESGO'!$B$34),"")</f>
        <v/>
      </c>
      <c r="AC32" s="472"/>
      <c r="AD32" s="470" t="str">
        <f>IF(AND('MAPA DE RIESGO'!$I$40="Baja",'MAPA DE RIESGO'!$M$40="Mayor"),CONCATENATE("R",'MAPA DE RIESGO'!$B$40),"")</f>
        <v/>
      </c>
      <c r="AE32" s="470"/>
      <c r="AF32" s="470" t="str">
        <f>IF(AND('MAPA DE RIESGO'!$I$46="Baja",'MAPA DE RIESGO'!$M$46="Mayor"),CONCATENATE("R",'MAPA DE RIESGO'!$B$46),"")</f>
        <v/>
      </c>
      <c r="AG32" s="471"/>
      <c r="AH32" s="483" t="str">
        <f>IF(AND('MAPA DE RIESGO'!$I$34="Baja",'MAPA DE RIESGO'!$M$34="Catastrófico"),CONCATENATE("R",'MAPA DE RIESGO'!$B$34),"")</f>
        <v/>
      </c>
      <c r="AI32" s="484"/>
      <c r="AJ32" s="484" t="str">
        <f>IF(AND('MAPA DE RIESGO'!$I$40="Baja",'MAPA DE RIESGO'!$M$40="Catastrófico"),CONCATENATE("R",'MAPA DE RIESGO'!$B$40),"")</f>
        <v/>
      </c>
      <c r="AK32" s="484"/>
      <c r="AL32" s="484" t="str">
        <f>IF(AND('MAPA DE RIESGO'!$I$46="Baja",'MAPA DE RIESGO'!$M$46="Catastrófico"),CONCATENATE("R",'MAPA DE RIESGO'!$B$46),"")</f>
        <v/>
      </c>
      <c r="AM32" s="485"/>
      <c r="AN32" s="54"/>
      <c r="AO32" s="455"/>
      <c r="AP32" s="456"/>
      <c r="AQ32" s="456"/>
      <c r="AR32" s="456"/>
      <c r="AS32" s="456"/>
      <c r="AT32" s="457"/>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row>
    <row r="33" spans="1:80" x14ac:dyDescent="0.25">
      <c r="A33" s="54"/>
      <c r="B33" s="423"/>
      <c r="C33" s="423"/>
      <c r="D33" s="424"/>
      <c r="E33" s="464"/>
      <c r="F33" s="465"/>
      <c r="G33" s="465"/>
      <c r="H33" s="465"/>
      <c r="I33" s="478"/>
      <c r="J33" s="503"/>
      <c r="K33" s="501"/>
      <c r="L33" s="501"/>
      <c r="M33" s="501"/>
      <c r="N33" s="501"/>
      <c r="O33" s="502"/>
      <c r="P33" s="493"/>
      <c r="Q33" s="493"/>
      <c r="R33" s="493"/>
      <c r="S33" s="493"/>
      <c r="T33" s="493"/>
      <c r="U33" s="494"/>
      <c r="V33" s="492"/>
      <c r="W33" s="493"/>
      <c r="X33" s="493"/>
      <c r="Y33" s="493"/>
      <c r="Z33" s="493"/>
      <c r="AA33" s="494"/>
      <c r="AB33" s="475"/>
      <c r="AC33" s="472"/>
      <c r="AD33" s="470"/>
      <c r="AE33" s="470"/>
      <c r="AF33" s="470"/>
      <c r="AG33" s="471"/>
      <c r="AH33" s="483"/>
      <c r="AI33" s="484"/>
      <c r="AJ33" s="484"/>
      <c r="AK33" s="484"/>
      <c r="AL33" s="484"/>
      <c r="AM33" s="485"/>
      <c r="AN33" s="54"/>
      <c r="AO33" s="455"/>
      <c r="AP33" s="456"/>
      <c r="AQ33" s="456"/>
      <c r="AR33" s="456"/>
      <c r="AS33" s="456"/>
      <c r="AT33" s="457"/>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row>
    <row r="34" spans="1:80" x14ac:dyDescent="0.25">
      <c r="A34" s="54"/>
      <c r="B34" s="423"/>
      <c r="C34" s="423"/>
      <c r="D34" s="424"/>
      <c r="E34" s="464"/>
      <c r="F34" s="465"/>
      <c r="G34" s="465"/>
      <c r="H34" s="465"/>
      <c r="I34" s="478"/>
      <c r="J34" s="503" t="str">
        <f>IF(AND('MAPA DE RIESGO'!$I$52="Baja",'MAPA DE RIESGO'!$M$52="Leve"),CONCATENATE("R",'MAPA DE RIESGO'!$B$52),"")</f>
        <v/>
      </c>
      <c r="K34" s="501"/>
      <c r="L34" s="501" t="str">
        <f>IF(AND('MAPA DE RIESGO'!$I$58="Baja",'MAPA DE RIESGO'!$M$58="Leve"),CONCATENATE("R",'MAPA DE RIESGO'!$B$58),"")</f>
        <v/>
      </c>
      <c r="M34" s="501"/>
      <c r="N34" s="501" t="str">
        <f>IF(AND('MAPA DE RIESGO'!$I$76="Baja",'MAPA DE RIESGO'!$M$76="Leve"),CONCATENATE("R",'MAPA DE RIESGO'!$B$76),"")</f>
        <v/>
      </c>
      <c r="O34" s="502"/>
      <c r="P34" s="493" t="str">
        <f>IF(AND('MAPA DE RIESGO'!$I$52="Baja",'MAPA DE RIESGO'!$M$52="Menor"),CONCATENATE("R",'MAPA DE RIESGO'!$B$52),"")</f>
        <v/>
      </c>
      <c r="Q34" s="493"/>
      <c r="R34" s="493" t="str">
        <f>IF(AND('MAPA DE RIESGO'!$I$58="Baja",'MAPA DE RIESGO'!$M$58="Menor"),CONCATENATE("R",'MAPA DE RIESGO'!$B$58),"")</f>
        <v/>
      </c>
      <c r="S34" s="493"/>
      <c r="T34" s="493" t="str">
        <f>IF(AND('MAPA DE RIESGO'!$I$76="Baja",'MAPA DE RIESGO'!$M$76="Menor"),CONCATENATE("R",'MAPA DE RIESGO'!$B$76),"")</f>
        <v/>
      </c>
      <c r="U34" s="494"/>
      <c r="V34" s="492" t="str">
        <f>IF(AND('MAPA DE RIESGO'!$I$52="Baja",'MAPA DE RIESGO'!$M$52="Moderado"),CONCATENATE("R",'MAPA DE RIESGO'!$B$52),"")</f>
        <v/>
      </c>
      <c r="W34" s="493"/>
      <c r="X34" s="493" t="str">
        <f>IF(AND('MAPA DE RIESGO'!$I$58="Baja",'MAPA DE RIESGO'!$M$58="Moderado"),CONCATENATE("R",'MAPA DE RIESGO'!$B$58),"")</f>
        <v>R8</v>
      </c>
      <c r="Y34" s="493"/>
      <c r="Z34" s="493" t="str">
        <f>IF(AND('MAPA DE RIESGO'!$I$76="Baja",'MAPA DE RIESGO'!$M$76="Moderado"),CONCATENATE("R",'MAPA DE RIESGO'!$B$76),"")</f>
        <v/>
      </c>
      <c r="AA34" s="494"/>
      <c r="AB34" s="475" t="str">
        <f>IF(AND('MAPA DE RIESGO'!$I$52="Baja",'MAPA DE RIESGO'!$M$52="Mayor"),CONCATENATE("R",'MAPA DE RIESGO'!$B$52),"")</f>
        <v/>
      </c>
      <c r="AC34" s="472"/>
      <c r="AD34" s="470" t="str">
        <f>IF(AND('MAPA DE RIESGO'!$I$58="Baja",'MAPA DE RIESGO'!$M$58="Mayor"),CONCATENATE("R",'MAPA DE RIESGO'!$B$58),"")</f>
        <v/>
      </c>
      <c r="AE34" s="470"/>
      <c r="AF34" s="470" t="str">
        <f>IF(AND('MAPA DE RIESGO'!$I$76="Baja",'MAPA DE RIESGO'!$M$76="Mayor"),CONCATENATE("R",'MAPA DE RIESGO'!$B$76),"")</f>
        <v/>
      </c>
      <c r="AG34" s="471"/>
      <c r="AH34" s="483" t="str">
        <f>IF(AND('MAPA DE RIESGO'!$I$52="Baja",'MAPA DE RIESGO'!$M$52="Catastrófico"),CONCATENATE("R",'MAPA DE RIESGO'!$B$52),"")</f>
        <v/>
      </c>
      <c r="AI34" s="484"/>
      <c r="AJ34" s="484" t="str">
        <f>IF(AND('MAPA DE RIESGO'!$I$58="Baja",'MAPA DE RIESGO'!$M$58="Catastrófico"),CONCATENATE("R",'MAPA DE RIESGO'!$B$58),"")</f>
        <v/>
      </c>
      <c r="AK34" s="484"/>
      <c r="AL34" s="484" t="str">
        <f>IF(AND('MAPA DE RIESGO'!$I$76="Baja",'MAPA DE RIESGO'!$M$76="Catastrófico"),CONCATENATE("R",'MAPA DE RIESGO'!$B$76),"")</f>
        <v/>
      </c>
      <c r="AM34" s="485"/>
      <c r="AN34" s="54"/>
      <c r="AO34" s="455"/>
      <c r="AP34" s="456"/>
      <c r="AQ34" s="456"/>
      <c r="AR34" s="456"/>
      <c r="AS34" s="456"/>
      <c r="AT34" s="457"/>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row>
    <row r="35" spans="1:80" x14ac:dyDescent="0.25">
      <c r="A35" s="54"/>
      <c r="B35" s="423"/>
      <c r="C35" s="423"/>
      <c r="D35" s="424"/>
      <c r="E35" s="464"/>
      <c r="F35" s="465"/>
      <c r="G35" s="465"/>
      <c r="H35" s="465"/>
      <c r="I35" s="478"/>
      <c r="J35" s="503"/>
      <c r="K35" s="501"/>
      <c r="L35" s="501"/>
      <c r="M35" s="501"/>
      <c r="N35" s="501"/>
      <c r="O35" s="502"/>
      <c r="P35" s="493"/>
      <c r="Q35" s="493"/>
      <c r="R35" s="493"/>
      <c r="S35" s="493"/>
      <c r="T35" s="493"/>
      <c r="U35" s="494"/>
      <c r="V35" s="492"/>
      <c r="W35" s="493"/>
      <c r="X35" s="493"/>
      <c r="Y35" s="493"/>
      <c r="Z35" s="493"/>
      <c r="AA35" s="494"/>
      <c r="AB35" s="475"/>
      <c r="AC35" s="472"/>
      <c r="AD35" s="470"/>
      <c r="AE35" s="470"/>
      <c r="AF35" s="470"/>
      <c r="AG35" s="471"/>
      <c r="AH35" s="483"/>
      <c r="AI35" s="484"/>
      <c r="AJ35" s="484"/>
      <c r="AK35" s="484"/>
      <c r="AL35" s="484"/>
      <c r="AM35" s="485"/>
      <c r="AN35" s="54"/>
      <c r="AO35" s="455"/>
      <c r="AP35" s="456"/>
      <c r="AQ35" s="456"/>
      <c r="AR35" s="456"/>
      <c r="AS35" s="456"/>
      <c r="AT35" s="457"/>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row>
    <row r="36" spans="1:80" x14ac:dyDescent="0.25">
      <c r="A36" s="54"/>
      <c r="B36" s="423"/>
      <c r="C36" s="423"/>
      <c r="D36" s="424"/>
      <c r="E36" s="464"/>
      <c r="F36" s="465"/>
      <c r="G36" s="465"/>
      <c r="H36" s="465"/>
      <c r="I36" s="478"/>
      <c r="J36" s="503" t="str">
        <f>IF(AND('MAPA DE RIESGO'!$I$82="Baja",'MAPA DE RIESGO'!$M$82="Leve"),CONCATENATE("R",'MAPA DE RIESGO'!$B$82),"")</f>
        <v/>
      </c>
      <c r="K36" s="501"/>
      <c r="L36" s="501" t="str">
        <f>IF(AND('MAPA DE RIESGO'!$I$88="Baja",'MAPA DE RIESGO'!$M$88="Leve"),CONCATENATE("R",'MAPA DE RIESGO'!$B$88),"")</f>
        <v/>
      </c>
      <c r="M36" s="501"/>
      <c r="N36" s="501" t="str">
        <f>IF(AND('MAPA DE RIESGO'!$I$94="Baja",'MAPA DE RIESGO'!$M$94="Leve"),CONCATENATE("R",'MAPA DE RIESGO'!$B$94),"")</f>
        <v/>
      </c>
      <c r="O36" s="502"/>
      <c r="P36" s="493" t="str">
        <f>IF(AND('MAPA DE RIESGO'!$I$82="Baja",'MAPA DE RIESGO'!$M$82="Menor"),CONCATENATE("R",'MAPA DE RIESGO'!$B$82),"")</f>
        <v/>
      </c>
      <c r="Q36" s="493"/>
      <c r="R36" s="493" t="str">
        <f>IF(AND('MAPA DE RIESGO'!$I$88="Baja",'MAPA DE RIESGO'!$M$88="Menor"),CONCATENATE("R",'MAPA DE RIESGO'!$B$88),"")</f>
        <v/>
      </c>
      <c r="S36" s="493"/>
      <c r="T36" s="493" t="str">
        <f>IF(AND('MAPA DE RIESGO'!$I$94="Baja",'MAPA DE RIESGO'!$M$94="Menor"),CONCATENATE("R",'MAPA DE RIESGO'!$B$94),"")</f>
        <v/>
      </c>
      <c r="U36" s="494"/>
      <c r="V36" s="492" t="str">
        <f>IF(AND('MAPA DE RIESGO'!$I$82="Baja",'MAPA DE RIESGO'!$M$82="Moderado"),CONCATENATE("R",'MAPA DE RIESGO'!$B$82),"")</f>
        <v/>
      </c>
      <c r="W36" s="493"/>
      <c r="X36" s="493" t="str">
        <f>IF(AND('MAPA DE RIESGO'!$I$88="Baja",'MAPA DE RIESGO'!$M$88="Moderado"),CONCATENATE("R",'MAPA DE RIESGO'!$B$88),"")</f>
        <v/>
      </c>
      <c r="Y36" s="493"/>
      <c r="Z36" s="493" t="str">
        <f>IF(AND('MAPA DE RIESGO'!$I$94="Baja",'MAPA DE RIESGO'!$M$94="Moderado"),CONCATENATE("R",'MAPA DE RIESGO'!$B$94),"")</f>
        <v/>
      </c>
      <c r="AA36" s="494"/>
      <c r="AB36" s="475" t="str">
        <f>IF(AND('MAPA DE RIESGO'!$I$82="Baja",'MAPA DE RIESGO'!$M$82="Mayor"),CONCATENATE("R",'MAPA DE RIESGO'!$B$82),"")</f>
        <v/>
      </c>
      <c r="AC36" s="472"/>
      <c r="AD36" s="470" t="str">
        <f>IF(AND('MAPA DE RIESGO'!$I$88="Baja",'MAPA DE RIESGO'!$M$88="Mayor"),CONCATENATE("R",'MAPA DE RIESGO'!$B$88),"")</f>
        <v/>
      </c>
      <c r="AE36" s="470"/>
      <c r="AF36" s="470" t="str">
        <f>IF(AND('MAPA DE RIESGO'!$I$94="Baja",'MAPA DE RIESGO'!$M$94="Mayor"),CONCATENATE("R",'MAPA DE RIESGO'!$B$94),"")</f>
        <v/>
      </c>
      <c r="AG36" s="471"/>
      <c r="AH36" s="483" t="str">
        <f>IF(AND('MAPA DE RIESGO'!$I$82="Baja",'MAPA DE RIESGO'!$M$82="Catastrófico"),CONCATENATE("R",'MAPA DE RIESGO'!$B$82),"")</f>
        <v/>
      </c>
      <c r="AI36" s="484"/>
      <c r="AJ36" s="484" t="str">
        <f>IF(AND('MAPA DE RIESGO'!$I$88="Baja",'MAPA DE RIESGO'!$M$88="Catastrófico"),CONCATENATE("R",'MAPA DE RIESGO'!$B$88),"")</f>
        <v/>
      </c>
      <c r="AK36" s="484"/>
      <c r="AL36" s="484" t="str">
        <f>IF(AND('MAPA DE RIESGO'!$I$94="Baja",'MAPA DE RIESGO'!$M$94="Catastrófico"),CONCATENATE("R",'MAPA DE RIESGO'!$B$94),"")</f>
        <v/>
      </c>
      <c r="AM36" s="485"/>
      <c r="AN36" s="54"/>
      <c r="AO36" s="455"/>
      <c r="AP36" s="456"/>
      <c r="AQ36" s="456"/>
      <c r="AR36" s="456"/>
      <c r="AS36" s="456"/>
      <c r="AT36" s="457"/>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row>
    <row r="37" spans="1:80" ht="15.75" thickBot="1" x14ac:dyDescent="0.3">
      <c r="A37" s="54"/>
      <c r="B37" s="423"/>
      <c r="C37" s="423"/>
      <c r="D37" s="424"/>
      <c r="E37" s="467"/>
      <c r="F37" s="468"/>
      <c r="G37" s="468"/>
      <c r="H37" s="468"/>
      <c r="I37" s="468"/>
      <c r="J37" s="504"/>
      <c r="K37" s="505"/>
      <c r="L37" s="505"/>
      <c r="M37" s="505"/>
      <c r="N37" s="505"/>
      <c r="O37" s="506"/>
      <c r="P37" s="496"/>
      <c r="Q37" s="496"/>
      <c r="R37" s="496"/>
      <c r="S37" s="496"/>
      <c r="T37" s="496"/>
      <c r="U37" s="497"/>
      <c r="V37" s="495"/>
      <c r="W37" s="496"/>
      <c r="X37" s="496"/>
      <c r="Y37" s="496"/>
      <c r="Z37" s="496"/>
      <c r="AA37" s="497"/>
      <c r="AB37" s="480"/>
      <c r="AC37" s="481"/>
      <c r="AD37" s="481"/>
      <c r="AE37" s="481"/>
      <c r="AF37" s="481"/>
      <c r="AG37" s="482"/>
      <c r="AH37" s="486"/>
      <c r="AI37" s="487"/>
      <c r="AJ37" s="487"/>
      <c r="AK37" s="487"/>
      <c r="AL37" s="487"/>
      <c r="AM37" s="488"/>
      <c r="AN37" s="54"/>
      <c r="AO37" s="458"/>
      <c r="AP37" s="459"/>
      <c r="AQ37" s="459"/>
      <c r="AR37" s="459"/>
      <c r="AS37" s="459"/>
      <c r="AT37" s="460"/>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row>
    <row r="38" spans="1:80" x14ac:dyDescent="0.25">
      <c r="A38" s="54"/>
      <c r="B38" s="423"/>
      <c r="C38" s="423"/>
      <c r="D38" s="424"/>
      <c r="E38" s="461" t="s">
        <v>291</v>
      </c>
      <c r="F38" s="462"/>
      <c r="G38" s="462"/>
      <c r="H38" s="462"/>
      <c r="I38" s="463"/>
      <c r="J38" s="507" t="str">
        <f>IF(AND('MAPA DE RIESGO'!$I$16="Muy Baja",'MAPA DE RIESGO'!$M$16="Leve"),CONCATENATE("R",'MAPA DE RIESGO'!$B$16),"")</f>
        <v/>
      </c>
      <c r="K38" s="508"/>
      <c r="L38" s="508" t="str">
        <f>IF(AND('MAPA DE RIESGO'!$I$22="Muy Baja",'MAPA DE RIESGO'!$M$22="Leve"),CONCATENATE("R",'MAPA DE RIESGO'!$B$22),"")</f>
        <v/>
      </c>
      <c r="M38" s="508"/>
      <c r="N38" s="508" t="str">
        <f>IF(AND('MAPA DE RIESGO'!$I$28="Muy Baja",'MAPA DE RIESGO'!$M$28="Leve"),CONCATENATE("R",'MAPA DE RIESGO'!$B$28),"")</f>
        <v/>
      </c>
      <c r="O38" s="509"/>
      <c r="P38" s="507" t="str">
        <f>IF(AND('MAPA DE RIESGO'!$I$16="Muy Baja",'MAPA DE RIESGO'!$M$16="Menor"),CONCATENATE("R",'MAPA DE RIESGO'!$B$16),"")</f>
        <v/>
      </c>
      <c r="Q38" s="508"/>
      <c r="R38" s="508" t="str">
        <f>IF(AND('MAPA DE RIESGO'!$I$22="Muy Baja",'MAPA DE RIESGO'!$M$22="Menor"),CONCATENATE("R",'MAPA DE RIESGO'!$B$22),"")</f>
        <v/>
      </c>
      <c r="S38" s="508"/>
      <c r="T38" s="508" t="str">
        <f>IF(AND('MAPA DE RIESGO'!$I$28="Muy Baja",'MAPA DE RIESGO'!$M$28="Menor"),CONCATENATE("R",'MAPA DE RIESGO'!$B$28),"")</f>
        <v/>
      </c>
      <c r="U38" s="509"/>
      <c r="V38" s="498" t="str">
        <f>IF(AND('MAPA DE RIESGO'!$I$16="Muy Baja",'MAPA DE RIESGO'!$M$16="Moderado"),CONCATENATE("R",'MAPA DE RIESGO'!$B$16),"")</f>
        <v/>
      </c>
      <c r="W38" s="499"/>
      <c r="X38" s="499" t="str">
        <f>IF(AND('MAPA DE RIESGO'!$I$22="Muy Baja",'MAPA DE RIESGO'!$M$22="Moderado"),CONCATENATE("R",'MAPA DE RIESGO'!$B$22),"")</f>
        <v/>
      </c>
      <c r="Y38" s="499"/>
      <c r="Z38" s="499" t="str">
        <f>IF(AND('MAPA DE RIESGO'!$I$28="Muy Baja",'MAPA DE RIESGO'!$M$28="Moderado"),CONCATENATE("R",'MAPA DE RIESGO'!$B$28),"")</f>
        <v/>
      </c>
      <c r="AA38" s="500"/>
      <c r="AB38" s="473" t="str">
        <f>IF(AND('MAPA DE RIESGO'!$I$16="Muy Baja",'MAPA DE RIESGO'!$M$16="Mayor"),CONCATENATE("R",'MAPA DE RIESGO'!$B$16),"")</f>
        <v/>
      </c>
      <c r="AC38" s="474"/>
      <c r="AD38" s="474" t="str">
        <f>IF(AND('MAPA DE RIESGO'!$I$22="Muy Baja",'MAPA DE RIESGO'!$M$22="Mayor"),CONCATENATE("R",'MAPA DE RIESGO'!$B$22),"")</f>
        <v/>
      </c>
      <c r="AE38" s="474"/>
      <c r="AF38" s="474" t="str">
        <f>IF(AND('MAPA DE RIESGO'!$I$28="Muy Baja",'MAPA DE RIESGO'!$M$28="Mayor"),CONCATENATE("R",'MAPA DE RIESGO'!$B$28),"")</f>
        <v/>
      </c>
      <c r="AG38" s="476"/>
      <c r="AH38" s="489" t="str">
        <f>IF(AND('MAPA DE RIESGO'!$I$16="Muy Baja",'MAPA DE RIESGO'!$M$16="Catastrófico"),CONCATENATE("R",'MAPA DE RIESGO'!$B$16),"")</f>
        <v/>
      </c>
      <c r="AI38" s="490"/>
      <c r="AJ38" s="490" t="str">
        <f>IF(AND('MAPA DE RIESGO'!$I$22="Muy Baja",'MAPA DE RIESGO'!$M$22="Catastrófico"),CONCATENATE("R",'MAPA DE RIESGO'!$B$22),"")</f>
        <v/>
      </c>
      <c r="AK38" s="490"/>
      <c r="AL38" s="490" t="str">
        <f>IF(AND('MAPA DE RIESGO'!$I$28="Muy Baja",'MAPA DE RIESGO'!$M$28="Catastrófico"),CONCATENATE("R",'MAPA DE RIESGO'!$B$28),"")</f>
        <v/>
      </c>
      <c r="AM38" s="491"/>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row>
    <row r="39" spans="1:80" x14ac:dyDescent="0.25">
      <c r="A39" s="54"/>
      <c r="B39" s="423"/>
      <c r="C39" s="423"/>
      <c r="D39" s="424"/>
      <c r="E39" s="464"/>
      <c r="F39" s="465"/>
      <c r="G39" s="465"/>
      <c r="H39" s="465"/>
      <c r="I39" s="466"/>
      <c r="J39" s="503"/>
      <c r="K39" s="501"/>
      <c r="L39" s="501"/>
      <c r="M39" s="501"/>
      <c r="N39" s="501"/>
      <c r="O39" s="502"/>
      <c r="P39" s="503"/>
      <c r="Q39" s="501"/>
      <c r="R39" s="501"/>
      <c r="S39" s="501"/>
      <c r="T39" s="501"/>
      <c r="U39" s="502"/>
      <c r="V39" s="492"/>
      <c r="W39" s="493"/>
      <c r="X39" s="493"/>
      <c r="Y39" s="493"/>
      <c r="Z39" s="493"/>
      <c r="AA39" s="494"/>
      <c r="AB39" s="475"/>
      <c r="AC39" s="472"/>
      <c r="AD39" s="472"/>
      <c r="AE39" s="472"/>
      <c r="AF39" s="472"/>
      <c r="AG39" s="471"/>
      <c r="AH39" s="483"/>
      <c r="AI39" s="484"/>
      <c r="AJ39" s="484"/>
      <c r="AK39" s="484"/>
      <c r="AL39" s="484"/>
      <c r="AM39" s="485"/>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row>
    <row r="40" spans="1:80" x14ac:dyDescent="0.25">
      <c r="A40" s="54"/>
      <c r="B40" s="423"/>
      <c r="C40" s="423"/>
      <c r="D40" s="424"/>
      <c r="E40" s="464"/>
      <c r="F40" s="465"/>
      <c r="G40" s="465"/>
      <c r="H40" s="465"/>
      <c r="I40" s="466"/>
      <c r="J40" s="503" t="str">
        <f>IF(AND('MAPA DE RIESGO'!$I$34="Muy Baja",'MAPA DE RIESGO'!$M$34="Leve"),CONCATENATE("R",'MAPA DE RIESGO'!$B$34),"")</f>
        <v/>
      </c>
      <c r="K40" s="501"/>
      <c r="L40" s="501" t="str">
        <f>IF(AND('MAPA DE RIESGO'!$I$40="Muy Baja",'MAPA DE RIESGO'!$M$40="Leve"),CONCATENATE("R",'MAPA DE RIESGO'!$B$40),"")</f>
        <v/>
      </c>
      <c r="M40" s="501"/>
      <c r="N40" s="501" t="str">
        <f>IF(AND('MAPA DE RIESGO'!$I$46="Muy Baja",'MAPA DE RIESGO'!$M$46="Leve"),CONCATENATE("R",'MAPA DE RIESGO'!$B$46),"")</f>
        <v/>
      </c>
      <c r="O40" s="502"/>
      <c r="P40" s="503" t="str">
        <f>IF(AND('MAPA DE RIESGO'!$I$34="Muy Baja",'MAPA DE RIESGO'!$M$34="Menor"),CONCATENATE("R",'MAPA DE RIESGO'!$B$34),"")</f>
        <v/>
      </c>
      <c r="Q40" s="501"/>
      <c r="R40" s="501" t="str">
        <f>IF(AND('MAPA DE RIESGO'!$I$40="Muy Baja",'MAPA DE RIESGO'!$M$40="Menor"),CONCATENATE("R",'MAPA DE RIESGO'!$B$40),"")</f>
        <v/>
      </c>
      <c r="S40" s="501"/>
      <c r="T40" s="501" t="str">
        <f>IF(AND('MAPA DE RIESGO'!$I$46="Muy Baja",'MAPA DE RIESGO'!$M$46="Menor"),CONCATENATE("R",'MAPA DE RIESGO'!$B$46),"")</f>
        <v/>
      </c>
      <c r="U40" s="502"/>
      <c r="V40" s="492" t="str">
        <f>IF(AND('MAPA DE RIESGO'!$I$34="Muy Baja",'MAPA DE RIESGO'!$M$34="Moderado"),CONCATENATE("R",'MAPA DE RIESGO'!$B$34),"")</f>
        <v/>
      </c>
      <c r="W40" s="493"/>
      <c r="X40" s="493" t="str">
        <f>IF(AND('MAPA DE RIESGO'!$I$40="Muy Baja",'MAPA DE RIESGO'!$M$40="Moderado"),CONCATENATE("R",'MAPA DE RIESGO'!$B$40),"")</f>
        <v/>
      </c>
      <c r="Y40" s="493"/>
      <c r="Z40" s="493" t="str">
        <f>IF(AND('MAPA DE RIESGO'!$I$46="Muy Baja",'MAPA DE RIESGO'!$M$46="Moderado"),CONCATENATE("R",'MAPA DE RIESGO'!$B$46),"")</f>
        <v/>
      </c>
      <c r="AA40" s="494"/>
      <c r="AB40" s="475" t="str">
        <f>IF(AND('MAPA DE RIESGO'!$I$34="Muy Baja",'MAPA DE RIESGO'!$M$34="Mayor"),CONCATENATE("R",'MAPA DE RIESGO'!$B$34),"")</f>
        <v/>
      </c>
      <c r="AC40" s="472"/>
      <c r="AD40" s="470" t="str">
        <f>IF(AND('MAPA DE RIESGO'!$I$40="Muy Baja",'MAPA DE RIESGO'!$M$40="Mayor"),CONCATENATE("R",'MAPA DE RIESGO'!$B$40),"")</f>
        <v/>
      </c>
      <c r="AE40" s="470"/>
      <c r="AF40" s="470" t="str">
        <f>IF(AND('MAPA DE RIESGO'!$I$46="Muy Baja",'MAPA DE RIESGO'!$M$46="Mayor"),CONCATENATE("R",'MAPA DE RIESGO'!$B$46),"")</f>
        <v/>
      </c>
      <c r="AG40" s="471"/>
      <c r="AH40" s="483" t="str">
        <f>IF(AND('MAPA DE RIESGO'!$I$34="Muy Baja",'MAPA DE RIESGO'!$M$34="Catastrófico"),CONCATENATE("R",'MAPA DE RIESGO'!$B$34),"")</f>
        <v/>
      </c>
      <c r="AI40" s="484"/>
      <c r="AJ40" s="484" t="str">
        <f>IF(AND('MAPA DE RIESGO'!$I$40="Muy Baja",'MAPA DE RIESGO'!$M$40="Catastrófico"),CONCATENATE("R",'MAPA DE RIESGO'!$B$40),"")</f>
        <v/>
      </c>
      <c r="AK40" s="484"/>
      <c r="AL40" s="484" t="str">
        <f>IF(AND('MAPA DE RIESGO'!$I$46="Muy Baja",'MAPA DE RIESGO'!$M$46="Catastrófico"),CONCATENATE("R",'MAPA DE RIESGO'!$B$46),"")</f>
        <v/>
      </c>
      <c r="AM40" s="485"/>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row>
    <row r="41" spans="1:80" x14ac:dyDescent="0.25">
      <c r="A41" s="54"/>
      <c r="B41" s="423"/>
      <c r="C41" s="423"/>
      <c r="D41" s="424"/>
      <c r="E41" s="464"/>
      <c r="F41" s="465"/>
      <c r="G41" s="465"/>
      <c r="H41" s="465"/>
      <c r="I41" s="466"/>
      <c r="J41" s="503"/>
      <c r="K41" s="501"/>
      <c r="L41" s="501"/>
      <c r="M41" s="501"/>
      <c r="N41" s="501"/>
      <c r="O41" s="502"/>
      <c r="P41" s="503"/>
      <c r="Q41" s="501"/>
      <c r="R41" s="501"/>
      <c r="S41" s="501"/>
      <c r="T41" s="501"/>
      <c r="U41" s="502"/>
      <c r="V41" s="492"/>
      <c r="W41" s="493"/>
      <c r="X41" s="493"/>
      <c r="Y41" s="493"/>
      <c r="Z41" s="493"/>
      <c r="AA41" s="494"/>
      <c r="AB41" s="475"/>
      <c r="AC41" s="472"/>
      <c r="AD41" s="470"/>
      <c r="AE41" s="470"/>
      <c r="AF41" s="470"/>
      <c r="AG41" s="471"/>
      <c r="AH41" s="483"/>
      <c r="AI41" s="484"/>
      <c r="AJ41" s="484"/>
      <c r="AK41" s="484"/>
      <c r="AL41" s="484"/>
      <c r="AM41" s="485"/>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row>
    <row r="42" spans="1:80" x14ac:dyDescent="0.25">
      <c r="A42" s="54"/>
      <c r="B42" s="423"/>
      <c r="C42" s="423"/>
      <c r="D42" s="424"/>
      <c r="E42" s="464"/>
      <c r="F42" s="465"/>
      <c r="G42" s="465"/>
      <c r="H42" s="465"/>
      <c r="I42" s="466"/>
      <c r="J42" s="503" t="str">
        <f>IF(AND('MAPA DE RIESGO'!$I$52="Muy Baja",'MAPA DE RIESGO'!$M$52="Leve"),CONCATENATE("R",'MAPA DE RIESGO'!$B$52),"")</f>
        <v/>
      </c>
      <c r="K42" s="501"/>
      <c r="L42" s="501" t="str">
        <f>IF(AND('MAPA DE RIESGO'!$I$58="Muy Baja",'MAPA DE RIESGO'!$M$58="Leve"),CONCATENATE("R",'MAPA DE RIESGO'!$B$58),"")</f>
        <v/>
      </c>
      <c r="M42" s="501"/>
      <c r="N42" s="501" t="str">
        <f>IF(AND('MAPA DE RIESGO'!$I$76="Muy Baja",'MAPA DE RIESGO'!$M$76="Leve"),CONCATENATE("R",'MAPA DE RIESGO'!$B$76),"")</f>
        <v/>
      </c>
      <c r="O42" s="502"/>
      <c r="P42" s="503" t="str">
        <f>IF(AND('MAPA DE RIESGO'!$I$52="Muy Baja",'MAPA DE RIESGO'!$M$52="Menor"),CONCATENATE("R",'MAPA DE RIESGO'!$B$52),"")</f>
        <v/>
      </c>
      <c r="Q42" s="501"/>
      <c r="R42" s="501" t="str">
        <f>IF(AND('MAPA DE RIESGO'!$I$58="Muy Baja",'MAPA DE RIESGO'!$M$58="Menor"),CONCATENATE("R",'MAPA DE RIESGO'!$B$58),"")</f>
        <v/>
      </c>
      <c r="S42" s="501"/>
      <c r="T42" s="501" t="str">
        <f>IF(AND('MAPA DE RIESGO'!$I$76="Muy Baja",'MAPA DE RIESGO'!$M$76="Menor"),CONCATENATE("R",'MAPA DE RIESGO'!$B$76),"")</f>
        <v/>
      </c>
      <c r="U42" s="502"/>
      <c r="V42" s="492" t="str">
        <f>IF(AND('MAPA DE RIESGO'!$I$52="Muy Baja",'MAPA DE RIESGO'!$M$52="Moderado"),CONCATENATE("R",'MAPA DE RIESGO'!$B$52),"")</f>
        <v/>
      </c>
      <c r="W42" s="493"/>
      <c r="X42" s="493" t="str">
        <f>IF(AND('MAPA DE RIESGO'!$I$58="Muy Baja",'MAPA DE RIESGO'!$M$58="Moderado"),CONCATENATE("R",'MAPA DE RIESGO'!$B$58),"")</f>
        <v/>
      </c>
      <c r="Y42" s="493"/>
      <c r="Z42" s="493" t="str">
        <f>IF(AND('MAPA DE RIESGO'!$I$76="Muy Baja",'MAPA DE RIESGO'!$M$76="Moderado"),CONCATENATE("R",'MAPA DE RIESGO'!$B$76),"")</f>
        <v/>
      </c>
      <c r="AA42" s="494"/>
      <c r="AB42" s="475" t="str">
        <f>IF(AND('MAPA DE RIESGO'!$I$52="Muy Baja",'MAPA DE RIESGO'!$M$52="Mayor"),CONCATENATE("R",'MAPA DE RIESGO'!$B$52),"")</f>
        <v>R7</v>
      </c>
      <c r="AC42" s="472"/>
      <c r="AD42" s="470" t="str">
        <f>IF(AND('MAPA DE RIESGO'!$I$58="Muy Baja",'MAPA DE RIESGO'!$M$58="Mayor"),CONCATENATE("R",'MAPA DE RIESGO'!$B$58),"")</f>
        <v/>
      </c>
      <c r="AE42" s="470"/>
      <c r="AF42" s="470" t="str">
        <f>IF(AND('MAPA DE RIESGO'!$I$76="Muy Baja",'MAPA DE RIESGO'!$M$76="Mayor"),CONCATENATE("R",'MAPA DE RIESGO'!$B$76),"")</f>
        <v/>
      </c>
      <c r="AG42" s="471"/>
      <c r="AH42" s="483" t="str">
        <f>IF(AND('MAPA DE RIESGO'!$I$52="Muy Baja",'MAPA DE RIESGO'!$M$52="Catastrófico"),CONCATENATE("R",'MAPA DE RIESGO'!$B$52),"")</f>
        <v/>
      </c>
      <c r="AI42" s="484"/>
      <c r="AJ42" s="484" t="str">
        <f>IF(AND('MAPA DE RIESGO'!$I$58="Muy Baja",'MAPA DE RIESGO'!$M$58="Catastrófico"),CONCATENATE("R",'MAPA DE RIESGO'!$B$58),"")</f>
        <v/>
      </c>
      <c r="AK42" s="484"/>
      <c r="AL42" s="484" t="str">
        <f>IF(AND('MAPA DE RIESGO'!$I$76="Muy Baja",'MAPA DE RIESGO'!$M$76="Catastrófico"),CONCATENATE("R",'MAPA DE RIESGO'!$B$76),"")</f>
        <v/>
      </c>
      <c r="AM42" s="485"/>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row>
    <row r="43" spans="1:80" x14ac:dyDescent="0.25">
      <c r="A43" s="54"/>
      <c r="B43" s="423"/>
      <c r="C43" s="423"/>
      <c r="D43" s="424"/>
      <c r="E43" s="464"/>
      <c r="F43" s="465"/>
      <c r="G43" s="465"/>
      <c r="H43" s="465"/>
      <c r="I43" s="466"/>
      <c r="J43" s="503"/>
      <c r="K43" s="501"/>
      <c r="L43" s="501"/>
      <c r="M43" s="501"/>
      <c r="N43" s="501"/>
      <c r="O43" s="502"/>
      <c r="P43" s="503"/>
      <c r="Q43" s="501"/>
      <c r="R43" s="501"/>
      <c r="S43" s="501"/>
      <c r="T43" s="501"/>
      <c r="U43" s="502"/>
      <c r="V43" s="492"/>
      <c r="W43" s="493"/>
      <c r="X43" s="493"/>
      <c r="Y43" s="493"/>
      <c r="Z43" s="493"/>
      <c r="AA43" s="494"/>
      <c r="AB43" s="475"/>
      <c r="AC43" s="472"/>
      <c r="AD43" s="470"/>
      <c r="AE43" s="470"/>
      <c r="AF43" s="470"/>
      <c r="AG43" s="471"/>
      <c r="AH43" s="483"/>
      <c r="AI43" s="484"/>
      <c r="AJ43" s="484"/>
      <c r="AK43" s="484"/>
      <c r="AL43" s="484"/>
      <c r="AM43" s="485"/>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row>
    <row r="44" spans="1:80" x14ac:dyDescent="0.25">
      <c r="A44" s="54"/>
      <c r="B44" s="423"/>
      <c r="C44" s="423"/>
      <c r="D44" s="424"/>
      <c r="E44" s="464"/>
      <c r="F44" s="465"/>
      <c r="G44" s="465"/>
      <c r="H44" s="465"/>
      <c r="I44" s="466"/>
      <c r="J44" s="503" t="str">
        <f>IF(AND('MAPA DE RIESGO'!$I$82="Muy Baja",'MAPA DE RIESGO'!$M$82="Leve"),CONCATENATE("R",'MAPA DE RIESGO'!$B$82),"")</f>
        <v/>
      </c>
      <c r="K44" s="501"/>
      <c r="L44" s="501" t="str">
        <f>IF(AND('MAPA DE RIESGO'!$I$88="Muy Baja",'MAPA DE RIESGO'!$M$88="Leve"),CONCATENATE("R",'MAPA DE RIESGO'!$B$88),"")</f>
        <v/>
      </c>
      <c r="M44" s="501"/>
      <c r="N44" s="501" t="str">
        <f>IF(AND('MAPA DE RIESGO'!$I$94="Muy Baja",'MAPA DE RIESGO'!$M$94="Leve"),CONCATENATE("R",'MAPA DE RIESGO'!$B$94),"")</f>
        <v/>
      </c>
      <c r="O44" s="502"/>
      <c r="P44" s="503" t="str">
        <f>IF(AND('MAPA DE RIESGO'!$I$82="Muy Baja",'MAPA DE RIESGO'!$M$82="Menor"),CONCATENATE("R",'MAPA DE RIESGO'!$B$82),"")</f>
        <v/>
      </c>
      <c r="Q44" s="501"/>
      <c r="R44" s="501" t="str">
        <f>IF(AND('MAPA DE RIESGO'!$I$88="Muy Baja",'MAPA DE RIESGO'!$M$88="Menor"),CONCATENATE("R",'MAPA DE RIESGO'!$B$88),"")</f>
        <v/>
      </c>
      <c r="S44" s="501"/>
      <c r="T44" s="501" t="str">
        <f>IF(AND('MAPA DE RIESGO'!$I$94="Muy Baja",'MAPA DE RIESGO'!$M$94="Menor"),CONCATENATE("R",'MAPA DE RIESGO'!$B$94),"")</f>
        <v/>
      </c>
      <c r="U44" s="502"/>
      <c r="V44" s="492" t="str">
        <f>IF(AND('MAPA DE RIESGO'!$I$82="Muy Baja",'MAPA DE RIESGO'!$M$82="Moderado"),CONCATENATE("R",'MAPA DE RIESGO'!$B$82),"")</f>
        <v/>
      </c>
      <c r="W44" s="493"/>
      <c r="X44" s="493" t="str">
        <f>IF(AND('MAPA DE RIESGO'!$I$88="Muy Baja",'MAPA DE RIESGO'!$M$88="Moderado"),CONCATENATE("R",'MAPA DE RIESGO'!$B$88),"")</f>
        <v/>
      </c>
      <c r="Y44" s="493"/>
      <c r="Z44" s="493" t="str">
        <f>IF(AND('MAPA DE RIESGO'!$I$94="Muy Baja",'MAPA DE RIESGO'!$M$94="Moderado"),CONCATENATE("R",'MAPA DE RIESGO'!$B$94),"")</f>
        <v/>
      </c>
      <c r="AA44" s="494"/>
      <c r="AB44" s="475" t="str">
        <f>IF(AND('MAPA DE RIESGO'!$I$82="Muy Baja",'MAPA DE RIESGO'!$M$82="Mayor"),CONCATENATE("R",'MAPA DE RIESGO'!$B$82),"")</f>
        <v/>
      </c>
      <c r="AC44" s="472"/>
      <c r="AD44" s="470" t="str">
        <f>IF(AND('MAPA DE RIESGO'!$I$88="Muy Baja",'MAPA DE RIESGO'!$M$88="Mayor"),CONCATENATE("R",'MAPA DE RIESGO'!$B$88),"")</f>
        <v/>
      </c>
      <c r="AE44" s="470"/>
      <c r="AF44" s="470" t="str">
        <f>IF(AND('MAPA DE RIESGO'!$I$94="Muy Baja",'MAPA DE RIESGO'!$M$94="Mayor"),CONCATENATE("R",'MAPA DE RIESGO'!$B$94),"")</f>
        <v/>
      </c>
      <c r="AG44" s="471"/>
      <c r="AH44" s="483" t="str">
        <f>IF(AND('MAPA DE RIESGO'!$I$82="Muy Baja",'MAPA DE RIESGO'!$M$82="Catastrófico"),CONCATENATE("R",'MAPA DE RIESGO'!$B$82),"")</f>
        <v/>
      </c>
      <c r="AI44" s="484"/>
      <c r="AJ44" s="484" t="str">
        <f>IF(AND('MAPA DE RIESGO'!$I$88="Muy Baja",'MAPA DE RIESGO'!$M$88="Catastrófico"),CONCATENATE("R",'MAPA DE RIESGO'!$B$88),"")</f>
        <v/>
      </c>
      <c r="AK44" s="484"/>
      <c r="AL44" s="484" t="str">
        <f>IF(AND('MAPA DE RIESGO'!$I$94="Muy Baja",'MAPA DE RIESGO'!$M$94="Catastrófico"),CONCATENATE("R",'MAPA DE RIESGO'!$B$94),"")</f>
        <v/>
      </c>
      <c r="AM44" s="485"/>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row>
    <row r="45" spans="1:80" ht="15.75" thickBot="1" x14ac:dyDescent="0.3">
      <c r="A45" s="54"/>
      <c r="B45" s="423"/>
      <c r="C45" s="423"/>
      <c r="D45" s="424"/>
      <c r="E45" s="467"/>
      <c r="F45" s="468"/>
      <c r="G45" s="468"/>
      <c r="H45" s="468"/>
      <c r="I45" s="469"/>
      <c r="J45" s="504"/>
      <c r="K45" s="505"/>
      <c r="L45" s="505"/>
      <c r="M45" s="505"/>
      <c r="N45" s="505"/>
      <c r="O45" s="506"/>
      <c r="P45" s="504"/>
      <c r="Q45" s="505"/>
      <c r="R45" s="505"/>
      <c r="S45" s="505"/>
      <c r="T45" s="505"/>
      <c r="U45" s="506"/>
      <c r="V45" s="495"/>
      <c r="W45" s="496"/>
      <c r="X45" s="496"/>
      <c r="Y45" s="496"/>
      <c r="Z45" s="496"/>
      <c r="AA45" s="497"/>
      <c r="AB45" s="480"/>
      <c r="AC45" s="481"/>
      <c r="AD45" s="481"/>
      <c r="AE45" s="481"/>
      <c r="AF45" s="481"/>
      <c r="AG45" s="482"/>
      <c r="AH45" s="486"/>
      <c r="AI45" s="487"/>
      <c r="AJ45" s="487"/>
      <c r="AK45" s="487"/>
      <c r="AL45" s="487"/>
      <c r="AM45" s="488"/>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row>
    <row r="46" spans="1:80" x14ac:dyDescent="0.25">
      <c r="A46" s="54"/>
      <c r="B46" s="54"/>
      <c r="C46" s="54"/>
      <c r="D46" s="54"/>
      <c r="E46" s="54"/>
      <c r="F46" s="54"/>
      <c r="G46" s="54"/>
      <c r="H46" s="54"/>
      <c r="I46" s="54"/>
      <c r="J46" s="461" t="s">
        <v>292</v>
      </c>
      <c r="K46" s="462"/>
      <c r="L46" s="462"/>
      <c r="M46" s="462"/>
      <c r="N46" s="462"/>
      <c r="O46" s="463"/>
      <c r="P46" s="461" t="s">
        <v>293</v>
      </c>
      <c r="Q46" s="462"/>
      <c r="R46" s="462"/>
      <c r="S46" s="462"/>
      <c r="T46" s="462"/>
      <c r="U46" s="463"/>
      <c r="V46" s="461" t="s">
        <v>294</v>
      </c>
      <c r="W46" s="462"/>
      <c r="X46" s="462"/>
      <c r="Y46" s="462"/>
      <c r="Z46" s="462"/>
      <c r="AA46" s="463"/>
      <c r="AB46" s="461" t="s">
        <v>295</v>
      </c>
      <c r="AC46" s="479"/>
      <c r="AD46" s="462"/>
      <c r="AE46" s="462"/>
      <c r="AF46" s="462"/>
      <c r="AG46" s="463"/>
      <c r="AH46" s="461" t="s">
        <v>296</v>
      </c>
      <c r="AI46" s="462"/>
      <c r="AJ46" s="462"/>
      <c r="AK46" s="462"/>
      <c r="AL46" s="462"/>
      <c r="AM46" s="463"/>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x14ac:dyDescent="0.25">
      <c r="A47" s="54"/>
      <c r="B47" s="54"/>
      <c r="C47" s="54"/>
      <c r="D47" s="54"/>
      <c r="E47" s="54"/>
      <c r="F47" s="54"/>
      <c r="G47" s="54"/>
      <c r="H47" s="54"/>
      <c r="I47" s="54"/>
      <c r="J47" s="464"/>
      <c r="K47" s="465"/>
      <c r="L47" s="465"/>
      <c r="M47" s="465"/>
      <c r="N47" s="465"/>
      <c r="O47" s="466"/>
      <c r="P47" s="464"/>
      <c r="Q47" s="465"/>
      <c r="R47" s="465"/>
      <c r="S47" s="465"/>
      <c r="T47" s="465"/>
      <c r="U47" s="466"/>
      <c r="V47" s="464"/>
      <c r="W47" s="465"/>
      <c r="X47" s="465"/>
      <c r="Y47" s="465"/>
      <c r="Z47" s="465"/>
      <c r="AA47" s="466"/>
      <c r="AB47" s="464"/>
      <c r="AC47" s="465"/>
      <c r="AD47" s="465"/>
      <c r="AE47" s="465"/>
      <c r="AF47" s="465"/>
      <c r="AG47" s="466"/>
      <c r="AH47" s="464"/>
      <c r="AI47" s="465"/>
      <c r="AJ47" s="465"/>
      <c r="AK47" s="465"/>
      <c r="AL47" s="465"/>
      <c r="AM47" s="466"/>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x14ac:dyDescent="0.25">
      <c r="A48" s="54"/>
      <c r="B48" s="54"/>
      <c r="C48" s="54"/>
      <c r="D48" s="54"/>
      <c r="E48" s="54"/>
      <c r="F48" s="54"/>
      <c r="G48" s="54"/>
      <c r="H48" s="54"/>
      <c r="I48" s="54"/>
      <c r="J48" s="464"/>
      <c r="K48" s="465"/>
      <c r="L48" s="465"/>
      <c r="M48" s="465"/>
      <c r="N48" s="465"/>
      <c r="O48" s="466"/>
      <c r="P48" s="464"/>
      <c r="Q48" s="465"/>
      <c r="R48" s="465"/>
      <c r="S48" s="465"/>
      <c r="T48" s="465"/>
      <c r="U48" s="466"/>
      <c r="V48" s="464"/>
      <c r="W48" s="465"/>
      <c r="X48" s="465"/>
      <c r="Y48" s="465"/>
      <c r="Z48" s="465"/>
      <c r="AA48" s="466"/>
      <c r="AB48" s="464"/>
      <c r="AC48" s="465"/>
      <c r="AD48" s="465"/>
      <c r="AE48" s="465"/>
      <c r="AF48" s="465"/>
      <c r="AG48" s="466"/>
      <c r="AH48" s="464"/>
      <c r="AI48" s="465"/>
      <c r="AJ48" s="465"/>
      <c r="AK48" s="465"/>
      <c r="AL48" s="465"/>
      <c r="AM48" s="466"/>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x14ac:dyDescent="0.25">
      <c r="A49" s="54"/>
      <c r="B49" s="54"/>
      <c r="C49" s="54"/>
      <c r="D49" s="54"/>
      <c r="E49" s="54"/>
      <c r="F49" s="54"/>
      <c r="G49" s="54"/>
      <c r="H49" s="54"/>
      <c r="I49" s="54"/>
      <c r="J49" s="464"/>
      <c r="K49" s="465"/>
      <c r="L49" s="465"/>
      <c r="M49" s="465"/>
      <c r="N49" s="465"/>
      <c r="O49" s="466"/>
      <c r="P49" s="464"/>
      <c r="Q49" s="465"/>
      <c r="R49" s="465"/>
      <c r="S49" s="465"/>
      <c r="T49" s="465"/>
      <c r="U49" s="466"/>
      <c r="V49" s="464"/>
      <c r="W49" s="465"/>
      <c r="X49" s="465"/>
      <c r="Y49" s="465"/>
      <c r="Z49" s="465"/>
      <c r="AA49" s="466"/>
      <c r="AB49" s="464"/>
      <c r="AC49" s="465"/>
      <c r="AD49" s="465"/>
      <c r="AE49" s="465"/>
      <c r="AF49" s="465"/>
      <c r="AG49" s="466"/>
      <c r="AH49" s="464"/>
      <c r="AI49" s="465"/>
      <c r="AJ49" s="465"/>
      <c r="AK49" s="465"/>
      <c r="AL49" s="465"/>
      <c r="AM49" s="466"/>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x14ac:dyDescent="0.25">
      <c r="A50" s="54"/>
      <c r="B50" s="54"/>
      <c r="C50" s="54"/>
      <c r="D50" s="54"/>
      <c r="E50" s="54"/>
      <c r="F50" s="54"/>
      <c r="G50" s="54"/>
      <c r="H50" s="54"/>
      <c r="I50" s="54"/>
      <c r="J50" s="464"/>
      <c r="K50" s="465"/>
      <c r="L50" s="465"/>
      <c r="M50" s="465"/>
      <c r="N50" s="465"/>
      <c r="O50" s="466"/>
      <c r="P50" s="464"/>
      <c r="Q50" s="465"/>
      <c r="R50" s="465"/>
      <c r="S50" s="465"/>
      <c r="T50" s="465"/>
      <c r="U50" s="466"/>
      <c r="V50" s="464"/>
      <c r="W50" s="465"/>
      <c r="X50" s="465"/>
      <c r="Y50" s="465"/>
      <c r="Z50" s="465"/>
      <c r="AA50" s="466"/>
      <c r="AB50" s="464"/>
      <c r="AC50" s="465"/>
      <c r="AD50" s="465"/>
      <c r="AE50" s="465"/>
      <c r="AF50" s="465"/>
      <c r="AG50" s="466"/>
      <c r="AH50" s="464"/>
      <c r="AI50" s="465"/>
      <c r="AJ50" s="465"/>
      <c r="AK50" s="465"/>
      <c r="AL50" s="465"/>
      <c r="AM50" s="466"/>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75" thickBot="1" x14ac:dyDescent="0.3">
      <c r="A51" s="54"/>
      <c r="B51" s="54"/>
      <c r="C51" s="54"/>
      <c r="D51" s="54"/>
      <c r="E51" s="54"/>
      <c r="F51" s="54"/>
      <c r="G51" s="54"/>
      <c r="H51" s="54"/>
      <c r="I51" s="54"/>
      <c r="J51" s="467"/>
      <c r="K51" s="468"/>
      <c r="L51" s="468"/>
      <c r="M51" s="468"/>
      <c r="N51" s="468"/>
      <c r="O51" s="469"/>
      <c r="P51" s="467"/>
      <c r="Q51" s="468"/>
      <c r="R51" s="468"/>
      <c r="S51" s="468"/>
      <c r="T51" s="468"/>
      <c r="U51" s="469"/>
      <c r="V51" s="467"/>
      <c r="W51" s="468"/>
      <c r="X51" s="468"/>
      <c r="Y51" s="468"/>
      <c r="Z51" s="468"/>
      <c r="AA51" s="469"/>
      <c r="AB51" s="467"/>
      <c r="AC51" s="468"/>
      <c r="AD51" s="468"/>
      <c r="AE51" s="468"/>
      <c r="AF51" s="468"/>
      <c r="AG51" s="469"/>
      <c r="AH51" s="467"/>
      <c r="AI51" s="468"/>
      <c r="AJ51" s="468"/>
      <c r="AK51" s="468"/>
      <c r="AL51" s="468"/>
      <c r="AM51" s="469"/>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x14ac:dyDescent="0.2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x14ac:dyDescent="0.2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x14ac:dyDescent="0.2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row>
    <row r="63" spans="1:80"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row>
    <row r="64" spans="1:80"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row>
    <row r="65" spans="1:8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row>
    <row r="66" spans="1:8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row>
    <row r="67" spans="1:8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row>
    <row r="68" spans="1:8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row>
    <row r="69" spans="1:8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row>
    <row r="70" spans="1:8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row>
    <row r="71" spans="1:8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row>
    <row r="72" spans="1:8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row>
    <row r="73" spans="1:8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row>
    <row r="74" spans="1:8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row>
    <row r="75" spans="1:8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row>
    <row r="76" spans="1:8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row>
    <row r="77" spans="1:8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row>
    <row r="78" spans="1:8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row>
    <row r="79" spans="1:8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row>
    <row r="80" spans="1:8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row>
    <row r="81" spans="1:63"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row>
    <row r="82" spans="1:63"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row>
    <row r="83" spans="1:63"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row>
    <row r="84" spans="1:63"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row>
    <row r="85" spans="1:63"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row>
    <row r="86" spans="1:63"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row>
    <row r="87" spans="1:63"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row>
    <row r="88" spans="1:63"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row>
    <row r="89" spans="1:63"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row>
    <row r="90" spans="1:63"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row>
    <row r="91" spans="1:63"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row>
    <row r="92" spans="1:63"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row>
    <row r="93" spans="1:63"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row>
    <row r="94" spans="1:63"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row>
    <row r="95" spans="1:63"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row>
    <row r="96" spans="1:63"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row>
    <row r="97" spans="1:63"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row>
    <row r="98" spans="1:63"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row>
    <row r="99" spans="1:63"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row>
    <row r="100" spans="1:63"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row>
    <row r="101" spans="1:63"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row>
    <row r="102" spans="1:63"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row>
    <row r="103" spans="1:63"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row>
    <row r="104" spans="1:63"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row>
    <row r="105" spans="1:63"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row>
    <row r="106" spans="1:63"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row>
    <row r="107" spans="1:63"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row>
    <row r="108" spans="1:63"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row>
    <row r="109" spans="1:63"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row>
    <row r="110" spans="1:63"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row>
    <row r="111" spans="1:63"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row>
    <row r="112" spans="1:63"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row>
    <row r="113" spans="1:63"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row>
    <row r="114" spans="1:63"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row>
    <row r="115" spans="1:63"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row>
    <row r="116" spans="1:63"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row>
    <row r="117" spans="1:63"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row>
    <row r="118" spans="1:63"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row>
    <row r="119" spans="1:63"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row>
    <row r="120" spans="1:63"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row>
    <row r="121" spans="1:63"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row>
    <row r="122" spans="1:63" x14ac:dyDescent="0.2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row>
    <row r="123" spans="1:63" x14ac:dyDescent="0.2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row>
    <row r="124" spans="1:63" x14ac:dyDescent="0.2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row>
    <row r="125" spans="1:63" x14ac:dyDescent="0.2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row>
    <row r="126" spans="1:63" x14ac:dyDescent="0.2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row>
    <row r="127" spans="1:63" x14ac:dyDescent="0.2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row>
    <row r="128" spans="1:63" x14ac:dyDescent="0.2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row>
    <row r="129" spans="2:63" x14ac:dyDescent="0.2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row>
    <row r="130" spans="2:63" x14ac:dyDescent="0.2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row>
    <row r="131" spans="2:63" x14ac:dyDescent="0.2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row>
    <row r="132" spans="2:63" x14ac:dyDescent="0.2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row>
    <row r="133" spans="2:63" x14ac:dyDescent="0.25">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row>
    <row r="134" spans="2:63" x14ac:dyDescent="0.25">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row>
    <row r="135" spans="2:63" x14ac:dyDescent="0.25">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row>
    <row r="136" spans="2:63" x14ac:dyDescent="0.25">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row>
    <row r="137" spans="2:63" x14ac:dyDescent="0.25">
      <c r="B137" s="54"/>
      <c r="C137" s="54"/>
      <c r="D137" s="54"/>
      <c r="E137" s="54"/>
      <c r="F137" s="54"/>
      <c r="G137" s="54"/>
      <c r="H137" s="54"/>
      <c r="I137" s="54"/>
    </row>
    <row r="138" spans="2:63" x14ac:dyDescent="0.25">
      <c r="B138" s="54"/>
      <c r="C138" s="54"/>
      <c r="D138" s="54"/>
      <c r="E138" s="54"/>
      <c r="F138" s="54"/>
      <c r="G138" s="54"/>
      <c r="H138" s="54"/>
      <c r="I138" s="54"/>
    </row>
    <row r="139" spans="2:63" x14ac:dyDescent="0.25">
      <c r="B139" s="54"/>
      <c r="C139" s="54"/>
      <c r="D139" s="54"/>
      <c r="E139" s="54"/>
      <c r="F139" s="54"/>
      <c r="G139" s="54"/>
      <c r="H139" s="54"/>
      <c r="I139" s="54"/>
    </row>
    <row r="140" spans="2:63" x14ac:dyDescent="0.25">
      <c r="B140" s="54"/>
      <c r="C140" s="54"/>
      <c r="D140" s="54"/>
      <c r="E140" s="54"/>
      <c r="F140" s="54"/>
      <c r="G140" s="54"/>
      <c r="H140" s="54"/>
      <c r="I140" s="5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AW31" sqref="AW31"/>
    </sheetView>
  </sheetViews>
  <sheetFormatPr baseColWidth="10" defaultColWidth="11.42578125"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2" spans="1:91" ht="18" customHeight="1" x14ac:dyDescent="0.25">
      <c r="A2" s="54"/>
      <c r="B2" s="510" t="s">
        <v>297</v>
      </c>
      <c r="C2" s="510"/>
      <c r="D2" s="510"/>
      <c r="E2" s="510"/>
      <c r="F2" s="510"/>
      <c r="G2" s="510"/>
      <c r="H2" s="510"/>
      <c r="I2" s="510"/>
      <c r="J2" s="477" t="s">
        <v>23</v>
      </c>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ht="18.75" customHeight="1" x14ac:dyDescent="0.25">
      <c r="A3" s="54"/>
      <c r="B3" s="510"/>
      <c r="C3" s="510"/>
      <c r="D3" s="510"/>
      <c r="E3" s="510"/>
      <c r="F3" s="510"/>
      <c r="G3" s="510"/>
      <c r="H3" s="510"/>
      <c r="I3" s="510"/>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15" customHeight="1" x14ac:dyDescent="0.25">
      <c r="A4" s="54"/>
      <c r="B4" s="510"/>
      <c r="C4" s="510"/>
      <c r="D4" s="510"/>
      <c r="E4" s="510"/>
      <c r="F4" s="510"/>
      <c r="G4" s="510"/>
      <c r="H4" s="510"/>
      <c r="I4" s="510"/>
      <c r="J4" s="477"/>
      <c r="K4" s="477"/>
      <c r="L4" s="477"/>
      <c r="M4" s="477"/>
      <c r="N4" s="477"/>
      <c r="O4" s="477"/>
      <c r="P4" s="477"/>
      <c r="Q4" s="477"/>
      <c r="R4" s="477"/>
      <c r="S4" s="477"/>
      <c r="T4" s="477"/>
      <c r="U4" s="477"/>
      <c r="V4" s="477"/>
      <c r="W4" s="477"/>
      <c r="X4" s="477"/>
      <c r="Y4" s="477"/>
      <c r="Z4" s="477"/>
      <c r="AA4" s="477"/>
      <c r="AB4" s="477"/>
      <c r="AC4" s="477"/>
      <c r="AD4" s="477"/>
      <c r="AE4" s="477"/>
      <c r="AF4" s="477"/>
      <c r="AG4" s="477"/>
      <c r="AH4" s="477"/>
      <c r="AI4" s="477"/>
      <c r="AJ4" s="477"/>
      <c r="AK4" s="477"/>
      <c r="AL4" s="477"/>
      <c r="AM4" s="477"/>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row>
    <row r="5" spans="1:91"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row>
    <row r="6" spans="1:91" ht="15" customHeight="1" x14ac:dyDescent="0.25">
      <c r="A6" s="54"/>
      <c r="B6" s="423" t="s">
        <v>183</v>
      </c>
      <c r="C6" s="423"/>
      <c r="D6" s="424"/>
      <c r="E6" s="520" t="s">
        <v>283</v>
      </c>
      <c r="F6" s="521"/>
      <c r="G6" s="521"/>
      <c r="H6" s="521"/>
      <c r="I6" s="537"/>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4"/>
      <c r="AO6" s="528" t="s">
        <v>284</v>
      </c>
      <c r="AP6" s="529"/>
      <c r="AQ6" s="529"/>
      <c r="AR6" s="529"/>
      <c r="AS6" s="529"/>
      <c r="AT6" s="530"/>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row>
    <row r="7" spans="1:91" ht="15" customHeight="1" x14ac:dyDescent="0.25">
      <c r="A7" s="54"/>
      <c r="B7" s="423"/>
      <c r="C7" s="423"/>
      <c r="D7" s="424"/>
      <c r="E7" s="524"/>
      <c r="F7" s="525"/>
      <c r="G7" s="525"/>
      <c r="H7" s="525"/>
      <c r="I7" s="538"/>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4"/>
      <c r="AO7" s="531"/>
      <c r="AP7" s="532"/>
      <c r="AQ7" s="532"/>
      <c r="AR7" s="532"/>
      <c r="AS7" s="532"/>
      <c r="AT7" s="533"/>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row>
    <row r="8" spans="1:91" ht="15" customHeight="1" x14ac:dyDescent="0.25">
      <c r="A8" s="54"/>
      <c r="B8" s="423"/>
      <c r="C8" s="423"/>
      <c r="D8" s="424"/>
      <c r="E8" s="524"/>
      <c r="F8" s="525"/>
      <c r="G8" s="525"/>
      <c r="H8" s="525"/>
      <c r="I8" s="538"/>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4"/>
      <c r="AO8" s="531"/>
      <c r="AP8" s="532"/>
      <c r="AQ8" s="532"/>
      <c r="AR8" s="532"/>
      <c r="AS8" s="532"/>
      <c r="AT8" s="533"/>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row>
    <row r="9" spans="1:91" ht="15" customHeight="1" x14ac:dyDescent="0.25">
      <c r="A9" s="54"/>
      <c r="B9" s="423"/>
      <c r="C9" s="423"/>
      <c r="D9" s="424"/>
      <c r="E9" s="524"/>
      <c r="F9" s="525"/>
      <c r="G9" s="525"/>
      <c r="H9" s="525"/>
      <c r="I9" s="538"/>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4"/>
      <c r="AO9" s="531"/>
      <c r="AP9" s="532"/>
      <c r="AQ9" s="532"/>
      <c r="AR9" s="532"/>
      <c r="AS9" s="532"/>
      <c r="AT9" s="533"/>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row>
    <row r="10" spans="1:91" ht="15" customHeight="1" x14ac:dyDescent="0.25">
      <c r="A10" s="54"/>
      <c r="B10" s="423"/>
      <c r="C10" s="423"/>
      <c r="D10" s="424"/>
      <c r="E10" s="524"/>
      <c r="F10" s="525"/>
      <c r="G10" s="525"/>
      <c r="H10" s="525"/>
      <c r="I10" s="538"/>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4"/>
      <c r="AO10" s="531"/>
      <c r="AP10" s="532"/>
      <c r="AQ10" s="532"/>
      <c r="AR10" s="532"/>
      <c r="AS10" s="532"/>
      <c r="AT10" s="533"/>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row>
    <row r="11" spans="1:91" ht="15" customHeight="1" x14ac:dyDescent="0.25">
      <c r="A11" s="54"/>
      <c r="B11" s="423"/>
      <c r="C11" s="423"/>
      <c r="D11" s="424"/>
      <c r="E11" s="524"/>
      <c r="F11" s="525"/>
      <c r="G11" s="525"/>
      <c r="H11" s="525"/>
      <c r="I11" s="538"/>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4"/>
      <c r="AO11" s="531"/>
      <c r="AP11" s="532"/>
      <c r="AQ11" s="532"/>
      <c r="AR11" s="532"/>
      <c r="AS11" s="532"/>
      <c r="AT11" s="533"/>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row>
    <row r="12" spans="1:91" ht="15" customHeight="1" x14ac:dyDescent="0.25">
      <c r="A12" s="54"/>
      <c r="B12" s="423"/>
      <c r="C12" s="423"/>
      <c r="D12" s="424"/>
      <c r="E12" s="524"/>
      <c r="F12" s="525"/>
      <c r="G12" s="525"/>
      <c r="H12" s="525"/>
      <c r="I12" s="538"/>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4"/>
      <c r="AO12" s="531"/>
      <c r="AP12" s="532"/>
      <c r="AQ12" s="532"/>
      <c r="AR12" s="532"/>
      <c r="AS12" s="532"/>
      <c r="AT12" s="533"/>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row>
    <row r="13" spans="1:91" ht="15" customHeight="1" x14ac:dyDescent="0.25">
      <c r="A13" s="54"/>
      <c r="B13" s="423"/>
      <c r="C13" s="423"/>
      <c r="D13" s="424"/>
      <c r="E13" s="524"/>
      <c r="F13" s="525"/>
      <c r="G13" s="525"/>
      <c r="H13" s="525"/>
      <c r="I13" s="538"/>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4"/>
      <c r="AO13" s="531"/>
      <c r="AP13" s="532"/>
      <c r="AQ13" s="532"/>
      <c r="AR13" s="532"/>
      <c r="AS13" s="532"/>
      <c r="AT13" s="533"/>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row>
    <row r="14" spans="1:91" ht="15" customHeight="1" x14ac:dyDescent="0.25">
      <c r="A14" s="54"/>
      <c r="B14" s="423"/>
      <c r="C14" s="423"/>
      <c r="D14" s="424"/>
      <c r="E14" s="524"/>
      <c r="F14" s="525"/>
      <c r="G14" s="525"/>
      <c r="H14" s="525"/>
      <c r="I14" s="538"/>
      <c r="J14" s="23" t="str">
        <f>IF(AND('MAPA DE RIESGO'!$Z$76="Muy Alta",'MAPA DE RIESGO'!$AB$76="Leve"),CONCATENATE("R9C",'MAPA DE RIESGO'!$P$76),"")</f>
        <v/>
      </c>
      <c r="K14" s="24" t="str">
        <f>IF(AND('MAPA DE RIESGO'!$Z$77="Muy Alta",'MAPA DE RIESGO'!$AB$77="Leve"),CONCATENATE("R9C",'MAPA DE RIESGO'!$P$77),"")</f>
        <v/>
      </c>
      <c r="L14" s="29" t="str">
        <f>IF(AND('MAPA DE RIESGO'!$Z$78="Muy Alta",'MAPA DE RIESGO'!$AB$78="Leve"),CONCATENATE("R9C",'MAPA DE RIESGO'!$P$78),"")</f>
        <v/>
      </c>
      <c r="M14" s="29" t="str">
        <f>IF(AND('MAPA DE RIESGO'!$Z$79="Muy Alta",'MAPA DE RIESGO'!$AB$79="Leve"),CONCATENATE("R9C",'MAPA DE RIESGO'!$P$79),"")</f>
        <v/>
      </c>
      <c r="N14" s="29" t="str">
        <f>IF(AND('MAPA DE RIESGO'!$Z$80="Muy Alta",'MAPA DE RIESGO'!$AB$80="Leve"),CONCATENATE("R9C",'MAPA DE RIESGO'!$P$80),"")</f>
        <v/>
      </c>
      <c r="O14" s="25" t="str">
        <f>IF(AND('MAPA DE RIESGO'!$Z$81="Muy Alta",'MAPA DE RIESGO'!$AB$81="Leve"),CONCATENATE("R9C",'MAPA DE RIESGO'!$P$81),"")</f>
        <v/>
      </c>
      <c r="P14" s="23" t="str">
        <f>IF(AND('MAPA DE RIESGO'!$Z$76="Muy Alta",'MAPA DE RIESGO'!$AB$76="Menor"),CONCATENATE("R9C",'MAPA DE RIESGO'!$P$76),"")</f>
        <v/>
      </c>
      <c r="Q14" s="24" t="str">
        <f>IF(AND('MAPA DE RIESGO'!$Z$77="Muy Alta",'MAPA DE RIESGO'!$AB$77="Menor"),CONCATENATE("R9C",'MAPA DE RIESGO'!$P$77),"")</f>
        <v/>
      </c>
      <c r="R14" s="29" t="str">
        <f>IF(AND('MAPA DE RIESGO'!$Z$78="Muy Alta",'MAPA DE RIESGO'!$AB$78="Menor"),CONCATENATE("R9C",'MAPA DE RIESGO'!$P$78),"")</f>
        <v/>
      </c>
      <c r="S14" s="29" t="str">
        <f>IF(AND('MAPA DE RIESGO'!$Z$79="Muy Alta",'MAPA DE RIESGO'!$AB$79="Menor"),CONCATENATE("R9C",'MAPA DE RIESGO'!$P$79),"")</f>
        <v/>
      </c>
      <c r="T14" s="29" t="str">
        <f>IF(AND('MAPA DE RIESGO'!$Z$80="Muy Alta",'MAPA DE RIESGO'!$AB$80="Menor"),CONCATENATE("R9C",'MAPA DE RIESGO'!$P$80),"")</f>
        <v/>
      </c>
      <c r="U14" s="25" t="str">
        <f>IF(AND('MAPA DE RIESGO'!$Z$81="Muy Alta",'MAPA DE RIESGO'!$AB$81="Menor"),CONCATENATE("R9C",'MAPA DE RIESGO'!$P$81),"")</f>
        <v/>
      </c>
      <c r="V14" s="23" t="str">
        <f>IF(AND('MAPA DE RIESGO'!$Z$76="Muy Alta",'MAPA DE RIESGO'!$AB$76="Moderado"),CONCATENATE("R9C",'MAPA DE RIESGO'!$P$76),"")</f>
        <v/>
      </c>
      <c r="W14" s="24" t="str">
        <f>IF(AND('MAPA DE RIESGO'!$Z$77="Muy Alta",'MAPA DE RIESGO'!$AB$77="Moderado"),CONCATENATE("R9C",'MAPA DE RIESGO'!$P$77),"")</f>
        <v/>
      </c>
      <c r="X14" s="29" t="str">
        <f>IF(AND('MAPA DE RIESGO'!$Z$78="Muy Alta",'MAPA DE RIESGO'!$AB$78="Moderado"),CONCATENATE("R9C",'MAPA DE RIESGO'!$P$78),"")</f>
        <v/>
      </c>
      <c r="Y14" s="29" t="str">
        <f>IF(AND('MAPA DE RIESGO'!$Z$79="Muy Alta",'MAPA DE RIESGO'!$AB$79="Moderado"),CONCATENATE("R9C",'MAPA DE RIESGO'!$P$79),"")</f>
        <v/>
      </c>
      <c r="Z14" s="29" t="str">
        <f>IF(AND('MAPA DE RIESGO'!$Z$80="Muy Alta",'MAPA DE RIESGO'!$AB$80="Moderado"),CONCATENATE("R9C",'MAPA DE RIESGO'!$P$80),"")</f>
        <v/>
      </c>
      <c r="AA14" s="25" t="str">
        <f>IF(AND('MAPA DE RIESGO'!$Z$81="Muy Alta",'MAPA DE RIESGO'!$AB$81="Moderado"),CONCATENATE("R9C",'MAPA DE RIESGO'!$P$81),"")</f>
        <v/>
      </c>
      <c r="AB14" s="23" t="str">
        <f>IF(AND('MAPA DE RIESGO'!$Z$76="Muy Alta",'MAPA DE RIESGO'!$AB$76="Mayor"),CONCATENATE("R9C",'MAPA DE RIESGO'!$P$76),"")</f>
        <v/>
      </c>
      <c r="AC14" s="24" t="str">
        <f>IF(AND('MAPA DE RIESGO'!$Z$77="Muy Alta",'MAPA DE RIESGO'!$AB$77="Mayor"),CONCATENATE("R9C",'MAPA DE RIESGO'!$P$77),"")</f>
        <v/>
      </c>
      <c r="AD14" s="29" t="str">
        <f>IF(AND('MAPA DE RIESGO'!$Z$78="Muy Alta",'MAPA DE RIESGO'!$AB$78="Mayor"),CONCATENATE("R9C",'MAPA DE RIESGO'!$P$78),"")</f>
        <v/>
      </c>
      <c r="AE14" s="29" t="str">
        <f>IF(AND('MAPA DE RIESGO'!$Z$79="Muy Alta",'MAPA DE RIESGO'!$AB$79="Mayor"),CONCATENATE("R9C",'MAPA DE RIESGO'!$P$79),"")</f>
        <v/>
      </c>
      <c r="AF14" s="29" t="str">
        <f>IF(AND('MAPA DE RIESGO'!$Z$80="Muy Alta",'MAPA DE RIESGO'!$AB$80="Mayor"),CONCATENATE("R9C",'MAPA DE RIESGO'!$P$80),"")</f>
        <v/>
      </c>
      <c r="AG14" s="25" t="str">
        <f>IF(AND('MAPA DE RIESGO'!$Z$81="Muy Alta",'MAPA DE RIESGO'!$AB$81="Mayor"),CONCATENATE("R9C",'MAPA DE RIESGO'!$P$81),"")</f>
        <v/>
      </c>
      <c r="AH14" s="26" t="str">
        <f>IF(AND('MAPA DE RIESGO'!$Z$76="Muy Alta",'MAPA DE RIESGO'!$AB$76="Catastrófico"),CONCATENATE("R9C",'MAPA DE RIESGO'!$P$76),"")</f>
        <v/>
      </c>
      <c r="AI14" s="27" t="str">
        <f>IF(AND('MAPA DE RIESGO'!$Z$77="Muy Alta",'MAPA DE RIESGO'!$AB$77="Catastrófico"),CONCATENATE("R9C",'MAPA DE RIESGO'!$P$77),"")</f>
        <v/>
      </c>
      <c r="AJ14" s="27" t="str">
        <f>IF(AND('MAPA DE RIESGO'!$Z$78="Muy Alta",'MAPA DE RIESGO'!$AB$78="Catastrófico"),CONCATENATE("R9C",'MAPA DE RIESGO'!$P$78),"")</f>
        <v/>
      </c>
      <c r="AK14" s="27" t="str">
        <f>IF(AND('MAPA DE RIESGO'!$Z$79="Muy Alta",'MAPA DE RIESGO'!$AB$79="Catastrófico"),CONCATENATE("R9C",'MAPA DE RIESGO'!$P$79),"")</f>
        <v/>
      </c>
      <c r="AL14" s="27" t="str">
        <f>IF(AND('MAPA DE RIESGO'!$Z$80="Muy Alta",'MAPA DE RIESGO'!$AB$80="Catastrófico"),CONCATENATE("R9C",'MAPA DE RIESGO'!$P$80),"")</f>
        <v/>
      </c>
      <c r="AM14" s="28" t="str">
        <f>IF(AND('MAPA DE RIESGO'!$Z$81="Muy Alta",'MAPA DE RIESGO'!$AB$81="Catastrófico"),CONCATENATE("R9C",'MAPA DE RIESGO'!$P$81),"")</f>
        <v/>
      </c>
      <c r="AN14" s="54"/>
      <c r="AO14" s="531"/>
      <c r="AP14" s="532"/>
      <c r="AQ14" s="532"/>
      <c r="AR14" s="532"/>
      <c r="AS14" s="532"/>
      <c r="AT14" s="533"/>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row>
    <row r="15" spans="1:91" ht="15.75" customHeight="1" thickBot="1" x14ac:dyDescent="0.3">
      <c r="A15" s="54"/>
      <c r="B15" s="423"/>
      <c r="C15" s="423"/>
      <c r="D15" s="424"/>
      <c r="E15" s="526"/>
      <c r="F15" s="527"/>
      <c r="G15" s="527"/>
      <c r="H15" s="527"/>
      <c r="I15" s="539"/>
      <c r="J15" s="30" t="str">
        <f>IF(AND('MAPA DE RIESGO'!$Z$82="Muy Alta",'MAPA DE RIESGO'!$AB$82="Leve"),CONCATENATE("R10C",'MAPA DE RIESGO'!$P$82),"")</f>
        <v/>
      </c>
      <c r="K15" s="31" t="str">
        <f>IF(AND('MAPA DE RIESGO'!$Z$83="Muy Alta",'MAPA DE RIESGO'!$AB$83="Leve"),CONCATENATE("R10C",'MAPA DE RIESGO'!$P$83),"")</f>
        <v/>
      </c>
      <c r="L15" s="31" t="str">
        <f>IF(AND('MAPA DE RIESGO'!$Z$84="Muy Alta",'MAPA DE RIESGO'!$AB$84="Leve"),CONCATENATE("R10C",'MAPA DE RIESGO'!$P$84),"")</f>
        <v/>
      </c>
      <c r="M15" s="31" t="str">
        <f>IF(AND('MAPA DE RIESGO'!$Z$85="Muy Alta",'MAPA DE RIESGO'!$AB$85="Leve"),CONCATENATE("R10C",'MAPA DE RIESGO'!$P$85),"")</f>
        <v/>
      </c>
      <c r="N15" s="31" t="str">
        <f>IF(AND('MAPA DE RIESGO'!$Z$86="Muy Alta",'MAPA DE RIESGO'!$AB$86="Leve"),CONCATENATE("R10C",'MAPA DE RIESGO'!$P$86),"")</f>
        <v/>
      </c>
      <c r="O15" s="32" t="str">
        <f>IF(AND('MAPA DE RIESGO'!$Z$87="Muy Alta",'MAPA DE RIESGO'!$AB$87="Leve"),CONCATENATE("R10C",'MAPA DE RIESGO'!$P$87),"")</f>
        <v/>
      </c>
      <c r="P15" s="23" t="str">
        <f>IF(AND('MAPA DE RIESGO'!$Z$82="Muy Alta",'MAPA DE RIESGO'!$AB$82="Menor"),CONCATENATE("R10C",'MAPA DE RIESGO'!$P$82),"")</f>
        <v/>
      </c>
      <c r="Q15" s="24" t="str">
        <f>IF(AND('MAPA DE RIESGO'!$Z$83="Muy Alta",'MAPA DE RIESGO'!$AB$83="Menor"),CONCATENATE("R10C",'MAPA DE RIESGO'!$P$83),"")</f>
        <v/>
      </c>
      <c r="R15" s="24" t="str">
        <f>IF(AND('MAPA DE RIESGO'!$Z$84="Muy Alta",'MAPA DE RIESGO'!$AB$84="Menor"),CONCATENATE("R10C",'MAPA DE RIESGO'!$P$84),"")</f>
        <v/>
      </c>
      <c r="S15" s="24" t="str">
        <f>IF(AND('MAPA DE RIESGO'!$Z$85="Muy Alta",'MAPA DE RIESGO'!$AB$85="Menor"),CONCATENATE("R10C",'MAPA DE RIESGO'!$P$85),"")</f>
        <v/>
      </c>
      <c r="T15" s="24" t="str">
        <f>IF(AND('MAPA DE RIESGO'!$Z$86="Muy Alta",'MAPA DE RIESGO'!$AB$86="Menor"),CONCATENATE("R10C",'MAPA DE RIESGO'!$P$86),"")</f>
        <v/>
      </c>
      <c r="U15" s="25" t="str">
        <f>IF(AND('MAPA DE RIESGO'!$Z$87="Muy Alta",'MAPA DE RIESGO'!$AB$87="Menor"),CONCATENATE("R10C",'MAPA DE RIESGO'!$P$87),"")</f>
        <v/>
      </c>
      <c r="V15" s="30" t="str">
        <f>IF(AND('MAPA DE RIESGO'!$Z$82="Muy Alta",'MAPA DE RIESGO'!$AB$82="Moderado"),CONCATENATE("R10C",'MAPA DE RIESGO'!$P$82),"")</f>
        <v/>
      </c>
      <c r="W15" s="31" t="str">
        <f>IF(AND('MAPA DE RIESGO'!$Z$83="Muy Alta",'MAPA DE RIESGO'!$AB$83="Moderado"),CONCATENATE("R10C",'MAPA DE RIESGO'!$P$83),"")</f>
        <v/>
      </c>
      <c r="X15" s="31" t="str">
        <f>IF(AND('MAPA DE RIESGO'!$Z$84="Muy Alta",'MAPA DE RIESGO'!$AB$84="Moderado"),CONCATENATE("R10C",'MAPA DE RIESGO'!$P$84),"")</f>
        <v/>
      </c>
      <c r="Y15" s="31" t="str">
        <f>IF(AND('MAPA DE RIESGO'!$Z$85="Muy Alta",'MAPA DE RIESGO'!$AB$85="Moderado"),CONCATENATE("R10C",'MAPA DE RIESGO'!$P$85),"")</f>
        <v/>
      </c>
      <c r="Z15" s="31" t="str">
        <f>IF(AND('MAPA DE RIESGO'!$Z$86="Muy Alta",'MAPA DE RIESGO'!$AB$86="Moderado"),CONCATENATE("R10C",'MAPA DE RIESGO'!$P$86),"")</f>
        <v/>
      </c>
      <c r="AA15" s="32" t="str">
        <f>IF(AND('MAPA DE RIESGO'!$Z$87="Muy Alta",'MAPA DE RIESGO'!$AB$87="Moderado"),CONCATENATE("R10C",'MAPA DE RIESGO'!$P$87),"")</f>
        <v/>
      </c>
      <c r="AB15" s="23" t="str">
        <f>IF(AND('MAPA DE RIESGO'!$Z$82="Muy Alta",'MAPA DE RIESGO'!$AB$82="Mayor"),CONCATENATE("R10C",'MAPA DE RIESGO'!$P$82),"")</f>
        <v/>
      </c>
      <c r="AC15" s="24" t="str">
        <f>IF(AND('MAPA DE RIESGO'!$Z$83="Muy Alta",'MAPA DE RIESGO'!$AB$83="Mayor"),CONCATENATE("R10C",'MAPA DE RIESGO'!$P$83),"")</f>
        <v/>
      </c>
      <c r="AD15" s="24" t="str">
        <f>IF(AND('MAPA DE RIESGO'!$Z$84="Muy Alta",'MAPA DE RIESGO'!$AB$84="Mayor"),CONCATENATE("R10C",'MAPA DE RIESGO'!$P$84),"")</f>
        <v/>
      </c>
      <c r="AE15" s="24" t="str">
        <f>IF(AND('MAPA DE RIESGO'!$Z$85="Muy Alta",'MAPA DE RIESGO'!$AB$85="Mayor"),CONCATENATE("R10C",'MAPA DE RIESGO'!$P$85),"")</f>
        <v/>
      </c>
      <c r="AF15" s="24" t="str">
        <f>IF(AND('MAPA DE RIESGO'!$Z$86="Muy Alta",'MAPA DE RIESGO'!$AB$86="Mayor"),CONCATENATE("R10C",'MAPA DE RIESGO'!$P$86),"")</f>
        <v/>
      </c>
      <c r="AG15" s="25" t="str">
        <f>IF(AND('MAPA DE RIESGO'!$Z$87="Muy Alta",'MAPA DE RIESGO'!$AB$87="Mayor"),CONCATENATE("R10C",'MAPA DE RIESGO'!$P$87),"")</f>
        <v/>
      </c>
      <c r="AH15" s="33" t="str">
        <f>IF(AND('MAPA DE RIESGO'!$Z$82="Muy Alta",'MAPA DE RIESGO'!$AB$82="Catastrófico"),CONCATENATE("R10C",'MAPA DE RIESGO'!$P$82),"")</f>
        <v/>
      </c>
      <c r="AI15" s="34" t="str">
        <f>IF(AND('MAPA DE RIESGO'!$Z$83="Muy Alta",'MAPA DE RIESGO'!$AB$83="Catastrófico"),CONCATENATE("R10C",'MAPA DE RIESGO'!$P$83),"")</f>
        <v/>
      </c>
      <c r="AJ15" s="34" t="str">
        <f>IF(AND('MAPA DE RIESGO'!$Z$84="Muy Alta",'MAPA DE RIESGO'!$AB$84="Catastrófico"),CONCATENATE("R10C",'MAPA DE RIESGO'!$P$84),"")</f>
        <v/>
      </c>
      <c r="AK15" s="34" t="str">
        <f>IF(AND('MAPA DE RIESGO'!$Z$85="Muy Alta",'MAPA DE RIESGO'!$AB$85="Catastrófico"),CONCATENATE("R10C",'MAPA DE RIESGO'!$P$85),"")</f>
        <v/>
      </c>
      <c r="AL15" s="34" t="str">
        <f>IF(AND('MAPA DE RIESGO'!$Z$86="Muy Alta",'MAPA DE RIESGO'!$AB$86="Catastrófico"),CONCATENATE("R10C",'MAPA DE RIESGO'!$P$86),"")</f>
        <v/>
      </c>
      <c r="AM15" s="35" t="str">
        <f>IF(AND('MAPA DE RIESGO'!$Z$87="Muy Alta",'MAPA DE RIESGO'!$AB$87="Catastrófico"),CONCATENATE("R10C",'MAPA DE RIESGO'!$P$87),"")</f>
        <v/>
      </c>
      <c r="AN15" s="54"/>
      <c r="AO15" s="534"/>
      <c r="AP15" s="535"/>
      <c r="AQ15" s="535"/>
      <c r="AR15" s="535"/>
      <c r="AS15" s="535"/>
      <c r="AT15" s="536"/>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row>
    <row r="16" spans="1:91" ht="15" customHeight="1" x14ac:dyDescent="0.25">
      <c r="A16" s="54"/>
      <c r="B16" s="423"/>
      <c r="C16" s="423"/>
      <c r="D16" s="424"/>
      <c r="E16" s="520" t="s">
        <v>285</v>
      </c>
      <c r="F16" s="521"/>
      <c r="G16" s="521"/>
      <c r="H16" s="521"/>
      <c r="I16" s="521"/>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4"/>
      <c r="AO16" s="511" t="s">
        <v>286</v>
      </c>
      <c r="AP16" s="512"/>
      <c r="AQ16" s="512"/>
      <c r="AR16" s="512"/>
      <c r="AS16" s="512"/>
      <c r="AT16" s="513"/>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row>
    <row r="17" spans="1:76" ht="15" customHeight="1" x14ac:dyDescent="0.25">
      <c r="A17" s="54"/>
      <c r="B17" s="423"/>
      <c r="C17" s="423"/>
      <c r="D17" s="424"/>
      <c r="E17" s="522"/>
      <c r="F17" s="523"/>
      <c r="G17" s="523"/>
      <c r="H17" s="523"/>
      <c r="I17" s="523"/>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4"/>
      <c r="AO17" s="514"/>
      <c r="AP17" s="515"/>
      <c r="AQ17" s="515"/>
      <c r="AR17" s="515"/>
      <c r="AS17" s="515"/>
      <c r="AT17" s="516"/>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ht="15" customHeight="1" x14ac:dyDescent="0.25">
      <c r="A18" s="54"/>
      <c r="B18" s="423"/>
      <c r="C18" s="423"/>
      <c r="D18" s="424"/>
      <c r="E18" s="524"/>
      <c r="F18" s="525"/>
      <c r="G18" s="525"/>
      <c r="H18" s="525"/>
      <c r="I18" s="523"/>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4"/>
      <c r="AO18" s="514"/>
      <c r="AP18" s="515"/>
      <c r="AQ18" s="515"/>
      <c r="AR18" s="515"/>
      <c r="AS18" s="515"/>
      <c r="AT18" s="516"/>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15" customHeight="1" x14ac:dyDescent="0.25">
      <c r="A19" s="54"/>
      <c r="B19" s="423"/>
      <c r="C19" s="423"/>
      <c r="D19" s="424"/>
      <c r="E19" s="524"/>
      <c r="F19" s="525"/>
      <c r="G19" s="525"/>
      <c r="H19" s="525"/>
      <c r="I19" s="523"/>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4"/>
      <c r="AO19" s="514"/>
      <c r="AP19" s="515"/>
      <c r="AQ19" s="515"/>
      <c r="AR19" s="515"/>
      <c r="AS19" s="515"/>
      <c r="AT19" s="516"/>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76" ht="15" customHeight="1" x14ac:dyDescent="0.25">
      <c r="A20" s="54"/>
      <c r="B20" s="423"/>
      <c r="C20" s="423"/>
      <c r="D20" s="424"/>
      <c r="E20" s="524"/>
      <c r="F20" s="525"/>
      <c r="G20" s="525"/>
      <c r="H20" s="525"/>
      <c r="I20" s="523"/>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4"/>
      <c r="AO20" s="514"/>
      <c r="AP20" s="515"/>
      <c r="AQ20" s="515"/>
      <c r="AR20" s="515"/>
      <c r="AS20" s="515"/>
      <c r="AT20" s="516"/>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row>
    <row r="21" spans="1:76" ht="15" customHeight="1" x14ac:dyDescent="0.25">
      <c r="A21" s="54"/>
      <c r="B21" s="423"/>
      <c r="C21" s="423"/>
      <c r="D21" s="424"/>
      <c r="E21" s="524"/>
      <c r="F21" s="525"/>
      <c r="G21" s="525"/>
      <c r="H21" s="525"/>
      <c r="I21" s="523"/>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4"/>
      <c r="AO21" s="514"/>
      <c r="AP21" s="515"/>
      <c r="AQ21" s="515"/>
      <c r="AR21" s="515"/>
      <c r="AS21" s="515"/>
      <c r="AT21" s="516"/>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row>
    <row r="22" spans="1:76" ht="15" customHeight="1" x14ac:dyDescent="0.25">
      <c r="A22" s="54"/>
      <c r="B22" s="423"/>
      <c r="C22" s="423"/>
      <c r="D22" s="424"/>
      <c r="E22" s="524"/>
      <c r="F22" s="525"/>
      <c r="G22" s="525"/>
      <c r="H22" s="525"/>
      <c r="I22" s="523"/>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4"/>
      <c r="AO22" s="514"/>
      <c r="AP22" s="515"/>
      <c r="AQ22" s="515"/>
      <c r="AR22" s="515"/>
      <c r="AS22" s="515"/>
      <c r="AT22" s="516"/>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row>
    <row r="23" spans="1:76" ht="15" customHeight="1" x14ac:dyDescent="0.25">
      <c r="A23" s="54"/>
      <c r="B23" s="423"/>
      <c r="C23" s="423"/>
      <c r="D23" s="424"/>
      <c r="E23" s="524"/>
      <c r="F23" s="525"/>
      <c r="G23" s="525"/>
      <c r="H23" s="525"/>
      <c r="I23" s="523"/>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4"/>
      <c r="AO23" s="514"/>
      <c r="AP23" s="515"/>
      <c r="AQ23" s="515"/>
      <c r="AR23" s="515"/>
      <c r="AS23" s="515"/>
      <c r="AT23" s="516"/>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row>
    <row r="24" spans="1:76" ht="15" customHeight="1" x14ac:dyDescent="0.25">
      <c r="A24" s="54"/>
      <c r="B24" s="423"/>
      <c r="C24" s="423"/>
      <c r="D24" s="424"/>
      <c r="E24" s="524"/>
      <c r="F24" s="525"/>
      <c r="G24" s="525"/>
      <c r="H24" s="525"/>
      <c r="I24" s="523"/>
      <c r="J24" s="39" t="str">
        <f>IF(AND('MAPA DE RIESGO'!$Z$76="Alta",'MAPA DE RIESGO'!$AB$76="Leve"),CONCATENATE("R9C",'MAPA DE RIESGO'!$P$76),"")</f>
        <v/>
      </c>
      <c r="K24" s="40" t="str">
        <f>IF(AND('MAPA DE RIESGO'!$Z$77="Alta",'MAPA DE RIESGO'!$AB$77="Leve"),CONCATENATE("R9C",'MAPA DE RIESGO'!$P$77),"")</f>
        <v/>
      </c>
      <c r="L24" s="40" t="str">
        <f>IF(AND('MAPA DE RIESGO'!$Z$78="Alta",'MAPA DE RIESGO'!$AB$78="Leve"),CONCATENATE("R9C",'MAPA DE RIESGO'!$P$78),"")</f>
        <v/>
      </c>
      <c r="M24" s="40" t="str">
        <f>IF(AND('MAPA DE RIESGO'!$Z$79="Alta",'MAPA DE RIESGO'!$AB$79="Leve"),CONCATENATE("R9C",'MAPA DE RIESGO'!$P$79),"")</f>
        <v/>
      </c>
      <c r="N24" s="40" t="str">
        <f>IF(AND('MAPA DE RIESGO'!$Z$80="Alta",'MAPA DE RIESGO'!$AB$80="Leve"),CONCATENATE("R9C",'MAPA DE RIESGO'!$P$80),"")</f>
        <v/>
      </c>
      <c r="O24" s="41" t="str">
        <f>IF(AND('MAPA DE RIESGO'!$Z$81="Alta",'MAPA DE RIESGO'!$AB$81="Leve"),CONCATENATE("R9C",'MAPA DE RIESGO'!$P$81),"")</f>
        <v/>
      </c>
      <c r="P24" s="39" t="str">
        <f>IF(AND('MAPA DE RIESGO'!$Z$76="Alta",'MAPA DE RIESGO'!$AB$76="Menor"),CONCATENATE("R9C",'MAPA DE RIESGO'!$P$76),"")</f>
        <v/>
      </c>
      <c r="Q24" s="40" t="str">
        <f>IF(AND('MAPA DE RIESGO'!$Z$77="Alta",'MAPA DE RIESGO'!$AB$77="Menor"),CONCATENATE("R9C",'MAPA DE RIESGO'!$P$77),"")</f>
        <v/>
      </c>
      <c r="R24" s="40" t="str">
        <f>IF(AND('MAPA DE RIESGO'!$Z$78="Alta",'MAPA DE RIESGO'!$AB$78="Menor"),CONCATENATE("R9C",'MAPA DE RIESGO'!$P$78),"")</f>
        <v/>
      </c>
      <c r="S24" s="40" t="str">
        <f>IF(AND('MAPA DE RIESGO'!$Z$79="Alta",'MAPA DE RIESGO'!$AB$79="Menor"),CONCATENATE("R9C",'MAPA DE RIESGO'!$P$79),"")</f>
        <v/>
      </c>
      <c r="T24" s="40" t="str">
        <f>IF(AND('MAPA DE RIESGO'!$Z$80="Alta",'MAPA DE RIESGO'!$AB$80="Menor"),CONCATENATE("R9C",'MAPA DE RIESGO'!$P$80),"")</f>
        <v/>
      </c>
      <c r="U24" s="41" t="str">
        <f>IF(AND('MAPA DE RIESGO'!$Z$81="Alta",'MAPA DE RIESGO'!$AB$81="Menor"),CONCATENATE("R9C",'MAPA DE RIESGO'!$P$81),"")</f>
        <v/>
      </c>
      <c r="V24" s="23" t="str">
        <f>IF(AND('MAPA DE RIESGO'!$Z$76="Alta",'MAPA DE RIESGO'!$AB$76="Moderado"),CONCATENATE("R9C",'MAPA DE RIESGO'!$P$76),"")</f>
        <v/>
      </c>
      <c r="W24" s="24" t="str">
        <f>IF(AND('MAPA DE RIESGO'!$Z$77="Alta",'MAPA DE RIESGO'!$AB$77="Moderado"),CONCATENATE("R9C",'MAPA DE RIESGO'!$P$77),"")</f>
        <v/>
      </c>
      <c r="X24" s="29" t="str">
        <f>IF(AND('MAPA DE RIESGO'!$Z$78="Alta",'MAPA DE RIESGO'!$AB$78="Moderado"),CONCATENATE("R9C",'MAPA DE RIESGO'!$P$78),"")</f>
        <v/>
      </c>
      <c r="Y24" s="29" t="str">
        <f>IF(AND('MAPA DE RIESGO'!$Z$79="Alta",'MAPA DE RIESGO'!$AB$79="Moderado"),CONCATENATE("R9C",'MAPA DE RIESGO'!$P$79),"")</f>
        <v/>
      </c>
      <c r="Z24" s="29" t="str">
        <f>IF(AND('MAPA DE RIESGO'!$Z$80="Alta",'MAPA DE RIESGO'!$AB$80="Moderado"),CONCATENATE("R9C",'MAPA DE RIESGO'!$P$80),"")</f>
        <v/>
      </c>
      <c r="AA24" s="25" t="str">
        <f>IF(AND('MAPA DE RIESGO'!$Z$81="Alta",'MAPA DE RIESGO'!$AB$81="Moderado"),CONCATENATE("R9C",'MAPA DE RIESGO'!$P$81),"")</f>
        <v/>
      </c>
      <c r="AB24" s="23" t="str">
        <f>IF(AND('MAPA DE RIESGO'!$Z$76="Alta",'MAPA DE RIESGO'!$AB$76="Mayor"),CONCATENATE("R9C",'MAPA DE RIESGO'!$P$76),"")</f>
        <v/>
      </c>
      <c r="AC24" s="24" t="str">
        <f>IF(AND('MAPA DE RIESGO'!$Z$77="Alta",'MAPA DE RIESGO'!$AB$77="Mayor"),CONCATENATE("R9C",'MAPA DE RIESGO'!$P$77),"")</f>
        <v/>
      </c>
      <c r="AD24" s="29" t="str">
        <f>IF(AND('MAPA DE RIESGO'!$Z$78="Alta",'MAPA DE RIESGO'!$AB$78="Mayor"),CONCATENATE("R9C",'MAPA DE RIESGO'!$P$78),"")</f>
        <v/>
      </c>
      <c r="AE24" s="29" t="str">
        <f>IF(AND('MAPA DE RIESGO'!$Z$79="Alta",'MAPA DE RIESGO'!$AB$79="Mayor"),CONCATENATE("R9C",'MAPA DE RIESGO'!$P$79),"")</f>
        <v/>
      </c>
      <c r="AF24" s="29" t="str">
        <f>IF(AND('MAPA DE RIESGO'!$Z$80="Alta",'MAPA DE RIESGO'!$AB$80="Mayor"),CONCATENATE("R9C",'MAPA DE RIESGO'!$P$80),"")</f>
        <v/>
      </c>
      <c r="AG24" s="25" t="str">
        <f>IF(AND('MAPA DE RIESGO'!$Z$81="Alta",'MAPA DE RIESGO'!$AB$81="Mayor"),CONCATENATE("R9C",'MAPA DE RIESGO'!$P$81),"")</f>
        <v/>
      </c>
      <c r="AH24" s="26" t="str">
        <f>IF(AND('MAPA DE RIESGO'!$Z$76="Alta",'MAPA DE RIESGO'!$AB$76="Catastrófico"),CONCATENATE("R9C",'MAPA DE RIESGO'!$P$76),"")</f>
        <v/>
      </c>
      <c r="AI24" s="27" t="str">
        <f>IF(AND('MAPA DE RIESGO'!$Z$77="Alta",'MAPA DE RIESGO'!$AB$77="Catastrófico"),CONCATENATE("R9C",'MAPA DE RIESGO'!$P$77),"")</f>
        <v/>
      </c>
      <c r="AJ24" s="27" t="str">
        <f>IF(AND('MAPA DE RIESGO'!$Z$78="Alta",'MAPA DE RIESGO'!$AB$78="Catastrófico"),CONCATENATE("R9C",'MAPA DE RIESGO'!$P$78),"")</f>
        <v/>
      </c>
      <c r="AK24" s="27" t="str">
        <f>IF(AND('MAPA DE RIESGO'!$Z$79="Alta",'MAPA DE RIESGO'!$AB$79="Catastrófico"),CONCATENATE("R9C",'MAPA DE RIESGO'!$P$79),"")</f>
        <v/>
      </c>
      <c r="AL24" s="27" t="str">
        <f>IF(AND('MAPA DE RIESGO'!$Z$80="Alta",'MAPA DE RIESGO'!$AB$80="Catastrófico"),CONCATENATE("R9C",'MAPA DE RIESGO'!$P$80),"")</f>
        <v/>
      </c>
      <c r="AM24" s="28" t="str">
        <f>IF(AND('MAPA DE RIESGO'!$Z$81="Alta",'MAPA DE RIESGO'!$AB$81="Catastrófico"),CONCATENATE("R9C",'MAPA DE RIESGO'!$P$81),"")</f>
        <v/>
      </c>
      <c r="AN24" s="54"/>
      <c r="AO24" s="514"/>
      <c r="AP24" s="515"/>
      <c r="AQ24" s="515"/>
      <c r="AR24" s="515"/>
      <c r="AS24" s="515"/>
      <c r="AT24" s="516"/>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row>
    <row r="25" spans="1:76" ht="15.75" customHeight="1" thickBot="1" x14ac:dyDescent="0.3">
      <c r="A25" s="54"/>
      <c r="B25" s="423"/>
      <c r="C25" s="423"/>
      <c r="D25" s="424"/>
      <c r="E25" s="526"/>
      <c r="F25" s="527"/>
      <c r="G25" s="527"/>
      <c r="H25" s="527"/>
      <c r="I25" s="527"/>
      <c r="J25" s="42" t="str">
        <f>IF(AND('MAPA DE RIESGO'!$Z$82="Alta",'MAPA DE RIESGO'!$AB$82="Leve"),CONCATENATE("R10C",'MAPA DE RIESGO'!$P$82),"")</f>
        <v/>
      </c>
      <c r="K25" s="43" t="str">
        <f>IF(AND('MAPA DE RIESGO'!$Z$83="Alta",'MAPA DE RIESGO'!$AB$83="Leve"),CONCATENATE("R10C",'MAPA DE RIESGO'!$P$83),"")</f>
        <v/>
      </c>
      <c r="L25" s="43" t="str">
        <f>IF(AND('MAPA DE RIESGO'!$Z$84="Alta",'MAPA DE RIESGO'!$AB$84="Leve"),CONCATENATE("R10C",'MAPA DE RIESGO'!$P$84),"")</f>
        <v/>
      </c>
      <c r="M25" s="43" t="str">
        <f>IF(AND('MAPA DE RIESGO'!$Z$85="Alta",'MAPA DE RIESGO'!$AB$85="Leve"),CONCATENATE("R10C",'MAPA DE RIESGO'!$P$85),"")</f>
        <v/>
      </c>
      <c r="N25" s="43" t="str">
        <f>IF(AND('MAPA DE RIESGO'!$Z$86="Alta",'MAPA DE RIESGO'!$AB$86="Leve"),CONCATENATE("R10C",'MAPA DE RIESGO'!$P$86),"")</f>
        <v/>
      </c>
      <c r="O25" s="44" t="str">
        <f>IF(AND('MAPA DE RIESGO'!$Z$87="Alta",'MAPA DE RIESGO'!$AB$87="Leve"),CONCATENATE("R10C",'MAPA DE RIESGO'!$P$87),"")</f>
        <v/>
      </c>
      <c r="P25" s="42" t="str">
        <f>IF(AND('MAPA DE RIESGO'!$Z$82="Alta",'MAPA DE RIESGO'!$AB$82="Menor"),CONCATENATE("R10C",'MAPA DE RIESGO'!$P$82),"")</f>
        <v/>
      </c>
      <c r="Q25" s="43" t="str">
        <f>IF(AND('MAPA DE RIESGO'!$Z$83="Alta",'MAPA DE RIESGO'!$AB$83="Menor"),CONCATENATE("R10C",'MAPA DE RIESGO'!$P$83),"")</f>
        <v/>
      </c>
      <c r="R25" s="43" t="str">
        <f>IF(AND('MAPA DE RIESGO'!$Z$84="Alta",'MAPA DE RIESGO'!$AB$84="Menor"),CONCATENATE("R10C",'MAPA DE RIESGO'!$P$84),"")</f>
        <v/>
      </c>
      <c r="S25" s="43" t="str">
        <f>IF(AND('MAPA DE RIESGO'!$Z$85="Alta",'MAPA DE RIESGO'!$AB$85="Menor"),CONCATENATE("R10C",'MAPA DE RIESGO'!$P$85),"")</f>
        <v/>
      </c>
      <c r="T25" s="43" t="str">
        <f>IF(AND('MAPA DE RIESGO'!$Z$86="Alta",'MAPA DE RIESGO'!$AB$86="Menor"),CONCATENATE("R10C",'MAPA DE RIESGO'!$P$86),"")</f>
        <v/>
      </c>
      <c r="U25" s="44" t="str">
        <f>IF(AND('MAPA DE RIESGO'!$Z$87="Alta",'MAPA DE RIESGO'!$AB$87="Menor"),CONCATENATE("R10C",'MAPA DE RIESGO'!$P$87),"")</f>
        <v/>
      </c>
      <c r="V25" s="30" t="str">
        <f>IF(AND('MAPA DE RIESGO'!$Z$82="Alta",'MAPA DE RIESGO'!$AB$82="Moderado"),CONCATENATE("R10C",'MAPA DE RIESGO'!$P$82),"")</f>
        <v/>
      </c>
      <c r="W25" s="31" t="str">
        <f>IF(AND('MAPA DE RIESGO'!$Z$83="Alta",'MAPA DE RIESGO'!$AB$83="Moderado"),CONCATENATE("R10C",'MAPA DE RIESGO'!$P$83),"")</f>
        <v/>
      </c>
      <c r="X25" s="31" t="str">
        <f>IF(AND('MAPA DE RIESGO'!$Z$84="Alta",'MAPA DE RIESGO'!$AB$84="Moderado"),CONCATENATE("R10C",'MAPA DE RIESGO'!$P$84),"")</f>
        <v/>
      </c>
      <c r="Y25" s="31" t="str">
        <f>IF(AND('MAPA DE RIESGO'!$Z$85="Alta",'MAPA DE RIESGO'!$AB$85="Moderado"),CONCATENATE("R10C",'MAPA DE RIESGO'!$P$85),"")</f>
        <v/>
      </c>
      <c r="Z25" s="31" t="str">
        <f>IF(AND('MAPA DE RIESGO'!$Z$86="Alta",'MAPA DE RIESGO'!$AB$86="Moderado"),CONCATENATE("R10C",'MAPA DE RIESGO'!$P$86),"")</f>
        <v/>
      </c>
      <c r="AA25" s="32" t="str">
        <f>IF(AND('MAPA DE RIESGO'!$Z$87="Alta",'MAPA DE RIESGO'!$AB$87="Moderado"),CONCATENATE("R10C",'MAPA DE RIESGO'!$P$87),"")</f>
        <v/>
      </c>
      <c r="AB25" s="30" t="str">
        <f>IF(AND('MAPA DE RIESGO'!$Z$82="Alta",'MAPA DE RIESGO'!$AB$82="Mayor"),CONCATENATE("R10C",'MAPA DE RIESGO'!$P$82),"")</f>
        <v/>
      </c>
      <c r="AC25" s="31" t="str">
        <f>IF(AND('MAPA DE RIESGO'!$Z$83="Alta",'MAPA DE RIESGO'!$AB$83="Mayor"),CONCATENATE("R10C",'MAPA DE RIESGO'!$P$83),"")</f>
        <v/>
      </c>
      <c r="AD25" s="31" t="str">
        <f>IF(AND('MAPA DE RIESGO'!$Z$84="Alta",'MAPA DE RIESGO'!$AB$84="Mayor"),CONCATENATE("R10C",'MAPA DE RIESGO'!$P$84),"")</f>
        <v/>
      </c>
      <c r="AE25" s="31" t="str">
        <f>IF(AND('MAPA DE RIESGO'!$Z$85="Alta",'MAPA DE RIESGO'!$AB$85="Mayor"),CONCATENATE("R10C",'MAPA DE RIESGO'!$P$85),"")</f>
        <v/>
      </c>
      <c r="AF25" s="31" t="str">
        <f>IF(AND('MAPA DE RIESGO'!$Z$86="Alta",'MAPA DE RIESGO'!$AB$86="Mayor"),CONCATENATE("R10C",'MAPA DE RIESGO'!$P$86),"")</f>
        <v/>
      </c>
      <c r="AG25" s="32" t="str">
        <f>IF(AND('MAPA DE RIESGO'!$Z$87="Alta",'MAPA DE RIESGO'!$AB$87="Mayor"),CONCATENATE("R10C",'MAPA DE RIESGO'!$P$87),"")</f>
        <v/>
      </c>
      <c r="AH25" s="33" t="str">
        <f>IF(AND('MAPA DE RIESGO'!$Z$82="Alta",'MAPA DE RIESGO'!$AB$82="Catastrófico"),CONCATENATE("R10C",'MAPA DE RIESGO'!$P$82),"")</f>
        <v/>
      </c>
      <c r="AI25" s="34" t="str">
        <f>IF(AND('MAPA DE RIESGO'!$Z$83="Alta",'MAPA DE RIESGO'!$AB$83="Catastrófico"),CONCATENATE("R10C",'MAPA DE RIESGO'!$P$83),"")</f>
        <v/>
      </c>
      <c r="AJ25" s="34" t="str">
        <f>IF(AND('MAPA DE RIESGO'!$Z$84="Alta",'MAPA DE RIESGO'!$AB$84="Catastrófico"),CONCATENATE("R10C",'MAPA DE RIESGO'!$P$84),"")</f>
        <v/>
      </c>
      <c r="AK25" s="34" t="str">
        <f>IF(AND('MAPA DE RIESGO'!$Z$85="Alta",'MAPA DE RIESGO'!$AB$85="Catastrófico"),CONCATENATE("R10C",'MAPA DE RIESGO'!$P$85),"")</f>
        <v/>
      </c>
      <c r="AL25" s="34" t="str">
        <f>IF(AND('MAPA DE RIESGO'!$Z$86="Alta",'MAPA DE RIESGO'!$AB$86="Catastrófico"),CONCATENATE("R10C",'MAPA DE RIESGO'!$P$86),"")</f>
        <v/>
      </c>
      <c r="AM25" s="35" t="str">
        <f>IF(AND('MAPA DE RIESGO'!$Z$87="Alta",'MAPA DE RIESGO'!$AB$87="Catastrófico"),CONCATENATE("R10C",'MAPA DE RIESGO'!$P$87),"")</f>
        <v/>
      </c>
      <c r="AN25" s="54"/>
      <c r="AO25" s="517"/>
      <c r="AP25" s="518"/>
      <c r="AQ25" s="518"/>
      <c r="AR25" s="518"/>
      <c r="AS25" s="518"/>
      <c r="AT25" s="519"/>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row>
    <row r="26" spans="1:76" ht="15" customHeight="1" x14ac:dyDescent="0.25">
      <c r="A26" s="54"/>
      <c r="B26" s="423"/>
      <c r="C26" s="423"/>
      <c r="D26" s="424"/>
      <c r="E26" s="520" t="s">
        <v>287</v>
      </c>
      <c r="F26" s="521"/>
      <c r="G26" s="521"/>
      <c r="H26" s="521"/>
      <c r="I26" s="537"/>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4"/>
      <c r="AO26" s="549" t="s">
        <v>288</v>
      </c>
      <c r="AP26" s="550"/>
      <c r="AQ26" s="550"/>
      <c r="AR26" s="550"/>
      <c r="AS26" s="550"/>
      <c r="AT26" s="551"/>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row>
    <row r="27" spans="1:76" ht="15" customHeight="1" x14ac:dyDescent="0.25">
      <c r="A27" s="54"/>
      <c r="B27" s="423"/>
      <c r="C27" s="423"/>
      <c r="D27" s="424"/>
      <c r="E27" s="522"/>
      <c r="F27" s="523"/>
      <c r="G27" s="523"/>
      <c r="H27" s="523"/>
      <c r="I27" s="538"/>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4"/>
      <c r="AO27" s="552"/>
      <c r="AP27" s="553"/>
      <c r="AQ27" s="553"/>
      <c r="AR27" s="553"/>
      <c r="AS27" s="553"/>
      <c r="AT27" s="5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row>
    <row r="28" spans="1:76" ht="15" customHeight="1" x14ac:dyDescent="0.25">
      <c r="A28" s="54"/>
      <c r="B28" s="423"/>
      <c r="C28" s="423"/>
      <c r="D28" s="424"/>
      <c r="E28" s="524"/>
      <c r="F28" s="525"/>
      <c r="G28" s="525"/>
      <c r="H28" s="525"/>
      <c r="I28" s="538"/>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4"/>
      <c r="AO28" s="552"/>
      <c r="AP28" s="553"/>
      <c r="AQ28" s="553"/>
      <c r="AR28" s="553"/>
      <c r="AS28" s="553"/>
      <c r="AT28" s="5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row>
    <row r="29" spans="1:76" ht="15" customHeight="1" x14ac:dyDescent="0.25">
      <c r="A29" s="54"/>
      <c r="B29" s="423"/>
      <c r="C29" s="423"/>
      <c r="D29" s="424"/>
      <c r="E29" s="524"/>
      <c r="F29" s="525"/>
      <c r="G29" s="525"/>
      <c r="H29" s="525"/>
      <c r="I29" s="538"/>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4"/>
      <c r="AO29" s="552"/>
      <c r="AP29" s="553"/>
      <c r="AQ29" s="553"/>
      <c r="AR29" s="553"/>
      <c r="AS29" s="553"/>
      <c r="AT29" s="5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row>
    <row r="30" spans="1:76" ht="15" customHeight="1" x14ac:dyDescent="0.25">
      <c r="A30" s="54"/>
      <c r="B30" s="423"/>
      <c r="C30" s="423"/>
      <c r="D30" s="424"/>
      <c r="E30" s="524"/>
      <c r="F30" s="525"/>
      <c r="G30" s="525"/>
      <c r="H30" s="525"/>
      <c r="I30" s="538"/>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R5C1</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4"/>
      <c r="AO30" s="552"/>
      <c r="AP30" s="553"/>
      <c r="AQ30" s="553"/>
      <c r="AR30" s="553"/>
      <c r="AS30" s="553"/>
      <c r="AT30" s="5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row>
    <row r="31" spans="1:76" ht="15" customHeight="1" x14ac:dyDescent="0.25">
      <c r="A31" s="54"/>
      <c r="B31" s="423"/>
      <c r="C31" s="423"/>
      <c r="D31" s="424"/>
      <c r="E31" s="524"/>
      <c r="F31" s="525"/>
      <c r="G31" s="525"/>
      <c r="H31" s="525"/>
      <c r="I31" s="538"/>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4"/>
      <c r="AO31" s="552"/>
      <c r="AP31" s="553"/>
      <c r="AQ31" s="553"/>
      <c r="AR31" s="553"/>
      <c r="AS31" s="553"/>
      <c r="AT31" s="5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row>
    <row r="32" spans="1:76" ht="15" customHeight="1" x14ac:dyDescent="0.25">
      <c r="A32" s="54"/>
      <c r="B32" s="423"/>
      <c r="C32" s="423"/>
      <c r="D32" s="424"/>
      <c r="E32" s="524"/>
      <c r="F32" s="525"/>
      <c r="G32" s="525"/>
      <c r="H32" s="525"/>
      <c r="I32" s="538"/>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4"/>
      <c r="AO32" s="552"/>
      <c r="AP32" s="553"/>
      <c r="AQ32" s="553"/>
      <c r="AR32" s="553"/>
      <c r="AS32" s="553"/>
      <c r="AT32" s="5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row>
    <row r="33" spans="1:80" ht="15" customHeight="1" x14ac:dyDescent="0.25">
      <c r="A33" s="54"/>
      <c r="B33" s="423"/>
      <c r="C33" s="423"/>
      <c r="D33" s="424"/>
      <c r="E33" s="524"/>
      <c r="F33" s="525"/>
      <c r="G33" s="525"/>
      <c r="H33" s="525"/>
      <c r="I33" s="538"/>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4"/>
      <c r="AO33" s="552"/>
      <c r="AP33" s="553"/>
      <c r="AQ33" s="553"/>
      <c r="AR33" s="553"/>
      <c r="AS33" s="553"/>
      <c r="AT33" s="5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row>
    <row r="34" spans="1:80" ht="15" customHeight="1" x14ac:dyDescent="0.25">
      <c r="A34" s="54"/>
      <c r="B34" s="423"/>
      <c r="C34" s="423"/>
      <c r="D34" s="424"/>
      <c r="E34" s="524"/>
      <c r="F34" s="525"/>
      <c r="G34" s="525"/>
      <c r="H34" s="525"/>
      <c r="I34" s="538"/>
      <c r="J34" s="39" t="str">
        <f>IF(AND('MAPA DE RIESGO'!$Z$76="Media",'MAPA DE RIESGO'!$AB$76="Leve"),CONCATENATE("R9C",'MAPA DE RIESGO'!$P$76),"")</f>
        <v/>
      </c>
      <c r="K34" s="40" t="str">
        <f>IF(AND('MAPA DE RIESGO'!$Z$77="Media",'MAPA DE RIESGO'!$AB$77="Leve"),CONCATENATE("R9C",'MAPA DE RIESGO'!$P$77),"")</f>
        <v/>
      </c>
      <c r="L34" s="40" t="str">
        <f>IF(AND('MAPA DE RIESGO'!$Z$78="Media",'MAPA DE RIESGO'!$AB$78="Leve"),CONCATENATE("R9C",'MAPA DE RIESGO'!$P$78),"")</f>
        <v/>
      </c>
      <c r="M34" s="40" t="str">
        <f>IF(AND('MAPA DE RIESGO'!$Z$79="Media",'MAPA DE RIESGO'!$AB$79="Leve"),CONCATENATE("R9C",'MAPA DE RIESGO'!$P$79),"")</f>
        <v/>
      </c>
      <c r="N34" s="40" t="str">
        <f>IF(AND('MAPA DE RIESGO'!$Z$80="Media",'MAPA DE RIESGO'!$AB$80="Leve"),CONCATENATE("R9C",'MAPA DE RIESGO'!$P$80),"")</f>
        <v/>
      </c>
      <c r="O34" s="41" t="str">
        <f>IF(AND('MAPA DE RIESGO'!$Z$81="Media",'MAPA DE RIESGO'!$AB$81="Leve"),CONCATENATE("R9C",'MAPA DE RIESGO'!$P$81),"")</f>
        <v/>
      </c>
      <c r="P34" s="39" t="str">
        <f>IF(AND('MAPA DE RIESGO'!$Z$76="Media",'MAPA DE RIESGO'!$AB$76="Menor"),CONCATENATE("R9C",'MAPA DE RIESGO'!$P$76),"")</f>
        <v/>
      </c>
      <c r="Q34" s="40" t="str">
        <f>IF(AND('MAPA DE RIESGO'!$Z$77="Media",'MAPA DE RIESGO'!$AB$77="Menor"),CONCATENATE("R9C",'MAPA DE RIESGO'!$P$77),"")</f>
        <v/>
      </c>
      <c r="R34" s="40" t="str">
        <f>IF(AND('MAPA DE RIESGO'!$Z$78="Media",'MAPA DE RIESGO'!$AB$78="Menor"),CONCATENATE("R9C",'MAPA DE RIESGO'!$P$78),"")</f>
        <v/>
      </c>
      <c r="S34" s="40" t="str">
        <f>IF(AND('MAPA DE RIESGO'!$Z$79="Media",'MAPA DE RIESGO'!$AB$79="Menor"),CONCATENATE("R9C",'MAPA DE RIESGO'!$P$79),"")</f>
        <v/>
      </c>
      <c r="T34" s="40" t="str">
        <f>IF(AND('MAPA DE RIESGO'!$Z$80="Media",'MAPA DE RIESGO'!$AB$80="Menor"),CONCATENATE("R9C",'MAPA DE RIESGO'!$P$80),"")</f>
        <v/>
      </c>
      <c r="U34" s="41" t="str">
        <f>IF(AND('MAPA DE RIESGO'!$Z$81="Media",'MAPA DE RIESGO'!$AB$81="Menor"),CONCATENATE("R9C",'MAPA DE RIESGO'!$P$81),"")</f>
        <v/>
      </c>
      <c r="V34" s="39" t="str">
        <f>IF(AND('MAPA DE RIESGO'!$Z$76="Media",'MAPA DE RIESGO'!$AB$76="Moderado"),CONCATENATE("R9C",'MAPA DE RIESGO'!$P$76),"")</f>
        <v/>
      </c>
      <c r="W34" s="40" t="str">
        <f>IF(AND('MAPA DE RIESGO'!$Z$77="Media",'MAPA DE RIESGO'!$AB$77="Moderado"),CONCATENATE("R9C",'MAPA DE RIESGO'!$P$77),"")</f>
        <v/>
      </c>
      <c r="X34" s="40" t="str">
        <f>IF(AND('MAPA DE RIESGO'!$Z$78="Media",'MAPA DE RIESGO'!$AB$78="Moderado"),CONCATENATE("R9C",'MAPA DE RIESGO'!$P$78),"")</f>
        <v/>
      </c>
      <c r="Y34" s="40" t="str">
        <f>IF(AND('MAPA DE RIESGO'!$Z$79="Media",'MAPA DE RIESGO'!$AB$79="Moderado"),CONCATENATE("R9C",'MAPA DE RIESGO'!$P$79),"")</f>
        <v/>
      </c>
      <c r="Z34" s="40" t="str">
        <f>IF(AND('MAPA DE RIESGO'!$Z$80="Media",'MAPA DE RIESGO'!$AB$80="Moderado"),CONCATENATE("R9C",'MAPA DE RIESGO'!$P$80),"")</f>
        <v/>
      </c>
      <c r="AA34" s="41" t="str">
        <f>IF(AND('MAPA DE RIESGO'!$Z$81="Media",'MAPA DE RIESGO'!$AB$81="Moderado"),CONCATENATE("R9C",'MAPA DE RIESGO'!$P$81),"")</f>
        <v/>
      </c>
      <c r="AB34" s="23" t="str">
        <f>IF(AND('MAPA DE RIESGO'!$Z$76="Media",'MAPA DE RIESGO'!$AB$76="Mayor"),CONCATENATE("R9C",'MAPA DE RIESGO'!$P$76),"")</f>
        <v/>
      </c>
      <c r="AC34" s="24" t="str">
        <f>IF(AND('MAPA DE RIESGO'!$Z$77="Media",'MAPA DE RIESGO'!$AB$77="Mayor"),CONCATENATE("R9C",'MAPA DE RIESGO'!$P$77),"")</f>
        <v/>
      </c>
      <c r="AD34" s="29" t="str">
        <f>IF(AND('MAPA DE RIESGO'!$Z$78="Media",'MAPA DE RIESGO'!$AB$78="Mayor"),CONCATENATE("R9C",'MAPA DE RIESGO'!$P$78),"")</f>
        <v/>
      </c>
      <c r="AE34" s="29" t="str">
        <f>IF(AND('MAPA DE RIESGO'!$Z$79="Media",'MAPA DE RIESGO'!$AB$79="Mayor"),CONCATENATE("R9C",'MAPA DE RIESGO'!$P$79),"")</f>
        <v/>
      </c>
      <c r="AF34" s="29" t="str">
        <f>IF(AND('MAPA DE RIESGO'!$Z$80="Media",'MAPA DE RIESGO'!$AB$80="Mayor"),CONCATENATE("R9C",'MAPA DE RIESGO'!$P$80),"")</f>
        <v/>
      </c>
      <c r="AG34" s="25" t="str">
        <f>IF(AND('MAPA DE RIESGO'!$Z$81="Media",'MAPA DE RIESGO'!$AB$81="Mayor"),CONCATENATE("R9C",'MAPA DE RIESGO'!$P$81),"")</f>
        <v/>
      </c>
      <c r="AH34" s="26" t="str">
        <f>IF(AND('MAPA DE RIESGO'!$Z$76="Media",'MAPA DE RIESGO'!$AB$76="Catastrófico"),CONCATENATE("R9C",'MAPA DE RIESGO'!$P$76),"")</f>
        <v/>
      </c>
      <c r="AI34" s="27" t="str">
        <f>IF(AND('MAPA DE RIESGO'!$Z$77="Media",'MAPA DE RIESGO'!$AB$77="Catastrófico"),CONCATENATE("R9C",'MAPA DE RIESGO'!$P$77),"")</f>
        <v/>
      </c>
      <c r="AJ34" s="27" t="str">
        <f>IF(AND('MAPA DE RIESGO'!$Z$78="Media",'MAPA DE RIESGO'!$AB$78="Catastrófico"),CONCATENATE("R9C",'MAPA DE RIESGO'!$P$78),"")</f>
        <v/>
      </c>
      <c r="AK34" s="27" t="str">
        <f>IF(AND('MAPA DE RIESGO'!$Z$79="Media",'MAPA DE RIESGO'!$AB$79="Catastrófico"),CONCATENATE("R9C",'MAPA DE RIESGO'!$P$79),"")</f>
        <v/>
      </c>
      <c r="AL34" s="27" t="str">
        <f>IF(AND('MAPA DE RIESGO'!$Z$80="Media",'MAPA DE RIESGO'!$AB$80="Catastrófico"),CONCATENATE("R9C",'MAPA DE RIESGO'!$P$80),"")</f>
        <v/>
      </c>
      <c r="AM34" s="28" t="str">
        <f>IF(AND('MAPA DE RIESGO'!$Z$81="Media",'MAPA DE RIESGO'!$AB$81="Catastrófico"),CONCATENATE("R9C",'MAPA DE RIESGO'!$P$81),"")</f>
        <v/>
      </c>
      <c r="AN34" s="54"/>
      <c r="AO34" s="552"/>
      <c r="AP34" s="553"/>
      <c r="AQ34" s="553"/>
      <c r="AR34" s="553"/>
      <c r="AS34" s="553"/>
      <c r="AT34" s="5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row>
    <row r="35" spans="1:80" ht="15.75" customHeight="1" thickBot="1" x14ac:dyDescent="0.3">
      <c r="A35" s="54"/>
      <c r="B35" s="423"/>
      <c r="C35" s="423"/>
      <c r="D35" s="424"/>
      <c r="E35" s="526"/>
      <c r="F35" s="527"/>
      <c r="G35" s="527"/>
      <c r="H35" s="527"/>
      <c r="I35" s="539"/>
      <c r="J35" s="39" t="str">
        <f>IF(AND('MAPA DE RIESGO'!$Z$82="Media",'MAPA DE RIESGO'!$AB$82="Leve"),CONCATENATE("R10C",'MAPA DE RIESGO'!$P$82),"")</f>
        <v/>
      </c>
      <c r="K35" s="40" t="str">
        <f>IF(AND('MAPA DE RIESGO'!$Z$83="Media",'MAPA DE RIESGO'!$AB$83="Leve"),CONCATENATE("R10C",'MAPA DE RIESGO'!$P$83),"")</f>
        <v/>
      </c>
      <c r="L35" s="40" t="str">
        <f>IF(AND('MAPA DE RIESGO'!$Z$84="Media",'MAPA DE RIESGO'!$AB$84="Leve"),CONCATENATE("R10C",'MAPA DE RIESGO'!$P$84),"")</f>
        <v/>
      </c>
      <c r="M35" s="40" t="str">
        <f>IF(AND('MAPA DE RIESGO'!$Z$85="Media",'MAPA DE RIESGO'!$AB$85="Leve"),CONCATENATE("R10C",'MAPA DE RIESGO'!$P$85),"")</f>
        <v/>
      </c>
      <c r="N35" s="40" t="str">
        <f>IF(AND('MAPA DE RIESGO'!$Z$86="Media",'MAPA DE RIESGO'!$AB$86="Leve"),CONCATENATE("R10C",'MAPA DE RIESGO'!$P$86),"")</f>
        <v/>
      </c>
      <c r="O35" s="41" t="str">
        <f>IF(AND('MAPA DE RIESGO'!$Z$87="Media",'MAPA DE RIESGO'!$AB$87="Leve"),CONCATENATE("R10C",'MAPA DE RIESGO'!$P$87),"")</f>
        <v/>
      </c>
      <c r="P35" s="39" t="str">
        <f>IF(AND('MAPA DE RIESGO'!$Z$82="Media",'MAPA DE RIESGO'!$AB$82="Menor"),CONCATENATE("R10C",'MAPA DE RIESGO'!$P$82),"")</f>
        <v/>
      </c>
      <c r="Q35" s="40" t="str">
        <f>IF(AND('MAPA DE RIESGO'!$Z$83="Media",'MAPA DE RIESGO'!$AB$83="Menor"),CONCATENATE("R10C",'MAPA DE RIESGO'!$P$83),"")</f>
        <v/>
      </c>
      <c r="R35" s="40" t="str">
        <f>IF(AND('MAPA DE RIESGO'!$Z$84="Media",'MAPA DE RIESGO'!$AB$84="Menor"),CONCATENATE("R10C",'MAPA DE RIESGO'!$P$84),"")</f>
        <v/>
      </c>
      <c r="S35" s="40" t="str">
        <f>IF(AND('MAPA DE RIESGO'!$Z$85="Media",'MAPA DE RIESGO'!$AB$85="Menor"),CONCATENATE("R10C",'MAPA DE RIESGO'!$P$85),"")</f>
        <v/>
      </c>
      <c r="T35" s="40" t="str">
        <f>IF(AND('MAPA DE RIESGO'!$Z$86="Media",'MAPA DE RIESGO'!$AB$86="Menor"),CONCATENATE("R10C",'MAPA DE RIESGO'!$P$86),"")</f>
        <v/>
      </c>
      <c r="U35" s="41" t="str">
        <f>IF(AND('MAPA DE RIESGO'!$Z$87="Media",'MAPA DE RIESGO'!$AB$87="Menor"),CONCATENATE("R10C",'MAPA DE RIESGO'!$P$87),"")</f>
        <v/>
      </c>
      <c r="V35" s="39" t="str">
        <f>IF(AND('MAPA DE RIESGO'!$Z$82="Media",'MAPA DE RIESGO'!$AB$82="Moderado"),CONCATENATE("R10C",'MAPA DE RIESGO'!$P$82),"")</f>
        <v/>
      </c>
      <c r="W35" s="40" t="str">
        <f>IF(AND('MAPA DE RIESGO'!$Z$83="Media",'MAPA DE RIESGO'!$AB$83="Moderado"),CONCATENATE("R10C",'MAPA DE RIESGO'!$P$83),"")</f>
        <v/>
      </c>
      <c r="X35" s="40" t="str">
        <f>IF(AND('MAPA DE RIESGO'!$Z$84="Media",'MAPA DE RIESGO'!$AB$84="Moderado"),CONCATENATE("R10C",'MAPA DE RIESGO'!$P$84),"")</f>
        <v/>
      </c>
      <c r="Y35" s="40" t="str">
        <f>IF(AND('MAPA DE RIESGO'!$Z$85="Media",'MAPA DE RIESGO'!$AB$85="Moderado"),CONCATENATE("R10C",'MAPA DE RIESGO'!$P$85),"")</f>
        <v/>
      </c>
      <c r="Z35" s="40" t="str">
        <f>IF(AND('MAPA DE RIESGO'!$Z$86="Media",'MAPA DE RIESGO'!$AB$86="Moderado"),CONCATENATE("R10C",'MAPA DE RIESGO'!$P$86),"")</f>
        <v/>
      </c>
      <c r="AA35" s="41" t="str">
        <f>IF(AND('MAPA DE RIESGO'!$Z$87="Media",'MAPA DE RIESGO'!$AB$87="Moderado"),CONCATENATE("R10C",'MAPA DE RIESGO'!$P$87),"")</f>
        <v/>
      </c>
      <c r="AB35" s="30" t="str">
        <f>IF(AND('MAPA DE RIESGO'!$Z$82="Media",'MAPA DE RIESGO'!$AB$82="Mayor"),CONCATENATE("R10C",'MAPA DE RIESGO'!$P$82),"")</f>
        <v/>
      </c>
      <c r="AC35" s="31" t="str">
        <f>IF(AND('MAPA DE RIESGO'!$Z$83="Media",'MAPA DE RIESGO'!$AB$83="Mayor"),CONCATENATE("R10C",'MAPA DE RIESGO'!$P$83),"")</f>
        <v/>
      </c>
      <c r="AD35" s="31" t="str">
        <f>IF(AND('MAPA DE RIESGO'!$Z$84="Media",'MAPA DE RIESGO'!$AB$84="Mayor"),CONCATENATE("R10C",'MAPA DE RIESGO'!$P$84),"")</f>
        <v/>
      </c>
      <c r="AE35" s="31" t="str">
        <f>IF(AND('MAPA DE RIESGO'!$Z$85="Media",'MAPA DE RIESGO'!$AB$85="Mayor"),CONCATENATE("R10C",'MAPA DE RIESGO'!$P$85),"")</f>
        <v/>
      </c>
      <c r="AF35" s="31" t="str">
        <f>IF(AND('MAPA DE RIESGO'!$Z$86="Media",'MAPA DE RIESGO'!$AB$86="Mayor"),CONCATENATE("R10C",'MAPA DE RIESGO'!$P$86),"")</f>
        <v/>
      </c>
      <c r="AG35" s="32" t="str">
        <f>IF(AND('MAPA DE RIESGO'!$Z$87="Media",'MAPA DE RIESGO'!$AB$87="Mayor"),CONCATENATE("R10C",'MAPA DE RIESGO'!$P$87),"")</f>
        <v/>
      </c>
      <c r="AH35" s="33" t="str">
        <f>IF(AND('MAPA DE RIESGO'!$Z$82="Media",'MAPA DE RIESGO'!$AB$82="Catastrófico"),CONCATENATE("R10C",'MAPA DE RIESGO'!$P$82),"")</f>
        <v/>
      </c>
      <c r="AI35" s="34" t="str">
        <f>IF(AND('MAPA DE RIESGO'!$Z$83="Media",'MAPA DE RIESGO'!$AB$83="Catastrófico"),CONCATENATE("R10C",'MAPA DE RIESGO'!$P$83),"")</f>
        <v/>
      </c>
      <c r="AJ35" s="34" t="str">
        <f>IF(AND('MAPA DE RIESGO'!$Z$84="Media",'MAPA DE RIESGO'!$AB$84="Catastrófico"),CONCATENATE("R10C",'MAPA DE RIESGO'!$P$84),"")</f>
        <v/>
      </c>
      <c r="AK35" s="34" t="str">
        <f>IF(AND('MAPA DE RIESGO'!$Z$85="Media",'MAPA DE RIESGO'!$AB$85="Catastrófico"),CONCATENATE("R10C",'MAPA DE RIESGO'!$P$85),"")</f>
        <v/>
      </c>
      <c r="AL35" s="34" t="str">
        <f>IF(AND('MAPA DE RIESGO'!$Z$86="Media",'MAPA DE RIESGO'!$AB$86="Catastrófico"),CONCATENATE("R10C",'MAPA DE RIESGO'!$P$86),"")</f>
        <v/>
      </c>
      <c r="AM35" s="35" t="str">
        <f>IF(AND('MAPA DE RIESGO'!$Z$87="Media",'MAPA DE RIESGO'!$AB$87="Catastrófico"),CONCATENATE("R10C",'MAPA DE RIESGO'!$P$87),"")</f>
        <v/>
      </c>
      <c r="AN35" s="54"/>
      <c r="AO35" s="555"/>
      <c r="AP35" s="556"/>
      <c r="AQ35" s="556"/>
      <c r="AR35" s="556"/>
      <c r="AS35" s="556"/>
      <c r="AT35" s="557"/>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80" ht="15" customHeight="1" x14ac:dyDescent="0.25">
      <c r="A36" s="54"/>
      <c r="B36" s="423"/>
      <c r="C36" s="423"/>
      <c r="D36" s="424"/>
      <c r="E36" s="520" t="s">
        <v>289</v>
      </c>
      <c r="F36" s="521"/>
      <c r="G36" s="521"/>
      <c r="H36" s="521"/>
      <c r="I36" s="521"/>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7" t="str">
        <f>IF(AND('MAPA DE RIESGO'!$Z$16="Baja",'MAPA DE RIESGO'!$AB$16="Mayor"),CONCATENATE("R1C",'MAPA DE RIESGO'!$P$16),"")</f>
        <v>R1C1</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4"/>
      <c r="AO36" s="540" t="s">
        <v>290</v>
      </c>
      <c r="AP36" s="541"/>
      <c r="AQ36" s="541"/>
      <c r="AR36" s="541"/>
      <c r="AS36" s="541"/>
      <c r="AT36" s="542"/>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80" ht="15" customHeight="1" x14ac:dyDescent="0.25">
      <c r="A37" s="54"/>
      <c r="B37" s="423"/>
      <c r="C37" s="423"/>
      <c r="D37" s="424"/>
      <c r="E37" s="522"/>
      <c r="F37" s="523"/>
      <c r="G37" s="523"/>
      <c r="H37" s="523"/>
      <c r="I37" s="523"/>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R2C2</v>
      </c>
      <c r="AD37" s="24" t="str">
        <f>IF(AND('MAPA DE RIESGO'!$Z$24="Baja",'MAPA DE RIESGO'!$AB$24="Mayor"),CONCATENATE("R2C",'MAPA DE RIESGO'!$P$24),"")</f>
        <v>R2C3</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4"/>
      <c r="AO37" s="543"/>
      <c r="AP37" s="544"/>
      <c r="AQ37" s="544"/>
      <c r="AR37" s="544"/>
      <c r="AS37" s="544"/>
      <c r="AT37" s="545"/>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80" ht="15" customHeight="1" x14ac:dyDescent="0.25">
      <c r="A38" s="54"/>
      <c r="B38" s="423"/>
      <c r="C38" s="423"/>
      <c r="D38" s="424"/>
      <c r="E38" s="524"/>
      <c r="F38" s="525"/>
      <c r="G38" s="525"/>
      <c r="H38" s="525"/>
      <c r="I38" s="523"/>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R3C1</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R3C2</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4"/>
      <c r="AO38" s="543"/>
      <c r="AP38" s="544"/>
      <c r="AQ38" s="544"/>
      <c r="AR38" s="544"/>
      <c r="AS38" s="544"/>
      <c r="AT38" s="545"/>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80" ht="15" customHeight="1" x14ac:dyDescent="0.25">
      <c r="A39" s="54"/>
      <c r="B39" s="423"/>
      <c r="C39" s="423"/>
      <c r="D39" s="424"/>
      <c r="E39" s="524"/>
      <c r="F39" s="525"/>
      <c r="G39" s="525"/>
      <c r="H39" s="525"/>
      <c r="I39" s="523"/>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4"/>
      <c r="AO39" s="543"/>
      <c r="AP39" s="544"/>
      <c r="AQ39" s="544"/>
      <c r="AR39" s="544"/>
      <c r="AS39" s="544"/>
      <c r="AT39" s="545"/>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80" ht="15" customHeight="1" x14ac:dyDescent="0.25">
      <c r="A40" s="54"/>
      <c r="B40" s="423"/>
      <c r="C40" s="423"/>
      <c r="D40" s="424"/>
      <c r="E40" s="524"/>
      <c r="F40" s="525"/>
      <c r="G40" s="525"/>
      <c r="H40" s="525"/>
      <c r="I40" s="523"/>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4"/>
      <c r="AO40" s="543"/>
      <c r="AP40" s="544"/>
      <c r="AQ40" s="544"/>
      <c r="AR40" s="544"/>
      <c r="AS40" s="544"/>
      <c r="AT40" s="545"/>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80" ht="15" customHeight="1" x14ac:dyDescent="0.25">
      <c r="A41" s="54"/>
      <c r="B41" s="423"/>
      <c r="C41" s="423"/>
      <c r="D41" s="424"/>
      <c r="E41" s="524"/>
      <c r="F41" s="525"/>
      <c r="G41" s="525"/>
      <c r="H41" s="525"/>
      <c r="I41" s="523"/>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R6C1</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4"/>
      <c r="AO41" s="543"/>
      <c r="AP41" s="544"/>
      <c r="AQ41" s="544"/>
      <c r="AR41" s="544"/>
      <c r="AS41" s="544"/>
      <c r="AT41" s="545"/>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80" ht="15" customHeight="1" x14ac:dyDescent="0.25">
      <c r="A42" s="54"/>
      <c r="B42" s="423"/>
      <c r="C42" s="423"/>
      <c r="D42" s="424"/>
      <c r="E42" s="524"/>
      <c r="F42" s="525"/>
      <c r="G42" s="525"/>
      <c r="H42" s="525"/>
      <c r="I42" s="523"/>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4"/>
      <c r="AO42" s="543"/>
      <c r="AP42" s="544"/>
      <c r="AQ42" s="544"/>
      <c r="AR42" s="544"/>
      <c r="AS42" s="544"/>
      <c r="AT42" s="545"/>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row>
    <row r="43" spans="1:80" ht="15" customHeight="1" x14ac:dyDescent="0.25">
      <c r="A43" s="54"/>
      <c r="B43" s="423"/>
      <c r="C43" s="423"/>
      <c r="D43" s="424"/>
      <c r="E43" s="524"/>
      <c r="F43" s="525"/>
      <c r="G43" s="525"/>
      <c r="H43" s="525"/>
      <c r="I43" s="523"/>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R8C1</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4"/>
      <c r="AO43" s="543"/>
      <c r="AP43" s="544"/>
      <c r="AQ43" s="544"/>
      <c r="AR43" s="544"/>
      <c r="AS43" s="544"/>
      <c r="AT43" s="545"/>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row>
    <row r="44" spans="1:80" ht="15" customHeight="1" x14ac:dyDescent="0.25">
      <c r="A44" s="54"/>
      <c r="B44" s="423"/>
      <c r="C44" s="423"/>
      <c r="D44" s="424"/>
      <c r="E44" s="524"/>
      <c r="F44" s="525"/>
      <c r="G44" s="525"/>
      <c r="H44" s="525"/>
      <c r="I44" s="523"/>
      <c r="J44" s="48" t="str">
        <f>IF(AND('MAPA DE RIESGO'!$Z$76="Baja",'MAPA DE RIESGO'!$AB$76="Leve"),CONCATENATE("R9C",'MAPA DE RIESGO'!$P$76),"")</f>
        <v/>
      </c>
      <c r="K44" s="49" t="str">
        <f>IF(AND('MAPA DE RIESGO'!$Z$77="Baja",'MAPA DE RIESGO'!$AB$77="Leve"),CONCATENATE("R9C",'MAPA DE RIESGO'!$P$77),"")</f>
        <v/>
      </c>
      <c r="L44" s="49" t="str">
        <f>IF(AND('MAPA DE RIESGO'!$Z$78="Baja",'MAPA DE RIESGO'!$AB$78="Leve"),CONCATENATE("R9C",'MAPA DE RIESGO'!$P$78),"")</f>
        <v/>
      </c>
      <c r="M44" s="49" t="str">
        <f>IF(AND('MAPA DE RIESGO'!$Z$79="Baja",'MAPA DE RIESGO'!$AB$79="Leve"),CONCATENATE("R9C",'MAPA DE RIESGO'!$P$79),"")</f>
        <v/>
      </c>
      <c r="N44" s="49" t="str">
        <f>IF(AND('MAPA DE RIESGO'!$Z$80="Baja",'MAPA DE RIESGO'!$AB$80="Leve"),CONCATENATE("R9C",'MAPA DE RIESGO'!$P$80),"")</f>
        <v/>
      </c>
      <c r="O44" s="50" t="str">
        <f>IF(AND('MAPA DE RIESGO'!$Z$81="Baja",'MAPA DE RIESGO'!$AB$81="Leve"),CONCATENATE("R9C",'MAPA DE RIESGO'!$P$81),"")</f>
        <v/>
      </c>
      <c r="P44" s="39" t="str">
        <f>IF(AND('MAPA DE RIESGO'!$Z$76="Baja",'MAPA DE RIESGO'!$AB$76="Menor"),CONCATENATE("R9C",'MAPA DE RIESGO'!$P$76),"")</f>
        <v/>
      </c>
      <c r="Q44" s="40" t="str">
        <f>IF(AND('MAPA DE RIESGO'!$Z$77="Baja",'MAPA DE RIESGO'!$AB$77="Menor"),CONCATENATE("R9C",'MAPA DE RIESGO'!$P$77),"")</f>
        <v/>
      </c>
      <c r="R44" s="40" t="str">
        <f>IF(AND('MAPA DE RIESGO'!$Z$78="Baja",'MAPA DE RIESGO'!$AB$78="Menor"),CONCATENATE("R9C",'MAPA DE RIESGO'!$P$78),"")</f>
        <v/>
      </c>
      <c r="S44" s="40" t="str">
        <f>IF(AND('MAPA DE RIESGO'!$Z$79="Baja",'MAPA DE RIESGO'!$AB$79="Menor"),CONCATENATE("R9C",'MAPA DE RIESGO'!$P$79),"")</f>
        <v/>
      </c>
      <c r="T44" s="40" t="str">
        <f>IF(AND('MAPA DE RIESGO'!$Z$80="Baja",'MAPA DE RIESGO'!$AB$80="Menor"),CONCATENATE("R9C",'MAPA DE RIESGO'!$P$80),"")</f>
        <v/>
      </c>
      <c r="U44" s="41" t="str">
        <f>IF(AND('MAPA DE RIESGO'!$Z$81="Baja",'MAPA DE RIESGO'!$AB$81="Menor"),CONCATENATE("R9C",'MAPA DE RIESGO'!$P$81),"")</f>
        <v/>
      </c>
      <c r="V44" s="39" t="str">
        <f>IF(AND('MAPA DE RIESGO'!$Z$76="Baja",'MAPA DE RIESGO'!$AB$76="Moderado"),CONCATENATE("R9C",'MAPA DE RIESGO'!$P$76),"")</f>
        <v>R9C1</v>
      </c>
      <c r="W44" s="40" t="str">
        <f>IF(AND('MAPA DE RIESGO'!$Z$77="Baja",'MAPA DE RIESGO'!$AB$77="Moderado"),CONCATENATE("R9C",'MAPA DE RIESGO'!$P$77),"")</f>
        <v>R9C2</v>
      </c>
      <c r="X44" s="40" t="str">
        <f>IF(AND('MAPA DE RIESGO'!$Z$78="Baja",'MAPA DE RIESGO'!$AB$78="Moderado"),CONCATENATE("R9C",'MAPA DE RIESGO'!$P$78),"")</f>
        <v/>
      </c>
      <c r="Y44" s="40" t="str">
        <f>IF(AND('MAPA DE RIESGO'!$Z$79="Baja",'MAPA DE RIESGO'!$AB$79="Moderado"),CONCATENATE("R9C",'MAPA DE RIESGO'!$P$79),"")</f>
        <v/>
      </c>
      <c r="Z44" s="40" t="str">
        <f>IF(AND('MAPA DE RIESGO'!$Z$80="Baja",'MAPA DE RIESGO'!$AB$80="Moderado"),CONCATENATE("R9C",'MAPA DE RIESGO'!$P$80),"")</f>
        <v/>
      </c>
      <c r="AA44" s="41" t="str">
        <f>IF(AND('MAPA DE RIESGO'!$Z$81="Baja",'MAPA DE RIESGO'!$AB$81="Moderado"),CONCATENATE("R9C",'MAPA DE RIESGO'!$P$81),"")</f>
        <v/>
      </c>
      <c r="AB44" s="23" t="str">
        <f>IF(AND('MAPA DE RIESGO'!$Z$76="Baja",'MAPA DE RIESGO'!$AB$76="Mayor"),CONCATENATE("R9C",'MAPA DE RIESGO'!$P$76),"")</f>
        <v/>
      </c>
      <c r="AC44" s="24" t="str">
        <f>IF(AND('MAPA DE RIESGO'!$Z$77="Baja",'MAPA DE RIESGO'!$AB$77="Mayor"),CONCATENATE("R9C",'MAPA DE RIESGO'!$P$77),"")</f>
        <v/>
      </c>
      <c r="AD44" s="29" t="str">
        <f>IF(AND('MAPA DE RIESGO'!$Z$78="Baja",'MAPA DE RIESGO'!$AB$78="Mayor"),CONCATENATE("R9C",'MAPA DE RIESGO'!$P$78),"")</f>
        <v/>
      </c>
      <c r="AE44" s="29" t="str">
        <f>IF(AND('MAPA DE RIESGO'!$Z$79="Baja",'MAPA DE RIESGO'!$AB$79="Mayor"),CONCATENATE("R9C",'MAPA DE RIESGO'!$P$79),"")</f>
        <v/>
      </c>
      <c r="AF44" s="29" t="str">
        <f>IF(AND('MAPA DE RIESGO'!$Z$80="Baja",'MAPA DE RIESGO'!$AB$80="Mayor"),CONCATENATE("R9C",'MAPA DE RIESGO'!$P$80),"")</f>
        <v/>
      </c>
      <c r="AG44" s="25" t="str">
        <f>IF(AND('MAPA DE RIESGO'!$Z$81="Baja",'MAPA DE RIESGO'!$AB$81="Mayor"),CONCATENATE("R9C",'MAPA DE RIESGO'!$P$81),"")</f>
        <v/>
      </c>
      <c r="AH44" s="26" t="str">
        <f>IF(AND('MAPA DE RIESGO'!$Z$76="Baja",'MAPA DE RIESGO'!$AB$76="Catastrófico"),CONCATENATE("R9C",'MAPA DE RIESGO'!$P$76),"")</f>
        <v/>
      </c>
      <c r="AI44" s="27" t="str">
        <f>IF(AND('MAPA DE RIESGO'!$Z$77="Baja",'MAPA DE RIESGO'!$AB$77="Catastrófico"),CONCATENATE("R9C",'MAPA DE RIESGO'!$P$77),"")</f>
        <v/>
      </c>
      <c r="AJ44" s="27" t="str">
        <f>IF(AND('MAPA DE RIESGO'!$Z$78="Baja",'MAPA DE RIESGO'!$AB$78="Catastrófico"),CONCATENATE("R9C",'MAPA DE RIESGO'!$P$78),"")</f>
        <v/>
      </c>
      <c r="AK44" s="27" t="str">
        <f>IF(AND('MAPA DE RIESGO'!$Z$79="Baja",'MAPA DE RIESGO'!$AB$79="Catastrófico"),CONCATENATE("R9C",'MAPA DE RIESGO'!$P$79),"")</f>
        <v/>
      </c>
      <c r="AL44" s="27" t="str">
        <f>IF(AND('MAPA DE RIESGO'!$Z$80="Baja",'MAPA DE RIESGO'!$AB$80="Catastrófico"),CONCATENATE("R9C",'MAPA DE RIESGO'!$P$80),"")</f>
        <v/>
      </c>
      <c r="AM44" s="28" t="str">
        <f>IF(AND('MAPA DE RIESGO'!$Z$81="Baja",'MAPA DE RIESGO'!$AB$81="Catastrófico"),CONCATENATE("R9C",'MAPA DE RIESGO'!$P$81),"")</f>
        <v/>
      </c>
      <c r="AN44" s="54"/>
      <c r="AO44" s="543"/>
      <c r="AP44" s="544"/>
      <c r="AQ44" s="544"/>
      <c r="AR44" s="544"/>
      <c r="AS44" s="544"/>
      <c r="AT44" s="545"/>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row>
    <row r="45" spans="1:80" ht="15.75" customHeight="1" thickBot="1" x14ac:dyDescent="0.3">
      <c r="A45" s="54"/>
      <c r="B45" s="423"/>
      <c r="C45" s="423"/>
      <c r="D45" s="424"/>
      <c r="E45" s="526"/>
      <c r="F45" s="527"/>
      <c r="G45" s="527"/>
      <c r="H45" s="527"/>
      <c r="I45" s="527"/>
      <c r="J45" s="51" t="str">
        <f>IF(AND('MAPA DE RIESGO'!$Z$82="Baja",'MAPA DE RIESGO'!$AB$82="Leve"),CONCATENATE("R10C",'MAPA DE RIESGO'!$P$82),"")</f>
        <v/>
      </c>
      <c r="K45" s="52" t="str">
        <f>IF(AND('MAPA DE RIESGO'!$Z$83="Baja",'MAPA DE RIESGO'!$AB$83="Leve"),CONCATENATE("R10C",'MAPA DE RIESGO'!$P$83),"")</f>
        <v/>
      </c>
      <c r="L45" s="52" t="str">
        <f>IF(AND('MAPA DE RIESGO'!$Z$84="Baja",'MAPA DE RIESGO'!$AB$84="Leve"),CONCATENATE("R10C",'MAPA DE RIESGO'!$P$84),"")</f>
        <v/>
      </c>
      <c r="M45" s="52" t="str">
        <f>IF(AND('MAPA DE RIESGO'!$Z$85="Baja",'MAPA DE RIESGO'!$AB$85="Leve"),CONCATENATE("R10C",'MAPA DE RIESGO'!$P$85),"")</f>
        <v/>
      </c>
      <c r="N45" s="52" t="str">
        <f>IF(AND('MAPA DE RIESGO'!$Z$86="Baja",'MAPA DE RIESGO'!$AB$86="Leve"),CONCATENATE("R10C",'MAPA DE RIESGO'!$P$86),"")</f>
        <v/>
      </c>
      <c r="O45" s="53" t="str">
        <f>IF(AND('MAPA DE RIESGO'!$Z$87="Baja",'MAPA DE RIESGO'!$AB$87="Leve"),CONCATENATE("R10C",'MAPA DE RIESGO'!$P$87),"")</f>
        <v/>
      </c>
      <c r="P45" s="39" t="str">
        <f>IF(AND('MAPA DE RIESGO'!$Z$82="Baja",'MAPA DE RIESGO'!$AB$82="Menor"),CONCATENATE("R10C",'MAPA DE RIESGO'!$P$82),"")</f>
        <v/>
      </c>
      <c r="Q45" s="40" t="str">
        <f>IF(AND('MAPA DE RIESGO'!$Z$83="Baja",'MAPA DE RIESGO'!$AB$83="Menor"),CONCATENATE("R10C",'MAPA DE RIESGO'!$P$83),"")</f>
        <v/>
      </c>
      <c r="R45" s="40" t="str">
        <f>IF(AND('MAPA DE RIESGO'!$Z$84="Baja",'MAPA DE RIESGO'!$AB$84="Menor"),CONCATENATE("R10C",'MAPA DE RIESGO'!$P$84),"")</f>
        <v/>
      </c>
      <c r="S45" s="40" t="str">
        <f>IF(AND('MAPA DE RIESGO'!$Z$85="Baja",'MAPA DE RIESGO'!$AB$85="Menor"),CONCATENATE("R10C",'MAPA DE RIESGO'!$P$85),"")</f>
        <v/>
      </c>
      <c r="T45" s="40" t="str">
        <f>IF(AND('MAPA DE RIESGO'!$Z$86="Baja",'MAPA DE RIESGO'!$AB$86="Menor"),CONCATENATE("R10C",'MAPA DE RIESGO'!$P$86),"")</f>
        <v/>
      </c>
      <c r="U45" s="41" t="str">
        <f>IF(AND('MAPA DE RIESGO'!$Z$87="Baja",'MAPA DE RIESGO'!$AB$87="Menor"),CONCATENATE("R10C",'MAPA DE RIESGO'!$P$87),"")</f>
        <v/>
      </c>
      <c r="V45" s="42" t="str">
        <f>IF(AND('MAPA DE RIESGO'!$Z$82="Baja",'MAPA DE RIESGO'!$AB$82="Moderado"),CONCATENATE("R10C",'MAPA DE RIESGO'!$P$82),"")</f>
        <v>R10C1</v>
      </c>
      <c r="W45" s="43" t="str">
        <f>IF(AND('MAPA DE RIESGO'!$Z$83="Baja",'MAPA DE RIESGO'!$AB$83="Moderado"),CONCATENATE("R10C",'MAPA DE RIESGO'!$P$83),"")</f>
        <v>R10C2</v>
      </c>
      <c r="X45" s="43" t="str">
        <f>IF(AND('MAPA DE RIESGO'!$Z$84="Baja",'MAPA DE RIESGO'!$AB$84="Moderado"),CONCATENATE("R10C",'MAPA DE RIESGO'!$P$84),"")</f>
        <v/>
      </c>
      <c r="Y45" s="43" t="str">
        <f>IF(AND('MAPA DE RIESGO'!$Z$85="Baja",'MAPA DE RIESGO'!$AB$85="Moderado"),CONCATENATE("R10C",'MAPA DE RIESGO'!$P$85),"")</f>
        <v/>
      </c>
      <c r="Z45" s="43" t="str">
        <f>IF(AND('MAPA DE RIESGO'!$Z$86="Baja",'MAPA DE RIESGO'!$AB$86="Moderado"),CONCATENATE("R10C",'MAPA DE RIESGO'!$P$86),"")</f>
        <v/>
      </c>
      <c r="AA45" s="44" t="str">
        <f>IF(AND('MAPA DE RIESGO'!$Z$87="Baja",'MAPA DE RIESGO'!$AB$87="Moderado"),CONCATENATE("R10C",'MAPA DE RIESGO'!$P$87),"")</f>
        <v/>
      </c>
      <c r="AB45" s="30" t="str">
        <f>IF(AND('MAPA DE RIESGO'!$Z$82="Baja",'MAPA DE RIESGO'!$AB$82="Mayor"),CONCATENATE("R10C",'MAPA DE RIESGO'!$P$82),"")</f>
        <v/>
      </c>
      <c r="AC45" s="31" t="str">
        <f>IF(AND('MAPA DE RIESGO'!$Z$83="Baja",'MAPA DE RIESGO'!$AB$83="Mayor"),CONCATENATE("R10C",'MAPA DE RIESGO'!$P$83),"")</f>
        <v/>
      </c>
      <c r="AD45" s="31" t="str">
        <f>IF(AND('MAPA DE RIESGO'!$Z$84="Baja",'MAPA DE RIESGO'!$AB$84="Mayor"),CONCATENATE("R10C",'MAPA DE RIESGO'!$P$84),"")</f>
        <v/>
      </c>
      <c r="AE45" s="31" t="str">
        <f>IF(AND('MAPA DE RIESGO'!$Z$85="Baja",'MAPA DE RIESGO'!$AB$85="Mayor"),CONCATENATE("R10C",'MAPA DE RIESGO'!$P$85),"")</f>
        <v/>
      </c>
      <c r="AF45" s="31" t="str">
        <f>IF(AND('MAPA DE RIESGO'!$Z$86="Baja",'MAPA DE RIESGO'!$AB$86="Mayor"),CONCATENATE("R10C",'MAPA DE RIESGO'!$P$86),"")</f>
        <v/>
      </c>
      <c r="AG45" s="32" t="str">
        <f>IF(AND('MAPA DE RIESGO'!$Z$87="Baja",'MAPA DE RIESGO'!$AB$87="Mayor"),CONCATENATE("R10C",'MAPA DE RIESGO'!$P$87),"")</f>
        <v/>
      </c>
      <c r="AH45" s="33" t="str">
        <f>IF(AND('MAPA DE RIESGO'!$Z$82="Baja",'MAPA DE RIESGO'!$AB$82="Catastrófico"),CONCATENATE("R10C",'MAPA DE RIESGO'!$P$82),"")</f>
        <v/>
      </c>
      <c r="AI45" s="34" t="str">
        <f>IF(AND('MAPA DE RIESGO'!$Z$83="Baja",'MAPA DE RIESGO'!$AB$83="Catastrófico"),CONCATENATE("R10C",'MAPA DE RIESGO'!$P$83),"")</f>
        <v/>
      </c>
      <c r="AJ45" s="34" t="str">
        <f>IF(AND('MAPA DE RIESGO'!$Z$84="Baja",'MAPA DE RIESGO'!$AB$84="Catastrófico"),CONCATENATE("R10C",'MAPA DE RIESGO'!$P$84),"")</f>
        <v/>
      </c>
      <c r="AK45" s="34" t="str">
        <f>IF(AND('MAPA DE RIESGO'!$Z$85="Baja",'MAPA DE RIESGO'!$AB$85="Catastrófico"),CONCATENATE("R10C",'MAPA DE RIESGO'!$P$85),"")</f>
        <v/>
      </c>
      <c r="AL45" s="34" t="str">
        <f>IF(AND('MAPA DE RIESGO'!$Z$86="Baja",'MAPA DE RIESGO'!$AB$86="Catastrófico"),CONCATENATE("R10C",'MAPA DE RIESGO'!$P$86),"")</f>
        <v/>
      </c>
      <c r="AM45" s="35" t="str">
        <f>IF(AND('MAPA DE RIESGO'!$Z$87="Baja",'MAPA DE RIESGO'!$AB$87="Catastrófico"),CONCATENATE("R10C",'MAPA DE RIESGO'!$P$87),"")</f>
        <v/>
      </c>
      <c r="AN45" s="54"/>
      <c r="AO45" s="546"/>
      <c r="AP45" s="547"/>
      <c r="AQ45" s="547"/>
      <c r="AR45" s="547"/>
      <c r="AS45" s="547"/>
      <c r="AT45" s="548"/>
    </row>
    <row r="46" spans="1:80" ht="46.5" customHeight="1" x14ac:dyDescent="0.25">
      <c r="A46" s="54"/>
      <c r="B46" s="423"/>
      <c r="C46" s="423"/>
      <c r="D46" s="424"/>
      <c r="E46" s="520" t="s">
        <v>291</v>
      </c>
      <c r="F46" s="521"/>
      <c r="G46" s="521"/>
      <c r="H46" s="521"/>
      <c r="I46" s="537"/>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37"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R1C2</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ht="46.5" customHeight="1" x14ac:dyDescent="0.25">
      <c r="A47" s="54"/>
      <c r="B47" s="423"/>
      <c r="C47" s="423"/>
      <c r="D47" s="424"/>
      <c r="E47" s="522"/>
      <c r="F47" s="523"/>
      <c r="G47" s="523"/>
      <c r="H47" s="523"/>
      <c r="I47" s="538"/>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ht="15" customHeight="1" x14ac:dyDescent="0.25">
      <c r="A48" s="54"/>
      <c r="B48" s="423"/>
      <c r="C48" s="423"/>
      <c r="D48" s="424"/>
      <c r="E48" s="522"/>
      <c r="F48" s="523"/>
      <c r="G48" s="523"/>
      <c r="H48" s="523"/>
      <c r="I48" s="538"/>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ht="15" customHeight="1" x14ac:dyDescent="0.25">
      <c r="A49" s="54"/>
      <c r="B49" s="423"/>
      <c r="C49" s="423"/>
      <c r="D49" s="424"/>
      <c r="E49" s="524"/>
      <c r="F49" s="525"/>
      <c r="G49" s="525"/>
      <c r="H49" s="525"/>
      <c r="I49" s="538"/>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ht="15" customHeight="1" x14ac:dyDescent="0.25">
      <c r="A50" s="54"/>
      <c r="B50" s="423"/>
      <c r="C50" s="423"/>
      <c r="D50" s="424"/>
      <c r="E50" s="524"/>
      <c r="F50" s="525"/>
      <c r="G50" s="525"/>
      <c r="H50" s="525"/>
      <c r="I50" s="538"/>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customHeight="1" x14ac:dyDescent="0.25">
      <c r="A51" s="54"/>
      <c r="B51" s="423"/>
      <c r="C51" s="423"/>
      <c r="D51" s="424"/>
      <c r="E51" s="524"/>
      <c r="F51" s="525"/>
      <c r="G51" s="525"/>
      <c r="H51" s="525"/>
      <c r="I51" s="538"/>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ht="15" customHeight="1" x14ac:dyDescent="0.25">
      <c r="A52" s="54"/>
      <c r="B52" s="423"/>
      <c r="C52" s="423"/>
      <c r="D52" s="424"/>
      <c r="E52" s="524"/>
      <c r="F52" s="525"/>
      <c r="G52" s="525"/>
      <c r="H52" s="525"/>
      <c r="I52" s="538"/>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R7C2</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R7C1</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423"/>
      <c r="C53" s="423"/>
      <c r="D53" s="424"/>
      <c r="E53" s="524"/>
      <c r="F53" s="525"/>
      <c r="G53" s="525"/>
      <c r="H53" s="525"/>
      <c r="I53" s="538"/>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423"/>
      <c r="C54" s="423"/>
      <c r="D54" s="424"/>
      <c r="E54" s="524"/>
      <c r="F54" s="525"/>
      <c r="G54" s="525"/>
      <c r="H54" s="525"/>
      <c r="I54" s="538"/>
      <c r="J54" s="48" t="str">
        <f>IF(AND('MAPA DE RIESGO'!$Z$76="Muy Baja",'MAPA DE RIESGO'!$AB$76="Leve"),CONCATENATE("R9C",'MAPA DE RIESGO'!$P$76),"")</f>
        <v/>
      </c>
      <c r="K54" s="49" t="str">
        <f>IF(AND('MAPA DE RIESGO'!$Z$77="Muy Baja",'MAPA DE RIESGO'!$AB$77="Leve"),CONCATENATE("R9C",'MAPA DE RIESGO'!$P$77),"")</f>
        <v/>
      </c>
      <c r="L54" s="49" t="str">
        <f>IF(AND('MAPA DE RIESGO'!$Z$78="Muy Baja",'MAPA DE RIESGO'!$AB$78="Leve"),CONCATENATE("R9C",'MAPA DE RIESGO'!$P$78),"")</f>
        <v/>
      </c>
      <c r="M54" s="49" t="str">
        <f>IF(AND('MAPA DE RIESGO'!$Z$79="Muy Baja",'MAPA DE RIESGO'!$AB$79="Leve"),CONCATENATE("R9C",'MAPA DE RIESGO'!$P$79),"")</f>
        <v/>
      </c>
      <c r="N54" s="49" t="str">
        <f>IF(AND('MAPA DE RIESGO'!$Z$80="Muy Baja",'MAPA DE RIESGO'!$AB$80="Leve"),CONCATENATE("R9C",'MAPA DE RIESGO'!$P$80),"")</f>
        <v/>
      </c>
      <c r="O54" s="50" t="str">
        <f>IF(AND('MAPA DE RIESGO'!$Z$81="Muy Baja",'MAPA DE RIESGO'!$AB$81="Leve"),CONCATENATE("R9C",'MAPA DE RIESGO'!$P$81),"")</f>
        <v/>
      </c>
      <c r="P54" s="48" t="str">
        <f>IF(AND('MAPA DE RIESGO'!$Z$76="Muy Baja",'MAPA DE RIESGO'!$AB$76="Menor"),CONCATENATE("R9C",'MAPA DE RIESGO'!$P$76),"")</f>
        <v/>
      </c>
      <c r="Q54" s="49" t="str">
        <f>IF(AND('MAPA DE RIESGO'!$Z$77="Muy Baja",'MAPA DE RIESGO'!$AB$77="Menor"),CONCATENATE("R9C",'MAPA DE RIESGO'!$P$77),"")</f>
        <v/>
      </c>
      <c r="R54" s="49" t="str">
        <f>IF(AND('MAPA DE RIESGO'!$Z$78="Muy Baja",'MAPA DE RIESGO'!$AB$78="Menor"),CONCATENATE("R9C",'MAPA DE RIESGO'!$P$78),"")</f>
        <v/>
      </c>
      <c r="S54" s="49" t="str">
        <f>IF(AND('MAPA DE RIESGO'!$Z$79="Muy Baja",'MAPA DE RIESGO'!$AB$79="Menor"),CONCATENATE("R9C",'MAPA DE RIESGO'!$P$79),"")</f>
        <v/>
      </c>
      <c r="T54" s="49" t="str">
        <f>IF(AND('MAPA DE RIESGO'!$Z$80="Muy Baja",'MAPA DE RIESGO'!$AB$80="Menor"),CONCATENATE("R9C",'MAPA DE RIESGO'!$P$80),"")</f>
        <v/>
      </c>
      <c r="U54" s="50" t="str">
        <f>IF(AND('MAPA DE RIESGO'!$Z$81="Muy Baja",'MAPA DE RIESGO'!$AB$81="Menor"),CONCATENATE("R9C",'MAPA DE RIESGO'!$P$81),"")</f>
        <v/>
      </c>
      <c r="V54" s="39" t="str">
        <f>IF(AND('MAPA DE RIESGO'!$Z$76="Muy Baja",'MAPA DE RIESGO'!$AB$76="Moderado"),CONCATENATE("R9C",'MAPA DE RIESGO'!$P$76),"")</f>
        <v/>
      </c>
      <c r="W54" s="40" t="str">
        <f>IF(AND('MAPA DE RIESGO'!$Z$77="Muy Baja",'MAPA DE RIESGO'!$AB$77="Moderado"),CONCATENATE("R9C",'MAPA DE RIESGO'!$P$77),"")</f>
        <v/>
      </c>
      <c r="X54" s="40" t="str">
        <f>IF(AND('MAPA DE RIESGO'!$Z$78="Muy Baja",'MAPA DE RIESGO'!$AB$78="Moderado"),CONCATENATE("R9C",'MAPA DE RIESGO'!$P$78),"")</f>
        <v>R9C3</v>
      </c>
      <c r="Y54" s="40" t="str">
        <f>IF(AND('MAPA DE RIESGO'!$Z$79="Muy Baja",'MAPA DE RIESGO'!$AB$79="Moderado"),CONCATENATE("R9C",'MAPA DE RIESGO'!$P$79),"")</f>
        <v/>
      </c>
      <c r="Z54" s="40" t="str">
        <f>IF(AND('MAPA DE RIESGO'!$Z$80="Muy Baja",'MAPA DE RIESGO'!$AB$80="Moderado"),CONCATENATE("R9C",'MAPA DE RIESGO'!$P$80),"")</f>
        <v/>
      </c>
      <c r="AA54" s="41" t="str">
        <f>IF(AND('MAPA DE RIESGO'!$Z$81="Muy Baja",'MAPA DE RIESGO'!$AB$81="Moderado"),CONCATENATE("R9C",'MAPA DE RIESGO'!$P$81),"")</f>
        <v/>
      </c>
      <c r="AB54" s="23" t="str">
        <f>IF(AND('MAPA DE RIESGO'!$Z$76="Muy Baja",'MAPA DE RIESGO'!$AB$76="Mayor"),CONCATENATE("R9C",'MAPA DE RIESGO'!$P$76),"")</f>
        <v/>
      </c>
      <c r="AC54" s="24" t="str">
        <f>IF(AND('MAPA DE RIESGO'!$Z$77="Muy Baja",'MAPA DE RIESGO'!$AB$77="Mayor"),CONCATENATE("R9C",'MAPA DE RIESGO'!$P$77),"")</f>
        <v/>
      </c>
      <c r="AD54" s="29" t="str">
        <f>IF(AND('MAPA DE RIESGO'!$Z$78="Muy Baja",'MAPA DE RIESGO'!$AB$78="Mayor"),CONCATENATE("R9C",'MAPA DE RIESGO'!$P$78),"")</f>
        <v/>
      </c>
      <c r="AE54" s="29" t="str">
        <f>IF(AND('MAPA DE RIESGO'!$Z$79="Muy Baja",'MAPA DE RIESGO'!$AB$79="Mayor"),CONCATENATE("R9C",'MAPA DE RIESGO'!$P$79),"")</f>
        <v/>
      </c>
      <c r="AF54" s="29" t="str">
        <f>IF(AND('MAPA DE RIESGO'!$Z$80="Muy Baja",'MAPA DE RIESGO'!$AB$80="Mayor"),CONCATENATE("R9C",'MAPA DE RIESGO'!$P$80),"")</f>
        <v/>
      </c>
      <c r="AG54" s="25" t="str">
        <f>IF(AND('MAPA DE RIESGO'!$Z$81="Muy Baja",'MAPA DE RIESGO'!$AB$81="Mayor"),CONCATENATE("R9C",'MAPA DE RIESGO'!$P$81),"")</f>
        <v/>
      </c>
      <c r="AH54" s="26" t="str">
        <f>IF(AND('MAPA DE RIESGO'!$Z$76="Muy Baja",'MAPA DE RIESGO'!$AB$76="Catastrófico"),CONCATENATE("R9C",'MAPA DE RIESGO'!$P$76),"")</f>
        <v/>
      </c>
      <c r="AI54" s="27" t="str">
        <f>IF(AND('MAPA DE RIESGO'!$Z$77="Muy Baja",'MAPA DE RIESGO'!$AB$77="Catastrófico"),CONCATENATE("R9C",'MAPA DE RIESGO'!$P$77),"")</f>
        <v/>
      </c>
      <c r="AJ54" s="27" t="str">
        <f>IF(AND('MAPA DE RIESGO'!$Z$78="Muy Baja",'MAPA DE RIESGO'!$AB$78="Catastrófico"),CONCATENATE("R9C",'MAPA DE RIESGO'!$P$78),"")</f>
        <v/>
      </c>
      <c r="AK54" s="27" t="str">
        <f>IF(AND('MAPA DE RIESGO'!$Z$79="Muy Baja",'MAPA DE RIESGO'!$AB$79="Catastrófico"),CONCATENATE("R9C",'MAPA DE RIESGO'!$P$79),"")</f>
        <v/>
      </c>
      <c r="AL54" s="27" t="str">
        <f>IF(AND('MAPA DE RIESGO'!$Z$80="Muy Baja",'MAPA DE RIESGO'!$AB$80="Catastrófico"),CONCATENATE("R9C",'MAPA DE RIESGO'!$P$80),"")</f>
        <v/>
      </c>
      <c r="AM54" s="28" t="str">
        <f>IF(AND('MAPA DE RIESGO'!$Z$81="Muy Baja",'MAPA DE RIESGO'!$AB$81="Catastrófico"),CONCATENATE("R9C",'MAPA DE RIESGO'!$P$81),"")</f>
        <v/>
      </c>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ht="15.75" customHeight="1" thickBot="1" x14ac:dyDescent="0.3">
      <c r="A55" s="54"/>
      <c r="B55" s="423"/>
      <c r="C55" s="423"/>
      <c r="D55" s="424"/>
      <c r="E55" s="526"/>
      <c r="F55" s="527"/>
      <c r="G55" s="527"/>
      <c r="H55" s="527"/>
      <c r="I55" s="539"/>
      <c r="J55" s="51" t="str">
        <f>IF(AND('MAPA DE RIESGO'!$Z$82="Muy Baja",'MAPA DE RIESGO'!$AB$82="Leve"),CONCATENATE("R10C",'MAPA DE RIESGO'!$P$82),"")</f>
        <v/>
      </c>
      <c r="K55" s="52" t="str">
        <f>IF(AND('MAPA DE RIESGO'!$Z$83="Muy Baja",'MAPA DE RIESGO'!$AB$83="Leve"),CONCATENATE("R10C",'MAPA DE RIESGO'!$P$83),"")</f>
        <v/>
      </c>
      <c r="L55" s="52" t="str">
        <f>IF(AND('MAPA DE RIESGO'!$Z$84="Muy Baja",'MAPA DE RIESGO'!$AB$84="Leve"),CONCATENATE("R10C",'MAPA DE RIESGO'!$P$84),"")</f>
        <v/>
      </c>
      <c r="M55" s="52" t="str">
        <f>IF(AND('MAPA DE RIESGO'!$Z$85="Muy Baja",'MAPA DE RIESGO'!$AB$85="Leve"),CONCATENATE("R10C",'MAPA DE RIESGO'!$P$85),"")</f>
        <v/>
      </c>
      <c r="N55" s="52" t="str">
        <f>IF(AND('MAPA DE RIESGO'!$Z$86="Muy Baja",'MAPA DE RIESGO'!$AB$86="Leve"),CONCATENATE("R10C",'MAPA DE RIESGO'!$P$86),"")</f>
        <v/>
      </c>
      <c r="O55" s="53" t="str">
        <f>IF(AND('MAPA DE RIESGO'!$Z$87="Muy Baja",'MAPA DE RIESGO'!$AB$87="Leve"),CONCATENATE("R10C",'MAPA DE RIESGO'!$P$87),"")</f>
        <v/>
      </c>
      <c r="P55" s="51" t="str">
        <f>IF(AND('MAPA DE RIESGO'!$Z$82="Muy Baja",'MAPA DE RIESGO'!$AB$82="Menor"),CONCATENATE("R10C",'MAPA DE RIESGO'!$P$82),"")</f>
        <v/>
      </c>
      <c r="Q55" s="52" t="str">
        <f>IF(AND('MAPA DE RIESGO'!$Z$83="Muy Baja",'MAPA DE RIESGO'!$AB$83="Menor"),CONCATENATE("R10C",'MAPA DE RIESGO'!$P$83),"")</f>
        <v/>
      </c>
      <c r="R55" s="52" t="str">
        <f>IF(AND('MAPA DE RIESGO'!$Z$84="Muy Baja",'MAPA DE RIESGO'!$AB$84="Menor"),CONCATENATE("R10C",'MAPA DE RIESGO'!$P$84),"")</f>
        <v/>
      </c>
      <c r="S55" s="52" t="str">
        <f>IF(AND('MAPA DE RIESGO'!$Z$85="Muy Baja",'MAPA DE RIESGO'!$AB$85="Menor"),CONCATENATE("R10C",'MAPA DE RIESGO'!$P$85),"")</f>
        <v/>
      </c>
      <c r="T55" s="52" t="str">
        <f>IF(AND('MAPA DE RIESGO'!$Z$86="Muy Baja",'MAPA DE RIESGO'!$AB$86="Menor"),CONCATENATE("R10C",'MAPA DE RIESGO'!$P$86),"")</f>
        <v/>
      </c>
      <c r="U55" s="53" t="str">
        <f>IF(AND('MAPA DE RIESGO'!$Z$87="Muy Baja",'MAPA DE RIESGO'!$AB$87="Menor"),CONCATENATE("R10C",'MAPA DE RIESGO'!$P$87),"")</f>
        <v/>
      </c>
      <c r="V55" s="42" t="str">
        <f>IF(AND('MAPA DE RIESGO'!$Z$82="Muy Baja",'MAPA DE RIESGO'!$AB$82="Moderado"),CONCATENATE("R10C",'MAPA DE RIESGO'!$P$82),"")</f>
        <v/>
      </c>
      <c r="W55" s="43" t="str">
        <f>IF(AND('MAPA DE RIESGO'!$Z$83="Muy Baja",'MAPA DE RIESGO'!$AB$83="Moderado"),CONCATENATE("R10C",'MAPA DE RIESGO'!$P$83),"")</f>
        <v/>
      </c>
      <c r="X55" s="43" t="str">
        <f>IF(AND('MAPA DE RIESGO'!$Z$84="Muy Baja",'MAPA DE RIESGO'!$AB$84="Moderado"),CONCATENATE("R10C",'MAPA DE RIESGO'!$P$84),"")</f>
        <v/>
      </c>
      <c r="Y55" s="43" t="str">
        <f>IF(AND('MAPA DE RIESGO'!$Z$85="Muy Baja",'MAPA DE RIESGO'!$AB$85="Moderado"),CONCATENATE("R10C",'MAPA DE RIESGO'!$P$85),"")</f>
        <v/>
      </c>
      <c r="Z55" s="43" t="str">
        <f>IF(AND('MAPA DE RIESGO'!$Z$86="Muy Baja",'MAPA DE RIESGO'!$AB$86="Moderado"),CONCATENATE("R10C",'MAPA DE RIESGO'!$P$86),"")</f>
        <v/>
      </c>
      <c r="AA55" s="44" t="str">
        <f>IF(AND('MAPA DE RIESGO'!$Z$87="Muy Baja",'MAPA DE RIESGO'!$AB$87="Moderado"),CONCATENATE("R10C",'MAPA DE RIESGO'!$P$87),"")</f>
        <v/>
      </c>
      <c r="AB55" s="30" t="str">
        <f>IF(AND('MAPA DE RIESGO'!$Z$82="Muy Baja",'MAPA DE RIESGO'!$AB$82="Mayor"),CONCATENATE("R10C",'MAPA DE RIESGO'!$P$82),"")</f>
        <v/>
      </c>
      <c r="AC55" s="31" t="str">
        <f>IF(AND('MAPA DE RIESGO'!$Z$83="Muy Baja",'MAPA DE RIESGO'!$AB$83="Mayor"),CONCATENATE("R10C",'MAPA DE RIESGO'!$P$83),"")</f>
        <v/>
      </c>
      <c r="AD55" s="31" t="str">
        <f>IF(AND('MAPA DE RIESGO'!$Z$84="Muy Baja",'MAPA DE RIESGO'!$AB$84="Mayor"),CONCATENATE("R10C",'MAPA DE RIESGO'!$P$84),"")</f>
        <v/>
      </c>
      <c r="AE55" s="31" t="str">
        <f>IF(AND('MAPA DE RIESGO'!$Z$85="Muy Baja",'MAPA DE RIESGO'!$AB$85="Mayor"),CONCATENATE("R10C",'MAPA DE RIESGO'!$P$85),"")</f>
        <v/>
      </c>
      <c r="AF55" s="31" t="str">
        <f>IF(AND('MAPA DE RIESGO'!$Z$86="Muy Baja",'MAPA DE RIESGO'!$AB$86="Mayor"),CONCATENATE("R10C",'MAPA DE RIESGO'!$P$86),"")</f>
        <v/>
      </c>
      <c r="AG55" s="32" t="str">
        <f>IF(AND('MAPA DE RIESGO'!$Z$87="Muy Baja",'MAPA DE RIESGO'!$AB$87="Mayor"),CONCATENATE("R10C",'MAPA DE RIESGO'!$P$87),"")</f>
        <v/>
      </c>
      <c r="AH55" s="33" t="str">
        <f>IF(AND('MAPA DE RIESGO'!$Z$82="Muy Baja",'MAPA DE RIESGO'!$AB$82="Catastrófico"),CONCATENATE("R10C",'MAPA DE RIESGO'!$P$82),"")</f>
        <v/>
      </c>
      <c r="AI55" s="34" t="str">
        <f>IF(AND('MAPA DE RIESGO'!$Z$83="Muy Baja",'MAPA DE RIESGO'!$AB$83="Catastrófico"),CONCATENATE("R10C",'MAPA DE RIESGO'!$P$83),"")</f>
        <v/>
      </c>
      <c r="AJ55" s="34" t="str">
        <f>IF(AND('MAPA DE RIESGO'!$Z$84="Muy Baja",'MAPA DE RIESGO'!$AB$84="Catastrófico"),CONCATENATE("R10C",'MAPA DE RIESGO'!$P$84),"")</f>
        <v/>
      </c>
      <c r="AK55" s="34" t="str">
        <f>IF(AND('MAPA DE RIESGO'!$Z$85="Muy Baja",'MAPA DE RIESGO'!$AB$85="Catastrófico"),CONCATENATE("R10C",'MAPA DE RIESGO'!$P$85),"")</f>
        <v/>
      </c>
      <c r="AL55" s="34" t="str">
        <f>IF(AND('MAPA DE RIESGO'!$Z$86="Muy Baja",'MAPA DE RIESGO'!$AB$86="Catastrófico"),CONCATENATE("R10C",'MAPA DE RIESGO'!$P$86),"")</f>
        <v/>
      </c>
      <c r="AM55" s="35" t="str">
        <f>IF(AND('MAPA DE RIESGO'!$Z$87="Muy Baja",'MAPA DE RIESGO'!$AB$87="Catastrófico"),CONCATENATE("R10C",'MAPA DE RIESGO'!$P$87),"")</f>
        <v/>
      </c>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520" t="s">
        <v>292</v>
      </c>
      <c r="K56" s="521"/>
      <c r="L56" s="521"/>
      <c r="M56" s="521"/>
      <c r="N56" s="521"/>
      <c r="O56" s="537"/>
      <c r="P56" s="520" t="s">
        <v>293</v>
      </c>
      <c r="Q56" s="521"/>
      <c r="R56" s="521"/>
      <c r="S56" s="521"/>
      <c r="T56" s="521"/>
      <c r="U56" s="537"/>
      <c r="V56" s="520" t="s">
        <v>294</v>
      </c>
      <c r="W56" s="521"/>
      <c r="X56" s="521"/>
      <c r="Y56" s="521"/>
      <c r="Z56" s="521"/>
      <c r="AA56" s="537"/>
      <c r="AB56" s="520" t="s">
        <v>295</v>
      </c>
      <c r="AC56" s="558"/>
      <c r="AD56" s="521"/>
      <c r="AE56" s="521"/>
      <c r="AF56" s="521"/>
      <c r="AG56" s="537"/>
      <c r="AH56" s="520" t="s">
        <v>296</v>
      </c>
      <c r="AI56" s="521"/>
      <c r="AJ56" s="521"/>
      <c r="AK56" s="521"/>
      <c r="AL56" s="521"/>
      <c r="AM56" s="537"/>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524"/>
      <c r="K57" s="525"/>
      <c r="L57" s="525"/>
      <c r="M57" s="525"/>
      <c r="N57" s="525"/>
      <c r="O57" s="538"/>
      <c r="P57" s="524"/>
      <c r="Q57" s="525"/>
      <c r="R57" s="525"/>
      <c r="S57" s="525"/>
      <c r="T57" s="525"/>
      <c r="U57" s="538"/>
      <c r="V57" s="524"/>
      <c r="W57" s="525"/>
      <c r="X57" s="525"/>
      <c r="Y57" s="525"/>
      <c r="Z57" s="525"/>
      <c r="AA57" s="538"/>
      <c r="AB57" s="524"/>
      <c r="AC57" s="525"/>
      <c r="AD57" s="525"/>
      <c r="AE57" s="525"/>
      <c r="AF57" s="525"/>
      <c r="AG57" s="538"/>
      <c r="AH57" s="524"/>
      <c r="AI57" s="525"/>
      <c r="AJ57" s="525"/>
      <c r="AK57" s="525"/>
      <c r="AL57" s="525"/>
      <c r="AM57" s="538"/>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524"/>
      <c r="K58" s="525"/>
      <c r="L58" s="525"/>
      <c r="M58" s="525"/>
      <c r="N58" s="525"/>
      <c r="O58" s="538"/>
      <c r="P58" s="524"/>
      <c r="Q58" s="525"/>
      <c r="R58" s="525"/>
      <c r="S58" s="525"/>
      <c r="T58" s="525"/>
      <c r="U58" s="538"/>
      <c r="V58" s="524"/>
      <c r="W58" s="525"/>
      <c r="X58" s="525"/>
      <c r="Y58" s="525"/>
      <c r="Z58" s="525"/>
      <c r="AA58" s="538"/>
      <c r="AB58" s="524"/>
      <c r="AC58" s="525"/>
      <c r="AD58" s="525"/>
      <c r="AE58" s="525"/>
      <c r="AF58" s="525"/>
      <c r="AG58" s="538"/>
      <c r="AH58" s="524"/>
      <c r="AI58" s="525"/>
      <c r="AJ58" s="525"/>
      <c r="AK58" s="525"/>
      <c r="AL58" s="525"/>
      <c r="AM58" s="538"/>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524"/>
      <c r="K59" s="525"/>
      <c r="L59" s="525"/>
      <c r="M59" s="525"/>
      <c r="N59" s="525"/>
      <c r="O59" s="538"/>
      <c r="P59" s="524"/>
      <c r="Q59" s="525"/>
      <c r="R59" s="525"/>
      <c r="S59" s="525"/>
      <c r="T59" s="525"/>
      <c r="U59" s="538"/>
      <c r="V59" s="524"/>
      <c r="W59" s="525"/>
      <c r="X59" s="525"/>
      <c r="Y59" s="525"/>
      <c r="Z59" s="525"/>
      <c r="AA59" s="538"/>
      <c r="AB59" s="524"/>
      <c r="AC59" s="525"/>
      <c r="AD59" s="525"/>
      <c r="AE59" s="525"/>
      <c r="AF59" s="525"/>
      <c r="AG59" s="538"/>
      <c r="AH59" s="524"/>
      <c r="AI59" s="525"/>
      <c r="AJ59" s="525"/>
      <c r="AK59" s="525"/>
      <c r="AL59" s="525"/>
      <c r="AM59" s="538"/>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524"/>
      <c r="K60" s="525"/>
      <c r="L60" s="525"/>
      <c r="M60" s="525"/>
      <c r="N60" s="525"/>
      <c r="O60" s="538"/>
      <c r="P60" s="524"/>
      <c r="Q60" s="525"/>
      <c r="R60" s="525"/>
      <c r="S60" s="525"/>
      <c r="T60" s="525"/>
      <c r="U60" s="538"/>
      <c r="V60" s="524"/>
      <c r="W60" s="525"/>
      <c r="X60" s="525"/>
      <c r="Y60" s="525"/>
      <c r="Z60" s="525"/>
      <c r="AA60" s="538"/>
      <c r="AB60" s="524"/>
      <c r="AC60" s="525"/>
      <c r="AD60" s="525"/>
      <c r="AE60" s="525"/>
      <c r="AF60" s="525"/>
      <c r="AG60" s="538"/>
      <c r="AH60" s="524"/>
      <c r="AI60" s="525"/>
      <c r="AJ60" s="525"/>
      <c r="AK60" s="525"/>
      <c r="AL60" s="525"/>
      <c r="AM60" s="538"/>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ht="15.75" thickBot="1" x14ac:dyDescent="0.3">
      <c r="A61" s="54"/>
      <c r="B61" s="54"/>
      <c r="C61" s="54"/>
      <c r="D61" s="54"/>
      <c r="E61" s="54"/>
      <c r="F61" s="54"/>
      <c r="G61" s="54"/>
      <c r="H61" s="54"/>
      <c r="I61" s="54"/>
      <c r="J61" s="526"/>
      <c r="K61" s="527"/>
      <c r="L61" s="527"/>
      <c r="M61" s="527"/>
      <c r="N61" s="527"/>
      <c r="O61" s="539"/>
      <c r="P61" s="526"/>
      <c r="Q61" s="527"/>
      <c r="R61" s="527"/>
      <c r="S61" s="527"/>
      <c r="T61" s="527"/>
      <c r="U61" s="539"/>
      <c r="V61" s="526"/>
      <c r="W61" s="527"/>
      <c r="X61" s="527"/>
      <c r="Y61" s="527"/>
      <c r="Z61" s="527"/>
      <c r="AA61" s="539"/>
      <c r="AB61" s="526"/>
      <c r="AC61" s="527"/>
      <c r="AD61" s="527"/>
      <c r="AE61" s="527"/>
      <c r="AF61" s="527"/>
      <c r="AG61" s="539"/>
      <c r="AH61" s="526"/>
      <c r="AI61" s="527"/>
      <c r="AJ61" s="527"/>
      <c r="AK61" s="527"/>
      <c r="AL61" s="527"/>
      <c r="AM61" s="539"/>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80" ht="15" customHeight="1" x14ac:dyDescent="0.25">
      <c r="A63" s="5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4"/>
      <c r="AV63" s="54"/>
      <c r="AW63" s="54"/>
      <c r="AX63" s="54"/>
      <c r="AY63" s="54"/>
      <c r="AZ63" s="54"/>
      <c r="BA63" s="54"/>
      <c r="BB63" s="54"/>
      <c r="BC63" s="54"/>
      <c r="BD63" s="54"/>
      <c r="BE63" s="54"/>
      <c r="BF63" s="54"/>
      <c r="BG63" s="54"/>
      <c r="BH63" s="54"/>
    </row>
    <row r="64" spans="1:80" ht="15" customHeight="1" x14ac:dyDescent="0.25">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4"/>
      <c r="AV64" s="54"/>
      <c r="AW64" s="54"/>
      <c r="AX64" s="54"/>
      <c r="AY64" s="54"/>
      <c r="AZ64" s="54"/>
      <c r="BA64" s="54"/>
      <c r="BB64" s="54"/>
      <c r="BC64" s="54"/>
      <c r="BD64" s="54"/>
      <c r="BE64" s="54"/>
      <c r="BF64" s="54"/>
      <c r="BG64" s="54"/>
      <c r="BH64" s="54"/>
    </row>
    <row r="65" spans="1:6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x14ac:dyDescent="0.2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x14ac:dyDescent="0.2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x14ac:dyDescent="0.2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x14ac:dyDescent="0.2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x14ac:dyDescent="0.2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x14ac:dyDescent="0.2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x14ac:dyDescent="0.2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x14ac:dyDescent="0.2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x14ac:dyDescent="0.2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x14ac:dyDescent="0.2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x14ac:dyDescent="0.2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row>
    <row r="133" spans="1:60" x14ac:dyDescent="0.2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row>
    <row r="134" spans="1:60" x14ac:dyDescent="0.2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row>
    <row r="135" spans="1:60" x14ac:dyDescent="0.2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row>
    <row r="136" spans="1:60" x14ac:dyDescent="0.2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row>
    <row r="137" spans="1:60"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row>
    <row r="138" spans="1:60"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row>
    <row r="139" spans="1:60"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row>
    <row r="140" spans="1:60"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row>
    <row r="141" spans="1:60"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row>
    <row r="142" spans="1:60"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row>
    <row r="143" spans="1:60"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row>
    <row r="144" spans="1:60"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row>
    <row r="145" spans="1:60"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row>
    <row r="146" spans="1:60"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row>
    <row r="147" spans="1:60"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row>
    <row r="148" spans="1:60"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row>
    <row r="149" spans="1:60"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row>
    <row r="150" spans="1:60" x14ac:dyDescent="0.2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row>
    <row r="151" spans="1:60" x14ac:dyDescent="0.2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row>
    <row r="152" spans="1:60" x14ac:dyDescent="0.2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row>
    <row r="153" spans="1:60" x14ac:dyDescent="0.2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row>
    <row r="154" spans="1:60" x14ac:dyDescent="0.2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row>
    <row r="155" spans="1:60" x14ac:dyDescent="0.2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row>
    <row r="156" spans="1:60"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row>
    <row r="157" spans="1:60" x14ac:dyDescent="0.2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row>
    <row r="158" spans="1:60" x14ac:dyDescent="0.2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row>
    <row r="159" spans="1:60" x14ac:dyDescent="0.2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row>
    <row r="160" spans="1:60" x14ac:dyDescent="0.2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row>
    <row r="161" spans="1:60" x14ac:dyDescent="0.2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row>
    <row r="162" spans="1:60" x14ac:dyDescent="0.2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row>
    <row r="163" spans="1:60" x14ac:dyDescent="0.2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row>
    <row r="164" spans="1:60" x14ac:dyDescent="0.2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row>
    <row r="165" spans="1:60" x14ac:dyDescent="0.2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row>
    <row r="166" spans="1:60" x14ac:dyDescent="0.2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row>
    <row r="167" spans="1:60" x14ac:dyDescent="0.2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row>
    <row r="168" spans="1:60" x14ac:dyDescent="0.2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row>
    <row r="169" spans="1:60" x14ac:dyDescent="0.25">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row>
    <row r="170" spans="1:60" x14ac:dyDescent="0.25">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row>
    <row r="171" spans="1:60" x14ac:dyDescent="0.25">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row>
    <row r="172" spans="1:60" x14ac:dyDescent="0.25">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row>
    <row r="173" spans="1:60" x14ac:dyDescent="0.25">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row>
    <row r="174" spans="1:60" x14ac:dyDescent="0.25">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row>
    <row r="175" spans="1:60" x14ac:dyDescent="0.25">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row>
    <row r="176" spans="1:60" x14ac:dyDescent="0.25">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row>
    <row r="177" spans="1:60" x14ac:dyDescent="0.25">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row>
    <row r="178" spans="1:60" x14ac:dyDescent="0.25">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row>
    <row r="179" spans="1:60" x14ac:dyDescent="0.25">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row>
    <row r="180" spans="1:60" x14ac:dyDescent="0.25">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row>
    <row r="181" spans="1:60" x14ac:dyDescent="0.25">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row>
    <row r="182" spans="1:60" x14ac:dyDescent="0.25">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row>
    <row r="183" spans="1:60" x14ac:dyDescent="0.2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row>
    <row r="184" spans="1:60" x14ac:dyDescent="0.25">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row>
    <row r="185" spans="1:60" x14ac:dyDescent="0.2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row>
    <row r="186" spans="1:60" x14ac:dyDescent="0.25">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row>
    <row r="187" spans="1:60" x14ac:dyDescent="0.2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row>
    <row r="188" spans="1:60" x14ac:dyDescent="0.25">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row>
    <row r="189" spans="1:60" x14ac:dyDescent="0.25">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row>
    <row r="190" spans="1:60" x14ac:dyDescent="0.25">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row>
    <row r="191" spans="1:60" x14ac:dyDescent="0.25">
      <c r="A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row>
    <row r="192" spans="1:60" x14ac:dyDescent="0.25">
      <c r="A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row>
    <row r="193" spans="1:60" x14ac:dyDescent="0.25">
      <c r="A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row>
    <row r="194" spans="1:60" x14ac:dyDescent="0.25">
      <c r="A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row>
    <row r="195" spans="1:60" x14ac:dyDescent="0.25">
      <c r="A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row>
    <row r="196" spans="1:60" x14ac:dyDescent="0.25">
      <c r="A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row>
    <row r="197" spans="1:60" x14ac:dyDescent="0.25">
      <c r="A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row>
    <row r="198" spans="1:60" x14ac:dyDescent="0.25">
      <c r="A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row>
    <row r="199" spans="1:60" x14ac:dyDescent="0.25">
      <c r="A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row>
    <row r="200" spans="1:60" x14ac:dyDescent="0.25">
      <c r="A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row>
    <row r="201" spans="1:60" x14ac:dyDescent="0.25">
      <c r="A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row>
    <row r="202" spans="1:60" x14ac:dyDescent="0.25">
      <c r="A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row>
    <row r="203" spans="1:60" x14ac:dyDescent="0.25">
      <c r="A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row>
    <row r="204" spans="1:60" x14ac:dyDescent="0.25">
      <c r="A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row>
    <row r="205" spans="1:60" x14ac:dyDescent="0.25">
      <c r="A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row>
    <row r="206" spans="1:60" x14ac:dyDescent="0.25">
      <c r="A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row>
    <row r="207" spans="1:60" x14ac:dyDescent="0.25">
      <c r="A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row>
    <row r="208" spans="1:60" x14ac:dyDescent="0.25">
      <c r="A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row>
    <row r="209" spans="1:60" x14ac:dyDescent="0.25">
      <c r="A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row>
    <row r="210" spans="1:60" x14ac:dyDescent="0.25">
      <c r="A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row>
    <row r="211" spans="1:60" x14ac:dyDescent="0.25">
      <c r="A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row>
    <row r="212" spans="1:60" x14ac:dyDescent="0.25">
      <c r="A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row>
    <row r="213" spans="1:60" x14ac:dyDescent="0.25">
      <c r="A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row>
    <row r="214" spans="1:60" x14ac:dyDescent="0.25">
      <c r="A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row>
    <row r="215" spans="1:60" x14ac:dyDescent="0.25">
      <c r="A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row>
    <row r="216" spans="1:60" x14ac:dyDescent="0.25">
      <c r="A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row>
    <row r="217" spans="1:60" x14ac:dyDescent="0.25">
      <c r="A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row>
    <row r="218" spans="1:60" x14ac:dyDescent="0.25">
      <c r="A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row>
    <row r="219" spans="1:60" x14ac:dyDescent="0.25">
      <c r="A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row>
    <row r="220" spans="1:60" x14ac:dyDescent="0.25">
      <c r="A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row>
    <row r="221" spans="1:60" x14ac:dyDescent="0.25">
      <c r="A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row>
    <row r="222" spans="1:60" x14ac:dyDescent="0.25">
      <c r="A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row>
    <row r="223" spans="1:60" x14ac:dyDescent="0.25">
      <c r="A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row>
    <row r="224" spans="1:60" x14ac:dyDescent="0.25">
      <c r="A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row>
    <row r="225" spans="1:60" x14ac:dyDescent="0.25">
      <c r="A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row>
    <row r="226" spans="1:60" x14ac:dyDescent="0.25">
      <c r="A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row>
    <row r="227" spans="1:60" x14ac:dyDescent="0.25">
      <c r="A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row>
    <row r="228" spans="1:60" x14ac:dyDescent="0.25">
      <c r="A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row>
    <row r="229" spans="1:60" x14ac:dyDescent="0.25">
      <c r="A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row>
    <row r="230" spans="1:60" x14ac:dyDescent="0.25">
      <c r="A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row>
    <row r="231" spans="1:60" x14ac:dyDescent="0.25">
      <c r="A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row>
    <row r="232" spans="1:60" x14ac:dyDescent="0.25">
      <c r="A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row>
    <row r="233" spans="1:60" x14ac:dyDescent="0.25">
      <c r="A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row>
    <row r="234" spans="1:60" x14ac:dyDescent="0.25">
      <c r="A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row>
    <row r="235" spans="1:60" x14ac:dyDescent="0.25">
      <c r="A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row>
    <row r="236" spans="1:60" x14ac:dyDescent="0.25">
      <c r="A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row>
    <row r="237" spans="1:60" x14ac:dyDescent="0.25">
      <c r="A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row>
    <row r="238" spans="1:60" x14ac:dyDescent="0.25">
      <c r="A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row>
    <row r="239" spans="1:60" x14ac:dyDescent="0.25">
      <c r="A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row>
    <row r="240" spans="1:60" x14ac:dyDescent="0.25">
      <c r="A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row>
    <row r="241" spans="1:60" x14ac:dyDescent="0.25">
      <c r="A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row>
    <row r="242" spans="1:60" x14ac:dyDescent="0.25">
      <c r="A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row>
    <row r="243" spans="1:60" x14ac:dyDescent="0.25">
      <c r="A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row>
    <row r="244" spans="1:60" x14ac:dyDescent="0.25">
      <c r="A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row>
    <row r="245" spans="1:60" x14ac:dyDescent="0.25">
      <c r="A245" s="54"/>
    </row>
    <row r="246" spans="1:60" x14ac:dyDescent="0.25">
      <c r="A246" s="54"/>
    </row>
    <row r="247" spans="1:60" x14ac:dyDescent="0.25">
      <c r="A247" s="54"/>
    </row>
    <row r="248" spans="1:60" x14ac:dyDescent="0.25">
      <c r="A248" s="5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91"/>
    <col min="2" max="2" width="24.28515625" style="91" customWidth="1" collapsed="1"/>
    <col min="3" max="3" width="70.28515625" style="91" customWidth="1" collapsed="1"/>
    <col min="4" max="4" width="29.7109375" style="91" customWidth="1" collapsed="1"/>
    <col min="5" max="16384" width="10.85546875" style="91"/>
  </cols>
  <sheetData>
    <row r="1" spans="1:37" ht="17.25" thickBot="1" x14ac:dyDescent="0.35">
      <c r="A1" s="6"/>
      <c r="B1" s="6"/>
      <c r="C1" s="6"/>
    </row>
    <row r="2" spans="1:37" ht="18.399999999999999" customHeight="1" thickBot="1" x14ac:dyDescent="0.35">
      <c r="A2" s="6"/>
      <c r="B2" s="559" t="s">
        <v>298</v>
      </c>
      <c r="C2" s="560"/>
      <c r="D2" s="561"/>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28"/>
      <c r="C4" s="129" t="s">
        <v>299</v>
      </c>
      <c r="D4" s="130" t="s">
        <v>183</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31" t="s">
        <v>300</v>
      </c>
      <c r="C5" s="132" t="s">
        <v>301</v>
      </c>
      <c r="D5" s="13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34" t="s">
        <v>302</v>
      </c>
      <c r="C6" s="135" t="s">
        <v>303</v>
      </c>
      <c r="D6" s="13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37" t="s">
        <v>304</v>
      </c>
      <c r="C7" s="135" t="s">
        <v>305</v>
      </c>
      <c r="D7" s="13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38" t="s">
        <v>306</v>
      </c>
      <c r="C8" s="135" t="s">
        <v>307</v>
      </c>
      <c r="D8" s="13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39" t="s">
        <v>308</v>
      </c>
      <c r="C9" s="140" t="s">
        <v>309</v>
      </c>
      <c r="D9" s="14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18"/>
      <c r="C10" s="118"/>
      <c r="D10" s="11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0"/>
      <c r="C11" s="118"/>
      <c r="D11" s="11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18"/>
      <c r="C12" s="118"/>
      <c r="D12" s="11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18"/>
      <c r="C13" s="118"/>
      <c r="D13" s="11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18"/>
      <c r="C14" s="118"/>
      <c r="D14" s="11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18"/>
      <c r="C15" s="118"/>
      <c r="D15" s="11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18"/>
      <c r="C16" s="118"/>
      <c r="D16" s="11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18"/>
      <c r="C17" s="118"/>
      <c r="D17" s="11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18"/>
      <c r="C18" s="118"/>
      <c r="D18" s="11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18"/>
      <c r="C19" s="118"/>
      <c r="D19" s="11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91"/>
    <col min="2" max="2" width="40.42578125" style="91" customWidth="1" collapsed="1"/>
    <col min="3" max="3" width="74.7109375" style="91" customWidth="1" collapsed="1"/>
    <col min="4" max="4" width="135" style="91" bestFit="1" customWidth="1" collapsed="1"/>
    <col min="5" max="5" width="144.7109375" style="91" bestFit="1" customWidth="1" collapsed="1"/>
    <col min="6" max="16384" width="10.85546875" style="91"/>
  </cols>
  <sheetData>
    <row r="1" spans="1:21" ht="17.25" thickBot="1" x14ac:dyDescent="0.35"/>
    <row r="2" spans="1:21" ht="30.75" thickBot="1" x14ac:dyDescent="0.35">
      <c r="A2" s="6"/>
      <c r="B2" s="562" t="s">
        <v>310</v>
      </c>
      <c r="C2" s="563"/>
      <c r="D2" s="563"/>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42"/>
      <c r="C4" s="143" t="s">
        <v>311</v>
      </c>
      <c r="D4" s="144" t="s">
        <v>312</v>
      </c>
      <c r="E4" s="6"/>
      <c r="F4" s="6"/>
      <c r="G4" s="6"/>
      <c r="H4" s="6"/>
      <c r="I4" s="6"/>
      <c r="J4" s="6"/>
      <c r="K4" s="6"/>
      <c r="L4" s="6"/>
      <c r="M4" s="6"/>
      <c r="N4" s="6"/>
      <c r="O4" s="6"/>
      <c r="P4" s="6"/>
      <c r="Q4" s="6"/>
      <c r="R4" s="6"/>
      <c r="S4" s="6"/>
      <c r="T4" s="6"/>
      <c r="U4" s="6"/>
    </row>
    <row r="5" spans="1:21" ht="27" x14ac:dyDescent="0.3">
      <c r="A5" s="119" t="s">
        <v>313</v>
      </c>
      <c r="B5" s="145" t="s">
        <v>314</v>
      </c>
      <c r="C5" s="146" t="s">
        <v>315</v>
      </c>
      <c r="D5" s="147" t="s">
        <v>316</v>
      </c>
      <c r="E5" s="6"/>
      <c r="F5" s="6"/>
      <c r="G5" s="6"/>
      <c r="H5" s="6"/>
      <c r="I5" s="6"/>
      <c r="J5" s="6"/>
      <c r="K5" s="6"/>
      <c r="L5" s="6"/>
      <c r="M5" s="6"/>
      <c r="N5" s="6"/>
      <c r="O5" s="6"/>
      <c r="P5" s="6"/>
      <c r="Q5" s="6"/>
      <c r="R5" s="6"/>
      <c r="S5" s="6"/>
      <c r="T5" s="6"/>
      <c r="U5" s="6"/>
    </row>
    <row r="6" spans="1:21" ht="54" x14ac:dyDescent="0.3">
      <c r="A6" s="119" t="s">
        <v>317</v>
      </c>
      <c r="B6" s="148" t="s">
        <v>318</v>
      </c>
      <c r="C6" s="149" t="s">
        <v>319</v>
      </c>
      <c r="D6" s="150" t="s">
        <v>320</v>
      </c>
      <c r="E6" s="6"/>
      <c r="F6" s="6"/>
      <c r="G6" s="6"/>
      <c r="H6" s="6"/>
      <c r="I6" s="6"/>
      <c r="J6" s="6"/>
      <c r="K6" s="6"/>
      <c r="L6" s="6"/>
      <c r="M6" s="6"/>
      <c r="N6" s="6"/>
      <c r="O6" s="6"/>
      <c r="P6" s="6"/>
      <c r="Q6" s="6"/>
      <c r="R6" s="6"/>
      <c r="S6" s="6"/>
      <c r="T6" s="6"/>
      <c r="U6" s="6"/>
    </row>
    <row r="7" spans="1:21" ht="54" x14ac:dyDescent="0.3">
      <c r="A7" s="119" t="s">
        <v>288</v>
      </c>
      <c r="B7" s="151" t="s">
        <v>321</v>
      </c>
      <c r="C7" s="149" t="s">
        <v>322</v>
      </c>
      <c r="D7" s="150" t="s">
        <v>323</v>
      </c>
      <c r="E7" s="6"/>
      <c r="F7" s="6"/>
      <c r="G7" s="6"/>
      <c r="H7" s="6"/>
      <c r="I7" s="6"/>
      <c r="J7" s="6"/>
      <c r="K7" s="6"/>
      <c r="L7" s="6"/>
      <c r="M7" s="6"/>
      <c r="N7" s="6"/>
      <c r="O7" s="6"/>
      <c r="P7" s="6"/>
      <c r="Q7" s="6"/>
      <c r="R7" s="6"/>
      <c r="S7" s="6"/>
      <c r="T7" s="6"/>
      <c r="U7" s="6"/>
    </row>
    <row r="8" spans="1:21" ht="54" x14ac:dyDescent="0.3">
      <c r="A8" s="119" t="s">
        <v>324</v>
      </c>
      <c r="B8" s="152" t="s">
        <v>325</v>
      </c>
      <c r="C8" s="149" t="s">
        <v>326</v>
      </c>
      <c r="D8" s="150" t="s">
        <v>327</v>
      </c>
      <c r="E8" s="6"/>
      <c r="F8" s="6"/>
      <c r="G8" s="6"/>
      <c r="H8" s="6"/>
      <c r="I8" s="6"/>
      <c r="J8" s="6"/>
      <c r="K8" s="6"/>
      <c r="L8" s="6"/>
      <c r="M8" s="6"/>
      <c r="N8" s="6"/>
      <c r="O8" s="6"/>
      <c r="P8" s="6"/>
      <c r="Q8" s="6"/>
      <c r="R8" s="6"/>
      <c r="S8" s="6"/>
      <c r="T8" s="6"/>
      <c r="U8" s="6"/>
    </row>
    <row r="9" spans="1:21" ht="54.75" thickBot="1" x14ac:dyDescent="0.35">
      <c r="A9" s="119" t="s">
        <v>328</v>
      </c>
      <c r="B9" s="153" t="s">
        <v>329</v>
      </c>
      <c r="C9" s="154" t="s">
        <v>330</v>
      </c>
      <c r="D9" s="155" t="s">
        <v>331</v>
      </c>
      <c r="E9" s="6"/>
      <c r="F9" s="6"/>
      <c r="G9" s="6"/>
      <c r="H9" s="6"/>
      <c r="I9" s="6"/>
      <c r="J9" s="6"/>
      <c r="K9" s="6"/>
      <c r="L9" s="6"/>
      <c r="M9" s="6"/>
      <c r="N9" s="6"/>
      <c r="O9" s="6"/>
      <c r="P9" s="6"/>
      <c r="Q9" s="6"/>
      <c r="R9" s="6"/>
      <c r="S9" s="6"/>
      <c r="T9" s="6"/>
      <c r="U9" s="6"/>
    </row>
    <row r="10" spans="1:21" ht="20.25" x14ac:dyDescent="0.3">
      <c r="A10" s="119"/>
      <c r="B10" s="119"/>
      <c r="C10" s="86"/>
      <c r="D10" s="68"/>
      <c r="E10" s="6"/>
      <c r="F10" s="6"/>
      <c r="G10" s="6"/>
      <c r="H10" s="6"/>
      <c r="I10" s="6"/>
      <c r="J10" s="6"/>
      <c r="K10" s="6"/>
      <c r="L10" s="6"/>
      <c r="M10" s="6"/>
      <c r="N10" s="6"/>
      <c r="O10" s="6"/>
      <c r="P10" s="6"/>
      <c r="Q10" s="6"/>
      <c r="R10" s="6"/>
      <c r="S10" s="6"/>
      <c r="T10" s="6"/>
      <c r="U10" s="6"/>
    </row>
    <row r="11" spans="1:21" x14ac:dyDescent="0.3">
      <c r="A11" s="119"/>
      <c r="B11" s="69"/>
      <c r="C11" s="69"/>
      <c r="D11" s="69"/>
      <c r="E11" s="6"/>
      <c r="F11" s="6"/>
      <c r="G11" s="6"/>
      <c r="H11" s="6"/>
      <c r="I11" s="6"/>
      <c r="J11" s="6"/>
      <c r="K11" s="6"/>
      <c r="L11" s="6"/>
      <c r="M11" s="6"/>
      <c r="N11" s="6"/>
      <c r="O11" s="6"/>
      <c r="P11" s="6"/>
      <c r="Q11" s="6"/>
      <c r="R11" s="6"/>
      <c r="S11" s="6"/>
      <c r="T11" s="6"/>
      <c r="U11" s="6"/>
    </row>
    <row r="12" spans="1:21" x14ac:dyDescent="0.3">
      <c r="A12" s="119"/>
      <c r="B12" s="119" t="s">
        <v>332</v>
      </c>
      <c r="C12" s="119" t="s">
        <v>333</v>
      </c>
      <c r="D12" s="119" t="s">
        <v>334</v>
      </c>
      <c r="E12" s="6"/>
      <c r="F12" s="6"/>
      <c r="G12" s="6"/>
      <c r="H12" s="6"/>
      <c r="I12" s="6"/>
      <c r="J12" s="6"/>
      <c r="K12" s="6"/>
      <c r="L12" s="6"/>
      <c r="M12" s="6"/>
      <c r="N12" s="6"/>
      <c r="O12" s="6"/>
      <c r="P12" s="6"/>
      <c r="Q12" s="6"/>
      <c r="R12" s="6"/>
      <c r="S12" s="6"/>
      <c r="T12" s="6"/>
      <c r="U12" s="6"/>
    </row>
    <row r="13" spans="1:21" x14ac:dyDescent="0.3">
      <c r="A13" s="119"/>
      <c r="B13" s="119" t="s">
        <v>335</v>
      </c>
      <c r="C13" s="119" t="s">
        <v>214</v>
      </c>
      <c r="D13" s="119" t="s">
        <v>336</v>
      </c>
      <c r="E13" s="6"/>
      <c r="F13" s="6"/>
      <c r="G13" s="6"/>
      <c r="H13" s="6"/>
      <c r="I13" s="6"/>
      <c r="J13" s="6"/>
      <c r="K13" s="6"/>
      <c r="L13" s="6"/>
      <c r="M13" s="6"/>
      <c r="N13" s="6"/>
      <c r="O13" s="6"/>
      <c r="P13" s="6"/>
      <c r="Q13" s="6"/>
      <c r="R13" s="6"/>
      <c r="S13" s="6"/>
      <c r="T13" s="6"/>
      <c r="U13" s="6"/>
    </row>
    <row r="14" spans="1:21" x14ac:dyDescent="0.3">
      <c r="A14" s="119"/>
      <c r="B14" s="119"/>
      <c r="C14" s="119" t="s">
        <v>337</v>
      </c>
      <c r="D14" s="119" t="s">
        <v>200</v>
      </c>
      <c r="E14" s="6"/>
      <c r="F14" s="6"/>
      <c r="G14" s="6"/>
      <c r="H14" s="6"/>
      <c r="I14" s="6"/>
      <c r="J14" s="6"/>
      <c r="K14" s="6"/>
      <c r="L14" s="6"/>
      <c r="M14" s="6"/>
      <c r="N14" s="6"/>
      <c r="O14" s="6"/>
      <c r="P14" s="6"/>
      <c r="Q14" s="6"/>
      <c r="R14" s="6"/>
      <c r="S14" s="6"/>
      <c r="T14" s="6"/>
      <c r="U14" s="6"/>
    </row>
    <row r="15" spans="1:21" x14ac:dyDescent="0.3">
      <c r="A15" s="119"/>
      <c r="B15" s="119"/>
      <c r="C15" s="119" t="s">
        <v>338</v>
      </c>
      <c r="D15" s="119" t="s">
        <v>181</v>
      </c>
      <c r="E15" s="6"/>
      <c r="F15" s="6"/>
      <c r="G15" s="6"/>
      <c r="H15" s="6"/>
      <c r="I15" s="6"/>
      <c r="J15" s="6"/>
      <c r="K15" s="6"/>
      <c r="L15" s="6"/>
      <c r="M15" s="6"/>
      <c r="N15" s="6"/>
      <c r="O15" s="6"/>
      <c r="P15" s="6"/>
      <c r="Q15" s="6"/>
      <c r="R15" s="6"/>
      <c r="S15" s="6"/>
      <c r="T15" s="6"/>
      <c r="U15" s="6"/>
    </row>
    <row r="16" spans="1:21" x14ac:dyDescent="0.3">
      <c r="A16" s="119"/>
      <c r="B16" s="119"/>
      <c r="C16" s="119" t="s">
        <v>339</v>
      </c>
      <c r="D16" s="119" t="s">
        <v>340</v>
      </c>
      <c r="E16" s="6"/>
      <c r="F16" s="6"/>
      <c r="G16" s="6"/>
      <c r="H16" s="6"/>
      <c r="I16" s="6"/>
      <c r="J16" s="6"/>
      <c r="K16" s="6"/>
      <c r="L16" s="6"/>
      <c r="M16" s="6"/>
      <c r="N16" s="6"/>
      <c r="O16" s="6"/>
      <c r="P16" s="6"/>
      <c r="Q16" s="6"/>
      <c r="R16" s="6"/>
      <c r="S16" s="6"/>
      <c r="T16" s="6"/>
      <c r="U16" s="6"/>
    </row>
    <row r="17" spans="1:15" x14ac:dyDescent="0.3">
      <c r="A17" s="119"/>
      <c r="B17" s="119"/>
      <c r="C17" s="6"/>
      <c r="D17" s="119"/>
      <c r="E17" s="6"/>
      <c r="F17" s="6"/>
      <c r="G17" s="6"/>
      <c r="H17" s="6"/>
      <c r="I17" s="6"/>
      <c r="J17" s="6"/>
      <c r="K17" s="6"/>
      <c r="L17" s="6"/>
      <c r="M17" s="6"/>
      <c r="N17" s="6"/>
      <c r="O17" s="6"/>
    </row>
    <row r="18" spans="1:15" x14ac:dyDescent="0.3">
      <c r="A18" s="119"/>
      <c r="B18" s="119"/>
      <c r="C18" s="6"/>
      <c r="D18" s="119"/>
      <c r="E18" s="6"/>
      <c r="F18" s="6"/>
      <c r="G18" s="6"/>
      <c r="H18" s="6"/>
      <c r="I18" s="6"/>
      <c r="J18" s="6"/>
      <c r="K18" s="6"/>
      <c r="L18" s="6"/>
      <c r="M18" s="6"/>
      <c r="N18" s="6"/>
      <c r="O18" s="6"/>
    </row>
    <row r="19" spans="1:15" x14ac:dyDescent="0.3">
      <c r="A19" s="119"/>
      <c r="B19" s="118"/>
      <c r="C19" s="6"/>
      <c r="D19" s="118"/>
      <c r="E19" s="6"/>
      <c r="F19" s="6"/>
      <c r="G19" s="6"/>
      <c r="H19" s="6"/>
      <c r="I19" s="6"/>
      <c r="J19" s="6"/>
      <c r="K19" s="6"/>
      <c r="L19" s="6"/>
      <c r="M19" s="6"/>
      <c r="N19" s="6"/>
      <c r="O19" s="6"/>
    </row>
    <row r="20" spans="1:15" x14ac:dyDescent="0.3">
      <c r="A20" s="119"/>
      <c r="B20" s="118"/>
      <c r="C20" s="6"/>
      <c r="D20" s="118"/>
      <c r="E20" s="6"/>
      <c r="F20" s="6"/>
      <c r="G20" s="6"/>
      <c r="H20" s="6"/>
      <c r="I20" s="6"/>
      <c r="J20" s="6"/>
      <c r="K20" s="6"/>
      <c r="L20" s="6"/>
      <c r="M20" s="6"/>
      <c r="N20" s="6"/>
      <c r="O20" s="6"/>
    </row>
    <row r="21" spans="1:15" x14ac:dyDescent="0.3">
      <c r="A21" s="119"/>
      <c r="B21" s="118"/>
      <c r="C21" s="6"/>
      <c r="D21" s="118"/>
      <c r="E21" s="6"/>
      <c r="F21" s="6"/>
      <c r="G21" s="6"/>
      <c r="H21" s="6"/>
      <c r="I21" s="6"/>
      <c r="J21" s="6"/>
      <c r="K21" s="6"/>
      <c r="L21" s="6"/>
      <c r="M21" s="6"/>
      <c r="N21" s="6"/>
      <c r="O21" s="6"/>
    </row>
    <row r="22" spans="1:15" x14ac:dyDescent="0.3">
      <c r="A22" s="119"/>
      <c r="B22" s="118"/>
      <c r="C22" s="6"/>
      <c r="D22" s="118"/>
      <c r="E22" s="6"/>
      <c r="F22" s="6"/>
      <c r="G22" s="6"/>
      <c r="H22" s="6"/>
      <c r="I22" s="6"/>
      <c r="J22" s="6"/>
      <c r="K22" s="6"/>
      <c r="L22" s="6"/>
      <c r="M22" s="6"/>
      <c r="N22" s="6"/>
      <c r="O22" s="6"/>
    </row>
    <row r="23" spans="1:15" ht="20.25" x14ac:dyDescent="0.3">
      <c r="A23" s="119"/>
      <c r="B23" s="119"/>
      <c r="C23" s="86"/>
      <c r="D23" s="68"/>
      <c r="E23" s="6"/>
      <c r="F23" s="6"/>
      <c r="G23" s="6"/>
      <c r="H23" s="6"/>
      <c r="I23" s="6"/>
      <c r="J23" s="6"/>
      <c r="K23" s="6"/>
      <c r="L23" s="6"/>
      <c r="M23" s="6"/>
      <c r="N23" s="6"/>
      <c r="O23" s="6"/>
    </row>
    <row r="24" spans="1:15" ht="20.25" x14ac:dyDescent="0.3">
      <c r="A24" s="119"/>
      <c r="B24" s="119"/>
      <c r="C24" s="86"/>
      <c r="D24" s="68"/>
      <c r="E24" s="6"/>
      <c r="F24" s="6"/>
      <c r="G24" s="6"/>
      <c r="H24" s="6"/>
      <c r="I24" s="6"/>
      <c r="J24" s="6"/>
      <c r="K24" s="6"/>
      <c r="L24" s="6"/>
      <c r="M24" s="6"/>
      <c r="N24" s="6"/>
      <c r="O24" s="6"/>
    </row>
    <row r="25" spans="1:15" ht="20.25" x14ac:dyDescent="0.3">
      <c r="A25" s="119"/>
      <c r="B25" s="119"/>
      <c r="C25" s="86"/>
      <c r="D25" s="68"/>
      <c r="E25" s="6"/>
      <c r="F25" s="6"/>
      <c r="G25" s="6"/>
      <c r="H25" s="6"/>
      <c r="I25" s="6"/>
      <c r="J25" s="6"/>
      <c r="K25" s="6"/>
      <c r="L25" s="6"/>
      <c r="M25" s="6"/>
      <c r="N25" s="6"/>
      <c r="O25" s="6"/>
    </row>
    <row r="26" spans="1:15" ht="20.25" x14ac:dyDescent="0.3">
      <c r="A26" s="119"/>
      <c r="B26" s="119"/>
      <c r="C26" s="86"/>
      <c r="D26" s="68"/>
      <c r="E26" s="6"/>
      <c r="F26" s="6"/>
      <c r="G26" s="6"/>
      <c r="H26" s="6"/>
      <c r="I26" s="6"/>
      <c r="J26" s="6"/>
      <c r="K26" s="6"/>
      <c r="L26" s="6"/>
      <c r="M26" s="6"/>
      <c r="N26" s="6"/>
      <c r="O26" s="6"/>
    </row>
    <row r="27" spans="1:15" ht="20.25" x14ac:dyDescent="0.3">
      <c r="A27" s="119"/>
      <c r="B27" s="119"/>
      <c r="C27" s="86"/>
      <c r="D27" s="68"/>
      <c r="E27" s="6"/>
      <c r="F27" s="6"/>
      <c r="G27" s="6"/>
      <c r="H27" s="6"/>
      <c r="I27" s="6"/>
      <c r="J27" s="6"/>
      <c r="K27" s="6"/>
      <c r="L27" s="6"/>
      <c r="M27" s="6"/>
      <c r="N27" s="6"/>
      <c r="O27" s="6"/>
    </row>
    <row r="28" spans="1:15" ht="20.25" x14ac:dyDescent="0.3">
      <c r="A28" s="119"/>
      <c r="B28" s="119"/>
      <c r="C28" s="86"/>
      <c r="D28" s="68"/>
      <c r="E28" s="6"/>
      <c r="F28" s="6"/>
      <c r="G28" s="6"/>
      <c r="H28" s="6"/>
      <c r="I28" s="6"/>
      <c r="J28" s="6"/>
      <c r="K28" s="6"/>
      <c r="L28" s="6"/>
      <c r="M28" s="6"/>
      <c r="N28" s="6"/>
      <c r="O28" s="6"/>
    </row>
    <row r="29" spans="1:15" ht="20.25" x14ac:dyDescent="0.3">
      <c r="A29" s="119"/>
      <c r="B29" s="119"/>
      <c r="C29" s="86"/>
      <c r="D29" s="68"/>
      <c r="E29" s="6"/>
      <c r="F29" s="6"/>
      <c r="G29" s="6"/>
      <c r="H29" s="6"/>
      <c r="I29" s="6"/>
      <c r="J29" s="6"/>
      <c r="K29" s="6"/>
      <c r="L29" s="6"/>
      <c r="M29" s="6"/>
      <c r="N29" s="6"/>
      <c r="O29" s="6"/>
    </row>
    <row r="30" spans="1:15" ht="20.25" x14ac:dyDescent="0.3">
      <c r="A30" s="119"/>
      <c r="B30" s="119"/>
      <c r="C30" s="86"/>
      <c r="D30" s="68"/>
      <c r="E30" s="6"/>
      <c r="F30" s="6"/>
      <c r="G30" s="6"/>
      <c r="H30" s="6"/>
      <c r="I30" s="6"/>
      <c r="J30" s="6"/>
      <c r="K30" s="6"/>
      <c r="L30" s="6"/>
      <c r="M30" s="6"/>
      <c r="N30" s="6"/>
      <c r="O30" s="6"/>
    </row>
    <row r="31" spans="1:15" ht="20.25" x14ac:dyDescent="0.3">
      <c r="A31" s="119"/>
      <c r="B31" s="119"/>
      <c r="C31" s="86"/>
      <c r="D31" s="68"/>
      <c r="E31" s="6"/>
      <c r="F31" s="6"/>
      <c r="G31" s="6"/>
      <c r="H31" s="6"/>
      <c r="I31" s="6"/>
      <c r="J31" s="6"/>
      <c r="K31" s="6"/>
      <c r="L31" s="6"/>
      <c r="M31" s="6"/>
      <c r="N31" s="6"/>
      <c r="O31" s="6"/>
    </row>
    <row r="32" spans="1:15" ht="20.25" x14ac:dyDescent="0.3">
      <c r="A32" s="119"/>
      <c r="B32" s="119"/>
      <c r="C32" s="86"/>
      <c r="D32" s="68"/>
      <c r="E32" s="6"/>
      <c r="F32" s="6"/>
      <c r="G32" s="6"/>
      <c r="H32" s="6"/>
      <c r="I32" s="6"/>
      <c r="J32" s="6"/>
      <c r="K32" s="6"/>
      <c r="L32" s="6"/>
      <c r="M32" s="6"/>
      <c r="N32" s="6"/>
      <c r="O32" s="6"/>
    </row>
    <row r="33" spans="1:15" ht="20.25" x14ac:dyDescent="0.3">
      <c r="A33" s="119"/>
      <c r="B33" s="119"/>
      <c r="C33" s="86"/>
      <c r="D33" s="68"/>
      <c r="E33" s="6"/>
      <c r="F33" s="6"/>
      <c r="G33" s="6"/>
      <c r="H33" s="6"/>
      <c r="I33" s="6"/>
      <c r="J33" s="6"/>
      <c r="K33" s="6"/>
      <c r="L33" s="6"/>
      <c r="M33" s="6"/>
      <c r="N33" s="6"/>
      <c r="O33" s="6"/>
    </row>
    <row r="34" spans="1:15" ht="20.25" x14ac:dyDescent="0.3">
      <c r="A34" s="119"/>
      <c r="B34" s="119"/>
      <c r="C34" s="86"/>
      <c r="D34" s="68"/>
      <c r="E34" s="6"/>
      <c r="F34" s="6"/>
      <c r="G34" s="6"/>
      <c r="H34" s="6"/>
      <c r="I34" s="6"/>
      <c r="J34" s="6"/>
      <c r="K34" s="6"/>
      <c r="L34" s="6"/>
      <c r="M34" s="6"/>
      <c r="N34" s="6"/>
      <c r="O34" s="6"/>
    </row>
    <row r="35" spans="1:15" ht="20.25" x14ac:dyDescent="0.3">
      <c r="A35" s="119"/>
      <c r="B35" s="119"/>
      <c r="C35" s="86"/>
      <c r="D35" s="68"/>
      <c r="E35" s="6"/>
      <c r="F35" s="6"/>
      <c r="G35" s="6"/>
      <c r="H35" s="6"/>
      <c r="I35" s="6"/>
      <c r="J35" s="6"/>
      <c r="K35" s="6"/>
      <c r="L35" s="6"/>
      <c r="M35" s="6"/>
      <c r="N35" s="6"/>
      <c r="O35" s="6"/>
    </row>
    <row r="36" spans="1:15" ht="20.25" x14ac:dyDescent="0.3">
      <c r="A36" s="119"/>
      <c r="B36" s="119"/>
      <c r="C36" s="86"/>
      <c r="D36" s="68"/>
      <c r="E36" s="6"/>
      <c r="F36" s="6"/>
      <c r="G36" s="6"/>
      <c r="H36" s="6"/>
      <c r="I36" s="6"/>
      <c r="J36" s="6"/>
      <c r="K36" s="6"/>
      <c r="L36" s="6"/>
      <c r="M36" s="6"/>
      <c r="N36" s="6"/>
      <c r="O36" s="6"/>
    </row>
    <row r="37" spans="1:15" ht="20.25" x14ac:dyDescent="0.3">
      <c r="A37" s="119"/>
      <c r="B37" s="119"/>
      <c r="C37" s="86"/>
      <c r="D37" s="68"/>
      <c r="E37" s="6"/>
      <c r="F37" s="6"/>
      <c r="G37" s="6"/>
      <c r="H37" s="6"/>
      <c r="I37" s="6"/>
      <c r="J37" s="6"/>
      <c r="K37" s="6"/>
      <c r="L37" s="6"/>
      <c r="M37" s="6"/>
      <c r="N37" s="6"/>
      <c r="O37" s="6"/>
    </row>
    <row r="38" spans="1:15" ht="20.25" x14ac:dyDescent="0.3">
      <c r="A38" s="119"/>
      <c r="B38" s="119"/>
      <c r="C38" s="86"/>
      <c r="D38" s="68"/>
      <c r="E38" s="6"/>
      <c r="F38" s="6"/>
      <c r="G38" s="6"/>
      <c r="H38" s="6"/>
      <c r="I38" s="6"/>
      <c r="J38" s="6"/>
      <c r="K38" s="6"/>
      <c r="L38" s="6"/>
      <c r="M38" s="6"/>
      <c r="N38" s="6"/>
      <c r="O38" s="6"/>
    </row>
    <row r="39" spans="1:15" ht="20.25" x14ac:dyDescent="0.3">
      <c r="A39" s="119"/>
      <c r="B39" s="119"/>
      <c r="C39" s="86"/>
      <c r="D39" s="68"/>
      <c r="E39" s="6"/>
      <c r="F39" s="6"/>
      <c r="G39" s="6"/>
      <c r="H39" s="6"/>
      <c r="I39" s="6"/>
      <c r="J39" s="6"/>
      <c r="K39" s="6"/>
      <c r="L39" s="6"/>
      <c r="M39" s="6"/>
      <c r="N39" s="6"/>
      <c r="O39" s="6"/>
    </row>
    <row r="40" spans="1:15" ht="20.25" x14ac:dyDescent="0.3">
      <c r="A40" s="119"/>
      <c r="B40" s="119"/>
      <c r="C40" s="86"/>
      <c r="D40" s="68"/>
      <c r="E40" s="6"/>
      <c r="F40" s="6"/>
      <c r="G40" s="6"/>
      <c r="H40" s="6"/>
      <c r="I40" s="6"/>
      <c r="J40" s="6"/>
      <c r="K40" s="6"/>
      <c r="L40" s="6"/>
      <c r="M40" s="6"/>
      <c r="N40" s="6"/>
      <c r="O40" s="6"/>
    </row>
    <row r="41" spans="1:15" ht="20.25" x14ac:dyDescent="0.3">
      <c r="A41" s="119"/>
      <c r="B41" s="119"/>
      <c r="C41" s="86"/>
      <c r="D41" s="68"/>
      <c r="E41" s="6"/>
      <c r="F41" s="6"/>
      <c r="G41" s="6"/>
      <c r="H41" s="6"/>
      <c r="I41" s="6"/>
      <c r="J41" s="6"/>
      <c r="K41" s="6"/>
      <c r="L41" s="6"/>
      <c r="M41" s="6"/>
      <c r="N41" s="6"/>
      <c r="O41" s="6"/>
    </row>
    <row r="42" spans="1:15" ht="20.25" x14ac:dyDescent="0.3">
      <c r="A42" s="119"/>
      <c r="B42" s="119"/>
      <c r="C42" s="86"/>
      <c r="D42" s="68"/>
      <c r="E42" s="6"/>
      <c r="F42" s="6"/>
      <c r="G42" s="6"/>
      <c r="H42" s="6"/>
      <c r="I42" s="6"/>
      <c r="J42" s="6"/>
      <c r="K42" s="6"/>
      <c r="L42" s="6"/>
      <c r="M42" s="6"/>
      <c r="N42" s="6"/>
      <c r="O42" s="6"/>
    </row>
    <row r="43" spans="1:15" ht="20.25" x14ac:dyDescent="0.3">
      <c r="A43" s="119"/>
      <c r="B43" s="119"/>
      <c r="C43" s="86"/>
      <c r="D43" s="68"/>
      <c r="E43" s="6"/>
      <c r="F43" s="6"/>
      <c r="G43" s="6"/>
      <c r="H43" s="6"/>
      <c r="I43" s="6"/>
      <c r="J43" s="6"/>
      <c r="K43" s="6"/>
      <c r="L43" s="6"/>
      <c r="M43" s="6"/>
      <c r="N43" s="6"/>
      <c r="O43" s="6"/>
    </row>
    <row r="44" spans="1:15" ht="20.25" x14ac:dyDescent="0.3">
      <c r="A44" s="119"/>
      <c r="B44" s="119"/>
      <c r="C44" s="86"/>
      <c r="D44" s="68"/>
      <c r="E44" s="6"/>
      <c r="F44" s="6"/>
      <c r="G44" s="6"/>
      <c r="H44" s="6"/>
      <c r="I44" s="6"/>
      <c r="J44" s="6"/>
      <c r="K44" s="6"/>
      <c r="L44" s="6"/>
      <c r="M44" s="6"/>
      <c r="N44" s="6"/>
      <c r="O44" s="6"/>
    </row>
    <row r="45" spans="1:15" ht="20.25" x14ac:dyDescent="0.3">
      <c r="A45" s="119"/>
      <c r="B45" s="119"/>
      <c r="C45" s="86"/>
      <c r="D45" s="68"/>
      <c r="E45" s="6"/>
      <c r="F45" s="6"/>
      <c r="G45" s="6"/>
      <c r="H45" s="6"/>
      <c r="I45" s="6"/>
      <c r="J45" s="6"/>
      <c r="K45" s="6"/>
      <c r="L45" s="6"/>
      <c r="M45" s="6"/>
      <c r="N45" s="6"/>
      <c r="O45" s="6"/>
    </row>
    <row r="46" spans="1:15" ht="20.25" x14ac:dyDescent="0.3">
      <c r="A46" s="119"/>
      <c r="B46" s="119"/>
      <c r="C46" s="86"/>
      <c r="D46" s="68"/>
      <c r="E46" s="6"/>
      <c r="F46" s="6"/>
      <c r="G46" s="6"/>
      <c r="H46" s="6"/>
      <c r="I46" s="6"/>
      <c r="J46" s="6"/>
      <c r="K46" s="6"/>
      <c r="L46" s="6"/>
      <c r="M46" s="6"/>
      <c r="N46" s="6"/>
      <c r="O46" s="6"/>
    </row>
    <row r="47" spans="1:15" ht="20.25" x14ac:dyDescent="0.3">
      <c r="A47" s="119"/>
      <c r="B47" s="119"/>
      <c r="C47" s="86"/>
      <c r="D47" s="68"/>
      <c r="E47" s="6"/>
      <c r="F47" s="6"/>
      <c r="G47" s="6"/>
      <c r="H47" s="6"/>
      <c r="I47" s="6"/>
      <c r="J47" s="6"/>
      <c r="K47" s="6"/>
      <c r="L47" s="6"/>
      <c r="M47" s="6"/>
      <c r="N47" s="6"/>
      <c r="O47" s="6"/>
    </row>
    <row r="48" spans="1:15" ht="20.25" x14ac:dyDescent="0.3">
      <c r="A48" s="119"/>
      <c r="B48" s="119"/>
      <c r="C48" s="86"/>
      <c r="D48" s="68"/>
      <c r="E48" s="6"/>
      <c r="F48" s="6"/>
      <c r="G48" s="6"/>
      <c r="H48" s="6"/>
      <c r="I48" s="6"/>
      <c r="J48" s="6"/>
      <c r="K48" s="6"/>
      <c r="L48" s="6"/>
      <c r="M48" s="6"/>
      <c r="N48" s="6"/>
      <c r="O48" s="6"/>
    </row>
    <row r="49" spans="1:15" ht="20.25" x14ac:dyDescent="0.3">
      <c r="A49" s="119"/>
      <c r="B49" s="119"/>
      <c r="C49" s="86"/>
      <c r="D49" s="68"/>
      <c r="E49" s="6"/>
      <c r="F49" s="6"/>
      <c r="G49" s="6"/>
      <c r="H49" s="6"/>
      <c r="I49" s="6"/>
      <c r="J49" s="6"/>
      <c r="K49" s="6"/>
      <c r="L49" s="6"/>
      <c r="M49" s="6"/>
      <c r="N49" s="6"/>
      <c r="O49" s="6"/>
    </row>
    <row r="50" spans="1:15" ht="20.25" x14ac:dyDescent="0.3">
      <c r="A50" s="119"/>
      <c r="B50" s="119"/>
      <c r="C50" s="86"/>
      <c r="D50" s="68"/>
      <c r="E50" s="6"/>
      <c r="F50" s="6"/>
      <c r="G50" s="6"/>
      <c r="H50" s="6"/>
      <c r="I50" s="6"/>
      <c r="J50" s="6"/>
      <c r="K50" s="6"/>
      <c r="L50" s="6"/>
      <c r="M50" s="6"/>
      <c r="N50" s="6"/>
      <c r="O50" s="6"/>
    </row>
    <row r="51" spans="1:15" ht="20.25" x14ac:dyDescent="0.3">
      <c r="A51" s="119"/>
      <c r="B51" s="119"/>
      <c r="C51" s="86"/>
      <c r="D51" s="68"/>
      <c r="E51" s="6"/>
      <c r="F51" s="6"/>
      <c r="G51" s="6"/>
      <c r="H51" s="6"/>
      <c r="I51" s="6"/>
      <c r="J51" s="6"/>
      <c r="K51" s="6"/>
      <c r="L51" s="6"/>
      <c r="M51" s="6"/>
      <c r="N51" s="6"/>
      <c r="O51" s="6"/>
    </row>
    <row r="52" spans="1:15" ht="20.25" x14ac:dyDescent="0.3">
      <c r="A52" s="119"/>
      <c r="B52" s="119"/>
      <c r="C52" s="86"/>
      <c r="D52" s="68"/>
      <c r="E52" s="6"/>
      <c r="F52" s="6"/>
      <c r="G52" s="6"/>
      <c r="H52" s="6"/>
      <c r="I52" s="6"/>
      <c r="J52" s="6"/>
      <c r="K52" s="6"/>
      <c r="L52" s="6"/>
      <c r="M52" s="6"/>
      <c r="N52" s="6"/>
      <c r="O52" s="6"/>
    </row>
    <row r="53" spans="1:15" ht="20.25" x14ac:dyDescent="0.3">
      <c r="A53" s="119"/>
      <c r="B53" s="120"/>
      <c r="C53" s="87"/>
      <c r="D53" s="16"/>
    </row>
    <row r="54" spans="1:15" ht="20.25" x14ac:dyDescent="0.3">
      <c r="A54" s="119"/>
      <c r="B54" s="120"/>
      <c r="C54" s="87"/>
      <c r="D54" s="16"/>
    </row>
    <row r="55" spans="1:15" ht="20.25" x14ac:dyDescent="0.3">
      <c r="A55" s="119"/>
      <c r="B55" s="120"/>
      <c r="C55" s="87"/>
      <c r="D55" s="16"/>
    </row>
    <row r="56" spans="1:15" ht="20.25" x14ac:dyDescent="0.3">
      <c r="A56" s="119"/>
      <c r="B56" s="120"/>
      <c r="C56" s="87"/>
      <c r="D56" s="16"/>
    </row>
    <row r="57" spans="1:15" ht="20.25" x14ac:dyDescent="0.3">
      <c r="A57" s="119"/>
      <c r="B57" s="120"/>
      <c r="C57" s="87"/>
      <c r="D57" s="16"/>
    </row>
    <row r="58" spans="1:15" ht="20.25" x14ac:dyDescent="0.3">
      <c r="A58" s="119"/>
      <c r="B58" s="120"/>
      <c r="C58" s="87"/>
      <c r="D58" s="16"/>
    </row>
    <row r="59" spans="1:15" ht="20.25" x14ac:dyDescent="0.3">
      <c r="A59" s="119"/>
      <c r="B59" s="120"/>
      <c r="C59" s="87"/>
      <c r="D59" s="16"/>
    </row>
    <row r="60" spans="1:15" ht="20.25" x14ac:dyDescent="0.3">
      <c r="A60" s="119"/>
      <c r="B60" s="120"/>
      <c r="C60" s="87"/>
      <c r="D60" s="16"/>
    </row>
    <row r="61" spans="1:15" ht="20.25" x14ac:dyDescent="0.3">
      <c r="A61" s="119"/>
      <c r="B61" s="120"/>
      <c r="C61" s="87"/>
      <c r="D61" s="16"/>
    </row>
    <row r="62" spans="1:15" ht="20.25" x14ac:dyDescent="0.3">
      <c r="A62" s="119"/>
      <c r="B62" s="120"/>
      <c r="C62" s="87"/>
      <c r="D62" s="16"/>
    </row>
    <row r="63" spans="1:15" ht="20.25" x14ac:dyDescent="0.3">
      <c r="A63" s="119"/>
      <c r="B63" s="120"/>
      <c r="C63" s="87"/>
      <c r="D63" s="16"/>
    </row>
    <row r="64" spans="1:15" ht="20.25" x14ac:dyDescent="0.3">
      <c r="A64" s="119"/>
      <c r="B64" s="120"/>
      <c r="C64" s="87"/>
      <c r="D64" s="16"/>
    </row>
    <row r="65" spans="1:4" ht="20.25" x14ac:dyDescent="0.3">
      <c r="A65" s="119"/>
      <c r="B65" s="120"/>
      <c r="C65" s="87"/>
      <c r="D65" s="16"/>
    </row>
    <row r="66" spans="1:4" ht="20.25" x14ac:dyDescent="0.3">
      <c r="A66" s="119"/>
      <c r="B66" s="120"/>
      <c r="C66" s="87"/>
      <c r="D66" s="16"/>
    </row>
    <row r="67" spans="1:4" ht="20.25" x14ac:dyDescent="0.3">
      <c r="A67" s="119"/>
      <c r="B67" s="120"/>
      <c r="C67" s="87"/>
      <c r="D67" s="16"/>
    </row>
    <row r="68" spans="1:4" ht="20.25" x14ac:dyDescent="0.3">
      <c r="A68" s="119"/>
      <c r="B68" s="120"/>
      <c r="C68" s="87"/>
      <c r="D68" s="16"/>
    </row>
    <row r="69" spans="1:4" ht="20.25" x14ac:dyDescent="0.3">
      <c r="A69" s="119"/>
      <c r="B69" s="120"/>
      <c r="C69" s="87"/>
      <c r="D69" s="16"/>
    </row>
    <row r="70" spans="1:4" ht="20.25" x14ac:dyDescent="0.3">
      <c r="A70" s="119"/>
      <c r="B70" s="120"/>
      <c r="C70" s="87"/>
      <c r="D70" s="16"/>
    </row>
    <row r="71" spans="1:4" ht="20.25" x14ac:dyDescent="0.3">
      <c r="A71" s="119"/>
      <c r="B71" s="120"/>
      <c r="C71" s="87"/>
      <c r="D71" s="16"/>
    </row>
    <row r="72" spans="1:4" ht="20.25" x14ac:dyDescent="0.3">
      <c r="A72" s="119"/>
      <c r="B72" s="120"/>
      <c r="C72" s="87"/>
      <c r="D72" s="16"/>
    </row>
    <row r="73" spans="1:4" ht="20.25" x14ac:dyDescent="0.3">
      <c r="A73" s="119"/>
      <c r="B73" s="120"/>
      <c r="C73" s="87"/>
      <c r="D73" s="16"/>
    </row>
    <row r="74" spans="1:4" ht="20.25" x14ac:dyDescent="0.3">
      <c r="A74" s="119"/>
      <c r="B74" s="120"/>
      <c r="C74" s="87"/>
      <c r="D74" s="16"/>
    </row>
    <row r="75" spans="1:4" ht="20.25" x14ac:dyDescent="0.3">
      <c r="A75" s="119"/>
      <c r="B75" s="120"/>
      <c r="C75" s="87"/>
      <c r="D75" s="16"/>
    </row>
    <row r="76" spans="1:4" ht="20.25" x14ac:dyDescent="0.3">
      <c r="A76" s="119"/>
      <c r="B76" s="120"/>
      <c r="C76" s="87"/>
      <c r="D76" s="16"/>
    </row>
    <row r="77" spans="1:4" ht="20.25" x14ac:dyDescent="0.3">
      <c r="A77" s="119"/>
      <c r="B77" s="120"/>
      <c r="C77" s="87"/>
      <c r="D77" s="16"/>
    </row>
    <row r="78" spans="1:4" ht="20.25" x14ac:dyDescent="0.3">
      <c r="A78" s="119"/>
      <c r="B78" s="120"/>
      <c r="C78" s="87"/>
      <c r="D78" s="16"/>
    </row>
    <row r="79" spans="1:4" ht="20.25" x14ac:dyDescent="0.3">
      <c r="A79" s="119"/>
      <c r="B79" s="120"/>
      <c r="C79" s="87"/>
      <c r="D79" s="16"/>
    </row>
    <row r="80" spans="1:4" ht="20.25" x14ac:dyDescent="0.3">
      <c r="A80" s="119"/>
      <c r="B80" s="120"/>
      <c r="C80" s="87"/>
      <c r="D80" s="16"/>
    </row>
    <row r="81" spans="1:4" ht="20.25" x14ac:dyDescent="0.3">
      <c r="A81" s="119"/>
      <c r="B81" s="120"/>
      <c r="C81" s="87"/>
      <c r="D81" s="16"/>
    </row>
    <row r="82" spans="1:4" ht="20.25" x14ac:dyDescent="0.3">
      <c r="A82" s="119"/>
      <c r="B82" s="120"/>
      <c r="C82" s="87"/>
      <c r="D82" s="16"/>
    </row>
    <row r="83" spans="1:4" ht="20.25" x14ac:dyDescent="0.3">
      <c r="A83" s="119"/>
      <c r="B83" s="120"/>
      <c r="C83" s="87"/>
      <c r="D83" s="16"/>
    </row>
    <row r="84" spans="1:4" ht="20.25" x14ac:dyDescent="0.3">
      <c r="A84" s="119"/>
      <c r="B84" s="120"/>
      <c r="C84" s="87"/>
      <c r="D84" s="16"/>
    </row>
    <row r="85" spans="1:4" ht="20.25" x14ac:dyDescent="0.3">
      <c r="A85" s="119"/>
      <c r="B85" s="120"/>
      <c r="C85" s="87"/>
      <c r="D85" s="16"/>
    </row>
    <row r="86" spans="1:4" ht="20.25" x14ac:dyDescent="0.3">
      <c r="A86" s="119"/>
      <c r="B86" s="120"/>
      <c r="C86" s="87"/>
      <c r="D86" s="16"/>
    </row>
    <row r="87" spans="1:4" ht="20.25" x14ac:dyDescent="0.3">
      <c r="A87" s="119"/>
      <c r="B87" s="120"/>
      <c r="C87" s="87"/>
      <c r="D87" s="16"/>
    </row>
    <row r="88" spans="1:4" ht="20.25" x14ac:dyDescent="0.3">
      <c r="A88" s="119"/>
      <c r="B88" s="120"/>
      <c r="C88" s="87"/>
      <c r="D88" s="16"/>
    </row>
    <row r="89" spans="1:4" ht="20.25" x14ac:dyDescent="0.3">
      <c r="A89" s="119"/>
      <c r="B89" s="120"/>
      <c r="C89" s="87"/>
      <c r="D89" s="16"/>
    </row>
    <row r="90" spans="1:4" ht="20.25" x14ac:dyDescent="0.3">
      <c r="A90" s="119"/>
      <c r="B90" s="120"/>
      <c r="C90" s="87"/>
      <c r="D90" s="16"/>
    </row>
    <row r="91" spans="1:4" ht="20.25" x14ac:dyDescent="0.3">
      <c r="A91" s="119"/>
      <c r="B91" s="120"/>
      <c r="C91" s="87"/>
      <c r="D91" s="16"/>
    </row>
    <row r="92" spans="1:4" ht="20.25" x14ac:dyDescent="0.3">
      <c r="A92" s="119"/>
      <c r="B92" s="120"/>
      <c r="C92" s="87"/>
      <c r="D92" s="16"/>
    </row>
    <row r="93" spans="1:4" ht="20.25" x14ac:dyDescent="0.3">
      <c r="A93" s="119"/>
      <c r="B93" s="120"/>
      <c r="C93" s="87"/>
      <c r="D93" s="16"/>
    </row>
    <row r="94" spans="1:4" ht="20.25" x14ac:dyDescent="0.3">
      <c r="A94" s="119"/>
      <c r="B94" s="120"/>
      <c r="C94" s="87"/>
      <c r="D94" s="16"/>
    </row>
    <row r="95" spans="1:4" ht="20.25" x14ac:dyDescent="0.3">
      <c r="A95" s="119"/>
      <c r="B95" s="120"/>
      <c r="C95" s="87"/>
      <c r="D95" s="16"/>
    </row>
    <row r="96" spans="1:4" ht="20.25" x14ac:dyDescent="0.3">
      <c r="A96" s="119"/>
      <c r="B96" s="120"/>
      <c r="C96" s="87"/>
      <c r="D96" s="16"/>
    </row>
    <row r="97" spans="1:4" ht="20.25" x14ac:dyDescent="0.3">
      <c r="A97" s="119"/>
      <c r="B97" s="120"/>
      <c r="C97" s="87"/>
      <c r="D97" s="16"/>
    </row>
    <row r="98" spans="1:4" ht="20.25" x14ac:dyDescent="0.3">
      <c r="A98" s="119"/>
      <c r="B98" s="120"/>
      <c r="C98" s="87"/>
      <c r="D98" s="16"/>
    </row>
    <row r="99" spans="1:4" ht="20.25" x14ac:dyDescent="0.3">
      <c r="A99" s="119"/>
      <c r="B99" s="120"/>
      <c r="C99" s="87"/>
      <c r="D99" s="16"/>
    </row>
    <row r="100" spans="1:4" ht="20.25" x14ac:dyDescent="0.3">
      <c r="A100" s="119"/>
      <c r="B100" s="120"/>
      <c r="C100" s="87"/>
      <c r="D100" s="16"/>
    </row>
    <row r="101" spans="1:4" ht="20.25" x14ac:dyDescent="0.3">
      <c r="A101" s="119"/>
      <c r="B101" s="120"/>
      <c r="C101" s="87"/>
      <c r="D101" s="16"/>
    </row>
    <row r="102" spans="1:4" ht="20.25" x14ac:dyDescent="0.3">
      <c r="A102" s="119"/>
      <c r="B102" s="120"/>
      <c r="C102" s="87"/>
      <c r="D102" s="16"/>
    </row>
    <row r="103" spans="1:4" ht="20.25" x14ac:dyDescent="0.3">
      <c r="A103" s="119"/>
      <c r="B103" s="120"/>
      <c r="C103" s="87"/>
      <c r="D103" s="16"/>
    </row>
    <row r="104" spans="1:4" ht="20.25" x14ac:dyDescent="0.3">
      <c r="A104" s="119"/>
      <c r="B104" s="120"/>
      <c r="C104" s="87"/>
      <c r="D104" s="16"/>
    </row>
    <row r="105" spans="1:4" ht="20.25" x14ac:dyDescent="0.3">
      <c r="A105" s="119"/>
      <c r="B105" s="120"/>
      <c r="C105" s="87"/>
      <c r="D105" s="16"/>
    </row>
    <row r="106" spans="1:4" ht="20.25" x14ac:dyDescent="0.3">
      <c r="A106" s="119"/>
      <c r="B106" s="120"/>
      <c r="C106" s="87"/>
      <c r="D106" s="16"/>
    </row>
    <row r="107" spans="1:4" ht="20.25" x14ac:dyDescent="0.3">
      <c r="A107" s="119"/>
      <c r="B107" s="120"/>
      <c r="C107" s="87"/>
      <c r="D107" s="16"/>
    </row>
    <row r="108" spans="1:4" ht="20.25" x14ac:dyDescent="0.3">
      <c r="A108" s="119"/>
      <c r="B108" s="120"/>
      <c r="C108" s="87"/>
      <c r="D108" s="16"/>
    </row>
    <row r="109" spans="1:4" ht="20.25" x14ac:dyDescent="0.3">
      <c r="A109" s="119"/>
      <c r="B109" s="120"/>
      <c r="C109" s="87"/>
      <c r="D109" s="16"/>
    </row>
    <row r="110" spans="1:4" ht="20.25" x14ac:dyDescent="0.3">
      <c r="A110" s="119"/>
      <c r="B110" s="120"/>
      <c r="C110" s="87"/>
      <c r="D110" s="16"/>
    </row>
    <row r="111" spans="1:4" ht="20.25" x14ac:dyDescent="0.3">
      <c r="A111" s="119"/>
      <c r="B111" s="120"/>
      <c r="C111" s="87"/>
      <c r="D111" s="16"/>
    </row>
    <row r="112" spans="1:4" ht="20.25" x14ac:dyDescent="0.3">
      <c r="A112" s="119"/>
      <c r="B112" s="120"/>
      <c r="C112" s="87"/>
      <c r="D112" s="16"/>
    </row>
    <row r="113" spans="1:4" ht="20.25" x14ac:dyDescent="0.3">
      <c r="A113" s="119"/>
      <c r="B113" s="120"/>
      <c r="C113" s="87"/>
      <c r="D113" s="16"/>
    </row>
    <row r="114" spans="1:4" ht="20.25" x14ac:dyDescent="0.3">
      <c r="A114" s="119"/>
      <c r="B114" s="120"/>
      <c r="C114" s="87"/>
      <c r="D114" s="16"/>
    </row>
    <row r="115" spans="1:4" ht="20.25" x14ac:dyDescent="0.3">
      <c r="A115" s="119"/>
      <c r="B115" s="120"/>
      <c r="C115" s="87"/>
      <c r="D115" s="16"/>
    </row>
    <row r="116" spans="1:4" ht="20.25" x14ac:dyDescent="0.3">
      <c r="A116" s="119"/>
      <c r="B116" s="120"/>
      <c r="C116" s="87"/>
      <c r="D116" s="16"/>
    </row>
    <row r="117" spans="1:4" ht="20.25" x14ac:dyDescent="0.3">
      <c r="A117" s="119"/>
      <c r="B117" s="120"/>
      <c r="C117" s="87"/>
      <c r="D117" s="16"/>
    </row>
    <row r="118" spans="1:4" ht="20.25" x14ac:dyDescent="0.3">
      <c r="A118" s="119"/>
      <c r="B118" s="120"/>
      <c r="C118" s="87"/>
      <c r="D118" s="16"/>
    </row>
    <row r="119" spans="1:4" ht="20.25" x14ac:dyDescent="0.3">
      <c r="A119" s="119"/>
      <c r="B119" s="120"/>
      <c r="C119" s="87"/>
      <c r="D119" s="16"/>
    </row>
    <row r="120" spans="1:4" ht="20.25" x14ac:dyDescent="0.3">
      <c r="A120" s="119"/>
      <c r="B120" s="120"/>
      <c r="C120" s="87"/>
      <c r="D120" s="16"/>
    </row>
    <row r="121" spans="1:4" ht="20.25" x14ac:dyDescent="0.3">
      <c r="A121" s="119"/>
      <c r="B121" s="120"/>
      <c r="C121" s="87"/>
      <c r="D121" s="16"/>
    </row>
    <row r="122" spans="1:4" ht="20.25" x14ac:dyDescent="0.3">
      <c r="A122" s="119"/>
      <c r="B122" s="120"/>
      <c r="C122" s="87"/>
      <c r="D122" s="16"/>
    </row>
    <row r="123" spans="1:4" ht="20.25" x14ac:dyDescent="0.3">
      <c r="A123" s="119"/>
      <c r="B123" s="120"/>
      <c r="C123" s="16"/>
      <c r="D123" s="16"/>
    </row>
    <row r="124" spans="1:4" ht="20.25" x14ac:dyDescent="0.3">
      <c r="A124" s="119"/>
      <c r="B124" s="120"/>
      <c r="C124" s="16"/>
      <c r="D124" s="16"/>
    </row>
    <row r="125" spans="1:4" ht="20.25" x14ac:dyDescent="0.3">
      <c r="A125" s="119"/>
      <c r="B125" s="120"/>
      <c r="C125" s="16"/>
      <c r="D125" s="16"/>
    </row>
    <row r="126" spans="1:4" ht="20.25" x14ac:dyDescent="0.3">
      <c r="A126" s="119"/>
      <c r="B126" s="120"/>
      <c r="C126" s="16"/>
      <c r="D126" s="16"/>
    </row>
    <row r="127" spans="1:4" ht="20.25" x14ac:dyDescent="0.3">
      <c r="A127" s="119"/>
      <c r="B127" s="120"/>
      <c r="C127" s="16"/>
      <c r="D127" s="16"/>
    </row>
    <row r="128" spans="1:4" ht="20.25" x14ac:dyDescent="0.3">
      <c r="A128" s="119"/>
      <c r="B128" s="120"/>
      <c r="C128" s="16"/>
      <c r="D128" s="16"/>
    </row>
    <row r="129" spans="1:4" ht="20.25" x14ac:dyDescent="0.3">
      <c r="A129" s="119"/>
      <c r="B129" s="120"/>
      <c r="C129" s="16"/>
      <c r="D129" s="16"/>
    </row>
    <row r="130" spans="1:4" ht="20.25" x14ac:dyDescent="0.3">
      <c r="A130" s="119"/>
      <c r="B130" s="120"/>
      <c r="C130" s="16"/>
      <c r="D130" s="16"/>
    </row>
    <row r="131" spans="1:4" ht="20.25" x14ac:dyDescent="0.3">
      <c r="A131" s="119"/>
      <c r="B131" s="120"/>
      <c r="C131" s="16"/>
      <c r="D131" s="16"/>
    </row>
    <row r="132" spans="1:4" ht="20.25" x14ac:dyDescent="0.3">
      <c r="A132" s="119"/>
      <c r="B132" s="120"/>
      <c r="C132" s="16"/>
      <c r="D132" s="16"/>
    </row>
    <row r="133" spans="1:4" ht="20.25" x14ac:dyDescent="0.3">
      <c r="A133" s="119"/>
      <c r="B133" s="120"/>
      <c r="C133" s="16"/>
      <c r="D133" s="16"/>
    </row>
    <row r="134" spans="1:4" ht="20.25" x14ac:dyDescent="0.3">
      <c r="A134" s="119"/>
      <c r="B134" s="120"/>
      <c r="C134" s="16"/>
      <c r="D134" s="16"/>
    </row>
    <row r="135" spans="1:4" ht="20.25" x14ac:dyDescent="0.3">
      <c r="A135" s="119"/>
      <c r="B135" s="120"/>
      <c r="C135" s="16"/>
      <c r="D135" s="16"/>
    </row>
    <row r="136" spans="1:4" ht="20.25" x14ac:dyDescent="0.3">
      <c r="A136" s="119"/>
      <c r="B136" s="120"/>
      <c r="C136" s="16"/>
      <c r="D136" s="16"/>
    </row>
    <row r="137" spans="1:4" ht="20.25" x14ac:dyDescent="0.3">
      <c r="A137" s="119"/>
      <c r="B137" s="120"/>
      <c r="C137" s="16"/>
      <c r="D137" s="16"/>
    </row>
    <row r="138" spans="1:4" ht="20.25" x14ac:dyDescent="0.3">
      <c r="A138" s="119"/>
      <c r="B138" s="120"/>
      <c r="C138" s="16"/>
      <c r="D138" s="16"/>
    </row>
    <row r="139" spans="1:4" ht="20.25" x14ac:dyDescent="0.3">
      <c r="A139" s="119"/>
      <c r="B139" s="120"/>
      <c r="C139" s="16"/>
      <c r="D139" s="16"/>
    </row>
    <row r="140" spans="1:4" ht="20.25" x14ac:dyDescent="0.3">
      <c r="A140" s="119"/>
      <c r="B140" s="120"/>
      <c r="C140" s="16"/>
      <c r="D140" s="16"/>
    </row>
    <row r="141" spans="1:4" ht="20.25" x14ac:dyDescent="0.3">
      <c r="A141" s="119"/>
      <c r="B141" s="120"/>
      <c r="C141" s="16"/>
      <c r="D141" s="16"/>
    </row>
    <row r="142" spans="1:4" ht="20.25" x14ac:dyDescent="0.3">
      <c r="A142" s="119"/>
      <c r="B142" s="120"/>
      <c r="C142" s="16"/>
      <c r="D142" s="16"/>
    </row>
    <row r="143" spans="1:4" ht="20.25" x14ac:dyDescent="0.3">
      <c r="A143" s="119"/>
      <c r="B143" s="120"/>
      <c r="C143" s="16"/>
      <c r="D143" s="16"/>
    </row>
    <row r="144" spans="1:4" ht="20.25" x14ac:dyDescent="0.3">
      <c r="A144" s="119"/>
      <c r="B144" s="120"/>
      <c r="C144" s="16"/>
      <c r="D144" s="16"/>
    </row>
    <row r="145" spans="1:4" ht="20.25" x14ac:dyDescent="0.3">
      <c r="A145" s="119"/>
      <c r="B145" s="120"/>
      <c r="C145" s="16"/>
      <c r="D145" s="16"/>
    </row>
    <row r="146" spans="1:4" ht="20.25" x14ac:dyDescent="0.3">
      <c r="A146" s="119"/>
      <c r="B146" s="120"/>
      <c r="C146" s="16"/>
      <c r="D146" s="16"/>
    </row>
    <row r="147" spans="1:4" ht="20.25" x14ac:dyDescent="0.3">
      <c r="A147" s="119"/>
      <c r="B147" s="120"/>
      <c r="C147" s="16"/>
      <c r="D147" s="16"/>
    </row>
    <row r="148" spans="1:4" ht="20.25" x14ac:dyDescent="0.3">
      <c r="A148" s="119"/>
      <c r="B148" s="120"/>
      <c r="C148" s="16"/>
      <c r="D148" s="16"/>
    </row>
    <row r="149" spans="1:4" ht="20.25" x14ac:dyDescent="0.3">
      <c r="A149" s="119"/>
      <c r="B149" s="120"/>
      <c r="C149" s="16"/>
      <c r="D149" s="16"/>
    </row>
    <row r="150" spans="1:4" ht="20.25" x14ac:dyDescent="0.3">
      <c r="A150" s="119"/>
      <c r="B150" s="120"/>
      <c r="C150" s="16"/>
      <c r="D150" s="16"/>
    </row>
    <row r="151" spans="1:4" ht="20.25" x14ac:dyDescent="0.3">
      <c r="A151" s="119"/>
      <c r="B151" s="120"/>
      <c r="C151" s="16"/>
      <c r="D151" s="16"/>
    </row>
    <row r="152" spans="1:4" ht="20.25" x14ac:dyDescent="0.3">
      <c r="A152" s="119"/>
      <c r="B152" s="120"/>
      <c r="C152" s="16"/>
      <c r="D152" s="16"/>
    </row>
    <row r="153" spans="1:4" ht="20.25" x14ac:dyDescent="0.3">
      <c r="A153" s="119"/>
      <c r="B153" s="120"/>
      <c r="C153" s="16"/>
      <c r="D153" s="16"/>
    </row>
    <row r="154" spans="1:4" ht="20.25" x14ac:dyDescent="0.3">
      <c r="A154" s="119"/>
      <c r="B154" s="120"/>
      <c r="C154" s="16"/>
      <c r="D154" s="16"/>
    </row>
    <row r="155" spans="1:4" ht="20.25" x14ac:dyDescent="0.3">
      <c r="A155" s="119"/>
      <c r="B155" s="120"/>
      <c r="C155" s="16"/>
      <c r="D155" s="16"/>
    </row>
    <row r="156" spans="1:4" ht="20.25" x14ac:dyDescent="0.3">
      <c r="A156" s="119"/>
      <c r="B156" s="120"/>
      <c r="C156" s="16"/>
      <c r="D156" s="16"/>
    </row>
    <row r="157" spans="1:4" ht="20.25" x14ac:dyDescent="0.3">
      <c r="A157" s="119"/>
      <c r="B157" s="120"/>
      <c r="C157" s="16"/>
      <c r="D157" s="16"/>
    </row>
    <row r="158" spans="1:4" ht="20.25" x14ac:dyDescent="0.3">
      <c r="A158" s="119"/>
      <c r="B158" s="120"/>
      <c r="C158" s="16"/>
      <c r="D158" s="16"/>
    </row>
    <row r="159" spans="1:4" ht="20.25" x14ac:dyDescent="0.3">
      <c r="A159" s="119"/>
      <c r="B159" s="120"/>
      <c r="C159" s="16"/>
      <c r="D159" s="16"/>
    </row>
    <row r="160" spans="1:4" ht="20.25" x14ac:dyDescent="0.3">
      <c r="A160" s="119"/>
      <c r="B160" s="120"/>
      <c r="C160" s="16"/>
      <c r="D160" s="16"/>
    </row>
    <row r="161" spans="1:4" ht="20.25" x14ac:dyDescent="0.3">
      <c r="A161" s="119"/>
      <c r="B161" s="120"/>
      <c r="C161" s="16"/>
      <c r="D161" s="16"/>
    </row>
    <row r="162" spans="1:4" ht="20.25" x14ac:dyDescent="0.3">
      <c r="A162" s="119"/>
      <c r="B162" s="120"/>
      <c r="C162" s="16"/>
      <c r="D162" s="16"/>
    </row>
    <row r="163" spans="1:4" ht="20.25" x14ac:dyDescent="0.3">
      <c r="A163" s="119"/>
      <c r="B163" s="120"/>
      <c r="C163" s="16"/>
      <c r="D163" s="16"/>
    </row>
    <row r="164" spans="1:4" ht="20.25" x14ac:dyDescent="0.3">
      <c r="A164" s="119"/>
      <c r="B164" s="120"/>
      <c r="C164" s="16"/>
      <c r="D164" s="16"/>
    </row>
    <row r="165" spans="1:4" ht="20.25" x14ac:dyDescent="0.3">
      <c r="A165" s="119"/>
      <c r="B165" s="120"/>
      <c r="C165" s="16"/>
      <c r="D165" s="16"/>
    </row>
    <row r="166" spans="1:4" ht="20.25" x14ac:dyDescent="0.3">
      <c r="A166" s="119"/>
      <c r="B166" s="120"/>
      <c r="C166" s="16"/>
      <c r="D166" s="16"/>
    </row>
    <row r="167" spans="1:4" ht="20.25" x14ac:dyDescent="0.3">
      <c r="A167" s="119"/>
      <c r="B167" s="120"/>
      <c r="C167" s="16"/>
      <c r="D167" s="16"/>
    </row>
    <row r="168" spans="1:4" ht="20.25" x14ac:dyDescent="0.3">
      <c r="A168" s="119"/>
      <c r="B168" s="120"/>
      <c r="C168" s="16"/>
      <c r="D168" s="16"/>
    </row>
    <row r="169" spans="1:4" ht="20.25" x14ac:dyDescent="0.3">
      <c r="A169" s="119"/>
      <c r="B169" s="120"/>
      <c r="C169" s="16"/>
      <c r="D169" s="16"/>
    </row>
    <row r="170" spans="1:4" ht="20.25" x14ac:dyDescent="0.3">
      <c r="A170" s="119"/>
      <c r="B170" s="120"/>
      <c r="C170" s="16"/>
      <c r="D170" s="16"/>
    </row>
    <row r="171" spans="1:4" ht="20.25" x14ac:dyDescent="0.3">
      <c r="A171" s="119"/>
      <c r="B171" s="120"/>
      <c r="C171" s="16"/>
      <c r="D171" s="16"/>
    </row>
    <row r="172" spans="1:4" ht="20.25" x14ac:dyDescent="0.3">
      <c r="A172" s="119"/>
      <c r="B172" s="120"/>
      <c r="C172" s="16"/>
      <c r="D172" s="16"/>
    </row>
    <row r="173" spans="1:4" ht="20.25" x14ac:dyDescent="0.3">
      <c r="A173" s="119"/>
      <c r="B173" s="120"/>
      <c r="C173" s="16"/>
      <c r="D173" s="16"/>
    </row>
    <row r="174" spans="1:4" ht="20.25" x14ac:dyDescent="0.3">
      <c r="A174" s="119"/>
      <c r="B174" s="120"/>
      <c r="C174" s="16"/>
      <c r="D174" s="16"/>
    </row>
    <row r="175" spans="1:4" ht="20.25" x14ac:dyDescent="0.3">
      <c r="A175" s="119"/>
      <c r="B175" s="120"/>
      <c r="C175" s="16"/>
      <c r="D175" s="16"/>
    </row>
    <row r="176" spans="1:4" ht="20.25" x14ac:dyDescent="0.3">
      <c r="A176" s="119"/>
      <c r="B176" s="120"/>
      <c r="C176" s="16"/>
      <c r="D176" s="16"/>
    </row>
    <row r="177" spans="1:4" ht="20.25" x14ac:dyDescent="0.3">
      <c r="A177" s="119"/>
      <c r="B177" s="120"/>
      <c r="C177" s="16"/>
      <c r="D177" s="16"/>
    </row>
    <row r="178" spans="1:4" ht="20.25" x14ac:dyDescent="0.3">
      <c r="A178" s="119"/>
      <c r="B178" s="120"/>
      <c r="C178" s="16"/>
      <c r="D178" s="16"/>
    </row>
    <row r="179" spans="1:4" ht="20.25" x14ac:dyDescent="0.3">
      <c r="A179" s="119"/>
      <c r="B179" s="120"/>
      <c r="C179" s="16"/>
      <c r="D179" s="16"/>
    </row>
    <row r="180" spans="1:4" ht="20.25" x14ac:dyDescent="0.3">
      <c r="A180" s="119"/>
      <c r="B180" s="120"/>
      <c r="C180" s="16"/>
      <c r="D180" s="16"/>
    </row>
    <row r="181" spans="1:4" ht="20.25" x14ac:dyDescent="0.3">
      <c r="A181" s="119"/>
      <c r="B181" s="120"/>
      <c r="C181" s="16"/>
      <c r="D181" s="16"/>
    </row>
    <row r="182" spans="1:4" ht="20.25" x14ac:dyDescent="0.3">
      <c r="A182" s="119"/>
      <c r="B182" s="120"/>
      <c r="C182" s="16"/>
      <c r="D182" s="16"/>
    </row>
    <row r="183" spans="1:4" ht="20.25" x14ac:dyDescent="0.3">
      <c r="A183" s="119"/>
      <c r="B183" s="120"/>
      <c r="C183" s="16"/>
      <c r="D183" s="16"/>
    </row>
    <row r="184" spans="1:4" ht="20.25" x14ac:dyDescent="0.3">
      <c r="A184" s="119"/>
      <c r="B184" s="120"/>
      <c r="C184" s="16"/>
      <c r="D184" s="16"/>
    </row>
    <row r="185" spans="1:4" ht="20.25" x14ac:dyDescent="0.3">
      <c r="A185" s="119"/>
      <c r="B185" s="120"/>
      <c r="C185" s="16"/>
      <c r="D185" s="16"/>
    </row>
    <row r="186" spans="1:4" ht="20.25" x14ac:dyDescent="0.3">
      <c r="A186" s="119"/>
      <c r="B186" s="120"/>
      <c r="C186" s="16"/>
      <c r="D186" s="16"/>
    </row>
    <row r="187" spans="1:4" ht="20.25" x14ac:dyDescent="0.3">
      <c r="A187" s="119"/>
      <c r="B187" s="120"/>
      <c r="C187" s="16"/>
      <c r="D187" s="16"/>
    </row>
    <row r="188" spans="1:4" ht="20.25" x14ac:dyDescent="0.3">
      <c r="A188" s="119"/>
      <c r="B188" s="120"/>
      <c r="C188" s="16"/>
      <c r="D188" s="16"/>
    </row>
    <row r="189" spans="1:4" ht="20.25" x14ac:dyDescent="0.3">
      <c r="A189" s="119"/>
      <c r="B189" s="120"/>
      <c r="C189" s="16"/>
      <c r="D189" s="16"/>
    </row>
    <row r="190" spans="1:4" ht="20.25" x14ac:dyDescent="0.3">
      <c r="A190" s="119"/>
      <c r="B190" s="120"/>
      <c r="C190" s="16"/>
      <c r="D190" s="16"/>
    </row>
    <row r="191" spans="1:4" ht="20.25" x14ac:dyDescent="0.3">
      <c r="A191" s="119"/>
      <c r="B191" s="120"/>
      <c r="C191" s="16"/>
      <c r="D191" s="16"/>
    </row>
    <row r="192" spans="1:4" ht="20.25" x14ac:dyDescent="0.3">
      <c r="A192" s="119"/>
      <c r="B192" s="120"/>
      <c r="C192" s="16"/>
      <c r="D192" s="16"/>
    </row>
    <row r="193" spans="1:4" ht="20.25" x14ac:dyDescent="0.3">
      <c r="A193" s="119"/>
      <c r="B193" s="120"/>
      <c r="C193" s="16"/>
      <c r="D193" s="16"/>
    </row>
    <row r="194" spans="1:4" ht="20.25" x14ac:dyDescent="0.3">
      <c r="A194" s="119"/>
      <c r="B194" s="120"/>
      <c r="C194" s="16"/>
      <c r="D194" s="16"/>
    </row>
    <row r="195" spans="1:4" ht="20.25" x14ac:dyDescent="0.3">
      <c r="A195" s="119"/>
      <c r="B195" s="120"/>
      <c r="C195" s="16"/>
      <c r="D195" s="16"/>
    </row>
    <row r="196" spans="1:4" ht="20.25" x14ac:dyDescent="0.3">
      <c r="A196" s="119"/>
      <c r="B196" s="120"/>
      <c r="C196" s="16"/>
      <c r="D196" s="16"/>
    </row>
    <row r="197" spans="1:4" ht="20.25" x14ac:dyDescent="0.3">
      <c r="A197" s="119"/>
      <c r="B197" s="120"/>
      <c r="C197" s="16"/>
      <c r="D197" s="16"/>
    </row>
    <row r="198" spans="1:4" ht="20.25" x14ac:dyDescent="0.3">
      <c r="A198" s="119"/>
      <c r="B198" s="120"/>
      <c r="C198" s="16"/>
      <c r="D198" s="16"/>
    </row>
    <row r="199" spans="1:4" ht="20.25" x14ac:dyDescent="0.3">
      <c r="A199" s="119"/>
      <c r="B199" s="120"/>
      <c r="C199" s="16"/>
      <c r="D199" s="16"/>
    </row>
    <row r="200" spans="1:4" ht="20.25" x14ac:dyDescent="0.3">
      <c r="A200" s="119"/>
      <c r="B200" s="120"/>
      <c r="C200" s="16"/>
      <c r="D200" s="16"/>
    </row>
    <row r="201" spans="1:4" ht="20.25" x14ac:dyDescent="0.3">
      <c r="A201" s="119"/>
      <c r="B201" s="120"/>
      <c r="C201" s="16"/>
      <c r="D201" s="16"/>
    </row>
    <row r="202" spans="1:4" ht="20.25" x14ac:dyDescent="0.3">
      <c r="A202" s="119"/>
      <c r="B202" s="120"/>
      <c r="C202" s="16"/>
      <c r="D202" s="16"/>
    </row>
    <row r="203" spans="1:4" ht="20.25" x14ac:dyDescent="0.3">
      <c r="A203" s="119"/>
      <c r="B203" s="120"/>
      <c r="C203" s="16"/>
      <c r="D203" s="16"/>
    </row>
    <row r="204" spans="1:4" ht="20.25" x14ac:dyDescent="0.3">
      <c r="A204" s="119"/>
      <c r="B204" s="120"/>
      <c r="C204" s="16"/>
      <c r="D204" s="16"/>
    </row>
    <row r="205" spans="1:4" ht="20.25" x14ac:dyDescent="0.3">
      <c r="A205" s="119"/>
      <c r="B205" s="120"/>
      <c r="C205" s="16"/>
      <c r="D205" s="16"/>
    </row>
    <row r="206" spans="1:4" ht="20.25" x14ac:dyDescent="0.3">
      <c r="A206" s="119"/>
      <c r="B206" s="120"/>
      <c r="C206" s="16"/>
      <c r="D206" s="16"/>
    </row>
    <row r="207" spans="1:4" ht="20.25" x14ac:dyDescent="0.3">
      <c r="A207" s="119"/>
      <c r="B207" s="120"/>
      <c r="C207" s="16"/>
      <c r="D207" s="16"/>
    </row>
    <row r="208" spans="1:4" ht="20.25" x14ac:dyDescent="0.3">
      <c r="A208" s="119"/>
      <c r="B208" s="120"/>
      <c r="C208" s="16"/>
      <c r="D208" s="16"/>
    </row>
    <row r="209" spans="1:8" x14ac:dyDescent="0.3">
      <c r="A209" s="6"/>
      <c r="B209" s="120"/>
      <c r="C209" s="120"/>
      <c r="D209" s="120"/>
    </row>
    <row r="210" spans="1:8" ht="20.25" x14ac:dyDescent="0.3">
      <c r="A210" s="6"/>
      <c r="B210" s="15" t="s">
        <v>341</v>
      </c>
      <c r="C210" s="15" t="s">
        <v>342</v>
      </c>
      <c r="D210" s="121" t="s">
        <v>341</v>
      </c>
      <c r="E210" s="121" t="s">
        <v>342</v>
      </c>
    </row>
    <row r="211" spans="1:8" ht="20.25" x14ac:dyDescent="0.3">
      <c r="A211" s="6"/>
      <c r="B211" s="122" t="s">
        <v>343</v>
      </c>
      <c r="C211" s="122" t="s">
        <v>344</v>
      </c>
      <c r="D211" s="91" t="s">
        <v>343</v>
      </c>
      <c r="F211" s="91" t="str">
        <f>IF(NOT(ISBLANK(D211)),D211,IF(NOT(ISBLANK(E211)),"     "&amp;E211,FALSE))</f>
        <v>Afectación Económica o presupuestal</v>
      </c>
      <c r="G211" s="91" t="s">
        <v>343</v>
      </c>
      <c r="H211" s="91" t="str">
        <f>IF(NOT(ISERROR(MATCH(G211,_xlfn.ANCHORARRAY(B222),0))),F224&amp;"Por favor no seleccionar los criterios de impacto",G211)</f>
        <v>❌Por favor no seleccionar los criterios de impacto</v>
      </c>
    </row>
    <row r="212" spans="1:8" ht="20.25" x14ac:dyDescent="0.3">
      <c r="A212" s="6"/>
      <c r="B212" s="122" t="s">
        <v>343</v>
      </c>
      <c r="C212" s="122" t="s">
        <v>319</v>
      </c>
      <c r="E212" s="91" t="s">
        <v>344</v>
      </c>
      <c r="F212" s="91" t="str">
        <f t="shared" ref="F212:F222" si="0">IF(NOT(ISBLANK(D212)),D212,IF(NOT(ISBLANK(E212)),"     "&amp;E212,FALSE))</f>
        <v xml:space="preserve">     Afectación menor a 10 SMLMV .</v>
      </c>
    </row>
    <row r="213" spans="1:8" ht="20.25" x14ac:dyDescent="0.3">
      <c r="A213" s="6"/>
      <c r="B213" s="122" t="s">
        <v>343</v>
      </c>
      <c r="C213" s="122" t="s">
        <v>322</v>
      </c>
      <c r="E213" s="91" t="s">
        <v>319</v>
      </c>
      <c r="F213" s="91" t="str">
        <f t="shared" si="0"/>
        <v xml:space="preserve">     Entre 10 y 50 SMLMV </v>
      </c>
    </row>
    <row r="214" spans="1:8" ht="20.25" x14ac:dyDescent="0.3">
      <c r="A214" s="6"/>
      <c r="B214" s="122" t="s">
        <v>343</v>
      </c>
      <c r="C214" s="122" t="s">
        <v>326</v>
      </c>
      <c r="E214" s="91" t="s">
        <v>322</v>
      </c>
      <c r="F214" s="91" t="str">
        <f t="shared" si="0"/>
        <v xml:space="preserve">     Entre 50 y 100 SMLMV </v>
      </c>
    </row>
    <row r="215" spans="1:8" ht="20.25" x14ac:dyDescent="0.3">
      <c r="A215" s="6"/>
      <c r="B215" s="122" t="s">
        <v>343</v>
      </c>
      <c r="C215" s="122" t="s">
        <v>330</v>
      </c>
      <c r="E215" s="91" t="s">
        <v>326</v>
      </c>
      <c r="F215" s="91" t="str">
        <f t="shared" si="0"/>
        <v xml:space="preserve">     Entre 100 y 500 SMLMV </v>
      </c>
    </row>
    <row r="216" spans="1:8" ht="20.25" x14ac:dyDescent="0.3">
      <c r="A216" s="6"/>
      <c r="B216" s="122" t="s">
        <v>312</v>
      </c>
      <c r="C216" s="122" t="s">
        <v>316</v>
      </c>
      <c r="E216" s="91" t="s">
        <v>330</v>
      </c>
      <c r="F216" s="91" t="str">
        <f t="shared" si="0"/>
        <v xml:space="preserve">     Mayor a 500 SMLMV </v>
      </c>
    </row>
    <row r="217" spans="1:8" ht="20.25" x14ac:dyDescent="0.3">
      <c r="A217" s="6"/>
      <c r="B217" s="122" t="s">
        <v>312</v>
      </c>
      <c r="C217" s="122" t="s">
        <v>320</v>
      </c>
      <c r="D217" s="91" t="s">
        <v>312</v>
      </c>
      <c r="F217" s="91" t="str">
        <f t="shared" si="0"/>
        <v>Pérdida Reputacional</v>
      </c>
    </row>
    <row r="218" spans="1:8" ht="20.25" x14ac:dyDescent="0.3">
      <c r="A218" s="6"/>
      <c r="B218" s="122" t="s">
        <v>312</v>
      </c>
      <c r="C218" s="122" t="s">
        <v>323</v>
      </c>
      <c r="E218" s="91" t="s">
        <v>316</v>
      </c>
      <c r="F218" s="91" t="str">
        <f t="shared" si="0"/>
        <v xml:space="preserve">     El riesgo afecta la imagen de alguna área de la organización</v>
      </c>
    </row>
    <row r="219" spans="1:8" ht="20.25" x14ac:dyDescent="0.3">
      <c r="A219" s="6"/>
      <c r="B219" s="122" t="s">
        <v>312</v>
      </c>
      <c r="C219" s="122" t="s">
        <v>327</v>
      </c>
      <c r="E219" s="91" t="s">
        <v>320</v>
      </c>
      <c r="F219" s="91" t="str">
        <f t="shared" si="0"/>
        <v xml:space="preserve">     El riesgo afecta la imagen de la entidad internamente, de conocimiento general, nivel interno, de junta dircetiva y accionistas y/o de provedores</v>
      </c>
    </row>
    <row r="220" spans="1:8" ht="20.25" x14ac:dyDescent="0.3">
      <c r="A220" s="6"/>
      <c r="B220" s="122" t="s">
        <v>312</v>
      </c>
      <c r="C220" s="122" t="s">
        <v>331</v>
      </c>
      <c r="E220" s="91" t="s">
        <v>323</v>
      </c>
      <c r="F220" s="91" t="str">
        <f t="shared" si="0"/>
        <v xml:space="preserve">     El riesgo afecta la imagen de la entidad con algunos usuarios de relevancia frente al logro de los objetivos</v>
      </c>
    </row>
    <row r="221" spans="1:8" x14ac:dyDescent="0.3">
      <c r="A221" s="6"/>
      <c r="B221" s="123"/>
      <c r="C221" s="123"/>
      <c r="E221" s="91" t="s">
        <v>327</v>
      </c>
      <c r="F221" s="91" t="str">
        <f t="shared" si="0"/>
        <v xml:space="preserve">     El riesgo afecta la imagen de de la entidad con efecto publicitario sostenido a nivel de sector administrativo, nivel departamental o municipal</v>
      </c>
    </row>
    <row r="222" spans="1:8" x14ac:dyDescent="0.3">
      <c r="A222" s="6"/>
      <c r="B222" s="123" t="str" cm="1">
        <f t="array" ref="B222:B224">_xlfn.UNIQUE(Tabla1[[#All],[Criterios]])</f>
        <v>Criterios</v>
      </c>
      <c r="C222" s="123"/>
      <c r="E222" s="91" t="s">
        <v>331</v>
      </c>
      <c r="F222" s="91" t="str">
        <f t="shared" si="0"/>
        <v xml:space="preserve">     El riesgo afecta la imagen de la entidad a nivel nacional, con efecto publicitarios sostenible a nivel país</v>
      </c>
    </row>
    <row r="223" spans="1:8" x14ac:dyDescent="0.3">
      <c r="A223" s="6"/>
      <c r="B223" s="123" t="str">
        <v>Afectación Económica o presupuestal</v>
      </c>
      <c r="C223" s="123"/>
    </row>
    <row r="224" spans="1:8" x14ac:dyDescent="0.3">
      <c r="B224" s="123" t="str">
        <v>Pérdida Reputacional</v>
      </c>
      <c r="C224" s="123"/>
      <c r="F224" s="124" t="s">
        <v>345</v>
      </c>
    </row>
    <row r="225" spans="2:6" x14ac:dyDescent="0.3">
      <c r="B225" s="125"/>
      <c r="C225" s="125"/>
      <c r="F225" s="124" t="s">
        <v>346</v>
      </c>
    </row>
    <row r="226" spans="2:6" x14ac:dyDescent="0.3">
      <c r="B226" s="125"/>
      <c r="C226" s="125"/>
    </row>
    <row r="227" spans="2:6" x14ac:dyDescent="0.3">
      <c r="B227" s="125"/>
      <c r="C227" s="125"/>
    </row>
    <row r="228" spans="2:6" x14ac:dyDescent="0.3">
      <c r="B228" s="125"/>
      <c r="C228" s="125"/>
      <c r="D228" s="125"/>
    </row>
    <row r="229" spans="2:6" x14ac:dyDescent="0.3">
      <c r="B229" s="125"/>
      <c r="C229" s="125"/>
      <c r="D229" s="125"/>
    </row>
    <row r="230" spans="2:6" x14ac:dyDescent="0.3">
      <c r="B230" s="125"/>
      <c r="C230" s="125"/>
      <c r="D230" s="125"/>
    </row>
    <row r="231" spans="2:6" x14ac:dyDescent="0.3">
      <c r="B231" s="125"/>
      <c r="C231" s="125"/>
      <c r="D231" s="125"/>
    </row>
    <row r="232" spans="2:6" x14ac:dyDescent="0.3">
      <c r="B232" s="125"/>
      <c r="C232" s="125"/>
      <c r="D232" s="125"/>
    </row>
    <row r="233" spans="2:6" x14ac:dyDescent="0.3">
      <c r="B233" s="125"/>
      <c r="C233" s="125"/>
      <c r="D233" s="125"/>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59" collapsed="1"/>
    <col min="3" max="3" width="17" style="59" customWidth="1" collapsed="1"/>
    <col min="4" max="4" width="14.28515625" style="59" collapsed="1"/>
    <col min="5" max="5" width="46" style="59" customWidth="1" collapsed="1"/>
    <col min="6" max="16384" width="14.28515625" style="59" collapsed="1"/>
  </cols>
  <sheetData>
    <row r="1" spans="1:7" ht="13.5" thickBot="1" x14ac:dyDescent="0.25"/>
    <row r="2" spans="1:7" ht="24" customHeight="1" thickBot="1" x14ac:dyDescent="0.25">
      <c r="A2" s="126"/>
      <c r="B2" s="559" t="s">
        <v>347</v>
      </c>
      <c r="C2" s="560"/>
      <c r="D2" s="560"/>
      <c r="E2" s="560"/>
      <c r="F2" s="561"/>
      <c r="G2" s="126"/>
    </row>
    <row r="3" spans="1:7" ht="16.5" thickBot="1" x14ac:dyDescent="0.3">
      <c r="A3" s="126"/>
      <c r="B3" s="127"/>
      <c r="C3" s="127"/>
      <c r="D3" s="127"/>
      <c r="E3" s="127"/>
      <c r="F3" s="127"/>
      <c r="G3" s="126"/>
    </row>
    <row r="4" spans="1:7" ht="16.5" thickBot="1" x14ac:dyDescent="0.25">
      <c r="A4" s="126"/>
      <c r="B4" s="565" t="s">
        <v>348</v>
      </c>
      <c r="C4" s="566"/>
      <c r="D4" s="566"/>
      <c r="E4" s="199" t="s">
        <v>349</v>
      </c>
      <c r="F4" s="117" t="s">
        <v>350</v>
      </c>
      <c r="G4" s="126"/>
    </row>
    <row r="5" spans="1:7" ht="31.5" x14ac:dyDescent="0.2">
      <c r="A5" s="126"/>
      <c r="B5" s="567" t="s">
        <v>351</v>
      </c>
      <c r="C5" s="569" t="s">
        <v>170</v>
      </c>
      <c r="D5" s="200" t="s">
        <v>184</v>
      </c>
      <c r="E5" s="60" t="s">
        <v>352</v>
      </c>
      <c r="F5" s="61">
        <v>0.25</v>
      </c>
      <c r="G5" s="126"/>
    </row>
    <row r="6" spans="1:7" ht="47.25" x14ac:dyDescent="0.2">
      <c r="A6" s="126"/>
      <c r="B6" s="568"/>
      <c r="C6" s="570"/>
      <c r="D6" s="201" t="s">
        <v>193</v>
      </c>
      <c r="E6" s="62" t="s">
        <v>353</v>
      </c>
      <c r="F6" s="63">
        <v>0.15</v>
      </c>
      <c r="G6" s="126"/>
    </row>
    <row r="7" spans="1:7" ht="47.25" x14ac:dyDescent="0.2">
      <c r="A7" s="126"/>
      <c r="B7" s="568"/>
      <c r="C7" s="570"/>
      <c r="D7" s="201" t="s">
        <v>354</v>
      </c>
      <c r="E7" s="62" t="s">
        <v>355</v>
      </c>
      <c r="F7" s="63">
        <v>0.1</v>
      </c>
      <c r="G7" s="126"/>
    </row>
    <row r="8" spans="1:7" ht="63" x14ac:dyDescent="0.2">
      <c r="A8" s="126"/>
      <c r="B8" s="568"/>
      <c r="C8" s="570" t="s">
        <v>171</v>
      </c>
      <c r="D8" s="201" t="s">
        <v>356</v>
      </c>
      <c r="E8" s="62" t="s">
        <v>357</v>
      </c>
      <c r="F8" s="63">
        <v>0.25</v>
      </c>
      <c r="G8" s="126"/>
    </row>
    <row r="9" spans="1:7" ht="31.5" x14ac:dyDescent="0.2">
      <c r="A9" s="126"/>
      <c r="B9" s="568"/>
      <c r="C9" s="570"/>
      <c r="D9" s="201" t="s">
        <v>185</v>
      </c>
      <c r="E9" s="62" t="s">
        <v>358</v>
      </c>
      <c r="F9" s="63">
        <v>0.15</v>
      </c>
      <c r="G9" s="126"/>
    </row>
    <row r="10" spans="1:7" ht="47.25" x14ac:dyDescent="0.2">
      <c r="A10" s="126"/>
      <c r="B10" s="568" t="s">
        <v>359</v>
      </c>
      <c r="C10" s="570" t="s">
        <v>173</v>
      </c>
      <c r="D10" s="201" t="s">
        <v>186</v>
      </c>
      <c r="E10" s="62" t="s">
        <v>360</v>
      </c>
      <c r="F10" s="64" t="s">
        <v>361</v>
      </c>
      <c r="G10" s="126"/>
    </row>
    <row r="11" spans="1:7" ht="63" x14ac:dyDescent="0.2">
      <c r="A11" s="126"/>
      <c r="B11" s="568"/>
      <c r="C11" s="570"/>
      <c r="D11" s="201" t="s">
        <v>362</v>
      </c>
      <c r="E11" s="62" t="s">
        <v>363</v>
      </c>
      <c r="F11" s="64" t="s">
        <v>361</v>
      </c>
      <c r="G11" s="126"/>
    </row>
    <row r="12" spans="1:7" ht="47.25" x14ac:dyDescent="0.2">
      <c r="A12" s="126"/>
      <c r="B12" s="568"/>
      <c r="C12" s="570" t="s">
        <v>174</v>
      </c>
      <c r="D12" s="201" t="s">
        <v>187</v>
      </c>
      <c r="E12" s="62" t="s">
        <v>364</v>
      </c>
      <c r="F12" s="64" t="s">
        <v>361</v>
      </c>
      <c r="G12" s="126"/>
    </row>
    <row r="13" spans="1:7" ht="47.25" x14ac:dyDescent="0.2">
      <c r="A13" s="126"/>
      <c r="B13" s="568"/>
      <c r="C13" s="570"/>
      <c r="D13" s="201" t="s">
        <v>365</v>
      </c>
      <c r="E13" s="62" t="s">
        <v>366</v>
      </c>
      <c r="F13" s="64" t="s">
        <v>361</v>
      </c>
      <c r="G13" s="126"/>
    </row>
    <row r="14" spans="1:7" ht="31.5" x14ac:dyDescent="0.2">
      <c r="A14" s="126"/>
      <c r="B14" s="568"/>
      <c r="C14" s="570" t="s">
        <v>175</v>
      </c>
      <c r="D14" s="201" t="s">
        <v>188</v>
      </c>
      <c r="E14" s="62" t="s">
        <v>367</v>
      </c>
      <c r="F14" s="64" t="s">
        <v>361</v>
      </c>
      <c r="G14" s="126"/>
    </row>
    <row r="15" spans="1:7" ht="32.25" thickBot="1" x14ac:dyDescent="0.25">
      <c r="A15" s="126"/>
      <c r="B15" s="571"/>
      <c r="C15" s="572"/>
      <c r="D15" s="202" t="s">
        <v>368</v>
      </c>
      <c r="E15" s="65" t="s">
        <v>369</v>
      </c>
      <c r="F15" s="66" t="s">
        <v>361</v>
      </c>
      <c r="G15" s="126"/>
    </row>
    <row r="16" spans="1:7" ht="49.5" customHeight="1" x14ac:dyDescent="0.2">
      <c r="A16" s="126"/>
      <c r="B16" s="564" t="s">
        <v>370</v>
      </c>
      <c r="C16" s="564"/>
      <c r="D16" s="564"/>
      <c r="E16" s="564"/>
      <c r="F16" s="564"/>
      <c r="G16" s="126"/>
    </row>
    <row r="17" spans="2:2" ht="27" customHeight="1" x14ac:dyDescent="0.25">
      <c r="B17" s="6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ColWidth="11.42578125" defaultRowHeight="15" x14ac:dyDescent="0.25"/>
  <sheetData>
    <row r="2" spans="2:5" x14ac:dyDescent="0.25">
      <c r="B2" t="s">
        <v>371</v>
      </c>
      <c r="E2" t="s">
        <v>210</v>
      </c>
    </row>
    <row r="3" spans="2:5" x14ac:dyDescent="0.25">
      <c r="B3" t="s">
        <v>372</v>
      </c>
      <c r="E3" t="s">
        <v>176</v>
      </c>
    </row>
    <row r="4" spans="2:5" x14ac:dyDescent="0.25">
      <c r="B4" t="s">
        <v>373</v>
      </c>
      <c r="E4" t="s">
        <v>197</v>
      </c>
    </row>
    <row r="5" spans="2:5" x14ac:dyDescent="0.25">
      <c r="B5" t="s">
        <v>189</v>
      </c>
    </row>
    <row r="8" spans="2:5" x14ac:dyDescent="0.25">
      <c r="B8" t="s">
        <v>374</v>
      </c>
    </row>
    <row r="9" spans="2:5" x14ac:dyDescent="0.25">
      <c r="B9" t="s">
        <v>375</v>
      </c>
    </row>
    <row r="10" spans="2:5" x14ac:dyDescent="0.25">
      <c r="B10" t="s">
        <v>376</v>
      </c>
    </row>
    <row r="13" spans="2:5" x14ac:dyDescent="0.25">
      <c r="B13" t="s">
        <v>377</v>
      </c>
    </row>
    <row r="14" spans="2:5" x14ac:dyDescent="0.25">
      <c r="B14" t="s">
        <v>180</v>
      </c>
    </row>
    <row r="15" spans="2:5" x14ac:dyDescent="0.25">
      <c r="B15" t="s">
        <v>378</v>
      </c>
    </row>
    <row r="16" spans="2:5" x14ac:dyDescent="0.25">
      <c r="B16" t="s">
        <v>379</v>
      </c>
    </row>
    <row r="17" spans="2:2" x14ac:dyDescent="0.25">
      <c r="B17" t="s">
        <v>380</v>
      </c>
    </row>
    <row r="18" spans="2:2" x14ac:dyDescent="0.25">
      <c r="B18" t="s">
        <v>381</v>
      </c>
    </row>
    <row r="19" spans="2:2" x14ac:dyDescent="0.25">
      <c r="B19" t="s">
        <v>382</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Milena Mendoza Amado</cp:lastModifiedBy>
  <cp:revision/>
  <dcterms:created xsi:type="dcterms:W3CDTF">2020-03-24T23:12:47Z</dcterms:created>
  <dcterms:modified xsi:type="dcterms:W3CDTF">2022-03-28T19:46:36Z</dcterms:modified>
  <cp:category/>
  <cp:contentStatus/>
</cp:coreProperties>
</file>