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D:\ALCALDIA\Mapa de riesgos por proceso\2021\Dic 31\Seg. Mapa de Riesgos de Gestión 31 Dic 2021\Secretaría Administrativa\"/>
    </mc:Choice>
  </mc:AlternateContent>
  <bookViews>
    <workbookView xWindow="0" yWindow="0" windowWidth="20325" windowHeight="8430" tabRatio="882" activeTab="2"/>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62913"/>
  <pivotCaches>
    <pivotCache cacheId="3"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6" i="1" l="1"/>
  <c r="U17" i="1"/>
  <c r="R16" i="1"/>
  <c r="R17" i="1"/>
  <c r="R18" i="1"/>
  <c r="D11" i="1"/>
  <c r="D10" i="1"/>
  <c r="D9" i="1"/>
  <c r="U18" i="1" l="1"/>
  <c r="R19" i="1"/>
  <c r="U19" i="1"/>
  <c r="R20" i="1"/>
  <c r="U20" i="1"/>
  <c r="R21" i="1"/>
  <c r="U21" i="1"/>
  <c r="Y18" i="1"/>
  <c r="L18" i="1"/>
  <c r="L19" i="1"/>
  <c r="L21" i="1"/>
  <c r="L20" i="1"/>
  <c r="Y20" i="1" l="1"/>
  <c r="Z20" i="1" s="1"/>
  <c r="Y21" i="1"/>
  <c r="Z21" i="1" s="1"/>
  <c r="AC21" i="1"/>
  <c r="AB21" i="1" s="1"/>
  <c r="AC20" i="1"/>
  <c r="AB20" i="1" s="1"/>
  <c r="Y19" i="1"/>
  <c r="Z19" i="1" s="1"/>
  <c r="AA18" i="1"/>
  <c r="Z18" i="1"/>
  <c r="AC19" i="1"/>
  <c r="AB19" i="1" s="1"/>
  <c r="AA20" i="1"/>
  <c r="AC18" i="1"/>
  <c r="AB18" i="1" s="1"/>
  <c r="AD20" i="1" l="1"/>
  <c r="AA21" i="1"/>
  <c r="AD21" i="1"/>
  <c r="AA19" i="1"/>
  <c r="AD19" i="1"/>
  <c r="L16" i="19"/>
  <c r="AD18" i="1"/>
  <c r="I16" i="1" l="1"/>
  <c r="J16" i="1" s="1"/>
  <c r="L69" i="1"/>
  <c r="L62" i="1"/>
  <c r="L56" i="1"/>
  <c r="L66" i="1"/>
  <c r="L31" i="1"/>
  <c r="L45" i="1"/>
  <c r="L32" i="1"/>
  <c r="L44" i="1"/>
  <c r="L50" i="1"/>
  <c r="L29" i="1"/>
  <c r="L75" i="1"/>
  <c r="L27" i="1"/>
  <c r="L71" i="1"/>
  <c r="L55" i="1"/>
  <c r="L25" i="1"/>
  <c r="L48" i="1"/>
  <c r="L37" i="1"/>
  <c r="L24" i="1"/>
  <c r="L23" i="1"/>
  <c r="L43" i="1"/>
  <c r="L26" i="1"/>
  <c r="L41" i="1"/>
  <c r="L53" i="1"/>
  <c r="L60" i="1"/>
  <c r="L42" i="1"/>
  <c r="L65" i="1"/>
  <c r="L30" i="1"/>
  <c r="L54" i="1"/>
  <c r="L51" i="1"/>
  <c r="L47" i="1"/>
  <c r="L33" i="1"/>
  <c r="L61" i="1"/>
  <c r="L38" i="1"/>
  <c r="L49" i="1"/>
  <c r="L68" i="1"/>
  <c r="L57" i="1"/>
  <c r="L73" i="1"/>
  <c r="L72" i="1"/>
  <c r="L35" i="1"/>
  <c r="L39" i="1"/>
  <c r="L36" i="1"/>
  <c r="L59" i="1"/>
  <c r="L63" i="1"/>
  <c r="L74" i="1"/>
  <c r="F222" i="13" l="1"/>
  <c r="F212" i="13"/>
  <c r="F213" i="13"/>
  <c r="F214" i="13"/>
  <c r="F215" i="13"/>
  <c r="F216" i="13"/>
  <c r="F217" i="13"/>
  <c r="F218" i="13"/>
  <c r="F219" i="13"/>
  <c r="F220" i="13"/>
  <c r="F221" i="13"/>
  <c r="F211" i="13"/>
  <c r="B222" i="13" a="1"/>
  <c r="L17" i="1"/>
  <c r="B222" i="13" l="1"/>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U28" i="1"/>
  <c r="R28" i="1"/>
  <c r="I28" i="1"/>
  <c r="J28" i="1" s="1"/>
  <c r="I22" i="1"/>
  <c r="U27" i="1"/>
  <c r="R27" i="1"/>
  <c r="U26" i="1"/>
  <c r="R26" i="1"/>
  <c r="U25" i="1"/>
  <c r="R25" i="1"/>
  <c r="U24" i="1"/>
  <c r="R24" i="1"/>
  <c r="U23" i="1"/>
  <c r="R23" i="1"/>
  <c r="U22" i="1"/>
  <c r="R22" i="1"/>
  <c r="AC56" i="1" l="1"/>
  <c r="AB56" i="1" s="1"/>
  <c r="AC57" i="1"/>
  <c r="AB57" i="1" s="1"/>
  <c r="J22" i="1"/>
  <c r="Y70" i="1"/>
  <c r="Y64" i="1"/>
  <c r="Y58" i="1"/>
  <c r="Y52" i="1"/>
  <c r="Y56" i="1"/>
  <c r="Y57" i="1"/>
  <c r="Y46" i="1"/>
  <c r="Y40" i="1"/>
  <c r="Y34" i="1"/>
  <c r="Y28" i="1"/>
  <c r="Y22"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Y23" i="1" s="1"/>
  <c r="Z65" i="1" l="1"/>
  <c r="Z59" i="1"/>
  <c r="AA29" i="1"/>
  <c r="Y30" i="1" s="1"/>
  <c r="Z30" i="1" s="1"/>
  <c r="Z47" i="1"/>
  <c r="Z35" i="1"/>
  <c r="Z48" i="1"/>
  <c r="AA48" i="1"/>
  <c r="AA66" i="1"/>
  <c r="Y63" i="1" s="1"/>
  <c r="Y68" i="1"/>
  <c r="Y69" i="1"/>
  <c r="Y32" i="1"/>
  <c r="Z63" i="1" l="1"/>
  <c r="AA63" i="1"/>
  <c r="Y74" i="1"/>
  <c r="Y75" i="1"/>
  <c r="Z32" i="1"/>
  <c r="AA32" i="1"/>
  <c r="Y33" i="1" s="1"/>
  <c r="Z33" i="1" s="1"/>
  <c r="Y16" i="1"/>
  <c r="Z16" i="1" s="1"/>
  <c r="Z75" i="1" l="1"/>
  <c r="AA75" i="1"/>
  <c r="Z74" i="1"/>
  <c r="AA74" i="1"/>
  <c r="AA33" i="1"/>
  <c r="AA16" i="1" l="1"/>
  <c r="Y17" i="1" s="1"/>
  <c r="Z17" i="1" l="1"/>
  <c r="AA17" i="1" l="1"/>
  <c r="AC35" i="1" l="1"/>
  <c r="AC34" i="1"/>
  <c r="AB34" i="1" s="1"/>
  <c r="AC72" i="1"/>
  <c r="AC65" i="1"/>
  <c r="AC64" i="1"/>
  <c r="AC47" i="1"/>
  <c r="AC46" i="1"/>
  <c r="AB46" i="1" s="1"/>
  <c r="AC59" i="1"/>
  <c r="AC58" i="1"/>
  <c r="AB58" i="1" s="1"/>
  <c r="AC23" i="1"/>
  <c r="AC22" i="1"/>
  <c r="AB22" i="1" s="1"/>
  <c r="AC29" i="1"/>
  <c r="AC28" i="1"/>
  <c r="AB28" i="1" s="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J47" i="19"/>
  <c r="V27" i="19"/>
  <c r="AH7" i="19"/>
  <c r="P47" i="19"/>
  <c r="AB27" i="19"/>
  <c r="J17" i="19"/>
  <c r="V47" i="19"/>
  <c r="J37" i="19"/>
  <c r="AD22" i="1"/>
  <c r="AB37" i="19"/>
  <c r="J27" i="19"/>
  <c r="V7" i="19"/>
  <c r="AH37" i="19"/>
  <c r="P27" i="19"/>
  <c r="AB7" i="19"/>
  <c r="P17" i="19"/>
  <c r="V17" i="19"/>
  <c r="AH47" i="19"/>
  <c r="P37" i="19"/>
  <c r="AB17" i="19"/>
  <c r="J7" i="19"/>
  <c r="V37" i="19"/>
  <c r="AH17" i="19"/>
  <c r="P7" i="19"/>
  <c r="AH27" i="19"/>
  <c r="AB47" i="19"/>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28"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23"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Z23" i="1"/>
  <c r="AA23" i="1"/>
  <c r="Y24" i="1" s="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W37" i="19"/>
  <c r="AI47" i="19"/>
  <c r="K37" i="19"/>
  <c r="K7" i="19"/>
  <c r="AI7" i="19"/>
  <c r="Q27" i="19"/>
  <c r="AC7" i="19"/>
  <c r="Q17" i="19"/>
  <c r="W17" i="19"/>
  <c r="AC27" i="19"/>
  <c r="W47" i="19"/>
  <c r="W27" i="19"/>
  <c r="AC47" i="19"/>
  <c r="Q37" i="19"/>
  <c r="Q47" i="19"/>
  <c r="AC37" i="19"/>
  <c r="AI27" i="19"/>
  <c r="K17" i="19"/>
  <c r="W7" i="19"/>
  <c r="AI37" i="19"/>
  <c r="Q7" i="19"/>
  <c r="K47" i="19"/>
  <c r="AI17" i="19"/>
  <c r="AD23" i="1"/>
  <c r="K27" i="19"/>
  <c r="AC17" i="19"/>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T23" i="19"/>
  <c r="AL53" i="19"/>
  <c r="T43" i="19" l="1"/>
  <c r="N33" i="19"/>
  <c r="N23" i="19"/>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L46" i="1" l="1"/>
  <c r="M46" i="1" s="1"/>
  <c r="L22" i="1"/>
  <c r="M22" i="1" s="1"/>
  <c r="L34" i="1"/>
  <c r="M34" i="1" s="1"/>
  <c r="L28" i="1"/>
  <c r="M28" i="1" s="1"/>
  <c r="L58" i="1"/>
  <c r="M58" i="1" s="1"/>
  <c r="L52" i="1"/>
  <c r="M52" i="1" s="1"/>
  <c r="L16" i="1"/>
  <c r="M16" i="1" s="1"/>
  <c r="L40" i="1"/>
  <c r="M40" i="1" s="1"/>
  <c r="L70" i="1"/>
  <c r="M70" i="1" s="1"/>
  <c r="L64" i="1"/>
  <c r="M64" i="1" s="1"/>
  <c r="L16" i="18" l="1"/>
  <c r="R24" i="18"/>
  <c r="L8" i="18"/>
  <c r="R32" i="18"/>
  <c r="AJ16" i="18"/>
  <c r="R8" i="18"/>
  <c r="AJ32" i="18"/>
  <c r="AD8" i="18"/>
  <c r="X40" i="18"/>
  <c r="O40" i="1"/>
  <c r="L32" i="18"/>
  <c r="X8" i="18"/>
  <c r="N40" i="1"/>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N16" i="1"/>
  <c r="AC16" i="1" s="1"/>
  <c r="J22" i="18"/>
  <c r="O16" i="1"/>
  <c r="V30" i="18"/>
  <c r="AB22" i="18"/>
  <c r="P6" i="18"/>
  <c r="J6" i="18"/>
  <c r="AH22" i="18"/>
  <c r="AB38" i="18"/>
  <c r="AB30" i="18"/>
  <c r="AH30" i="18"/>
  <c r="V38" i="18"/>
  <c r="AB14" i="18"/>
  <c r="P30" i="18"/>
  <c r="AH12" i="18"/>
  <c r="J20" i="18"/>
  <c r="J44" i="18"/>
  <c r="AB28" i="18"/>
  <c r="P28" i="18"/>
  <c r="O70" i="1"/>
  <c r="P12" i="18"/>
  <c r="AH20" i="18"/>
  <c r="P44" i="18"/>
  <c r="AB12" i="18"/>
  <c r="P36" i="18"/>
  <c r="AB44" i="18"/>
  <c r="V44" i="18"/>
  <c r="V12" i="18"/>
  <c r="V28" i="18"/>
  <c r="AH44" i="18"/>
  <c r="AH28" i="18"/>
  <c r="V36" i="18"/>
  <c r="J28" i="18"/>
  <c r="AH36" i="18"/>
  <c r="V20" i="18"/>
  <c r="P20" i="18"/>
  <c r="N70" i="1"/>
  <c r="AC70" i="1" s="1"/>
  <c r="AB70" i="1" s="1"/>
  <c r="J36" i="18"/>
  <c r="AB36" i="18"/>
  <c r="AB20" i="18"/>
  <c r="J12" i="18"/>
  <c r="N52" i="1"/>
  <c r="J42" i="18"/>
  <c r="P34" i="18"/>
  <c r="AB18" i="18"/>
  <c r="AH34" i="18"/>
  <c r="P10" i="18"/>
  <c r="V34" i="18"/>
  <c r="P42" i="18"/>
  <c r="AH18" i="18"/>
  <c r="J34" i="18"/>
  <c r="J10" i="18"/>
  <c r="AB10" i="18"/>
  <c r="J18" i="18"/>
  <c r="O52" i="1"/>
  <c r="AB34" i="18"/>
  <c r="P26" i="18"/>
  <c r="AH42" i="18"/>
  <c r="AH26" i="18"/>
  <c r="J26" i="18"/>
  <c r="P18" i="18"/>
  <c r="V18" i="18"/>
  <c r="AB42" i="18"/>
  <c r="V42" i="18"/>
  <c r="V10" i="18"/>
  <c r="AB26" i="18"/>
  <c r="V26" i="18"/>
  <c r="AH10" i="18"/>
  <c r="X42" i="18"/>
  <c r="AD34" i="18"/>
  <c r="AD10" i="18"/>
  <c r="L42" i="18"/>
  <c r="L26" i="18"/>
  <c r="X18" i="18"/>
  <c r="R18" i="18"/>
  <c r="AJ10" i="18"/>
  <c r="AD42" i="18"/>
  <c r="AJ34" i="18"/>
  <c r="R26" i="18"/>
  <c r="N58" i="1"/>
  <c r="L18" i="18"/>
  <c r="R34" i="18"/>
  <c r="L34" i="18"/>
  <c r="AJ42" i="18"/>
  <c r="R10" i="18"/>
  <c r="R42" i="18"/>
  <c r="X26" i="18"/>
  <c r="AJ18" i="18"/>
  <c r="O58" i="1"/>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O64" i="1"/>
  <c r="AL42" i="18"/>
  <c r="N34" i="18"/>
  <c r="T34" i="18"/>
  <c r="N64" i="1"/>
  <c r="T42" i="18"/>
  <c r="AF10" i="18"/>
  <c r="Z34" i="18"/>
  <c r="T14" i="18"/>
  <c r="AL38" i="18"/>
  <c r="N14" i="18"/>
  <c r="T38" i="18"/>
  <c r="T22" i="18"/>
  <c r="AL14" i="18"/>
  <c r="N22" i="18"/>
  <c r="AF22" i="18"/>
  <c r="N6" i="18"/>
  <c r="AF6" i="18"/>
  <c r="AF38" i="18"/>
  <c r="N38" i="18"/>
  <c r="AL30" i="18"/>
  <c r="AL22" i="18"/>
  <c r="T6" i="18"/>
  <c r="AF30" i="18"/>
  <c r="Z22" i="18"/>
  <c r="T30" i="18"/>
  <c r="Z14" i="18"/>
  <c r="N28" i="1"/>
  <c r="Z30" i="18"/>
  <c r="Z6" i="18"/>
  <c r="O28" i="1"/>
  <c r="Z38" i="18"/>
  <c r="AF14" i="18"/>
  <c r="AL6" i="18"/>
  <c r="N30" i="18"/>
  <c r="J40" i="18"/>
  <c r="AB40" i="18"/>
  <c r="AH32" i="18"/>
  <c r="AB24" i="18"/>
  <c r="J16" i="18"/>
  <c r="P32" i="18"/>
  <c r="V24" i="18"/>
  <c r="P24" i="18"/>
  <c r="V8" i="18"/>
  <c r="AH24" i="18"/>
  <c r="AH8" i="18"/>
  <c r="J8" i="18"/>
  <c r="AB32" i="18"/>
  <c r="AB8" i="18"/>
  <c r="V16" i="18"/>
  <c r="N34" i="1"/>
  <c r="V40" i="18"/>
  <c r="P16" i="18"/>
  <c r="V32" i="18"/>
  <c r="J24" i="18"/>
  <c r="P8" i="18"/>
  <c r="AH16" i="18"/>
  <c r="O34" i="1"/>
  <c r="AB16" i="18"/>
  <c r="AH40" i="18"/>
  <c r="P40" i="18"/>
  <c r="J32" i="18"/>
  <c r="X6" i="18"/>
  <c r="AJ30" i="18"/>
  <c r="R22" i="18"/>
  <c r="L6" i="18"/>
  <c r="R30" i="18"/>
  <c r="X22" i="18"/>
  <c r="L30" i="18"/>
  <c r="R38" i="18"/>
  <c r="AJ14" i="18"/>
  <c r="R14" i="18"/>
  <c r="AD30" i="18"/>
  <c r="AJ38" i="18"/>
  <c r="AJ22" i="18"/>
  <c r="X30" i="18"/>
  <c r="L14" i="18"/>
  <c r="X38" i="18"/>
  <c r="L22" i="18"/>
  <c r="X14" i="18"/>
  <c r="O22" i="1"/>
  <c r="N22" i="1"/>
  <c r="AD14" i="18"/>
  <c r="L38" i="18"/>
  <c r="AD6" i="18"/>
  <c r="R6" i="18"/>
  <c r="AD38" i="18"/>
  <c r="AD22" i="18"/>
  <c r="AJ6" i="18"/>
  <c r="AF24" i="18"/>
  <c r="AF32" i="18"/>
  <c r="T40" i="18"/>
  <c r="Z40" i="18"/>
  <c r="AL8" i="18"/>
  <c r="AF8" i="18"/>
  <c r="Z32" i="18"/>
  <c r="N32" i="18"/>
  <c r="N16" i="18"/>
  <c r="Z8" i="18"/>
  <c r="N24" i="18"/>
  <c r="T32" i="18"/>
  <c r="T16" i="18"/>
  <c r="AF40" i="18"/>
  <c r="AL40" i="18"/>
  <c r="AF16" i="18"/>
  <c r="N8" i="18"/>
  <c r="O46" i="1"/>
  <c r="Z16" i="18"/>
  <c r="AL24" i="18"/>
  <c r="T24" i="18"/>
  <c r="AL32" i="18"/>
  <c r="N40" i="18"/>
  <c r="AL16" i="18"/>
  <c r="T8" i="18"/>
  <c r="N46" i="1"/>
  <c r="Z24" i="18"/>
  <c r="V25" i="19" l="1"/>
  <c r="V45" i="19"/>
  <c r="J15" i="19"/>
  <c r="AB45" i="19"/>
  <c r="AB55" i="19"/>
  <c r="AB25" i="19"/>
  <c r="AH25" i="19"/>
  <c r="AH55" i="19"/>
  <c r="AB15" i="19"/>
  <c r="P15" i="19"/>
  <c r="P25" i="19"/>
  <c r="AH35" i="19"/>
  <c r="P45" i="19"/>
  <c r="V15" i="19"/>
  <c r="J35" i="19"/>
  <c r="P55" i="19"/>
  <c r="AH45" i="19"/>
  <c r="J25" i="19"/>
  <c r="AB35" i="19"/>
  <c r="AH15" i="19"/>
  <c r="V35" i="19"/>
  <c r="J55" i="19"/>
  <c r="AD70" i="1"/>
  <c r="J45" i="19"/>
  <c r="P35" i="19"/>
  <c r="V55" i="19"/>
  <c r="AB16" i="1"/>
  <c r="AC17" i="1"/>
  <c r="AB17" i="1" s="1"/>
  <c r="Q46" i="19" l="1"/>
  <c r="AC26" i="19"/>
  <c r="AC16" i="19"/>
  <c r="AI36" i="19"/>
  <c r="AI26" i="19"/>
  <c r="AC6" i="19"/>
  <c r="K16" i="19"/>
  <c r="W16" i="19"/>
  <c r="K36" i="19"/>
  <c r="Q26" i="19"/>
  <c r="W26" i="19"/>
  <c r="W46" i="19"/>
  <c r="W36" i="19"/>
  <c r="AC36" i="19"/>
  <c r="AD17" i="1"/>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D16" i="1"/>
  <c r="AB36" i="19"/>
  <c r="P36" i="19"/>
  <c r="V6" i="19"/>
  <c r="B224" i="13"/>
  <c r="B223"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<sst xmlns="http://schemas.openxmlformats.org/spreadsheetml/2006/main" count="385" uniqueCount="268">
  <si>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</si>
  <si>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</si>
  <si>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</si>
  <si>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</si>
  <si>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</si>
  <si>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</si>
  <si>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</si>
  <si>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</si>
  <si>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</si>
  <si>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</si>
  <si>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</si>
  <si>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</si>
  <si>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</si>
  <si>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</si>
  <si>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</si>
  <si>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</si>
  <si>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</si>
  <si>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</si>
  <si>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</si>
  <si>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</si>
  <si>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</si>
  <si>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</si>
  <si>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</si>
  <si>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</si>
  <si>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</si>
  <si>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</si>
  <si>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</si>
  <si>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</si>
  <si>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</si>
  <si>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</si>
  <si>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</si>
  <si>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</si>
  <si>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</si>
  <si>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</si>
  <si>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</si>
  <si>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</si>
  <si>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</si>
  <si>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</si>
  <si>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</si>
  <si>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</si>
  <si>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</si>
  <si>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</si>
  <si>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</si>
  <si>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</si>
  <si>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</si>
  <si>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</si>
  <si>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</si>
  <si>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</si>
  <si>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</si>
  <si>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</si>
  <si>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</si>
  <si>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</si>
  <si>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</si>
  <si>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</si>
  <si>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</si>
  <si>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</si>
  <si>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</si>
  <si>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</si>
  <si>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</si>
  <si>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</si>
  <si>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</si>
  <si>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</si>
  <si>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</si>
  <si>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</si>
  <si>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</si>
  <si>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</si>
  <si>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</si>
  <si>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</si>
  <si>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</si>
  <si>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</si>
  <si>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</si>
  <si>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</si>
  <si>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</si>
  <si>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</si>
  <si>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</si>
  <si>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</si>
  <si>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</si>
  <si>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</si>
  <si>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</si>
  <si>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</si>
  <si>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</si>
  <si>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</si>
  <si>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</si>
  <si>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</si>
  <si>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</si>
  <si>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</si>
  <si>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</si>
  <si>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</si>
  <si>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</si>
  <si>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</si>
  <si>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</si>
  <si>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</si>
  <si>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</si>
  <si>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</si>
  <si>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</si>
  <si>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</si>
  <si>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</si>
  <si>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</si>
  <si>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</si>
  <si>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</si>
  <si>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</si>
  <si>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</si>
  <si>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</si>
  <si>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</si>
  <si>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</si>
  <si>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</si>
  <si>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</si>
  <si>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</si>
  <si>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</si>
  <si>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</si>
  <si>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</si>
  <si>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</si>
  <si>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</si>
  <si>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</si>
  <si>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</si>
  <si>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</si>
  <si>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</si>
  <si>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</si>
  <si>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</si>
  <si>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</si>
  <si>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</si>
  <si>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</si>
  <si>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</si>
  <si>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</si>
  <si>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</si>
  <si>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</si>
  <si>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</si>
  <si>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</si>
  <si>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</si>
  <si>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</si>
  <si>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</si>
  <si>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</si>
  <si>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</si>
  <si>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</si>
  <si>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</si>
  <si>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</si>
  <si>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</si>
  <si>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</si>
  <si>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</si>
  <si>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</si>
  <si>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</si>
  <si>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</si>
  <si>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</si>
  <si>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</si>
  <si>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</si>
  <si>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</si>
  <si>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</si>
  <si>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</si>
  <si>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</si>
  <si>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</si>
  <si>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</si>
  <si>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</si>
  <si>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</si>
  <si>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</si>
  <si>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</si>
  <si>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</si>
  <si>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</si>
  <si>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</si>
  <si>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</si>
  <si>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</si>
  <si>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</si>
  <si>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</si>
  <si>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</si>
  <si>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</si>
  <si>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</si>
  <si>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</si>
  <si>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</si>
  <si>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</si>
  <si>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</si>
  <si>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</si>
  <si>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</si>
  <si>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</si>
  <si>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</si>
  <si>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</si>
  <si>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</si>
  <si>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</si>
  <si>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</si>
  <si>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</si>
  <si>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</si>
  <si>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</si>
  <si>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</si>
  <si>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</si>
  <si>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</si>
  <si>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</si>
  <si>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</si>
  <si>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</si>
  <si>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</si>
  <si>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</si>
  <si>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</si>
  <si>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</si>
  <si>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</si>
  <si>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</si>
  <si>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</si>
  <si>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</si>
  <si>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</si>
  <si>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</si>
  <si>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</si>
  <si>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</si>
  <si>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</si>
  <si>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</si>
  <si>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</si>
  <si>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</si>
  <si>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</si>
  <si>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</si>
  <si>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</si>
  <si>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</si>
  <si>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</si>
  <si>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</si>
  <si>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</si>
  <si>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</si>
  <si>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</si>
  <si>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</si>
  <si>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</si>
  <si>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</si>
  <si>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</si>
  <si>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</si>
  <si>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</si>
  <si>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</si>
  <si>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</si>
  <si>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</si>
  <si>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</si>
  <si>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</si>
  <si>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</si>
  <si>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</si>
  <si>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</si>
  <si>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</si>
  <si>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</si>
  <si>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</si>
  <si>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</si>
  <si>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</si>
  <si>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</si>
  <si>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</si>
  <si>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</si>
  <si>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</si>
  <si>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</si>
  <si>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</si>
  <si>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</si>
  <si>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</si>
  <si>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</si>
  <si>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</si>
  <si>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</si>
  <si>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</si>
  <si>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</si>
  <si>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ALMACEN E INVENTARIOS</t>
  </si>
  <si>
    <t>Gustodiar los bienes muebles distribuidos en la Administración Municipal y las instituciones educativas, guiados por el manejo adecuado de los traslados, incorporación, inclusión y procedimientos de baja de acuerdo a los lineamientos estipulados en el SIGC.</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</si>
  <si>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</si>
  <si>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Garantizar la custodia, asegurabilidad, suministro de bienes muebles (activos fijos y devolutivos de consumo con control) y bienes de consumo (papelería, cafetería, aseo, alumbrado público, combustible y eléctricos) a todos los procesos de la administración central einstituciones educativas del Municipio de Bucaramanga, realizando una gestión efectiva que contribuya al cumplimiento de los objetivos de la entidad.</t>
  </si>
  <si>
    <t>* Solicitudes de pedido de almacén con bienes de
consumo y muebles para entregar.
* Ruta de incorporación definida.
* Acta del comité de bajas. 
* Visitas programadas según requerimiento de toma física de inventarios.</t>
  </si>
  <si>
    <t>*Incorporación y/o bajas de bienes. 
*Inspección de inventario de los funcionarios públicos.</t>
  </si>
  <si>
    <t xml:space="preserve">• Los servidores públicos no asumen la responsabilidad del inventario por temor a perdida de los mismos.
• Falta de capacitación de los funcionarios públicos para la clasificación de los bienes en el SIF (Sistema de Información Financiero)
• Carencia de políticas de seguridad dentro de las instalaciones para evitar hurtos.
• Falta de sentido de pertenencia por parte de los funcionarios hacia la Administración Municipal.
</t>
  </si>
  <si>
    <t xml:space="preserve">*Inseguridad en el entorno donde el funcionario de la Entidad requiera realizar su trabajo.
*Normas que afectan los objetivos de la institución.
*Emergencia sanitaria por el COVID-19
</t>
  </si>
  <si>
    <t xml:space="preserve">*Experiencia y compromisos de los servidores públicos vinculados al proceso.
* Adquisición de pólizas de seguros previniendo las pérdidas que se puedan presentar.
* Personal competente para ejecutar labores de inspección de elementos.
*Se cuenta con un Sistema Integrado de Gestión de Calidad, que permite generar controles a los procesos.
</t>
  </si>
  <si>
    <t xml:space="preserve">*Avances tecnológicos en temas logísticos para la implementación en sistemas de gestión de inventarios, por ejemplo, tecnología RFID para la óptima identificación de todos los bienes muebles por medio de radio frecuencia.
</t>
  </si>
  <si>
    <t>Errores y omisiones en la verificación y registro del inventario físico de las diferentes dependencias.</t>
  </si>
  <si>
    <t>Dar cumplimiento al 80% de las visitas solicitadas para toma fìsicas de inventarios de bienes muebles.</t>
  </si>
  <si>
    <t>Almacenista General</t>
  </si>
  <si>
    <t>Investigaciones disciplinarias y sanciones por Entes de Control.</t>
  </si>
  <si>
    <t>Posibilidad de afectación reputacional y económica por investigaciones disciplinarias y sanciones por entes de control debido a errores y omisiones en la verificación del inventario físico de bienes muebles en las diferentes dependencias de la Alcaldía Municipal de Bucaramanga.</t>
  </si>
  <si>
    <t>La funcionaria técnica operativa del área de inventarios realiza control y seguimiento a las solicitudes de los funcionarios por medio del formato de TOMA FÍSICA DE INVENTARIOS No. F-INV-8500-238,37-011.</t>
  </si>
  <si>
    <t xml:space="preserve"> Funcionario técnico operativo del área de inventarios</t>
  </si>
  <si>
    <t>Realizar dos (02) seguimientos aleatorios a la incorporación de los bienes al inventario de la Administración</t>
  </si>
  <si>
    <t>El Almacenista General verifica las incorporaciones de los bienes adquiridos  a través del Sistema Integrado Financiero (SIF) de acuerdo a los contratos suscritos.</t>
  </si>
  <si>
    <r>
      <rPr>
        <b/>
        <sz val="11"/>
        <rFont val="Arial Narrow"/>
        <family val="2"/>
      </rPr>
      <t xml:space="preserve">*Nota: </t>
    </r>
    <r>
      <rPr>
        <sz val="1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</si>
  <si>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N/A</t>
  </si>
  <si>
    <t xml:space="preserve">Se han realizado dos actas con revisiones aleatorias de la incorporación de los bienes al inventario de la administración municipal.
Se cuenta como evidencia con dos actas de reunión, de fechas 24 y 30 de septiembre de 2021.
COMENTARIO OCIG:  Por parte de la Secretaría Administrativa se adjuntan actas de revisión aleatoria a incorporación de bienes al inventario de fechas 24 y 30 de septiembre de 2021.
Que, la acción propuesta establece dos (02) seguimientos aleatorios a la incorporación de los bienes al inventario de la Administración.  Porcentaje de avance:  100%.
</t>
  </si>
  <si>
    <t>31/12/2021 </t>
  </si>
  <si>
    <t xml:space="preserve">Se cuenta con un archivo consolidado de visitas realizadas, mediante el formato TOMA FÍSICA DE INVENTARIOS No. F-INV-8500-238,37-011, para la toma física de inventarios de bienes muebles, resaltando que en el periodo comprendido entre el 01 de octubre al 31 de diciembre de 2021 no se realizaron solicitudes por parte de las dependencias para efectuar tomas físicas de inventarios, sin embargo, desde el proceso de gestión de almacén e inventarios se han realizaron tomas físicas a diferentes dependencias como control de inventarios.
Como evidencia se cuenta los formatos de las tomas físicas de inventario realizadas desde la vigencia del plan hasta la fecha.
Como evidencia se adjuntan 11 formatos realizadas como verificación y control de inventarios.
COMENTARIO OCIG: La Secretaría Administrativa presenta formatos de toma física de Inventarios Código F-INV-8500-238,37-011 realizadas en Jornada de revisión a la Institución Educativa Oriente Miraflores Sede B, C, D, E, F Consecutivo 449 – 508 (octubre 19 y 20 de 2021), Institución Educativa Jorge Eliécer Gaitán Sede A Consecutivo 509, 718 - 772 (octubre 21 y 26 de 20219, Institución Educativa la Libertad Consecutivo 510 – 564 (octubre 14 de 2021), Institución Educativa Maipore Sede C Consecutivo 565 – 597, 674 (octubre 22 de 2021), Institución Educativa Maipore Sede B Consecutivo 598 – 630 (octubre 20 de 2021, Institución Educativa Maipore Sede A Consecutivo 631 - 673  (octubre 22 de 2021), Institución Educativa Andrés Páez de Sotomayor Consecutivo 675 – 717 (octubre 27 de 2021), Institución Educativa Jorge Eliécer Gaitán Sede B Consecutivo 773 –793 (octubre 21 de 2021), Secretaría de Hacienda – Tesorería Consecutivo 794 – 833 (noviembre 8 de 2021), Secretaría del Interior – Subsecretaría  Consecutivo 834 – 852 (noviembre 1y 7 de 2021), Secretaría del Interior – Centro de Atención a Víctimas – CAIV Consecutivo 853 – 854 (diciembre 14 de 2021).  
Algunos formatos no están completamente diligenciados y la fecha no es consecuente con el orden consecutivo de los formatos
La acción propuesta por la Secretaría Administrativa está relacionada con las visitas solicitadas para tomas físicas de inventarios de bienes muebles, no obstante, la evidencia aportada da cuenta de Jornadas de revisión periódica de inventarios.
A la fecha de corte, no se presentaron solicitudes de visitas por parte de las dependencias, por lo anterior, la Acción No Aplica (N/A) en el presente seguimiento. La OCIG recomienda ajustar la acción propuesta, con el fin de evitar la materialización de riesgos. </t>
  </si>
  <si>
    <t>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</si>
</sst>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
      <b/>
      <sz val="10"/>
      <name val="Arial"/>
      <family val="2"/>
    </font>
    <font>
      <sz val="10"/>
      <color theme="1"/>
      <name val="Arial"/>
      <family val="2"/>
    </font>
    <font>
      <sz val="11"/>
      <name val="Arial"/>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10">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2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2" xfId="2" quotePrefix="1" applyFont="1" applyFill="1" applyBorder="1" applyAlignment="1" applyProtection="1">
      <alignment horizontal="left" vertical="top" wrapText="1"/>
    </xf>
    <xf numFmtId="0" fontId="32" fillId="0" borderId="82" xfId="2" quotePrefix="1" applyFont="1" applyBorder="1" applyAlignment="1" applyProtection="1">
      <alignment horizontal="left" vertical="top" wrapText="1"/>
    </xf>
    <xf numFmtId="0" fontId="32" fillId="3" borderId="82" xfId="2" quotePrefix="1" applyFont="1" applyFill="1" applyBorder="1" applyAlignment="1" applyProtection="1">
      <alignment horizontal="left" vertical="top" wrapText="1"/>
    </xf>
    <xf numFmtId="0" fontId="32" fillId="3" borderId="82"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2" xfId="2" quotePrefix="1" applyFont="1" applyFill="1" applyBorder="1" applyAlignment="1" applyProtection="1">
      <alignment horizontal="left" vertical="top" wrapText="1"/>
    </xf>
    <xf numFmtId="0" fontId="36" fillId="3" borderId="90" xfId="2" quotePrefix="1" applyFont="1" applyFill="1" applyBorder="1" applyAlignment="1" applyProtection="1">
      <alignment horizontal="left" vertical="top" wrapText="1"/>
    </xf>
    <xf numFmtId="0" fontId="32" fillId="3" borderId="90"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62" xfId="0" applyFont="1" applyFill="1" applyBorder="1" applyAlignment="1">
      <alignment horizontal="left" vertical="center" wrapText="1" indent="1"/>
    </xf>
    <xf numFmtId="0" fontId="28" fillId="16" borderId="91" xfId="0" applyFont="1" applyFill="1" applyBorder="1" applyAlignment="1">
      <alignment horizontal="left" vertical="center" wrapText="1" indent="1"/>
    </xf>
    <xf numFmtId="0" fontId="0" fillId="0" borderId="0" xfId="0" applyAlignment="1">
      <alignment vertical="center"/>
    </xf>
    <xf numFmtId="0" fontId="49" fillId="0" borderId="0" xfId="0" applyFont="1" applyAlignment="1">
      <alignment horizontal="center" vertical="center"/>
    </xf>
    <xf numFmtId="0" fontId="50"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1" fillId="0" borderId="0" xfId="0" applyFont="1" applyAlignment="1">
      <alignment horizontal="center" vertical="center" wrapText="1"/>
    </xf>
    <xf numFmtId="0" fontId="5" fillId="0" borderId="0" xfId="0" applyFont="1" applyAlignment="1">
      <alignment vertical="top" wrapText="1"/>
    </xf>
    <xf numFmtId="0" fontId="30" fillId="3" borderId="99" xfId="0" applyFont="1" applyFill="1" applyBorder="1" applyAlignment="1">
      <alignment vertical="center" wrapText="1"/>
    </xf>
    <xf numFmtId="0" fontId="11" fillId="17" borderId="0" xfId="0" applyFont="1" applyFill="1" applyAlignment="1">
      <alignment horizontal="left" vertical="top" wrapText="1"/>
    </xf>
    <xf numFmtId="0" fontId="30" fillId="3" borderId="100"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3" fillId="3" borderId="0" xfId="0" applyFont="1" applyFill="1"/>
    <xf numFmtId="0" fontId="53" fillId="0" borderId="0" xfId="0" applyFont="1"/>
    <xf numFmtId="0" fontId="1" fillId="0" borderId="0" xfId="0" pivotButton="1" applyFont="1"/>
    <xf numFmtId="0" fontId="21" fillId="0" borderId="0" xfId="0" applyFont="1" applyFill="1"/>
    <xf numFmtId="0" fontId="54" fillId="0" borderId="0" xfId="0" applyFont="1"/>
    <xf numFmtId="0" fontId="55" fillId="0" borderId="0" xfId="0" applyFont="1"/>
    <xf numFmtId="0" fontId="2" fillId="0" borderId="0" xfId="0" applyFont="1"/>
    <xf numFmtId="0" fontId="6" fillId="3" borderId="0" xfId="0" applyFont="1" applyFill="1"/>
    <xf numFmtId="0" fontId="22" fillId="3" borderId="0" xfId="0" applyFont="1" applyFill="1"/>
    <xf numFmtId="0" fontId="57" fillId="0" borderId="0" xfId="0" applyFont="1" applyAlignment="1">
      <alignment horizontal="center" vertical="center" wrapText="1"/>
    </xf>
    <xf numFmtId="0" fontId="58" fillId="18" borderId="102" xfId="0" applyFont="1" applyFill="1" applyBorder="1" applyAlignment="1">
      <alignment horizontal="center" vertical="center" wrapText="1" readingOrder="1"/>
    </xf>
    <xf numFmtId="0" fontId="58" fillId="18" borderId="103"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0"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59"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0" fillId="3" borderId="0" xfId="0" applyFont="1" applyFill="1" applyAlignment="1">
      <alignment horizontal="center" vertical="center" wrapText="1"/>
    </xf>
    <xf numFmtId="0" fontId="61" fillId="18" borderId="2" xfId="0" applyFont="1" applyFill="1" applyBorder="1" applyAlignment="1">
      <alignment horizontal="center" vertical="center" wrapText="1" readingOrder="1"/>
    </xf>
    <xf numFmtId="0" fontId="61" fillId="18" borderId="3" xfId="0" applyFont="1" applyFill="1" applyBorder="1" applyAlignment="1">
      <alignment horizontal="center" vertical="center" wrapText="1" readingOrder="1"/>
    </xf>
    <xf numFmtId="0" fontId="62" fillId="5" borderId="33" xfId="0" applyFont="1" applyFill="1" applyBorder="1" applyAlignment="1">
      <alignment horizontal="center" vertical="center" wrapText="1" readingOrder="1"/>
    </xf>
    <xf numFmtId="0" fontId="62" fillId="0" borderId="62" xfId="0" applyFont="1" applyBorder="1" applyAlignment="1">
      <alignment horizontal="center" vertical="center" wrapText="1" readingOrder="1"/>
    </xf>
    <xf numFmtId="0" fontId="62" fillId="0" borderId="70" xfId="0" applyFont="1" applyBorder="1" applyAlignment="1">
      <alignment horizontal="justify" vertical="center" wrapText="1" readingOrder="1"/>
    </xf>
    <xf numFmtId="0" fontId="62" fillId="6" borderId="63" xfId="0" applyFont="1" applyFill="1" applyBorder="1" applyAlignment="1">
      <alignment horizontal="center" vertical="center" wrapText="1" readingOrder="1"/>
    </xf>
    <xf numFmtId="0" fontId="62" fillId="0" borderId="22" xfId="0" applyFont="1" applyBorder="1" applyAlignment="1">
      <alignment horizontal="center" vertical="center" wrapText="1" readingOrder="1"/>
    </xf>
    <xf numFmtId="0" fontId="62" fillId="0" borderId="23" xfId="0" applyFont="1" applyBorder="1" applyAlignment="1">
      <alignment horizontal="justify" vertical="center" wrapText="1" readingOrder="1"/>
    </xf>
    <xf numFmtId="0" fontId="62" fillId="4" borderId="63" xfId="0" applyFont="1" applyFill="1" applyBorder="1" applyAlignment="1">
      <alignment horizontal="center" vertical="center" wrapText="1" readingOrder="1"/>
    </xf>
    <xf numFmtId="0" fontId="62" fillId="7" borderId="63" xfId="0" applyFont="1" applyFill="1" applyBorder="1" applyAlignment="1">
      <alignment horizontal="center" vertical="center" wrapText="1" readingOrder="1"/>
    </xf>
    <xf numFmtId="0" fontId="63" fillId="8" borderId="65" xfId="0" applyFont="1" applyFill="1" applyBorder="1" applyAlignment="1">
      <alignment horizontal="center" vertical="center" wrapText="1" readingOrder="1"/>
    </xf>
    <xf numFmtId="0" fontId="62" fillId="0" borderId="24" xfId="0" applyFont="1" applyBorder="1" applyAlignment="1">
      <alignment horizontal="center" vertical="center" wrapText="1" readingOrder="1"/>
    </xf>
    <xf numFmtId="0" fontId="62" fillId="0" borderId="26" xfId="0" applyFont="1" applyBorder="1" applyAlignment="1">
      <alignment horizontal="justify" vertical="center" wrapText="1" readingOrder="1"/>
    </xf>
    <xf numFmtId="0" fontId="2" fillId="0" borderId="18" xfId="0" applyFont="1" applyBorder="1" applyAlignment="1" applyProtection="1">
      <alignment horizontal="center" vertical="center" wrapText="1"/>
      <protection locked="0"/>
    </xf>
    <xf numFmtId="0" fontId="67" fillId="0" borderId="18" xfId="0" applyFont="1" applyBorder="1" applyAlignment="1" applyProtection="1">
      <alignment horizontal="center" vertical="center" wrapText="1"/>
      <protection locked="0"/>
    </xf>
    <xf numFmtId="0" fontId="66" fillId="0" borderId="30" xfId="0" applyFont="1" applyBorder="1" applyAlignment="1">
      <alignment horizontal="justify" vertical="center" wrapText="1"/>
    </xf>
    <xf numFmtId="0" fontId="30" fillId="0" borderId="104" xfId="0" applyFont="1" applyBorder="1" applyAlignment="1">
      <alignment horizontal="justify" vertical="center" wrapText="1"/>
    </xf>
    <xf numFmtId="0" fontId="30" fillId="0" borderId="32" xfId="0" applyFont="1" applyBorder="1" applyAlignment="1">
      <alignment horizontal="justify" vertical="center" wrapText="1"/>
    </xf>
    <xf numFmtId="0" fontId="35" fillId="12" borderId="18" xfId="0" applyFont="1" applyFill="1" applyBorder="1" applyAlignment="1">
      <alignment horizontal="center" vertical="center" textRotation="90"/>
    </xf>
    <xf numFmtId="0" fontId="43" fillId="0" borderId="18" xfId="0" applyFont="1" applyBorder="1" applyAlignment="1" applyProtection="1">
      <alignment horizontal="center" vertical="center"/>
    </xf>
    <xf numFmtId="0" fontId="67" fillId="0" borderId="18" xfId="0" applyFont="1" applyBorder="1" applyAlignment="1" applyProtection="1">
      <alignment horizontal="justify" vertical="center" wrapText="1"/>
      <protection locked="0"/>
    </xf>
    <xf numFmtId="0" fontId="43" fillId="0" borderId="18" xfId="0" applyFont="1" applyBorder="1" applyAlignment="1" applyProtection="1">
      <alignment horizontal="center" vertical="center"/>
      <protection hidden="1"/>
    </xf>
    <xf numFmtId="0" fontId="43" fillId="0" borderId="18" xfId="0" applyFont="1" applyBorder="1" applyAlignment="1" applyProtection="1">
      <alignment horizontal="center" vertical="center" textRotation="90"/>
      <protection locked="0"/>
    </xf>
    <xf numFmtId="9" fontId="43" fillId="0" borderId="18" xfId="0" applyNumberFormat="1" applyFont="1" applyBorder="1" applyAlignment="1" applyProtection="1">
      <alignment horizontal="center" vertical="center"/>
      <protection hidden="1"/>
    </xf>
    <xf numFmtId="164" fontId="43" fillId="0" borderId="18" xfId="1" applyNumberFormat="1" applyFont="1" applyBorder="1" applyAlignment="1">
      <alignment horizontal="center" vertical="center"/>
    </xf>
    <xf numFmtId="0" fontId="28" fillId="0" borderId="18" xfId="0" applyFont="1" applyFill="1" applyBorder="1" applyAlignment="1" applyProtection="1">
      <alignment horizontal="center" vertical="center" textRotation="90" wrapText="1"/>
      <protection hidden="1"/>
    </xf>
    <xf numFmtId="0" fontId="28" fillId="0" borderId="18" xfId="0" applyFont="1" applyBorder="1" applyAlignment="1" applyProtection="1">
      <alignment horizontal="center" vertical="center" textRotation="90"/>
      <protection hidden="1"/>
    </xf>
    <xf numFmtId="14" fontId="67" fillId="0" borderId="18" xfId="0" applyNumberFormat="1" applyFont="1" applyBorder="1" applyAlignment="1" applyProtection="1">
      <alignment horizontal="center" vertical="center"/>
      <protection locked="0"/>
    </xf>
    <xf numFmtId="14" fontId="43" fillId="0" borderId="18" xfId="0" applyNumberFormat="1" applyFont="1" applyBorder="1" applyAlignment="1" applyProtection="1">
      <alignment horizontal="center" vertical="center"/>
      <protection locked="0"/>
    </xf>
    <xf numFmtId="0" fontId="43" fillId="0" borderId="18" xfId="0" applyFont="1" applyBorder="1" applyAlignment="1" applyProtection="1">
      <alignment horizontal="center" vertical="center" wrapText="1"/>
      <protection locked="0"/>
    </xf>
    <xf numFmtId="0" fontId="43" fillId="0" borderId="23" xfId="0" applyFont="1" applyBorder="1" applyAlignment="1" applyProtection="1">
      <alignment horizontal="center" vertical="center"/>
      <protection locked="0"/>
    </xf>
    <xf numFmtId="0" fontId="43" fillId="0" borderId="18" xfId="0" applyFont="1" applyBorder="1" applyAlignment="1" applyProtection="1">
      <alignment horizontal="justify" vertical="center"/>
      <protection locked="0"/>
    </xf>
    <xf numFmtId="0" fontId="43" fillId="0" borderId="18" xfId="0" applyFont="1" applyBorder="1" applyAlignment="1" applyProtection="1">
      <alignment horizontal="justify" vertical="center" wrapText="1"/>
      <protection locked="0"/>
    </xf>
    <xf numFmtId="0" fontId="2" fillId="0" borderId="18" xfId="0" applyFont="1" applyBorder="1" applyAlignment="1" applyProtection="1">
      <alignment horizontal="center" vertical="center"/>
    </xf>
    <xf numFmtId="0" fontId="32" fillId="0" borderId="18" xfId="0" applyFont="1" applyBorder="1" applyAlignment="1" applyProtection="1">
      <alignment horizontal="justify" vertical="center" wrapText="1"/>
      <protection locked="0"/>
    </xf>
    <xf numFmtId="0" fontId="2" fillId="0" borderId="18" xfId="0" applyFont="1" applyBorder="1" applyAlignment="1" applyProtection="1">
      <alignment horizontal="center" vertical="center"/>
      <protection hidden="1"/>
    </xf>
    <xf numFmtId="0" fontId="2" fillId="0" borderId="18" xfId="0" applyFont="1" applyBorder="1" applyAlignment="1" applyProtection="1">
      <alignment horizontal="center" vertical="center" textRotation="90"/>
      <protection locked="0"/>
    </xf>
    <xf numFmtId="9" fontId="2" fillId="0" borderId="18" xfId="0" applyNumberFormat="1" applyFont="1" applyBorder="1" applyAlignment="1" applyProtection="1">
      <alignment horizontal="center" vertical="center"/>
      <protection hidden="1"/>
    </xf>
    <xf numFmtId="164" fontId="2" fillId="0" borderId="18" xfId="1" applyNumberFormat="1" applyFont="1" applyBorder="1" applyAlignment="1">
      <alignment horizontal="center" vertical="center"/>
    </xf>
    <xf numFmtId="0" fontId="35" fillId="0" borderId="18" xfId="0" applyFont="1" applyFill="1" applyBorder="1" applyAlignment="1" applyProtection="1">
      <alignment horizontal="center" vertical="center" textRotation="90" wrapText="1"/>
      <protection hidden="1"/>
    </xf>
    <xf numFmtId="0" fontId="35" fillId="0" borderId="18" xfId="0" applyFont="1" applyBorder="1" applyAlignment="1" applyProtection="1">
      <alignment horizontal="center" vertical="center" textRotation="90"/>
      <protection hidden="1"/>
    </xf>
    <xf numFmtId="14" fontId="2" fillId="0" borderId="18" xfId="0" applyNumberFormat="1"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18" xfId="0" applyFont="1" applyBorder="1" applyAlignment="1" applyProtection="1">
      <alignment horizontal="justify" vertical="center"/>
      <protection locked="0"/>
    </xf>
    <xf numFmtId="164" fontId="2" fillId="8" borderId="18" xfId="1" applyNumberFormat="1" applyFont="1" applyFill="1" applyBorder="1" applyAlignment="1">
      <alignment horizontal="center" vertical="center"/>
    </xf>
    <xf numFmtId="0" fontId="2" fillId="0" borderId="0" xfId="0" applyFont="1" applyBorder="1"/>
    <xf numFmtId="0" fontId="2" fillId="0" borderId="0" xfId="0" applyFont="1" applyBorder="1" applyAlignment="1">
      <alignment wrapText="1"/>
    </xf>
    <xf numFmtId="0" fontId="2" fillId="0" borderId="5" xfId="0" applyFont="1" applyBorder="1"/>
    <xf numFmtId="0" fontId="2" fillId="0" borderId="106" xfId="0" applyFont="1" applyBorder="1" applyAlignment="1" applyProtection="1">
      <alignment horizontal="center" vertical="center"/>
    </xf>
    <xf numFmtId="0" fontId="32" fillId="0" borderId="106" xfId="0" applyFont="1" applyBorder="1" applyAlignment="1" applyProtection="1">
      <alignment horizontal="justify" vertical="center" wrapText="1"/>
      <protection locked="0"/>
    </xf>
    <xf numFmtId="0" fontId="2" fillId="0" borderId="106" xfId="0" applyFont="1" applyBorder="1" applyAlignment="1" applyProtection="1">
      <alignment horizontal="center" vertical="center"/>
      <protection hidden="1"/>
    </xf>
    <xf numFmtId="0" fontId="2" fillId="0" borderId="106" xfId="0" applyFont="1" applyBorder="1" applyAlignment="1" applyProtection="1">
      <alignment horizontal="center" vertical="center" textRotation="90"/>
      <protection locked="0"/>
    </xf>
    <xf numFmtId="9" fontId="2" fillId="0" borderId="106" xfId="0" applyNumberFormat="1" applyFont="1" applyBorder="1" applyAlignment="1" applyProtection="1">
      <alignment horizontal="center" vertical="center"/>
      <protection hidden="1"/>
    </xf>
    <xf numFmtId="164" fontId="2" fillId="0" borderId="106" xfId="1" applyNumberFormat="1" applyFont="1" applyBorder="1" applyAlignment="1">
      <alignment horizontal="center" vertical="center"/>
    </xf>
    <xf numFmtId="0" fontId="35" fillId="0" borderId="106" xfId="0" applyFont="1" applyFill="1" applyBorder="1" applyAlignment="1" applyProtection="1">
      <alignment horizontal="center" vertical="center" textRotation="90" wrapText="1"/>
      <protection hidden="1"/>
    </xf>
    <xf numFmtId="0" fontId="35" fillId="0" borderId="106" xfId="0" applyFont="1" applyBorder="1" applyAlignment="1" applyProtection="1">
      <alignment horizontal="center" vertical="center" textRotation="90"/>
      <protection hidden="1"/>
    </xf>
    <xf numFmtId="0" fontId="2" fillId="0" borderId="106" xfId="0" applyFont="1" applyBorder="1" applyAlignment="1" applyProtection="1">
      <alignment horizontal="center" vertical="center" wrapText="1"/>
      <protection locked="0"/>
    </xf>
    <xf numFmtId="14" fontId="2" fillId="0" borderId="106" xfId="0" applyNumberFormat="1" applyFont="1" applyBorder="1" applyAlignment="1" applyProtection="1">
      <alignment horizontal="center" vertical="center"/>
      <protection locked="0"/>
    </xf>
    <xf numFmtId="0" fontId="2" fillId="0" borderId="107" xfId="0" applyFont="1" applyBorder="1" applyAlignment="1" applyProtection="1">
      <alignment horizontal="center" vertical="center"/>
      <protection locked="0"/>
    </xf>
    <xf numFmtId="0" fontId="2" fillId="0" borderId="108" xfId="0" applyFont="1" applyBorder="1" applyAlignment="1">
      <alignment horizontal="center" vertical="center"/>
    </xf>
    <xf numFmtId="0" fontId="2" fillId="0" borderId="18" xfId="0" applyFont="1" applyBorder="1" applyAlignment="1" applyProtection="1">
      <alignment horizontal="center" vertical="center" wrapText="1"/>
      <protection locked="0"/>
    </xf>
    <xf numFmtId="0" fontId="43" fillId="0" borderId="18" xfId="0" applyFont="1" applyBorder="1" applyAlignment="1" applyProtection="1">
      <alignment horizontal="center" vertical="center" wrapText="1"/>
      <protection locked="0"/>
    </xf>
    <xf numFmtId="0" fontId="67" fillId="0" borderId="18" xfId="0" applyFont="1" applyBorder="1" applyAlignment="1" applyProtection="1">
      <alignment horizontal="center" vertical="center" wrapText="1"/>
      <protection locked="0"/>
    </xf>
    <xf numFmtId="0" fontId="67" fillId="0" borderId="18" xfId="0" applyFont="1" applyBorder="1" applyAlignment="1" applyProtection="1">
      <alignment horizontal="left" vertical="center" wrapText="1"/>
      <protection locked="0"/>
    </xf>
    <xf numFmtId="0" fontId="37" fillId="3" borderId="87"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2" xfId="2" applyFont="1" applyFill="1" applyBorder="1" applyAlignment="1" applyProtection="1">
      <alignment horizontal="justify" vertical="center" wrapText="1"/>
    </xf>
    <xf numFmtId="0" fontId="38" fillId="3" borderId="73" xfId="2" applyFont="1" applyFill="1" applyBorder="1" applyAlignment="1" applyProtection="1">
      <alignment horizontal="justify"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45" xfId="0" applyFont="1" applyFill="1" applyBorder="1" applyAlignment="1" applyProtection="1">
      <alignment horizontal="left" vertical="center" wrapText="1"/>
    </xf>
    <xf numFmtId="0" fontId="37" fillId="3" borderId="46" xfId="0" applyFont="1" applyFill="1" applyBorder="1" applyAlignment="1" applyProtection="1">
      <alignment horizontal="left" vertical="center"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37" fillId="3" borderId="86" xfId="3" applyFont="1" applyFill="1" applyBorder="1" applyAlignment="1" applyProtection="1">
      <alignment horizontal="left" vertical="top" wrapText="1" readingOrder="1"/>
    </xf>
    <xf numFmtId="0" fontId="37" fillId="3" borderId="79" xfId="3" applyFont="1" applyFill="1" applyBorder="1" applyAlignment="1" applyProtection="1">
      <alignment horizontal="left" vertical="top" wrapText="1" readingOrder="1"/>
    </xf>
    <xf numFmtId="0" fontId="38" fillId="3" borderId="80" xfId="2" applyFont="1" applyFill="1" applyBorder="1" applyAlignment="1" applyProtection="1">
      <alignment horizontal="justify" vertical="center" wrapText="1"/>
    </xf>
    <xf numFmtId="0" fontId="38" fillId="3" borderId="81" xfId="2" applyFont="1" applyFill="1" applyBorder="1" applyAlignment="1" applyProtection="1">
      <alignment horizontal="justify"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4"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2" xfId="2" quotePrefix="1" applyFont="1" applyFill="1" applyBorder="1" applyAlignment="1" applyProtection="1">
      <alignment horizontal="left" vertical="top" wrapText="1"/>
    </xf>
    <xf numFmtId="0" fontId="37" fillId="14" borderId="85" xfId="3" applyFont="1" applyFill="1" applyBorder="1" applyAlignment="1" applyProtection="1">
      <alignment horizontal="center" vertical="center" wrapText="1"/>
    </xf>
    <xf numFmtId="0" fontId="37" fillId="14" borderId="84"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3" xfId="3" applyFont="1" applyFill="1" applyBorder="1" applyAlignment="1" applyProtection="1">
      <alignment horizontal="center" vertical="center" wrapText="1"/>
    </xf>
    <xf numFmtId="0" fontId="37" fillId="3" borderId="41" xfId="3" applyFont="1" applyFill="1" applyBorder="1" applyAlignment="1" applyProtection="1">
      <alignment horizontal="left" vertical="top" wrapText="1" readingOrder="1"/>
    </xf>
    <xf numFmtId="0" fontId="37" fillId="3" borderId="77"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2" xfId="2" quotePrefix="1" applyFont="1" applyFill="1" applyBorder="1" applyAlignment="1" applyProtection="1">
      <alignment horizontal="center" vertical="top" wrapText="1"/>
    </xf>
    <xf numFmtId="0" fontId="37" fillId="3" borderId="75"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58" xfId="2" applyFont="1" applyFill="1" applyBorder="1" applyAlignment="1" applyProtection="1">
      <alignment horizontal="justify" vertical="center" wrapText="1"/>
    </xf>
    <xf numFmtId="0" fontId="38" fillId="3" borderId="88" xfId="2" applyFont="1" applyFill="1" applyBorder="1" applyAlignment="1" applyProtection="1">
      <alignment horizontal="justify" vertical="center" wrapText="1"/>
    </xf>
    <xf numFmtId="0" fontId="38" fillId="3" borderId="76" xfId="2" applyFont="1" applyFill="1" applyBorder="1" applyAlignment="1" applyProtection="1">
      <alignment horizontal="justify" vertical="center" wrapText="1"/>
    </xf>
    <xf numFmtId="0" fontId="66" fillId="0" borderId="97" xfId="0" applyFont="1" applyBorder="1" applyAlignment="1">
      <alignment horizontal="justify" vertical="top" wrapText="1"/>
    </xf>
    <xf numFmtId="0" fontId="66" fillId="0" borderId="5" xfId="0" applyFont="1" applyBorder="1" applyAlignment="1">
      <alignment horizontal="justify" vertical="top" wrapText="1"/>
    </xf>
    <xf numFmtId="0" fontId="66" fillId="0" borderId="95" xfId="0" applyFont="1" applyBorder="1" applyAlignment="1">
      <alignment horizontal="justify" vertical="top" wrapText="1"/>
    </xf>
    <xf numFmtId="0" fontId="66" fillId="0" borderId="7" xfId="0" applyFont="1" applyBorder="1" applyAlignment="1">
      <alignment horizontal="justify" vertical="top" wrapText="1"/>
    </xf>
    <xf numFmtId="0" fontId="66" fillId="0" borderId="4" xfId="0" applyFont="1" applyBorder="1" applyAlignment="1">
      <alignment horizontal="justify" vertical="top" wrapText="1"/>
    </xf>
    <xf numFmtId="0" fontId="66" fillId="0" borderId="0" xfId="0" applyFont="1" applyAlignment="1">
      <alignment horizontal="justify" vertical="top" wrapText="1"/>
    </xf>
    <xf numFmtId="0" fontId="66" fillId="0" borderId="98" xfId="0" applyFont="1" applyBorder="1" applyAlignment="1">
      <alignment horizontal="justify" vertical="top" wrapText="1"/>
    </xf>
    <xf numFmtId="0" fontId="66" fillId="0" borderId="6" xfId="0" applyFont="1" applyBorder="1" applyAlignment="1">
      <alignment horizontal="justify" vertical="top" wrapText="1"/>
    </xf>
    <xf numFmtId="0" fontId="66" fillId="0" borderId="8" xfId="0" applyFont="1" applyBorder="1" applyAlignment="1">
      <alignment horizontal="justify" vertical="top" wrapText="1"/>
    </xf>
    <xf numFmtId="0" fontId="66" fillId="0" borderId="96" xfId="0" applyFont="1" applyBorder="1" applyAlignment="1">
      <alignment horizontal="justify" vertical="top" wrapText="1"/>
    </xf>
    <xf numFmtId="0" fontId="28" fillId="18" borderId="20"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5" fillId="0" borderId="101" xfId="0" applyFont="1" applyBorder="1" applyAlignment="1">
      <alignment vertical="top" wrapText="1"/>
    </xf>
    <xf numFmtId="0" fontId="5" fillId="0" borderId="89" xfId="0" applyFont="1" applyBorder="1" applyAlignment="1">
      <alignment vertical="top" wrapText="1"/>
    </xf>
    <xf numFmtId="0" fontId="5" fillId="0" borderId="99" xfId="0" applyFont="1" applyBorder="1" applyAlignment="1">
      <alignment vertical="top" wrapText="1"/>
    </xf>
    <xf numFmtId="0" fontId="50" fillId="0" borderId="2"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50" fillId="0" borderId="8" xfId="0" applyFont="1" applyBorder="1" applyAlignment="1">
      <alignment horizontal="center" vertical="center" wrapText="1"/>
    </xf>
    <xf numFmtId="0" fontId="65" fillId="15" borderId="61" xfId="0" applyFont="1" applyFill="1" applyBorder="1" applyAlignment="1">
      <alignment horizontal="left" vertical="center" wrapText="1" indent="1"/>
    </xf>
    <xf numFmtId="0" fontId="65" fillId="15" borderId="34" xfId="0" applyFont="1" applyFill="1" applyBorder="1" applyAlignment="1">
      <alignment horizontal="left" vertical="center" wrapText="1" indent="1"/>
    </xf>
    <xf numFmtId="0" fontId="65" fillId="15" borderId="35" xfId="0" applyFont="1" applyFill="1" applyBorder="1" applyAlignment="1">
      <alignment horizontal="left" vertical="center" wrapText="1" indent="1"/>
    </xf>
    <xf numFmtId="0" fontId="30" fillId="15" borderId="92" xfId="0" applyFont="1" applyFill="1" applyBorder="1" applyAlignment="1">
      <alignment horizontal="left" vertical="center" wrapText="1" indent="1"/>
    </xf>
    <xf numFmtId="0" fontId="30" fillId="15" borderId="93" xfId="0" applyFont="1" applyFill="1" applyBorder="1" applyAlignment="1">
      <alignment horizontal="left" vertical="center" wrapText="1" indent="1"/>
    </xf>
    <xf numFmtId="0" fontId="30" fillId="15" borderId="94"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justify" vertical="center" wrapText="1"/>
    </xf>
    <xf numFmtId="0" fontId="43" fillId="0" borderId="66" xfId="0" applyFont="1" applyBorder="1" applyAlignment="1">
      <alignment horizontal="justify" vertical="center" wrapText="1"/>
    </xf>
    <xf numFmtId="0" fontId="51" fillId="0" borderId="0" xfId="0" applyFont="1" applyAlignment="1">
      <alignment horizontal="center" vertical="center"/>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69" xfId="0" applyFont="1" applyFill="1" applyBorder="1" applyAlignment="1">
      <alignment horizontal="left"/>
    </xf>
    <xf numFmtId="0" fontId="40" fillId="3" borderId="70" xfId="0" applyFont="1" applyFill="1" applyBorder="1" applyAlignment="1">
      <alignment horizontal="left"/>
    </xf>
    <xf numFmtId="0" fontId="47" fillId="3" borderId="68"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7"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1"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69"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69" xfId="0" applyFont="1" applyFill="1" applyBorder="1" applyAlignment="1" applyProtection="1">
      <alignment horizontal="left" vertical="center" indent="1"/>
      <protection locked="0"/>
    </xf>
    <xf numFmtId="0" fontId="8" fillId="3" borderId="70"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2" fillId="0" borderId="109" xfId="0" applyFont="1" applyBorder="1" applyAlignment="1">
      <alignment horizontal="left" vertical="center" wrapText="1"/>
    </xf>
    <xf numFmtId="0" fontId="2" fillId="0" borderId="21" xfId="0" applyFont="1" applyBorder="1" applyAlignment="1">
      <alignment horizontal="left" vertical="center" wrapText="1"/>
    </xf>
    <xf numFmtId="0" fontId="2" fillId="0" borderId="32" xfId="0" applyFont="1" applyBorder="1" applyAlignment="1">
      <alignment horizontal="left" vertical="center" wrapText="1"/>
    </xf>
    <xf numFmtId="9" fontId="2" fillId="0" borderId="18" xfId="0" applyNumberFormat="1" applyFont="1" applyBorder="1" applyAlignment="1" applyProtection="1">
      <alignment horizontal="center" vertical="center" wrapText="1"/>
      <protection hidden="1"/>
    </xf>
    <xf numFmtId="0" fontId="2" fillId="0" borderId="0" xfId="0" applyFont="1" applyBorder="1"/>
    <xf numFmtId="0" fontId="35" fillId="0" borderId="18" xfId="0" applyFont="1" applyBorder="1" applyAlignment="1" applyProtection="1">
      <alignment horizontal="center" vertical="center"/>
      <protection hidden="1"/>
    </xf>
    <xf numFmtId="0" fontId="2" fillId="0" borderId="22" xfId="0" applyFont="1" applyBorder="1" applyAlignment="1" applyProtection="1">
      <alignment horizontal="center" vertical="center"/>
    </xf>
    <xf numFmtId="0" fontId="2" fillId="0" borderId="105" xfId="0" applyFont="1" applyBorder="1" applyAlignment="1" applyProtection="1">
      <alignment horizontal="center" vertical="center"/>
    </xf>
    <xf numFmtId="0" fontId="2" fillId="0" borderId="18" xfId="0" applyFont="1" applyBorder="1" applyAlignment="1" applyProtection="1">
      <alignment horizontal="center" vertical="center" wrapText="1"/>
      <protection locked="0"/>
    </xf>
    <xf numFmtId="0" fontId="2" fillId="0" borderId="106"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protection locked="0"/>
    </xf>
    <xf numFmtId="0" fontId="2" fillId="0" borderId="106" xfId="0" applyFont="1" applyBorder="1" applyAlignment="1" applyProtection="1">
      <alignment horizontal="center" vertical="center"/>
      <protection locked="0"/>
    </xf>
    <xf numFmtId="0" fontId="35" fillId="0" borderId="18" xfId="0" applyFont="1" applyFill="1" applyBorder="1" applyAlignment="1" applyProtection="1">
      <alignment horizontal="center" vertical="center" wrapText="1"/>
      <protection hidden="1"/>
    </xf>
    <xf numFmtId="0" fontId="35" fillId="0" borderId="106" xfId="0" applyFont="1" applyFill="1" applyBorder="1" applyAlignment="1" applyProtection="1">
      <alignment horizontal="center" vertical="center" wrapText="1"/>
      <protection hidden="1"/>
    </xf>
    <xf numFmtId="9" fontId="2" fillId="0" borderId="106" xfId="0" applyNumberFormat="1" applyFont="1" applyBorder="1" applyAlignment="1" applyProtection="1">
      <alignment horizontal="center" vertical="center" wrapText="1"/>
      <protection hidden="1"/>
    </xf>
    <xf numFmtId="9" fontId="2" fillId="0" borderId="18" xfId="0" applyNumberFormat="1" applyFont="1" applyBorder="1" applyAlignment="1" applyProtection="1">
      <alignment horizontal="center" vertical="center" wrapText="1"/>
      <protection locked="0"/>
    </xf>
    <xf numFmtId="9" fontId="2" fillId="0" borderId="106" xfId="0" applyNumberFormat="1" applyFont="1" applyBorder="1" applyAlignment="1" applyProtection="1">
      <alignment horizontal="center" vertical="center" wrapText="1"/>
      <protection locked="0"/>
    </xf>
    <xf numFmtId="0" fontId="35" fillId="0" borderId="106" xfId="0" applyFont="1" applyBorder="1" applyAlignment="1" applyProtection="1">
      <alignment horizontal="center" vertical="center"/>
      <protection hidden="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xf>
    <xf numFmtId="0" fontId="35" fillId="12" borderId="18" xfId="0" applyFont="1" applyFill="1" applyBorder="1" applyAlignment="1">
      <alignment horizontal="center" vertical="center" wrapText="1"/>
    </xf>
    <xf numFmtId="0" fontId="35" fillId="12" borderId="23" xfId="0" applyFont="1" applyFill="1" applyBorder="1" applyAlignment="1">
      <alignment horizontal="center" vertical="center" wrapText="1"/>
    </xf>
    <xf numFmtId="0" fontId="33" fillId="12" borderId="22" xfId="0" applyFont="1" applyFill="1" applyBorder="1" applyAlignment="1">
      <alignment horizontal="center" vertical="center" textRotation="90"/>
    </xf>
    <xf numFmtId="0" fontId="35" fillId="12" borderId="18" xfId="0" applyFont="1" applyFill="1" applyBorder="1" applyAlignment="1">
      <alignment horizontal="center" vertical="center"/>
    </xf>
    <xf numFmtId="0" fontId="35" fillId="12" borderId="18" xfId="0" applyFont="1" applyFill="1" applyBorder="1" applyAlignment="1">
      <alignment horizontal="center" vertical="center" textRotation="90" wrapText="1"/>
    </xf>
    <xf numFmtId="0" fontId="43" fillId="0" borderId="18" xfId="0" applyFont="1" applyBorder="1" applyAlignment="1" applyProtection="1">
      <alignment horizontal="center" vertical="center" wrapText="1"/>
      <protection locked="0"/>
    </xf>
    <xf numFmtId="0" fontId="43" fillId="0" borderId="18" xfId="0" applyFont="1" applyBorder="1" applyAlignment="1" applyProtection="1">
      <alignment horizontal="center" vertical="center"/>
      <protection locked="0"/>
    </xf>
    <xf numFmtId="0" fontId="28" fillId="0" borderId="18" xfId="0" applyFont="1" applyFill="1" applyBorder="1" applyAlignment="1" applyProtection="1">
      <alignment horizontal="center" vertical="center" wrapText="1"/>
      <protection hidden="1"/>
    </xf>
    <xf numFmtId="0" fontId="43" fillId="0" borderId="22" xfId="0" applyFont="1" applyBorder="1" applyAlignment="1" applyProtection="1">
      <alignment horizontal="center" vertical="center"/>
    </xf>
    <xf numFmtId="0" fontId="67" fillId="0" borderId="18" xfId="0" applyFont="1" applyBorder="1" applyAlignment="1" applyProtection="1">
      <alignment horizontal="center" vertical="center" wrapText="1"/>
      <protection locked="0"/>
    </xf>
    <xf numFmtId="0" fontId="28" fillId="0" borderId="18" xfId="0" applyFont="1" applyBorder="1" applyAlignment="1" applyProtection="1">
      <alignment horizontal="center" vertical="center"/>
      <protection hidden="1"/>
    </xf>
    <xf numFmtId="9" fontId="43" fillId="0" borderId="18" xfId="0" applyNumberFormat="1" applyFont="1" applyBorder="1" applyAlignment="1" applyProtection="1">
      <alignment horizontal="center" vertical="center" wrapText="1"/>
      <protection hidden="1"/>
    </xf>
    <xf numFmtId="9" fontId="43" fillId="0" borderId="18" xfId="0" applyNumberFormat="1" applyFont="1" applyBorder="1" applyAlignment="1" applyProtection="1">
      <alignment horizontal="center" vertical="center" wrapText="1"/>
      <protection locked="0"/>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4"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20" fillId="0" borderId="0" xfId="0" applyFont="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27" fillId="0" borderId="9" xfId="0" applyFont="1" applyBorder="1" applyAlignment="1">
      <alignment horizontal="center" vertical="center" wrapText="1"/>
    </xf>
    <xf numFmtId="0" fontId="64" fillId="18" borderId="20" xfId="0" applyFont="1" applyFill="1" applyBorder="1" applyAlignment="1">
      <alignment horizontal="center" vertical="center" wrapText="1" readingOrder="1"/>
    </xf>
    <xf numFmtId="0" fontId="64" fillId="18" borderId="21" xfId="0" applyFont="1" applyFill="1" applyBorder="1" applyAlignment="1">
      <alignment horizontal="center" vertical="center" wrapText="1" readingOrder="1"/>
    </xf>
    <xf numFmtId="0" fontId="64" fillId="18" borderId="32" xfId="0" applyFont="1" applyFill="1" applyBorder="1" applyAlignment="1">
      <alignment horizontal="center" vertical="center" wrapText="1" readingOrder="1"/>
    </xf>
    <xf numFmtId="0" fontId="56" fillId="18" borderId="20" xfId="0" applyFont="1" applyFill="1" applyBorder="1" applyAlignment="1">
      <alignment horizontal="center" vertical="center" wrapText="1" readingOrder="1"/>
    </xf>
    <xf numFmtId="0" fontId="56"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41">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5</xdr:row>
      <xdr:rowOff>63499</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10:C220" totalsRowShown="0" headerRowDxfId="3" dataDxfId="2">
  <autoFilter ref="B210:C220"/>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zoomScale="120" zoomScaleNormal="120" workbookViewId="0"/>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36" t="s">
        <v>146</v>
      </c>
      <c r="C2" s="237"/>
      <c r="D2" s="237"/>
      <c r="E2" s="237"/>
      <c r="F2" s="237"/>
      <c r="G2" s="237"/>
      <c r="H2" s="238"/>
    </row>
    <row r="3" spans="1:8" x14ac:dyDescent="0.25">
      <c r="B3" s="56"/>
      <c r="C3" s="57"/>
      <c r="D3" s="57"/>
      <c r="E3" s="57"/>
      <c r="F3" s="57"/>
      <c r="G3" s="57"/>
      <c r="H3" s="58"/>
    </row>
    <row r="4" spans="1:8" ht="63" customHeight="1" x14ac:dyDescent="0.25">
      <c r="B4" s="239" t="s">
        <v>203</v>
      </c>
      <c r="C4" s="240"/>
      <c r="D4" s="240"/>
      <c r="E4" s="240"/>
      <c r="F4" s="240"/>
      <c r="G4" s="240"/>
      <c r="H4" s="241"/>
    </row>
    <row r="5" spans="1:8" ht="63" customHeight="1" x14ac:dyDescent="0.25">
      <c r="B5" s="242"/>
      <c r="C5" s="243"/>
      <c r="D5" s="243"/>
      <c r="E5" s="243"/>
      <c r="F5" s="243"/>
      <c r="G5" s="243"/>
      <c r="H5" s="244"/>
    </row>
    <row r="6" spans="1:8" ht="16.5" x14ac:dyDescent="0.25">
      <c r="A6" s="104"/>
      <c r="B6" s="245" t="s">
        <v>144</v>
      </c>
      <c r="C6" s="246"/>
      <c r="D6" s="246"/>
      <c r="E6" s="246"/>
      <c r="F6" s="246"/>
      <c r="G6" s="246"/>
      <c r="H6" s="247"/>
    </row>
    <row r="7" spans="1:8" ht="95.25" customHeight="1" x14ac:dyDescent="0.25">
      <c r="A7" s="104"/>
      <c r="B7" s="254" t="s">
        <v>149</v>
      </c>
      <c r="C7" s="254"/>
      <c r="D7" s="254"/>
      <c r="E7" s="254"/>
      <c r="F7" s="254"/>
      <c r="G7" s="254"/>
      <c r="H7" s="255"/>
    </row>
    <row r="8" spans="1:8" ht="16.5" x14ac:dyDescent="0.25">
      <c r="A8" s="104"/>
      <c r="B8" s="105"/>
      <c r="C8" s="80"/>
      <c r="D8" s="80"/>
      <c r="E8" s="80"/>
      <c r="F8" s="80"/>
      <c r="G8" s="80"/>
      <c r="H8" s="100"/>
    </row>
    <row r="9" spans="1:8" ht="16.5" customHeight="1" x14ac:dyDescent="0.25">
      <c r="A9" s="104"/>
      <c r="B9" s="248" t="s">
        <v>222</v>
      </c>
      <c r="C9" s="248"/>
      <c r="D9" s="248"/>
      <c r="E9" s="248"/>
      <c r="F9" s="248"/>
      <c r="G9" s="248"/>
      <c r="H9" s="249"/>
    </row>
    <row r="10" spans="1:8" ht="16.5" customHeight="1" x14ac:dyDescent="0.25">
      <c r="A10" s="104"/>
      <c r="B10" s="248"/>
      <c r="C10" s="248"/>
      <c r="D10" s="248"/>
      <c r="E10" s="248"/>
      <c r="F10" s="248"/>
      <c r="G10" s="248"/>
      <c r="H10" s="249"/>
    </row>
    <row r="11" spans="1:8" ht="11.65" customHeight="1" x14ac:dyDescent="0.25">
      <c r="A11" s="104"/>
      <c r="B11" s="248"/>
      <c r="C11" s="248"/>
      <c r="D11" s="248"/>
      <c r="E11" s="248"/>
      <c r="F11" s="248"/>
      <c r="G11" s="248"/>
      <c r="H11" s="249"/>
    </row>
    <row r="12" spans="1:8" ht="11.65" customHeight="1" thickBot="1" x14ac:dyDescent="0.3">
      <c r="A12" s="104"/>
      <c r="B12" s="99"/>
      <c r="C12" s="99"/>
      <c r="D12" s="99"/>
      <c r="E12" s="99"/>
      <c r="F12" s="99"/>
      <c r="G12" s="99"/>
      <c r="H12" s="102"/>
    </row>
    <row r="13" spans="1:8" ht="15.4" customHeight="1" thickTop="1" x14ac:dyDescent="0.25">
      <c r="A13" s="104"/>
      <c r="B13" s="99"/>
      <c r="C13" s="256" t="s">
        <v>145</v>
      </c>
      <c r="D13" s="251"/>
      <c r="E13" s="252" t="s">
        <v>182</v>
      </c>
      <c r="F13" s="253"/>
      <c r="G13" s="99"/>
      <c r="H13" s="102"/>
    </row>
    <row r="14" spans="1:8" ht="11.65" customHeight="1" x14ac:dyDescent="0.25">
      <c r="A14" s="104"/>
      <c r="B14" s="99"/>
      <c r="C14" s="257" t="s">
        <v>176</v>
      </c>
      <c r="D14" s="258"/>
      <c r="E14" s="259" t="s">
        <v>181</v>
      </c>
      <c r="F14" s="219"/>
      <c r="G14" s="99"/>
      <c r="H14" s="102"/>
    </row>
    <row r="15" spans="1:8" ht="11.65" customHeight="1" x14ac:dyDescent="0.25">
      <c r="A15" s="104"/>
      <c r="B15" s="99"/>
      <c r="C15" s="257" t="s">
        <v>178</v>
      </c>
      <c r="D15" s="258"/>
      <c r="E15" s="259" t="s">
        <v>180</v>
      </c>
      <c r="F15" s="219"/>
      <c r="G15" s="99"/>
      <c r="H15" s="102"/>
    </row>
    <row r="16" spans="1:8" ht="11.65" customHeight="1" x14ac:dyDescent="0.25">
      <c r="A16" s="104"/>
      <c r="B16" s="99"/>
      <c r="C16" s="257" t="s">
        <v>215</v>
      </c>
      <c r="D16" s="258"/>
      <c r="E16" s="259" t="s">
        <v>219</v>
      </c>
      <c r="F16" s="219"/>
      <c r="G16" s="99"/>
      <c r="H16" s="102"/>
    </row>
    <row r="17" spans="1:8" ht="13.5" customHeight="1" x14ac:dyDescent="0.25">
      <c r="A17" s="104"/>
      <c r="B17" s="99"/>
      <c r="C17" s="257" t="s">
        <v>216</v>
      </c>
      <c r="D17" s="258"/>
      <c r="E17" s="259" t="s">
        <v>179</v>
      </c>
      <c r="F17" s="219"/>
      <c r="G17" s="99"/>
      <c r="H17" s="101"/>
    </row>
    <row r="18" spans="1:8" ht="12.4" customHeight="1" x14ac:dyDescent="0.25">
      <c r="A18" s="104"/>
      <c r="B18" s="99"/>
      <c r="C18" s="257" t="s">
        <v>217</v>
      </c>
      <c r="D18" s="258"/>
      <c r="E18" s="265" t="s">
        <v>220</v>
      </c>
      <c r="F18" s="219"/>
      <c r="G18" s="99"/>
      <c r="H18" s="102"/>
    </row>
    <row r="19" spans="1:8" ht="24" customHeight="1" thickBot="1" x14ac:dyDescent="0.3">
      <c r="A19" s="104"/>
      <c r="B19" s="99"/>
      <c r="C19" s="263" t="s">
        <v>218</v>
      </c>
      <c r="D19" s="264"/>
      <c r="E19" s="266" t="s">
        <v>221</v>
      </c>
      <c r="F19" s="267"/>
      <c r="G19" s="99"/>
      <c r="H19" s="102"/>
    </row>
    <row r="20" spans="1:8" ht="11.65" customHeight="1" thickTop="1" x14ac:dyDescent="0.25">
      <c r="A20" s="104"/>
      <c r="B20" s="99"/>
      <c r="C20" s="106"/>
      <c r="D20" s="106"/>
      <c r="E20" s="106"/>
      <c r="F20" s="106"/>
      <c r="G20" s="99"/>
      <c r="H20" s="102"/>
    </row>
    <row r="21" spans="1:8" ht="27.4" customHeight="1" thickBot="1" x14ac:dyDescent="0.3">
      <c r="A21" s="104"/>
      <c r="B21" s="260" t="s">
        <v>214</v>
      </c>
      <c r="C21" s="261"/>
      <c r="D21" s="261"/>
      <c r="E21" s="261"/>
      <c r="F21" s="261"/>
      <c r="G21" s="261"/>
      <c r="H21" s="262"/>
    </row>
    <row r="22" spans="1:8" ht="15.75" thickTop="1" x14ac:dyDescent="0.25">
      <c r="A22" s="104"/>
      <c r="B22" s="108"/>
      <c r="C22" s="250" t="s">
        <v>145</v>
      </c>
      <c r="D22" s="251"/>
      <c r="E22" s="252" t="s">
        <v>182</v>
      </c>
      <c r="F22" s="253"/>
      <c r="G22" s="106"/>
      <c r="H22" s="107"/>
    </row>
    <row r="23" spans="1:8" ht="13.5" customHeight="1" x14ac:dyDescent="0.25">
      <c r="A23" s="104"/>
      <c r="B23" s="109"/>
      <c r="C23" s="230" t="s">
        <v>176</v>
      </c>
      <c r="D23" s="231"/>
      <c r="E23" s="232" t="s">
        <v>181</v>
      </c>
      <c r="F23" s="233"/>
      <c r="G23" s="75"/>
      <c r="H23" s="103"/>
    </row>
    <row r="24" spans="1:8" ht="13.5" customHeight="1" x14ac:dyDescent="0.25">
      <c r="A24" s="104"/>
      <c r="B24" s="109"/>
      <c r="C24" s="216" t="s">
        <v>177</v>
      </c>
      <c r="D24" s="217"/>
      <c r="E24" s="218" t="s">
        <v>179</v>
      </c>
      <c r="F24" s="219"/>
      <c r="G24" s="75"/>
      <c r="H24" s="103"/>
    </row>
    <row r="25" spans="1:8" ht="13.5" customHeight="1" x14ac:dyDescent="0.25">
      <c r="A25" s="104"/>
      <c r="B25" s="109"/>
      <c r="C25" s="216" t="s">
        <v>178</v>
      </c>
      <c r="D25" s="217"/>
      <c r="E25" s="218" t="s">
        <v>180</v>
      </c>
      <c r="F25" s="219"/>
      <c r="G25" s="75"/>
      <c r="H25" s="103"/>
    </row>
    <row r="26" spans="1:8" ht="22.9" customHeight="1" x14ac:dyDescent="0.25">
      <c r="A26" s="104"/>
      <c r="B26" s="109"/>
      <c r="C26" s="216" t="s">
        <v>147</v>
      </c>
      <c r="D26" s="217"/>
      <c r="E26" s="234" t="s">
        <v>148</v>
      </c>
      <c r="F26" s="235"/>
      <c r="G26" s="75"/>
      <c r="H26" s="103"/>
    </row>
    <row r="27" spans="1:8" ht="69.75" customHeight="1" x14ac:dyDescent="0.25">
      <c r="A27" s="104"/>
      <c r="B27" s="109"/>
      <c r="C27" s="225" t="s">
        <v>2</v>
      </c>
      <c r="D27" s="223"/>
      <c r="E27" s="220" t="s">
        <v>183</v>
      </c>
      <c r="F27" s="221"/>
      <c r="G27" s="75"/>
      <c r="H27" s="76"/>
    </row>
    <row r="28" spans="1:8" ht="34.5" customHeight="1" x14ac:dyDescent="0.25">
      <c r="B28" s="72"/>
      <c r="C28" s="222" t="s">
        <v>3</v>
      </c>
      <c r="D28" s="223"/>
      <c r="E28" s="220" t="s">
        <v>184</v>
      </c>
      <c r="F28" s="221"/>
      <c r="G28" s="75"/>
      <c r="H28" s="76"/>
    </row>
    <row r="29" spans="1:8" ht="27.75" customHeight="1" x14ac:dyDescent="0.25">
      <c r="B29" s="72"/>
      <c r="C29" s="222" t="s">
        <v>42</v>
      </c>
      <c r="D29" s="223"/>
      <c r="E29" s="220" t="s">
        <v>185</v>
      </c>
      <c r="F29" s="221"/>
      <c r="G29" s="75"/>
      <c r="H29" s="76"/>
    </row>
    <row r="30" spans="1:8" ht="28.5" customHeight="1" x14ac:dyDescent="0.25">
      <c r="B30" s="72"/>
      <c r="C30" s="222" t="s">
        <v>1</v>
      </c>
      <c r="D30" s="223"/>
      <c r="E30" s="220" t="s">
        <v>186</v>
      </c>
      <c r="F30" s="221"/>
      <c r="G30" s="75"/>
      <c r="H30" s="76"/>
    </row>
    <row r="31" spans="1:8" ht="72.75" customHeight="1" x14ac:dyDescent="0.25">
      <c r="B31" s="72"/>
      <c r="C31" s="222" t="s">
        <v>48</v>
      </c>
      <c r="D31" s="223"/>
      <c r="E31" s="220" t="s">
        <v>151</v>
      </c>
      <c r="F31" s="221"/>
      <c r="G31" s="75"/>
      <c r="H31" s="76"/>
    </row>
    <row r="32" spans="1:8" ht="64.5" customHeight="1" x14ac:dyDescent="0.25">
      <c r="B32" s="72"/>
      <c r="C32" s="222" t="s">
        <v>150</v>
      </c>
      <c r="D32" s="223"/>
      <c r="E32" s="220" t="s">
        <v>152</v>
      </c>
      <c r="F32" s="221"/>
      <c r="G32" s="75"/>
      <c r="H32" s="76"/>
    </row>
    <row r="33" spans="2:8" ht="71.25" customHeight="1" x14ac:dyDescent="0.25">
      <c r="B33" s="72"/>
      <c r="C33" s="224" t="s">
        <v>153</v>
      </c>
      <c r="D33" s="225"/>
      <c r="E33" s="220" t="s">
        <v>154</v>
      </c>
      <c r="F33" s="221"/>
      <c r="G33" s="75"/>
      <c r="H33" s="76"/>
    </row>
    <row r="34" spans="2:8" ht="55.5" customHeight="1" x14ac:dyDescent="0.25">
      <c r="B34" s="72"/>
      <c r="C34" s="224" t="s">
        <v>46</v>
      </c>
      <c r="D34" s="225"/>
      <c r="E34" s="220" t="s">
        <v>155</v>
      </c>
      <c r="F34" s="221"/>
      <c r="G34" s="75"/>
      <c r="H34" s="76"/>
    </row>
    <row r="35" spans="2:8" ht="42" customHeight="1" x14ac:dyDescent="0.25">
      <c r="B35" s="72"/>
      <c r="C35" s="224" t="s">
        <v>143</v>
      </c>
      <c r="D35" s="225"/>
      <c r="E35" s="220" t="s">
        <v>156</v>
      </c>
      <c r="F35" s="221"/>
      <c r="G35" s="75"/>
      <c r="H35" s="76"/>
    </row>
    <row r="36" spans="2:8" ht="59.25" customHeight="1" x14ac:dyDescent="0.25">
      <c r="B36" s="72"/>
      <c r="C36" s="224" t="s">
        <v>12</v>
      </c>
      <c r="D36" s="225"/>
      <c r="E36" s="220" t="s">
        <v>157</v>
      </c>
      <c r="F36" s="221"/>
      <c r="G36" s="75"/>
      <c r="H36" s="76"/>
    </row>
    <row r="37" spans="2:8" ht="23.25" customHeight="1" x14ac:dyDescent="0.25">
      <c r="B37" s="72"/>
      <c r="C37" s="224" t="s">
        <v>161</v>
      </c>
      <c r="D37" s="225"/>
      <c r="E37" s="220" t="s">
        <v>158</v>
      </c>
      <c r="F37" s="221"/>
      <c r="G37" s="75"/>
      <c r="H37" s="76"/>
    </row>
    <row r="38" spans="2:8" ht="30.75" customHeight="1" x14ac:dyDescent="0.25">
      <c r="B38" s="72"/>
      <c r="C38" s="224" t="s">
        <v>162</v>
      </c>
      <c r="D38" s="225"/>
      <c r="E38" s="220" t="s">
        <v>159</v>
      </c>
      <c r="F38" s="221"/>
      <c r="G38" s="75"/>
      <c r="H38" s="76"/>
    </row>
    <row r="39" spans="2:8" ht="35.25" customHeight="1" x14ac:dyDescent="0.25">
      <c r="B39" s="72"/>
      <c r="C39" s="224" t="s">
        <v>162</v>
      </c>
      <c r="D39" s="225"/>
      <c r="E39" s="220" t="s">
        <v>159</v>
      </c>
      <c r="F39" s="221"/>
      <c r="G39" s="75"/>
      <c r="H39" s="76"/>
    </row>
    <row r="40" spans="2:8" ht="33" customHeight="1" x14ac:dyDescent="0.25">
      <c r="B40" s="72"/>
      <c r="C40" s="224" t="s">
        <v>163</v>
      </c>
      <c r="D40" s="225"/>
      <c r="E40" s="220" t="s">
        <v>160</v>
      </c>
      <c r="F40" s="221"/>
      <c r="G40" s="75"/>
      <c r="H40" s="76"/>
    </row>
    <row r="41" spans="2:8" ht="30" customHeight="1" x14ac:dyDescent="0.25">
      <c r="B41" s="72"/>
      <c r="C41" s="224" t="s">
        <v>164</v>
      </c>
      <c r="D41" s="225"/>
      <c r="E41" s="220" t="s">
        <v>165</v>
      </c>
      <c r="F41" s="221"/>
      <c r="G41" s="75"/>
      <c r="H41" s="76"/>
    </row>
    <row r="42" spans="2:8" ht="35.25" customHeight="1" x14ac:dyDescent="0.25">
      <c r="B42" s="72"/>
      <c r="C42" s="224" t="s">
        <v>166</v>
      </c>
      <c r="D42" s="225"/>
      <c r="E42" s="220" t="s">
        <v>167</v>
      </c>
      <c r="F42" s="221"/>
      <c r="G42" s="75"/>
      <c r="H42" s="76"/>
    </row>
    <row r="43" spans="2:8" ht="31.5" customHeight="1" x14ac:dyDescent="0.25">
      <c r="B43" s="72"/>
      <c r="C43" s="224" t="s">
        <v>168</v>
      </c>
      <c r="D43" s="225"/>
      <c r="E43" s="220" t="s">
        <v>169</v>
      </c>
      <c r="F43" s="221"/>
      <c r="G43" s="75"/>
      <c r="H43" s="76"/>
    </row>
    <row r="44" spans="2:8" ht="35.25" customHeight="1" x14ac:dyDescent="0.25">
      <c r="B44" s="72"/>
      <c r="C44" s="224" t="s">
        <v>170</v>
      </c>
      <c r="D44" s="225"/>
      <c r="E44" s="220" t="s">
        <v>171</v>
      </c>
      <c r="F44" s="221"/>
      <c r="G44" s="75"/>
      <c r="H44" s="76"/>
    </row>
    <row r="45" spans="2:8" ht="59.25" customHeight="1" x14ac:dyDescent="0.25">
      <c r="B45" s="72"/>
      <c r="C45" s="224" t="s">
        <v>29</v>
      </c>
      <c r="D45" s="225"/>
      <c r="E45" s="220" t="s">
        <v>172</v>
      </c>
      <c r="F45" s="221"/>
      <c r="G45" s="75"/>
      <c r="H45" s="76"/>
    </row>
    <row r="46" spans="2:8" ht="29.25" customHeight="1" x14ac:dyDescent="0.25">
      <c r="B46" s="72"/>
      <c r="C46" s="224" t="s">
        <v>174</v>
      </c>
      <c r="D46" s="225"/>
      <c r="E46" s="220" t="s">
        <v>173</v>
      </c>
      <c r="F46" s="221"/>
      <c r="G46" s="75"/>
      <c r="H46" s="76"/>
    </row>
    <row r="47" spans="2:8" ht="82.5" customHeight="1" x14ac:dyDescent="0.25">
      <c r="B47" s="72"/>
      <c r="C47" s="224" t="s">
        <v>39</v>
      </c>
      <c r="D47" s="225"/>
      <c r="E47" s="220" t="s">
        <v>175</v>
      </c>
      <c r="F47" s="221"/>
      <c r="G47" s="75"/>
      <c r="H47" s="76"/>
    </row>
    <row r="48" spans="2:8" ht="46.5" customHeight="1" thickBot="1" x14ac:dyDescent="0.3">
      <c r="B48" s="72"/>
      <c r="C48" s="226"/>
      <c r="D48" s="227"/>
      <c r="E48" s="228"/>
      <c r="F48" s="229"/>
      <c r="G48" s="75"/>
      <c r="H48" s="76"/>
    </row>
    <row r="49" spans="2:8" ht="6.75" customHeight="1" thickTop="1" x14ac:dyDescent="0.25">
      <c r="B49" s="72"/>
      <c r="C49" s="73"/>
      <c r="D49" s="73"/>
      <c r="E49" s="74"/>
      <c r="F49" s="74"/>
      <c r="G49" s="75"/>
      <c r="H49" s="76"/>
    </row>
    <row r="50" spans="2:8" x14ac:dyDescent="0.25">
      <c r="B50" s="72"/>
      <c r="C50" s="94"/>
      <c r="D50" s="94"/>
      <c r="E50" s="94"/>
      <c r="F50" s="94"/>
      <c r="G50" s="75"/>
      <c r="H50" s="76"/>
    </row>
    <row r="51" spans="2:8" ht="21" customHeight="1" x14ac:dyDescent="0.25">
      <c r="B51" s="93" t="s">
        <v>207</v>
      </c>
      <c r="C51" s="94"/>
      <c r="D51" s="94"/>
      <c r="E51" s="94"/>
      <c r="F51" s="94"/>
      <c r="G51" s="94"/>
      <c r="H51" s="95"/>
    </row>
    <row r="52" spans="2:8" ht="20.25" customHeight="1" x14ac:dyDescent="0.25">
      <c r="B52" s="93" t="s">
        <v>208</v>
      </c>
      <c r="C52" s="94"/>
      <c r="D52" s="94"/>
      <c r="E52" s="94"/>
      <c r="F52" s="94"/>
      <c r="G52" s="94"/>
      <c r="H52" s="95"/>
    </row>
    <row r="53" spans="2:8" ht="20.25" customHeight="1" x14ac:dyDescent="0.25">
      <c r="B53" s="93" t="s">
        <v>209</v>
      </c>
      <c r="C53" s="94"/>
      <c r="D53" s="94"/>
      <c r="E53" s="94"/>
      <c r="F53" s="94"/>
      <c r="G53" s="94"/>
      <c r="H53" s="95"/>
    </row>
    <row r="54" spans="2:8" ht="20.25" customHeight="1" x14ac:dyDescent="0.25">
      <c r="B54" s="93" t="s">
        <v>210</v>
      </c>
      <c r="C54" s="94"/>
      <c r="D54" s="94"/>
      <c r="E54" s="94"/>
      <c r="F54" s="94"/>
      <c r="G54" s="94"/>
      <c r="H54" s="95"/>
    </row>
    <row r="55" spans="2:8" ht="14.65" customHeight="1" x14ac:dyDescent="0.25">
      <c r="B55" s="93" t="s">
        <v>211</v>
      </c>
      <c r="C55" s="94"/>
      <c r="D55" s="94"/>
      <c r="E55" s="94"/>
      <c r="F55" s="94"/>
      <c r="G55" s="94"/>
      <c r="H55" s="95"/>
    </row>
    <row r="56" spans="2:8" ht="15.75" thickBot="1" x14ac:dyDescent="0.3">
      <c r="B56" s="77"/>
      <c r="C56" s="78"/>
      <c r="D56" s="78"/>
      <c r="E56" s="78"/>
      <c r="F56" s="78"/>
      <c r="G56" s="78"/>
      <c r="H56" s="79"/>
    </row>
  </sheetData>
  <mergeCells count="74">
    <mergeCell ref="C19:D19"/>
    <mergeCell ref="C18:D18"/>
    <mergeCell ref="C17:D17"/>
    <mergeCell ref="C16:D16"/>
    <mergeCell ref="E16:F16"/>
    <mergeCell ref="E17:F17"/>
    <mergeCell ref="E18:F18"/>
    <mergeCell ref="E19:F19"/>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E44:F44"/>
    <mergeCell ref="C42:D42"/>
    <mergeCell ref="C41:D41"/>
    <mergeCell ref="E41:F41"/>
    <mergeCell ref="E42:F42"/>
    <mergeCell ref="C44:D44"/>
    <mergeCell ref="C37:D37"/>
    <mergeCell ref="E37:F37"/>
    <mergeCell ref="C43:D43"/>
    <mergeCell ref="C39:D39"/>
    <mergeCell ref="E39:F39"/>
    <mergeCell ref="C40:D40"/>
    <mergeCell ref="E40:F40"/>
    <mergeCell ref="E43:F43"/>
    <mergeCell ref="E38:F38"/>
    <mergeCell ref="C38:D38"/>
    <mergeCell ref="C45:D45"/>
    <mergeCell ref="E45:F45"/>
    <mergeCell ref="C46:D46"/>
    <mergeCell ref="E46:F46"/>
    <mergeCell ref="C48:D48"/>
    <mergeCell ref="E48:F48"/>
    <mergeCell ref="C47:D47"/>
    <mergeCell ref="E47:F47"/>
    <mergeCell ref="C25:D25"/>
    <mergeCell ref="E25:F25"/>
    <mergeCell ref="E32:F32"/>
    <mergeCell ref="C32:D32"/>
    <mergeCell ref="C35:D35"/>
    <mergeCell ref="E35:F35"/>
    <mergeCell ref="E33:F33"/>
    <mergeCell ref="C33:D33"/>
    <mergeCell ref="C34:D34"/>
    <mergeCell ref="E34:F3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Z35"/>
  <sheetViews>
    <sheetView showGridLines="0" topLeftCell="A22" zoomScale="91" zoomScaleNormal="91" workbookViewId="0">
      <selection activeCell="B28" sqref="B28:D34"/>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22" t="s">
        <v>234</v>
      </c>
    </row>
    <row r="2" spans="2:52" ht="18" customHeight="1" thickBot="1" x14ac:dyDescent="0.3">
      <c r="B2" s="281"/>
      <c r="C2" s="284" t="s">
        <v>204</v>
      </c>
      <c r="D2" s="285"/>
      <c r="E2" s="285"/>
      <c r="F2" s="123" t="s">
        <v>233</v>
      </c>
      <c r="AZ2" s="122" t="s">
        <v>232</v>
      </c>
    </row>
    <row r="3" spans="2:52" ht="18" customHeight="1" thickBot="1" x14ac:dyDescent="0.3">
      <c r="B3" s="282"/>
      <c r="C3" s="286"/>
      <c r="D3" s="287"/>
      <c r="E3" s="287"/>
      <c r="F3" s="121" t="s">
        <v>231</v>
      </c>
      <c r="AZ3" s="122" t="s">
        <v>230</v>
      </c>
    </row>
    <row r="4" spans="2:52" ht="18" customHeight="1" thickBot="1" x14ac:dyDescent="0.3">
      <c r="B4" s="282"/>
      <c r="C4" s="286"/>
      <c r="D4" s="287"/>
      <c r="E4" s="287"/>
      <c r="F4" s="121" t="s">
        <v>241</v>
      </c>
      <c r="AZ4" s="122" t="s">
        <v>229</v>
      </c>
    </row>
    <row r="5" spans="2:52" ht="18" customHeight="1" thickBot="1" x14ac:dyDescent="0.3">
      <c r="B5" s="283"/>
      <c r="C5" s="288"/>
      <c r="D5" s="289"/>
      <c r="E5" s="289"/>
      <c r="F5" s="121" t="s">
        <v>228</v>
      </c>
      <c r="AZ5" s="117"/>
    </row>
    <row r="6" spans="2:52" ht="18" customHeight="1" thickBot="1" x14ac:dyDescent="0.3">
      <c r="B6" s="120"/>
      <c r="C6" s="119"/>
      <c r="D6" s="119"/>
      <c r="E6" s="119"/>
      <c r="F6" s="118"/>
      <c r="AZ6" s="117"/>
    </row>
    <row r="7" spans="2:52" ht="22.5" customHeight="1" x14ac:dyDescent="0.25">
      <c r="B7" s="112" t="s">
        <v>198</v>
      </c>
      <c r="C7" s="290" t="s">
        <v>243</v>
      </c>
      <c r="D7" s="291"/>
      <c r="E7" s="291"/>
      <c r="F7" s="292"/>
      <c r="AZ7" s="117"/>
    </row>
    <row r="8" spans="2:52" ht="33" customHeight="1" thickBot="1" x14ac:dyDescent="0.3">
      <c r="B8" s="113" t="s">
        <v>199</v>
      </c>
      <c r="C8" s="293" t="s">
        <v>244</v>
      </c>
      <c r="D8" s="294"/>
      <c r="E8" s="294"/>
      <c r="F8" s="295"/>
      <c r="AZ8" s="117"/>
    </row>
    <row r="9" spans="2:52" ht="16.5" thickBot="1" x14ac:dyDescent="0.3">
      <c r="B9" s="296"/>
      <c r="C9" s="296"/>
      <c r="D9" s="296"/>
      <c r="E9" s="296"/>
      <c r="F9" s="296"/>
    </row>
    <row r="10" spans="2:52" ht="15.6" customHeight="1" x14ac:dyDescent="0.25">
      <c r="B10" s="297" t="s">
        <v>204</v>
      </c>
      <c r="C10" s="298"/>
      <c r="D10" s="298"/>
      <c r="E10" s="298"/>
      <c r="F10" s="299"/>
    </row>
    <row r="11" spans="2:52" ht="32.25" thickBot="1" x14ac:dyDescent="0.3">
      <c r="B11" s="300" t="s">
        <v>197</v>
      </c>
      <c r="C11" s="301"/>
      <c r="D11" s="110" t="s">
        <v>212</v>
      </c>
      <c r="E11" s="110" t="s">
        <v>196</v>
      </c>
      <c r="F11" s="111" t="s">
        <v>206</v>
      </c>
    </row>
    <row r="12" spans="2:52" ht="186" customHeight="1" thickBot="1" x14ac:dyDescent="0.3">
      <c r="B12" s="302" t="s">
        <v>245</v>
      </c>
      <c r="C12" s="303"/>
      <c r="D12" s="167" t="s">
        <v>246</v>
      </c>
      <c r="E12" s="168" t="s">
        <v>247</v>
      </c>
      <c r="F12" s="169" t="s">
        <v>248</v>
      </c>
    </row>
    <row r="15" spans="2:52" ht="18" x14ac:dyDescent="0.25">
      <c r="B15" s="304" t="s">
        <v>227</v>
      </c>
      <c r="C15" s="304"/>
      <c r="D15" s="304"/>
      <c r="E15" s="304"/>
      <c r="F15" s="304"/>
    </row>
    <row r="16" spans="2:52" ht="15.75" x14ac:dyDescent="0.25">
      <c r="B16" s="116"/>
    </row>
    <row r="17" spans="2:6" ht="15.75" thickBot="1" x14ac:dyDescent="0.3">
      <c r="B17" s="115"/>
    </row>
    <row r="18" spans="2:6" ht="16.5" thickBot="1" x14ac:dyDescent="0.3">
      <c r="B18" s="278" t="s">
        <v>226</v>
      </c>
      <c r="C18" s="279"/>
      <c r="D18" s="280"/>
      <c r="E18" s="278" t="s">
        <v>225</v>
      </c>
      <c r="F18" s="280"/>
    </row>
    <row r="19" spans="2:6" ht="15" customHeight="1" x14ac:dyDescent="0.25">
      <c r="B19" s="272" t="s">
        <v>249</v>
      </c>
      <c r="C19" s="273"/>
      <c r="D19" s="274"/>
      <c r="E19" s="268" t="s">
        <v>250</v>
      </c>
      <c r="F19" s="269"/>
    </row>
    <row r="20" spans="2:6" ht="15" customHeight="1" x14ac:dyDescent="0.25">
      <c r="B20" s="272"/>
      <c r="C20" s="273"/>
      <c r="D20" s="274"/>
      <c r="E20" s="268"/>
      <c r="F20" s="269"/>
    </row>
    <row r="21" spans="2:6" ht="15" customHeight="1" x14ac:dyDescent="0.25">
      <c r="B21" s="272"/>
      <c r="C21" s="273"/>
      <c r="D21" s="274"/>
      <c r="E21" s="268"/>
      <c r="F21" s="269"/>
    </row>
    <row r="22" spans="2:6" ht="15" customHeight="1" x14ac:dyDescent="0.25">
      <c r="B22" s="272"/>
      <c r="C22" s="273"/>
      <c r="D22" s="274"/>
      <c r="E22" s="268"/>
      <c r="F22" s="269"/>
    </row>
    <row r="23" spans="2:6" ht="15" customHeight="1" x14ac:dyDescent="0.25">
      <c r="B23" s="272"/>
      <c r="C23" s="273"/>
      <c r="D23" s="274"/>
      <c r="E23" s="268"/>
      <c r="F23" s="269"/>
    </row>
    <row r="24" spans="2:6" ht="15" customHeight="1" x14ac:dyDescent="0.25">
      <c r="B24" s="272"/>
      <c r="C24" s="273"/>
      <c r="D24" s="274"/>
      <c r="E24" s="268"/>
      <c r="F24" s="269"/>
    </row>
    <row r="25" spans="2:6" ht="15" customHeight="1" x14ac:dyDescent="0.25">
      <c r="B25" s="272"/>
      <c r="C25" s="273"/>
      <c r="D25" s="274"/>
      <c r="E25" s="268"/>
      <c r="F25" s="269"/>
    </row>
    <row r="26" spans="2:6" ht="15.75" customHeight="1" thickBot="1" x14ac:dyDescent="0.3">
      <c r="B26" s="272"/>
      <c r="C26" s="273"/>
      <c r="D26" s="274"/>
      <c r="E26" s="268"/>
      <c r="F26" s="269"/>
    </row>
    <row r="27" spans="2:6" ht="16.5" thickBot="1" x14ac:dyDescent="0.3">
      <c r="B27" s="278" t="s">
        <v>224</v>
      </c>
      <c r="C27" s="279"/>
      <c r="D27" s="280"/>
      <c r="E27" s="278" t="s">
        <v>223</v>
      </c>
      <c r="F27" s="280"/>
    </row>
    <row r="28" spans="2:6" ht="15" customHeight="1" x14ac:dyDescent="0.25">
      <c r="B28" s="272" t="s">
        <v>251</v>
      </c>
      <c r="C28" s="273"/>
      <c r="D28" s="274"/>
      <c r="E28" s="268" t="s">
        <v>252</v>
      </c>
      <c r="F28" s="269"/>
    </row>
    <row r="29" spans="2:6" ht="15" customHeight="1" x14ac:dyDescent="0.25">
      <c r="B29" s="272"/>
      <c r="C29" s="273"/>
      <c r="D29" s="274"/>
      <c r="E29" s="268"/>
      <c r="F29" s="269"/>
    </row>
    <row r="30" spans="2:6" ht="15" customHeight="1" x14ac:dyDescent="0.25">
      <c r="B30" s="272"/>
      <c r="C30" s="273"/>
      <c r="D30" s="274"/>
      <c r="E30" s="268"/>
      <c r="F30" s="269"/>
    </row>
    <row r="31" spans="2:6" ht="15" customHeight="1" x14ac:dyDescent="0.25">
      <c r="B31" s="272"/>
      <c r="C31" s="273"/>
      <c r="D31" s="274"/>
      <c r="E31" s="268"/>
      <c r="F31" s="269"/>
    </row>
    <row r="32" spans="2:6" ht="15" customHeight="1" x14ac:dyDescent="0.25">
      <c r="B32" s="272"/>
      <c r="C32" s="273"/>
      <c r="D32" s="274"/>
      <c r="E32" s="268"/>
      <c r="F32" s="269"/>
    </row>
    <row r="33" spans="2:6" ht="15" customHeight="1" x14ac:dyDescent="0.25">
      <c r="B33" s="272"/>
      <c r="C33" s="273"/>
      <c r="D33" s="274"/>
      <c r="E33" s="268"/>
      <c r="F33" s="269"/>
    </row>
    <row r="34" spans="2:6" ht="15.75" customHeight="1" thickBot="1" x14ac:dyDescent="0.3">
      <c r="B34" s="275"/>
      <c r="C34" s="276"/>
      <c r="D34" s="277"/>
      <c r="E34" s="270"/>
      <c r="F34" s="271"/>
    </row>
    <row r="35" spans="2:6" x14ac:dyDescent="0.25">
      <c r="B35" s="114"/>
    </row>
  </sheetData>
  <mergeCells count="17">
    <mergeCell ref="B2:B5"/>
    <mergeCell ref="C2:E5"/>
    <mergeCell ref="B18:D18"/>
    <mergeCell ref="E27:F27"/>
    <mergeCell ref="C7:F7"/>
    <mergeCell ref="C8:F8"/>
    <mergeCell ref="B9:F9"/>
    <mergeCell ref="B10:F10"/>
    <mergeCell ref="B11:C11"/>
    <mergeCell ref="B12:C12"/>
    <mergeCell ref="B15:F15"/>
    <mergeCell ref="E18:F18"/>
    <mergeCell ref="E19:F26"/>
    <mergeCell ref="E28:F34"/>
    <mergeCell ref="B28:D34"/>
    <mergeCell ref="B19:D26"/>
    <mergeCell ref="B27:D27"/>
  </mergeCells>
  <dataValidations count="1">
    <dataValidation type="list" allowBlank="1" showInputMessage="1" showErrorMessage="1" sqref="B12:C12">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Q78"/>
  <sheetViews>
    <sheetView showGridLines="0" tabSelected="1" topLeftCell="V10" zoomScale="70" zoomScaleNormal="70" workbookViewId="0">
      <selection activeCell="AI16" sqref="AI16:AK17"/>
    </sheetView>
  </sheetViews>
  <sheetFormatPr baseColWidth="10" defaultColWidth="11.42578125" defaultRowHeight="26.1" customHeight="1" x14ac:dyDescent="0.3"/>
  <cols>
    <col min="1" max="1" width="5" style="92" customWidth="1"/>
    <col min="2" max="2" width="4" style="2" bestFit="1" customWidth="1" collapsed="1"/>
    <col min="3" max="3" width="14.28515625" style="2" customWidth="1" collapsed="1"/>
    <col min="4" max="4" width="13.28515625" style="2" customWidth="1" collapsed="1"/>
    <col min="5" max="5" width="16.2851562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9.85546875" style="1" customWidth="1" collapsed="1"/>
    <col min="26" max="26" width="8.7109375" style="1" customWidth="1" collapsed="1"/>
    <col min="27" max="27" width="6.28515625" style="1" customWidth="1" collapsed="1"/>
    <col min="28" max="28" width="9.28515625" style="1" customWidth="1" collapsed="1"/>
    <col min="29" max="29" width="6" style="1" customWidth="1" collapsed="1"/>
    <col min="30" max="30" width="8.42578125" style="1" customWidth="1" collapsed="1"/>
    <col min="31" max="31" width="7.28515625" style="1" customWidth="1" collapsed="1"/>
    <col min="32" max="32" width="27.28515625" style="1" customWidth="1" collapsed="1"/>
    <col min="33" max="33" width="18.7109375" style="91"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2" customFormat="1" ht="26.1" customHeight="1" x14ac:dyDescent="0.2">
      <c r="B1" s="81"/>
      <c r="C1" s="81"/>
      <c r="D1" s="81"/>
      <c r="E1" s="81"/>
      <c r="G1" s="83"/>
      <c r="AG1" s="89"/>
    </row>
    <row r="2" spans="1:69" s="82" customFormat="1" ht="26.1" customHeight="1" x14ac:dyDescent="0.2">
      <c r="B2" s="81"/>
      <c r="C2" s="81"/>
      <c r="D2" s="81"/>
      <c r="E2" s="81"/>
      <c r="G2" s="83"/>
      <c r="AG2" s="89"/>
    </row>
    <row r="3" spans="1:69" s="82" customFormat="1" ht="26.1" customHeight="1" thickBot="1" x14ac:dyDescent="0.25">
      <c r="B3" s="81"/>
      <c r="C3" s="81"/>
      <c r="D3" s="81"/>
      <c r="E3" s="81"/>
      <c r="G3" s="83"/>
      <c r="AG3" s="89"/>
    </row>
    <row r="4" spans="1:69" s="82" customFormat="1" ht="26.1" customHeight="1" x14ac:dyDescent="0.2">
      <c r="B4" s="317"/>
      <c r="C4" s="318"/>
      <c r="D4" s="318"/>
      <c r="E4" s="318"/>
      <c r="F4" s="311" t="s">
        <v>213</v>
      </c>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09" t="s">
        <v>200</v>
      </c>
      <c r="AK4" s="310"/>
    </row>
    <row r="5" spans="1:69" s="82" customFormat="1" ht="26.1" customHeight="1" x14ac:dyDescent="0.2">
      <c r="B5" s="319"/>
      <c r="C5" s="320"/>
      <c r="D5" s="320"/>
      <c r="E5" s="320"/>
      <c r="F5" s="313"/>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07" t="s">
        <v>201</v>
      </c>
      <c r="AK5" s="308"/>
    </row>
    <row r="6" spans="1:69" ht="26.1" customHeight="1" x14ac:dyDescent="0.3">
      <c r="B6" s="319"/>
      <c r="C6" s="320"/>
      <c r="D6" s="320"/>
      <c r="E6" s="320"/>
      <c r="F6" s="313"/>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07" t="s">
        <v>242</v>
      </c>
      <c r="AK6" s="308"/>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26.1" customHeight="1" thickBot="1" x14ac:dyDescent="0.35">
      <c r="B7" s="321"/>
      <c r="C7" s="322"/>
      <c r="D7" s="322"/>
      <c r="E7" s="322"/>
      <c r="F7" s="315"/>
      <c r="G7" s="316"/>
      <c r="H7" s="316"/>
      <c r="I7" s="316"/>
      <c r="J7" s="316"/>
      <c r="K7" s="316"/>
      <c r="L7" s="316"/>
      <c r="M7" s="316"/>
      <c r="N7" s="316"/>
      <c r="O7" s="316"/>
      <c r="P7" s="316"/>
      <c r="Q7" s="316"/>
      <c r="R7" s="316"/>
      <c r="S7" s="316"/>
      <c r="T7" s="316"/>
      <c r="U7" s="316"/>
      <c r="V7" s="316"/>
      <c r="W7" s="316"/>
      <c r="X7" s="316"/>
      <c r="Y7" s="316"/>
      <c r="Z7" s="316"/>
      <c r="AA7" s="316"/>
      <c r="AB7" s="316"/>
      <c r="AC7" s="316"/>
      <c r="AD7" s="316"/>
      <c r="AE7" s="316"/>
      <c r="AF7" s="316"/>
      <c r="AG7" s="316"/>
      <c r="AH7" s="316"/>
      <c r="AI7" s="316"/>
      <c r="AJ7" s="305" t="s">
        <v>202</v>
      </c>
      <c r="AK7" s="30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26.1"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90"/>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6.1" customHeight="1" x14ac:dyDescent="0.35">
      <c r="A9" s="124"/>
      <c r="B9" s="326" t="s">
        <v>198</v>
      </c>
      <c r="C9" s="327"/>
      <c r="D9" s="332" t="str">
        <f>CONTEXTO!C7</f>
        <v>ALMACEN E INVENTARIOS</v>
      </c>
      <c r="E9" s="332"/>
      <c r="F9" s="332"/>
      <c r="G9" s="332"/>
      <c r="H9" s="332"/>
      <c r="I9" s="332"/>
      <c r="J9" s="332"/>
      <c r="K9" s="332"/>
      <c r="L9" s="332"/>
      <c r="M9" s="332"/>
      <c r="N9" s="332"/>
      <c r="O9" s="332"/>
      <c r="P9" s="332"/>
      <c r="Q9" s="332"/>
      <c r="R9" s="332"/>
      <c r="S9" s="332"/>
      <c r="T9" s="332"/>
      <c r="U9" s="332"/>
      <c r="V9" s="332"/>
      <c r="W9" s="332"/>
      <c r="X9" s="332"/>
      <c r="Y9" s="332"/>
      <c r="Z9" s="332"/>
      <c r="AA9" s="332"/>
      <c r="AB9" s="332"/>
      <c r="AC9" s="332"/>
      <c r="AD9" s="332"/>
      <c r="AE9" s="332"/>
      <c r="AF9" s="332"/>
      <c r="AG9" s="332"/>
      <c r="AH9" s="332"/>
      <c r="AI9" s="332"/>
      <c r="AJ9" s="332"/>
      <c r="AK9" s="333"/>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6.1" customHeight="1" x14ac:dyDescent="0.35">
      <c r="A10" s="124"/>
      <c r="B10" s="328" t="s">
        <v>205</v>
      </c>
      <c r="C10" s="329"/>
      <c r="D10" s="334" t="str">
        <f>CONTEXTO!D12</f>
        <v>Garantizar la custodia, asegurabilidad, suministro de bienes muebles (activos fijos y devolutivos de consumo con control) y bienes de consumo (papelería, cafetería, aseo, alumbrado público, combustible y eléctricos) a todos los procesos de la administración central einstituciones educativas del Municipio de Bucaramanga, realizando una gestión efectiva que contribuya al cumplimiento de los objetivos de la entidad.</v>
      </c>
      <c r="E10" s="334"/>
      <c r="F10" s="334"/>
      <c r="G10" s="334"/>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4"/>
      <c r="AJ10" s="334"/>
      <c r="AK10" s="335"/>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6.1" customHeight="1" thickBot="1" x14ac:dyDescent="0.4">
      <c r="B11" s="330" t="s">
        <v>199</v>
      </c>
      <c r="C11" s="331"/>
      <c r="D11" s="336" t="str">
        <f>CONTEXTO!C8</f>
        <v>Gustodiar los bienes muebles distribuidos en la Administración Municipal y las instituciones educativas, guiados por el manejo adecuado de los traslados, incorporación, inclusión y procedimientos de baja de acuerdo a los lineamientos estipulados en el SIGC.</v>
      </c>
      <c r="E11" s="336"/>
      <c r="F11" s="336"/>
      <c r="G11" s="336"/>
      <c r="H11" s="336"/>
      <c r="I11" s="336"/>
      <c r="J11" s="336"/>
      <c r="K11" s="336"/>
      <c r="L11" s="336"/>
      <c r="M11" s="336"/>
      <c r="N11" s="336"/>
      <c r="O11" s="336"/>
      <c r="P11" s="336"/>
      <c r="Q11" s="336"/>
      <c r="R11" s="336"/>
      <c r="S11" s="336"/>
      <c r="T11" s="336"/>
      <c r="U11" s="336"/>
      <c r="V11" s="336"/>
      <c r="W11" s="336"/>
      <c r="X11" s="336"/>
      <c r="Y11" s="336"/>
      <c r="Z11" s="336"/>
      <c r="AA11" s="336"/>
      <c r="AB11" s="336"/>
      <c r="AC11" s="336"/>
      <c r="AD11" s="336"/>
      <c r="AE11" s="336"/>
      <c r="AF11" s="336"/>
      <c r="AG11" s="336"/>
      <c r="AH11" s="336"/>
      <c r="AI11" s="336"/>
      <c r="AJ11" s="336"/>
      <c r="AK11" s="337"/>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26.1" customHeight="1" x14ac:dyDescent="0.35">
      <c r="B12" s="323"/>
      <c r="C12" s="324"/>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5"/>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26.1" customHeight="1" x14ac:dyDescent="0.3">
      <c r="B13" s="338" t="s">
        <v>120</v>
      </c>
      <c r="C13" s="339"/>
      <c r="D13" s="339"/>
      <c r="E13" s="339"/>
      <c r="F13" s="339"/>
      <c r="G13" s="339"/>
      <c r="H13" s="339"/>
      <c r="I13" s="339" t="s">
        <v>121</v>
      </c>
      <c r="J13" s="339"/>
      <c r="K13" s="339"/>
      <c r="L13" s="339"/>
      <c r="M13" s="339"/>
      <c r="N13" s="339"/>
      <c r="O13" s="339"/>
      <c r="P13" s="339" t="s">
        <v>122</v>
      </c>
      <c r="Q13" s="339"/>
      <c r="R13" s="339"/>
      <c r="S13" s="339"/>
      <c r="T13" s="339"/>
      <c r="U13" s="339"/>
      <c r="V13" s="339"/>
      <c r="W13" s="339"/>
      <c r="X13" s="339"/>
      <c r="Y13" s="339" t="s">
        <v>123</v>
      </c>
      <c r="Z13" s="339"/>
      <c r="AA13" s="339"/>
      <c r="AB13" s="339"/>
      <c r="AC13" s="339"/>
      <c r="AD13" s="339"/>
      <c r="AE13" s="339"/>
      <c r="AF13" s="339" t="s">
        <v>34</v>
      </c>
      <c r="AG13" s="339"/>
      <c r="AH13" s="339"/>
      <c r="AI13" s="339"/>
      <c r="AJ13" s="339"/>
      <c r="AK13" s="340"/>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26.1" customHeight="1" x14ac:dyDescent="0.3">
      <c r="B14" s="364" t="s">
        <v>0</v>
      </c>
      <c r="C14" s="365" t="s">
        <v>2</v>
      </c>
      <c r="D14" s="362" t="s">
        <v>3</v>
      </c>
      <c r="E14" s="362" t="s">
        <v>42</v>
      </c>
      <c r="F14" s="365" t="s">
        <v>1</v>
      </c>
      <c r="G14" s="362" t="s">
        <v>48</v>
      </c>
      <c r="H14" s="362" t="s">
        <v>116</v>
      </c>
      <c r="I14" s="362" t="s">
        <v>33</v>
      </c>
      <c r="J14" s="365" t="s">
        <v>5</v>
      </c>
      <c r="K14" s="362" t="s">
        <v>78</v>
      </c>
      <c r="L14" s="362" t="s">
        <v>83</v>
      </c>
      <c r="M14" s="362" t="s">
        <v>43</v>
      </c>
      <c r="N14" s="365" t="s">
        <v>5</v>
      </c>
      <c r="O14" s="362" t="s">
        <v>46</v>
      </c>
      <c r="P14" s="366" t="s">
        <v>11</v>
      </c>
      <c r="Q14" s="362" t="s">
        <v>143</v>
      </c>
      <c r="R14" s="362" t="s">
        <v>12</v>
      </c>
      <c r="S14" s="362" t="s">
        <v>8</v>
      </c>
      <c r="T14" s="362"/>
      <c r="U14" s="362"/>
      <c r="V14" s="362"/>
      <c r="W14" s="362"/>
      <c r="X14" s="362"/>
      <c r="Y14" s="366" t="s">
        <v>119</v>
      </c>
      <c r="Z14" s="366" t="s">
        <v>44</v>
      </c>
      <c r="AA14" s="366" t="s">
        <v>5</v>
      </c>
      <c r="AB14" s="366" t="s">
        <v>45</v>
      </c>
      <c r="AC14" s="366" t="s">
        <v>5</v>
      </c>
      <c r="AD14" s="366" t="s">
        <v>47</v>
      </c>
      <c r="AE14" s="366" t="s">
        <v>29</v>
      </c>
      <c r="AF14" s="362" t="s">
        <v>34</v>
      </c>
      <c r="AG14" s="362" t="s">
        <v>35</v>
      </c>
      <c r="AH14" s="362" t="s">
        <v>36</v>
      </c>
      <c r="AI14" s="362" t="s">
        <v>38</v>
      </c>
      <c r="AJ14" s="362" t="s">
        <v>37</v>
      </c>
      <c r="AK14" s="363"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9" customHeight="1" x14ac:dyDescent="0.3">
      <c r="A15" s="92"/>
      <c r="B15" s="364"/>
      <c r="C15" s="365"/>
      <c r="D15" s="362"/>
      <c r="E15" s="362"/>
      <c r="F15" s="365"/>
      <c r="G15" s="362"/>
      <c r="H15" s="362"/>
      <c r="I15" s="362"/>
      <c r="J15" s="365"/>
      <c r="K15" s="362"/>
      <c r="L15" s="362"/>
      <c r="M15" s="365"/>
      <c r="N15" s="365"/>
      <c r="O15" s="362"/>
      <c r="P15" s="366"/>
      <c r="Q15" s="362"/>
      <c r="R15" s="362"/>
      <c r="S15" s="170" t="s">
        <v>13</v>
      </c>
      <c r="T15" s="170" t="s">
        <v>17</v>
      </c>
      <c r="U15" s="170" t="s">
        <v>28</v>
      </c>
      <c r="V15" s="170" t="s">
        <v>18</v>
      </c>
      <c r="W15" s="170" t="s">
        <v>21</v>
      </c>
      <c r="X15" s="170" t="s">
        <v>24</v>
      </c>
      <c r="Y15" s="366"/>
      <c r="Z15" s="366"/>
      <c r="AA15" s="366"/>
      <c r="AB15" s="366"/>
      <c r="AC15" s="366"/>
      <c r="AD15" s="366"/>
      <c r="AE15" s="366"/>
      <c r="AF15" s="362"/>
      <c r="AG15" s="362"/>
      <c r="AH15" s="362"/>
      <c r="AI15" s="362"/>
      <c r="AJ15" s="362"/>
      <c r="AK15" s="363"/>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93" customHeight="1" x14ac:dyDescent="0.25">
      <c r="B16" s="370">
        <v>1</v>
      </c>
      <c r="C16" s="367" t="s">
        <v>195</v>
      </c>
      <c r="D16" s="371" t="s">
        <v>256</v>
      </c>
      <c r="E16" s="371" t="s">
        <v>253</v>
      </c>
      <c r="F16" s="371" t="s">
        <v>257</v>
      </c>
      <c r="G16" s="367" t="s">
        <v>188</v>
      </c>
      <c r="H16" s="368">
        <v>246</v>
      </c>
      <c r="I16" s="369" t="str">
        <f>IF(H16&lt;=0,"",IF(H16&lt;=2,"Muy Baja",IF(H16&lt;=24,"Baja",IF(H16&lt;=500,"Media",IF(H16&lt;=5000,"Alta","Muy Alta")))))</f>
        <v>Media</v>
      </c>
      <c r="J16" s="373">
        <f>IF(I16="","",IF(I16="Muy Baja",0.2,IF(I16="Baja",0.4,IF(I16="Media",0.6,IF(I16="Alta",0.8,IF(I16="Muy Alta",1,))))))</f>
        <v>0.6</v>
      </c>
      <c r="K16" s="374" t="s">
        <v>136</v>
      </c>
      <c r="L16" s="373" t="str">
        <f>IF(NOT(ISERROR(MATCH(K16,'Tabla Impacto'!$B$222:$B$224,0))),'Tabla Impacto'!$F$224&amp;"Por favor no seleccionar los criterios de impacto(Afectación Económica o presupuestal y Pérdida Reputacional)",K16)</f>
        <v xml:space="preserve">     El riesgo afecta la imagen de de la entidad con efecto publicitario sostenido a nivel de sector administrativo, nivel departamental o municipal</v>
      </c>
      <c r="M16" s="369" t="str">
        <f>IF(OR(L16='Tabla Impacto'!$C$12,L16='Tabla Impacto'!$D$12),"Leve",IF(OR(L16='Tabla Impacto'!$C$13,L16='Tabla Impacto'!$D$13),"Menor",IF(OR(L16='Tabla Impacto'!$C$14,L16='Tabla Impacto'!$D$14),"Moderado",IF(OR(L16='Tabla Impacto'!$C$15,L16='Tabla Impacto'!$D$15),"Mayor",IF(OR(L16='Tabla Impacto'!$C$16,L16='Tabla Impacto'!$D$16),"Catastrófico","")))))</f>
        <v>Mayor</v>
      </c>
      <c r="N16" s="373">
        <f>IF(M16="","",IF(M16="Leve",0.2,IF(M16="Menor",0.4,IF(M16="Moderado",0.6,IF(M16="Mayor",0.8,IF(M16="Catastrófico",1,))))))</f>
        <v>0.8</v>
      </c>
      <c r="O16" s="372"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Alto</v>
      </c>
      <c r="P16" s="171">
        <v>1</v>
      </c>
      <c r="Q16" s="172" t="s">
        <v>258</v>
      </c>
      <c r="R16" s="173" t="str">
        <f t="shared" ref="R16:R18" si="0">IF(OR(S16="Preventivo",S16="Detectivo"),"Probabilidad",IF(S16="Correctivo","Impacto",""))</f>
        <v>Probabilidad</v>
      </c>
      <c r="S16" s="174" t="s">
        <v>14</v>
      </c>
      <c r="T16" s="174" t="s">
        <v>9</v>
      </c>
      <c r="U16" s="175" t="str">
        <f t="shared" ref="U16:U21" si="1">IF(AND(S16="Preventivo",T16="Automático"),"50%",IF(AND(S16="Preventivo",T16="Manual"),"40%",IF(AND(S16="Detectivo",T16="Automático"),"40%",IF(AND(S16="Detectivo",T16="Manual"),"30%",IF(AND(S16="Correctivo",T16="Automático"),"35%",IF(AND(S16="Correctivo",T16="Manual"),"25%",""))))))</f>
        <v>40%</v>
      </c>
      <c r="V16" s="174" t="s">
        <v>19</v>
      </c>
      <c r="W16" s="174" t="s">
        <v>22</v>
      </c>
      <c r="X16" s="174" t="s">
        <v>110</v>
      </c>
      <c r="Y16" s="176">
        <f>IFERROR(IF(R16="Probabilidad",(J16-(+J16*U16)),IF(R16="Impacto",J16,"")),"")</f>
        <v>0.36</v>
      </c>
      <c r="Z16" s="177" t="str">
        <f>IFERROR(IF(Y16="","",IF(Y16&lt;=0.2,"Muy Baja",IF(Y16&lt;=0.4,"Baja",IF(Y16&lt;=0.6,"Media",IF(Y16&lt;=0.8,"Alta","Muy Alta"))))),"")</f>
        <v>Baja</v>
      </c>
      <c r="AA16" s="175">
        <f>+Y16</f>
        <v>0.36</v>
      </c>
      <c r="AB16" s="177" t="str">
        <f>IFERROR(IF(AC16="","",IF(AC16&lt;=0.2,"Leve",IF(AC16&lt;=0.4,"Menor",IF(AC16&lt;=0.6,"Moderado",IF(AC16&lt;=0.8,"Mayor","Catastrófico"))))),"")</f>
        <v>Mayor</v>
      </c>
      <c r="AC16" s="175">
        <f>IFERROR(IF(R16="Impacto",(N16-(+N16*U16)),IF(R16="Probabilidad",N16,"")),"")</f>
        <v>0.8</v>
      </c>
      <c r="AD16" s="178"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Alto</v>
      </c>
      <c r="AE16" s="174" t="s">
        <v>117</v>
      </c>
      <c r="AF16" s="166" t="s">
        <v>254</v>
      </c>
      <c r="AG16" s="166" t="s">
        <v>259</v>
      </c>
      <c r="AH16" s="179">
        <v>44407</v>
      </c>
      <c r="AI16" s="214" t="s">
        <v>265</v>
      </c>
      <c r="AJ16" s="215" t="s">
        <v>266</v>
      </c>
      <c r="AK16" s="214" t="s">
        <v>263</v>
      </c>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106.5" customHeight="1" thickBot="1" x14ac:dyDescent="0.35">
      <c r="B17" s="370"/>
      <c r="C17" s="367"/>
      <c r="D17" s="371"/>
      <c r="E17" s="371"/>
      <c r="F17" s="371"/>
      <c r="G17" s="367"/>
      <c r="H17" s="368"/>
      <c r="I17" s="369"/>
      <c r="J17" s="373"/>
      <c r="K17" s="374"/>
      <c r="L17" s="373">
        <f>IF(NOT(ISERROR(MATCH(K17,_xlfn.ANCHORARRAY(F28),0))),J30&amp;"Por favor no seleccionar los criterios de impacto",K17)</f>
        <v>0</v>
      </c>
      <c r="M17" s="369"/>
      <c r="N17" s="373"/>
      <c r="O17" s="372"/>
      <c r="P17" s="171">
        <v>2</v>
      </c>
      <c r="Q17" s="172" t="s">
        <v>261</v>
      </c>
      <c r="R17" s="173" t="str">
        <f t="shared" si="0"/>
        <v>Probabilidad</v>
      </c>
      <c r="S17" s="174" t="s">
        <v>14</v>
      </c>
      <c r="T17" s="174" t="s">
        <v>9</v>
      </c>
      <c r="U17" s="175" t="str">
        <f t="shared" si="1"/>
        <v>40%</v>
      </c>
      <c r="V17" s="174" t="s">
        <v>19</v>
      </c>
      <c r="W17" s="174" t="s">
        <v>22</v>
      </c>
      <c r="X17" s="174" t="s">
        <v>110</v>
      </c>
      <c r="Y17" s="176">
        <f>IFERROR(IF(AND(R16="Probabilidad",R17="Probabilidad"),(AA16-(+AA16*U17)),IF(R17="Probabilidad",(J16-(+J16*U17)),IF(R17="Impacto",AA16,""))),"")</f>
        <v>0.216</v>
      </c>
      <c r="Z17" s="177" t="str">
        <f t="shared" ref="Z17:Z75" si="2">IFERROR(IF(Y17="","",IF(Y17&lt;=0.2,"Muy Baja",IF(Y17&lt;=0.4,"Baja",IF(Y17&lt;=0.6,"Media",IF(Y17&lt;=0.8,"Alta","Muy Alta"))))),"")</f>
        <v>Baja</v>
      </c>
      <c r="AA17" s="175">
        <f t="shared" ref="AA17:AA21" si="3">+Y17</f>
        <v>0.216</v>
      </c>
      <c r="AB17" s="177" t="str">
        <f t="shared" ref="AB17:AB75" si="4">IFERROR(IF(AC17="","",IF(AC17&lt;=0.2,"Leve",IF(AC17&lt;=0.4,"Menor",IF(AC17&lt;=0.6,"Moderado",IF(AC17&lt;=0.8,"Mayor","Catastrófico"))))),"")</f>
        <v>Mayor</v>
      </c>
      <c r="AC17" s="175">
        <f>IFERROR(IF(AND(R16="Impacto",R17="Impacto"),(AC16-(+AC16*U17)),IF(R17="Impacto",($N$16-(+$N$16*U17)),IF(R17="Probabilidad",AC16,""))),"")</f>
        <v>0.8</v>
      </c>
      <c r="AD17" s="178" t="str">
        <f t="shared" ref="AD17:AD21" si="5">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Alto</v>
      </c>
      <c r="AE17" s="174" t="s">
        <v>117</v>
      </c>
      <c r="AF17" s="166" t="s">
        <v>260</v>
      </c>
      <c r="AG17" s="166" t="s">
        <v>255</v>
      </c>
      <c r="AH17" s="179">
        <v>44407</v>
      </c>
      <c r="AI17" s="214" t="s">
        <v>265</v>
      </c>
      <c r="AJ17" s="215" t="s">
        <v>264</v>
      </c>
      <c r="AK17" s="214" t="s">
        <v>267</v>
      </c>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6.1" hidden="1" customHeight="1" x14ac:dyDescent="0.3">
      <c r="B18" s="370"/>
      <c r="C18" s="367"/>
      <c r="D18" s="371"/>
      <c r="E18" s="371"/>
      <c r="F18" s="371"/>
      <c r="G18" s="367"/>
      <c r="H18" s="368"/>
      <c r="I18" s="369"/>
      <c r="J18" s="373"/>
      <c r="K18" s="374"/>
      <c r="L18" s="373">
        <f>IF(NOT(ISERROR(MATCH(K18,_xlfn.ANCHORARRAY(F29),0))),J31&amp;"Por favor no seleccionar los criterios de impacto",K18)</f>
        <v>0</v>
      </c>
      <c r="M18" s="369"/>
      <c r="N18" s="373"/>
      <c r="O18" s="372"/>
      <c r="P18" s="171">
        <v>3</v>
      </c>
      <c r="Q18" s="183"/>
      <c r="R18" s="173" t="str">
        <f t="shared" si="0"/>
        <v/>
      </c>
      <c r="S18" s="174"/>
      <c r="T18" s="174"/>
      <c r="U18" s="175" t="str">
        <f t="shared" si="1"/>
        <v/>
      </c>
      <c r="V18" s="174"/>
      <c r="W18" s="174"/>
      <c r="X18" s="174"/>
      <c r="Y18" s="176" t="str">
        <f>IFERROR(IF(AND(R17="Probabilidad",R18="Probabilidad"),(AA17-(+AA17*U18)),IF(AND(R17="Impacto",R18="Probabilidad"),(AA16-(+AA16*U18)),IF(R18="Impacto",AA17,""))),"")</f>
        <v/>
      </c>
      <c r="Z18" s="177" t="str">
        <f t="shared" si="2"/>
        <v/>
      </c>
      <c r="AA18" s="175" t="str">
        <f t="shared" si="3"/>
        <v/>
      </c>
      <c r="AB18" s="177" t="str">
        <f t="shared" si="4"/>
        <v/>
      </c>
      <c r="AC18" s="175" t="str">
        <f>IFERROR(IF(AND(R17="Impacto",R18="Impacto"),(AC17-(+AC17*U18)),IF(AND(R17="Probabilidad",R18="Impacto"),(AC16-(+AC16*U18)),IF(R18="Probabilidad",AC17,""))),"")</f>
        <v/>
      </c>
      <c r="AD18" s="178" t="str">
        <f t="shared" si="5"/>
        <v/>
      </c>
      <c r="AE18" s="174"/>
      <c r="AF18" s="181"/>
      <c r="AG18" s="181"/>
      <c r="AH18" s="180"/>
      <c r="AI18" s="180"/>
      <c r="AJ18" s="213"/>
      <c r="AK18" s="182"/>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6.1" hidden="1" customHeight="1" x14ac:dyDescent="0.3">
      <c r="B19" s="370"/>
      <c r="C19" s="367"/>
      <c r="D19" s="371"/>
      <c r="E19" s="371"/>
      <c r="F19" s="371"/>
      <c r="G19" s="367"/>
      <c r="H19" s="368"/>
      <c r="I19" s="369"/>
      <c r="J19" s="373"/>
      <c r="K19" s="374"/>
      <c r="L19" s="373">
        <f>IF(NOT(ISERROR(MATCH(K19,_xlfn.ANCHORARRAY(F30),0))),J32&amp;"Por favor no seleccionar los criterios de impacto",K19)</f>
        <v>0</v>
      </c>
      <c r="M19" s="369"/>
      <c r="N19" s="373"/>
      <c r="O19" s="372"/>
      <c r="P19" s="171">
        <v>4</v>
      </c>
      <c r="Q19" s="184"/>
      <c r="R19" s="173" t="str">
        <f t="shared" ref="R19:R21" si="6">IF(OR(S19="Preventivo",S19="Detectivo"),"Probabilidad",IF(S19="Correctivo","Impacto",""))</f>
        <v/>
      </c>
      <c r="S19" s="174"/>
      <c r="T19" s="174"/>
      <c r="U19" s="175" t="str">
        <f t="shared" si="1"/>
        <v/>
      </c>
      <c r="V19" s="174"/>
      <c r="W19" s="174"/>
      <c r="X19" s="174"/>
      <c r="Y19" s="176" t="str">
        <f t="shared" ref="Y19:Y21" si="7">IFERROR(IF(AND(R18="Probabilidad",R19="Probabilidad"),(AA18-(+AA18*U19)),IF(AND(R18="Impacto",R19="Probabilidad"),(AA17-(+AA17*U19)),IF(R19="Impacto",AA18,""))),"")</f>
        <v/>
      </c>
      <c r="Z19" s="177" t="str">
        <f t="shared" si="2"/>
        <v/>
      </c>
      <c r="AA19" s="175" t="str">
        <f t="shared" si="3"/>
        <v/>
      </c>
      <c r="AB19" s="177" t="str">
        <f t="shared" si="4"/>
        <v/>
      </c>
      <c r="AC19" s="175" t="str">
        <f t="shared" ref="AC19:AC21" si="8">IFERROR(IF(AND(R18="Impacto",R19="Impacto"),(AC18-(+AC18*U19)),IF(AND(R18="Probabilidad",R19="Impacto"),(AC17-(+AC17*U19)),IF(R19="Probabilidad",AC18,""))),"")</f>
        <v/>
      </c>
      <c r="AD19" s="178"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174"/>
      <c r="AF19" s="181"/>
      <c r="AG19" s="181"/>
      <c r="AH19" s="180"/>
      <c r="AI19" s="180"/>
      <c r="AJ19" s="213"/>
      <c r="AK19" s="182"/>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6.1" hidden="1" customHeight="1" x14ac:dyDescent="0.3">
      <c r="B20" s="370"/>
      <c r="C20" s="367"/>
      <c r="D20" s="371"/>
      <c r="E20" s="371"/>
      <c r="F20" s="371"/>
      <c r="G20" s="367"/>
      <c r="H20" s="368"/>
      <c r="I20" s="369"/>
      <c r="J20" s="373"/>
      <c r="K20" s="374"/>
      <c r="L20" s="373">
        <f>IF(NOT(ISERROR(MATCH(K20,_xlfn.ANCHORARRAY(F31),0))),J33&amp;"Por favor no seleccionar los criterios de impacto",K20)</f>
        <v>0</v>
      </c>
      <c r="M20" s="369"/>
      <c r="N20" s="373"/>
      <c r="O20" s="372"/>
      <c r="P20" s="171">
        <v>5</v>
      </c>
      <c r="Q20" s="184"/>
      <c r="R20" s="173" t="str">
        <f t="shared" si="6"/>
        <v/>
      </c>
      <c r="S20" s="174"/>
      <c r="T20" s="174"/>
      <c r="U20" s="175" t="str">
        <f t="shared" si="1"/>
        <v/>
      </c>
      <c r="V20" s="174"/>
      <c r="W20" s="174"/>
      <c r="X20" s="174"/>
      <c r="Y20" s="176" t="str">
        <f t="shared" si="7"/>
        <v/>
      </c>
      <c r="Z20" s="177" t="str">
        <f t="shared" si="2"/>
        <v/>
      </c>
      <c r="AA20" s="175" t="str">
        <f t="shared" si="3"/>
        <v/>
      </c>
      <c r="AB20" s="177" t="str">
        <f t="shared" si="4"/>
        <v/>
      </c>
      <c r="AC20" s="175" t="str">
        <f t="shared" si="8"/>
        <v/>
      </c>
      <c r="AD20" s="178" t="str">
        <f t="shared" si="5"/>
        <v/>
      </c>
      <c r="AE20" s="174"/>
      <c r="AF20" s="181"/>
      <c r="AG20" s="181"/>
      <c r="AH20" s="180"/>
      <c r="AI20" s="180"/>
      <c r="AJ20" s="213"/>
      <c r="AK20" s="182"/>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6.1" hidden="1" customHeight="1" x14ac:dyDescent="0.3">
      <c r="B21" s="370"/>
      <c r="C21" s="367"/>
      <c r="D21" s="371"/>
      <c r="E21" s="371"/>
      <c r="F21" s="371"/>
      <c r="G21" s="367"/>
      <c r="H21" s="368"/>
      <c r="I21" s="369"/>
      <c r="J21" s="373"/>
      <c r="K21" s="374"/>
      <c r="L21" s="373">
        <f>IF(NOT(ISERROR(MATCH(K21,_xlfn.ANCHORARRAY(F32),0))),J34&amp;"Por favor no seleccionar los criterios de impacto",K21)</f>
        <v>0</v>
      </c>
      <c r="M21" s="369"/>
      <c r="N21" s="373"/>
      <c r="O21" s="372"/>
      <c r="P21" s="171">
        <v>6</v>
      </c>
      <c r="Q21" s="184"/>
      <c r="R21" s="173" t="str">
        <f t="shared" si="6"/>
        <v/>
      </c>
      <c r="S21" s="174"/>
      <c r="T21" s="174"/>
      <c r="U21" s="175" t="str">
        <f t="shared" si="1"/>
        <v/>
      </c>
      <c r="V21" s="174"/>
      <c r="W21" s="174"/>
      <c r="X21" s="174"/>
      <c r="Y21" s="176" t="str">
        <f t="shared" si="7"/>
        <v/>
      </c>
      <c r="Z21" s="177" t="str">
        <f t="shared" si="2"/>
        <v/>
      </c>
      <c r="AA21" s="175" t="str">
        <f t="shared" si="3"/>
        <v/>
      </c>
      <c r="AB21" s="177" t="str">
        <f t="shared" si="4"/>
        <v/>
      </c>
      <c r="AC21" s="175" t="str">
        <f t="shared" si="8"/>
        <v/>
      </c>
      <c r="AD21" s="178" t="str">
        <f t="shared" si="5"/>
        <v/>
      </c>
      <c r="AE21" s="174"/>
      <c r="AF21" s="181"/>
      <c r="AG21" s="181"/>
      <c r="AH21" s="180"/>
      <c r="AI21" s="180"/>
      <c r="AJ21" s="213"/>
      <c r="AK21" s="182"/>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26.1" hidden="1" customHeight="1" x14ac:dyDescent="0.3">
      <c r="B22" s="347">
        <v>2</v>
      </c>
      <c r="C22" s="349"/>
      <c r="D22" s="349"/>
      <c r="E22" s="349"/>
      <c r="F22" s="349"/>
      <c r="G22" s="349"/>
      <c r="H22" s="351"/>
      <c r="I22" s="353" t="str">
        <f>IF(H22&lt;=0,"",IF(H22&lt;=2,"Muy Baja",IF(H22&lt;=24,"Baja",IF(H22&lt;=500,"Media",IF(H22&lt;=5000,"Alta","Muy Alta")))))</f>
        <v/>
      </c>
      <c r="J22" s="344" t="str">
        <f>IF(I22="","",IF(I22="Muy Baja",0.2,IF(I22="Baja",0.4,IF(I22="Media",0.6,IF(I22="Alta",0.8,IF(I22="Muy Alta",1,))))))</f>
        <v/>
      </c>
      <c r="K22" s="356"/>
      <c r="L22" s="344">
        <f>IF(NOT(ISERROR(MATCH(K22,'Tabla Impacto'!$B$222:$B$224,0))),'Tabla Impacto'!$F$224&amp;"Por favor no seleccionar los criterios de impacto(Afectación Económica o presupuestal y Pérdida Reputacional)",K22)</f>
        <v>0</v>
      </c>
      <c r="M22" s="353" t="str">
        <f>IF(OR(L22='Tabla Impacto'!$C$12,L22='Tabla Impacto'!$D$12),"Leve",IF(OR(L22='Tabla Impacto'!$C$13,L22='Tabla Impacto'!$D$13),"Menor",IF(OR(L22='Tabla Impacto'!$C$14,L22='Tabla Impacto'!$D$14),"Moderado",IF(OR(L22='Tabla Impacto'!$C$15,L22='Tabla Impacto'!$D$15),"Mayor",IF(OR(L22='Tabla Impacto'!$C$16,L22='Tabla Impacto'!$D$16),"Catastrófico","")))))</f>
        <v/>
      </c>
      <c r="N22" s="344" t="str">
        <f>IF(M22="","",IF(M22="Leve",0.2,IF(M22="Menor",0.4,IF(M22="Moderado",0.6,IF(M22="Mayor",0.8,IF(M22="Catastrófico",1,))))))</f>
        <v/>
      </c>
      <c r="O22" s="346"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
      </c>
      <c r="P22" s="185">
        <v>1</v>
      </c>
      <c r="Q22" s="186"/>
      <c r="R22" s="187" t="str">
        <f>IF(OR(S22="Preventivo",S22="Detectivo"),"Probabilidad",IF(S22="Correctivo","Impacto",""))</f>
        <v/>
      </c>
      <c r="S22" s="188"/>
      <c r="T22" s="188"/>
      <c r="U22" s="189" t="str">
        <f>IF(AND(S22="Preventivo",T22="Automático"),"50%",IF(AND(S22="Preventivo",T22="Manual"),"40%",IF(AND(S22="Detectivo",T22="Automático"),"40%",IF(AND(S22="Detectivo",T22="Manual"),"30%",IF(AND(S22="Correctivo",T22="Automático"),"35%",IF(AND(S22="Correctivo",T22="Manual"),"25%",""))))))</f>
        <v/>
      </c>
      <c r="V22" s="188"/>
      <c r="W22" s="188"/>
      <c r="X22" s="188"/>
      <c r="Y22" s="190" t="str">
        <f>IFERROR(IF(R22="Probabilidad",(J22-(+J22*U22)),IF(R22="Impacto",J22,"")),"")</f>
        <v/>
      </c>
      <c r="Z22" s="191" t="str">
        <f>IFERROR(IF(Y22="","",IF(Y22&lt;=0.2,"Muy Baja",IF(Y22&lt;=0.4,"Baja",IF(Y22&lt;=0.6,"Media",IF(Y22&lt;=0.8,"Alta","Muy Alta"))))),"")</f>
        <v/>
      </c>
      <c r="AA22" s="189" t="str">
        <f>+Y22</f>
        <v/>
      </c>
      <c r="AB22" s="191" t="str">
        <f>IFERROR(IF(AC22="","",IF(AC22&lt;=0.2,"Leve",IF(AC22&lt;=0.4,"Menor",IF(AC22&lt;=0.6,"Moderado",IF(AC22&lt;=0.8,"Mayor","Catastrófico"))))),"")</f>
        <v/>
      </c>
      <c r="AC22" s="189" t="str">
        <f>IFERROR(IF(R22="Impacto",(N22-(+N22*U22)),IF(R22="Probabilidad",N22,"")),"")</f>
        <v/>
      </c>
      <c r="AD22" s="192"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
      </c>
      <c r="AE22" s="188"/>
      <c r="AF22" s="165"/>
      <c r="AG22" s="165"/>
      <c r="AH22" s="193"/>
      <c r="AI22" s="193"/>
      <c r="AJ22" s="212"/>
      <c r="AK22" s="194"/>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26.1" hidden="1" customHeight="1" x14ac:dyDescent="0.3">
      <c r="B23" s="347"/>
      <c r="C23" s="349"/>
      <c r="D23" s="349"/>
      <c r="E23" s="349"/>
      <c r="F23" s="349"/>
      <c r="G23" s="349"/>
      <c r="H23" s="351"/>
      <c r="I23" s="353"/>
      <c r="J23" s="344"/>
      <c r="K23" s="356"/>
      <c r="L23" s="344">
        <f>IF(NOT(ISERROR(MATCH(K23,_xlfn.ANCHORARRAY(F34),0))),J36&amp;"Por favor no seleccionar los criterios de impacto",K23)</f>
        <v>0</v>
      </c>
      <c r="M23" s="353"/>
      <c r="N23" s="344"/>
      <c r="O23" s="346"/>
      <c r="P23" s="185">
        <v>2</v>
      </c>
      <c r="Q23" s="186"/>
      <c r="R23" s="187" t="str">
        <f>IF(OR(S23="Preventivo",S23="Detectivo"),"Probabilidad",IF(S23="Correctivo","Impacto",""))</f>
        <v/>
      </c>
      <c r="S23" s="188"/>
      <c r="T23" s="188"/>
      <c r="U23" s="189" t="str">
        <f t="shared" ref="U23:U27" si="9">IF(AND(S23="Preventivo",T23="Automático"),"50%",IF(AND(S23="Preventivo",T23="Manual"),"40%",IF(AND(S23="Detectivo",T23="Automático"),"40%",IF(AND(S23="Detectivo",T23="Manual"),"30%",IF(AND(S23="Correctivo",T23="Automático"),"35%",IF(AND(S23="Correctivo",T23="Manual"),"25%",""))))))</f>
        <v/>
      </c>
      <c r="V23" s="188"/>
      <c r="W23" s="188"/>
      <c r="X23" s="188"/>
      <c r="Y23" s="190" t="str">
        <f>IFERROR(IF(AND(R22="Probabilidad",R23="Probabilidad"),(AA22-(+AA22*U23)),IF(R23="Probabilidad",(J22-(+J22*U23)),IF(R23="Impacto",AA22,""))),"")</f>
        <v/>
      </c>
      <c r="Z23" s="191" t="str">
        <f t="shared" si="2"/>
        <v/>
      </c>
      <c r="AA23" s="189" t="str">
        <f t="shared" ref="AA23:AA27" si="10">+Y23</f>
        <v/>
      </c>
      <c r="AB23" s="191" t="str">
        <f t="shared" si="4"/>
        <v/>
      </c>
      <c r="AC23" s="189" t="str">
        <f>IFERROR(IF(AND(R22="Impacto",R23="Impacto"),(AC16-(+AC16*U23)),IF(R23="Impacto",($N$22-(+$N$22*U23)),IF(R23="Probabilidad",AC16,""))),"")</f>
        <v/>
      </c>
      <c r="AD23" s="192" t="str">
        <f t="shared" ref="AD23:AD24" si="11">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
      </c>
      <c r="AE23" s="188"/>
      <c r="AF23" s="165"/>
      <c r="AG23" s="165"/>
      <c r="AH23" s="193"/>
      <c r="AI23" s="193"/>
      <c r="AJ23" s="212"/>
      <c r="AK23" s="194"/>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26.1" hidden="1" customHeight="1" x14ac:dyDescent="0.3">
      <c r="B24" s="347"/>
      <c r="C24" s="349"/>
      <c r="D24" s="349"/>
      <c r="E24" s="349"/>
      <c r="F24" s="349"/>
      <c r="G24" s="349"/>
      <c r="H24" s="351"/>
      <c r="I24" s="353"/>
      <c r="J24" s="344"/>
      <c r="K24" s="356"/>
      <c r="L24" s="344">
        <f>IF(NOT(ISERROR(MATCH(K24,_xlfn.ANCHORARRAY(F35),0))),J37&amp;"Por favor no seleccionar los criterios de impacto",K24)</f>
        <v>0</v>
      </c>
      <c r="M24" s="353"/>
      <c r="N24" s="344"/>
      <c r="O24" s="346"/>
      <c r="P24" s="185">
        <v>3</v>
      </c>
      <c r="Q24" s="195"/>
      <c r="R24" s="187" t="str">
        <f>IF(OR(S24="Preventivo",S24="Detectivo"),"Probabilidad",IF(S24="Correctivo","Impacto",""))</f>
        <v/>
      </c>
      <c r="S24" s="188"/>
      <c r="T24" s="188"/>
      <c r="U24" s="189" t="str">
        <f t="shared" si="9"/>
        <v/>
      </c>
      <c r="V24" s="188"/>
      <c r="W24" s="188"/>
      <c r="X24" s="188"/>
      <c r="Y24" s="190" t="str">
        <f>IFERROR(IF(AND(R23="Probabilidad",R24="Probabilidad"),(AA23-(+AA23*U24)),IF(AND(R23="Impacto",R24="Probabilidad"),(AA22-(+AA22*U24)),IF(R24="Impacto",AA23,""))),"")</f>
        <v/>
      </c>
      <c r="Z24" s="191" t="str">
        <f t="shared" si="2"/>
        <v/>
      </c>
      <c r="AA24" s="189" t="str">
        <f t="shared" si="10"/>
        <v/>
      </c>
      <c r="AB24" s="191" t="str">
        <f t="shared" si="4"/>
        <v/>
      </c>
      <c r="AC24" s="189" t="str">
        <f>IFERROR(IF(AND(R23="Impacto",R24="Impacto"),(AC23-(+AC23*U24)),IF(AND(R23="Probabilidad",R24="Impacto"),(AC22-(+AC22*U24)),IF(R24="Probabilidad",AC23,""))),"")</f>
        <v/>
      </c>
      <c r="AD24" s="192" t="str">
        <f t="shared" si="11"/>
        <v/>
      </c>
      <c r="AE24" s="188"/>
      <c r="AF24" s="165"/>
      <c r="AG24" s="165"/>
      <c r="AH24" s="193"/>
      <c r="AI24" s="193"/>
      <c r="AJ24" s="212"/>
      <c r="AK24" s="194"/>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26.1" hidden="1" customHeight="1" x14ac:dyDescent="0.3">
      <c r="B25" s="347"/>
      <c r="C25" s="349"/>
      <c r="D25" s="349"/>
      <c r="E25" s="349"/>
      <c r="F25" s="349"/>
      <c r="G25" s="349"/>
      <c r="H25" s="351"/>
      <c r="I25" s="353"/>
      <c r="J25" s="344"/>
      <c r="K25" s="356"/>
      <c r="L25" s="344">
        <f>IF(NOT(ISERROR(MATCH(K25,_xlfn.ANCHORARRAY(F36),0))),J38&amp;"Por favor no seleccionar los criterios de impacto",K25)</f>
        <v>0</v>
      </c>
      <c r="M25" s="353"/>
      <c r="N25" s="344"/>
      <c r="O25" s="346"/>
      <c r="P25" s="185">
        <v>4</v>
      </c>
      <c r="Q25" s="186"/>
      <c r="R25" s="187" t="str">
        <f t="shared" ref="R25:R27" si="12">IF(OR(S25="Preventivo",S25="Detectivo"),"Probabilidad",IF(S25="Correctivo","Impacto",""))</f>
        <v/>
      </c>
      <c r="S25" s="188"/>
      <c r="T25" s="188"/>
      <c r="U25" s="189" t="str">
        <f t="shared" si="9"/>
        <v/>
      </c>
      <c r="V25" s="188"/>
      <c r="W25" s="188"/>
      <c r="X25" s="188"/>
      <c r="Y25" s="190" t="str">
        <f t="shared" ref="Y25:Y27" si="13">IFERROR(IF(AND(R24="Probabilidad",R25="Probabilidad"),(AA24-(+AA24*U25)),IF(AND(R24="Impacto",R25="Probabilidad"),(AA23-(+AA23*U25)),IF(R25="Impacto",AA24,""))),"")</f>
        <v/>
      </c>
      <c r="Z25" s="191" t="str">
        <f t="shared" si="2"/>
        <v/>
      </c>
      <c r="AA25" s="189" t="str">
        <f t="shared" si="10"/>
        <v/>
      </c>
      <c r="AB25" s="191" t="str">
        <f t="shared" si="4"/>
        <v/>
      </c>
      <c r="AC25" s="189" t="str">
        <f t="shared" ref="AC25:AC27" si="14">IFERROR(IF(AND(R24="Impacto",R25="Impacto"),(AC24-(+AC24*U25)),IF(AND(R24="Probabilidad",R25="Impacto"),(AC23-(+AC23*U25)),IF(R25="Probabilidad",AC24,""))),"")</f>
        <v/>
      </c>
      <c r="AD25" s="192"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188"/>
      <c r="AF25" s="165"/>
      <c r="AG25" s="165"/>
      <c r="AH25" s="193"/>
      <c r="AI25" s="193"/>
      <c r="AJ25" s="212"/>
      <c r="AK25" s="194"/>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26.1" hidden="1" customHeight="1" x14ac:dyDescent="0.3">
      <c r="B26" s="347"/>
      <c r="C26" s="349"/>
      <c r="D26" s="349"/>
      <c r="E26" s="349"/>
      <c r="F26" s="349"/>
      <c r="G26" s="349"/>
      <c r="H26" s="351"/>
      <c r="I26" s="353"/>
      <c r="J26" s="344"/>
      <c r="K26" s="356"/>
      <c r="L26" s="344">
        <f>IF(NOT(ISERROR(MATCH(K26,_xlfn.ANCHORARRAY(F37),0))),J39&amp;"Por favor no seleccionar los criterios de impacto",K26)</f>
        <v>0</v>
      </c>
      <c r="M26" s="353"/>
      <c r="N26" s="344"/>
      <c r="O26" s="346"/>
      <c r="P26" s="185">
        <v>5</v>
      </c>
      <c r="Q26" s="186"/>
      <c r="R26" s="187" t="str">
        <f t="shared" si="12"/>
        <v/>
      </c>
      <c r="S26" s="188"/>
      <c r="T26" s="188"/>
      <c r="U26" s="189" t="str">
        <f t="shared" si="9"/>
        <v/>
      </c>
      <c r="V26" s="188"/>
      <c r="W26" s="188"/>
      <c r="X26" s="188"/>
      <c r="Y26" s="190" t="str">
        <f t="shared" si="13"/>
        <v/>
      </c>
      <c r="Z26" s="191" t="str">
        <f t="shared" si="2"/>
        <v/>
      </c>
      <c r="AA26" s="189" t="str">
        <f t="shared" si="10"/>
        <v/>
      </c>
      <c r="AB26" s="191" t="str">
        <f t="shared" si="4"/>
        <v/>
      </c>
      <c r="AC26" s="189" t="str">
        <f t="shared" si="14"/>
        <v/>
      </c>
      <c r="AD26" s="192" t="str">
        <f t="shared" ref="AD26:AD27" si="15">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188"/>
      <c r="AF26" s="165"/>
      <c r="AG26" s="165"/>
      <c r="AH26" s="193"/>
      <c r="AI26" s="193"/>
      <c r="AJ26" s="165"/>
      <c r="AK26" s="194"/>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26.1" hidden="1" customHeight="1" x14ac:dyDescent="0.3">
      <c r="B27" s="347"/>
      <c r="C27" s="349"/>
      <c r="D27" s="349"/>
      <c r="E27" s="349"/>
      <c r="F27" s="349"/>
      <c r="G27" s="349"/>
      <c r="H27" s="351"/>
      <c r="I27" s="353"/>
      <c r="J27" s="344"/>
      <c r="K27" s="356"/>
      <c r="L27" s="344">
        <f>IF(NOT(ISERROR(MATCH(K27,_xlfn.ANCHORARRAY(F38),0))),J40&amp;"Por favor no seleccionar los criterios de impacto",K27)</f>
        <v>0</v>
      </c>
      <c r="M27" s="353"/>
      <c r="N27" s="344"/>
      <c r="O27" s="346"/>
      <c r="P27" s="185">
        <v>6</v>
      </c>
      <c r="Q27" s="186"/>
      <c r="R27" s="187" t="str">
        <f t="shared" si="12"/>
        <v/>
      </c>
      <c r="S27" s="188"/>
      <c r="T27" s="188"/>
      <c r="U27" s="189" t="str">
        <f t="shared" si="9"/>
        <v/>
      </c>
      <c r="V27" s="188"/>
      <c r="W27" s="188"/>
      <c r="X27" s="188"/>
      <c r="Y27" s="190" t="str">
        <f t="shared" si="13"/>
        <v/>
      </c>
      <c r="Z27" s="191" t="str">
        <f t="shared" si="2"/>
        <v/>
      </c>
      <c r="AA27" s="189" t="str">
        <f t="shared" si="10"/>
        <v/>
      </c>
      <c r="AB27" s="191" t="str">
        <f t="shared" si="4"/>
        <v/>
      </c>
      <c r="AC27" s="189" t="str">
        <f t="shared" si="14"/>
        <v/>
      </c>
      <c r="AD27" s="192" t="str">
        <f t="shared" si="15"/>
        <v/>
      </c>
      <c r="AE27" s="188"/>
      <c r="AF27" s="165"/>
      <c r="AG27" s="165"/>
      <c r="AH27" s="193"/>
      <c r="AI27" s="193"/>
      <c r="AJ27" s="165"/>
      <c r="AK27" s="194"/>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26.1" hidden="1" customHeight="1" x14ac:dyDescent="0.3">
      <c r="B28" s="347">
        <v>3</v>
      </c>
      <c r="C28" s="349"/>
      <c r="D28" s="349"/>
      <c r="E28" s="349"/>
      <c r="F28" s="349"/>
      <c r="G28" s="349"/>
      <c r="H28" s="351"/>
      <c r="I28" s="353" t="str">
        <f>IF(H28&lt;=0,"",IF(H28&lt;=2,"Muy Baja",IF(H28&lt;=24,"Baja",IF(H28&lt;=500,"Media",IF(H28&lt;=5000,"Alta","Muy Alta")))))</f>
        <v/>
      </c>
      <c r="J28" s="344" t="str">
        <f>IF(I28="","",IF(I28="Muy Baja",0.2,IF(I28="Baja",0.4,IF(I28="Media",0.6,IF(I28="Alta",0.8,IF(I28="Muy Alta",1,))))))</f>
        <v/>
      </c>
      <c r="K28" s="356"/>
      <c r="L28" s="344">
        <f>IF(NOT(ISERROR(MATCH(K28,'Tabla Impacto'!$B$222:$B$224,0))),'Tabla Impacto'!$F$224&amp;"Por favor no seleccionar los criterios de impacto(Afectación Económica o presupuestal y Pérdida Reputacional)",K28)</f>
        <v>0</v>
      </c>
      <c r="M28" s="353" t="str">
        <f>IF(OR(L28='Tabla Impacto'!$C$12,L28='Tabla Impacto'!$D$12),"Leve",IF(OR(L28='Tabla Impacto'!$C$13,L28='Tabla Impacto'!$D$13),"Menor",IF(OR(L28='Tabla Impacto'!$C$14,L28='Tabla Impacto'!$D$14),"Moderado",IF(OR(L28='Tabla Impacto'!$C$15,L28='Tabla Impacto'!$D$15),"Mayor",IF(OR(L28='Tabla Impacto'!$C$16,L28='Tabla Impacto'!$D$16),"Catastrófico","")))))</f>
        <v/>
      </c>
      <c r="N28" s="344" t="str">
        <f>IF(M28="","",IF(M28="Leve",0.2,IF(M28="Menor",0.4,IF(M28="Moderado",0.6,IF(M28="Mayor",0.8,IF(M28="Catastrófico",1,))))))</f>
        <v/>
      </c>
      <c r="O28" s="346" t="str">
        <f>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
      </c>
      <c r="P28" s="185">
        <v>1</v>
      </c>
      <c r="Q28" s="186"/>
      <c r="R28" s="187" t="str">
        <f>IF(OR(S28="Preventivo",S28="Detectivo"),"Probabilidad",IF(S28="Correctivo","Impacto",""))</f>
        <v/>
      </c>
      <c r="S28" s="188"/>
      <c r="T28" s="188"/>
      <c r="U28" s="189" t="str">
        <f>IF(AND(S28="Preventivo",T28="Automático"),"50%",IF(AND(S28="Preventivo",T28="Manual"),"40%",IF(AND(S28="Detectivo",T28="Automático"),"40%",IF(AND(S28="Detectivo",T28="Manual"),"30%",IF(AND(S28="Correctivo",T28="Automático"),"35%",IF(AND(S28="Correctivo",T28="Manual"),"25%",""))))))</f>
        <v/>
      </c>
      <c r="V28" s="188"/>
      <c r="W28" s="188"/>
      <c r="X28" s="188"/>
      <c r="Y28" s="190" t="str">
        <f>IFERROR(IF(R28="Probabilidad",(J28-(+J28*U28)),IF(R28="Impacto",J28,"")),"")</f>
        <v/>
      </c>
      <c r="Z28" s="191" t="str">
        <f>IFERROR(IF(Y28="","",IF(Y28&lt;=0.2,"Muy Baja",IF(Y28&lt;=0.4,"Baja",IF(Y28&lt;=0.6,"Media",IF(Y28&lt;=0.8,"Alta","Muy Alta"))))),"")</f>
        <v/>
      </c>
      <c r="AA28" s="189" t="str">
        <f>+Y28</f>
        <v/>
      </c>
      <c r="AB28" s="191" t="str">
        <f>IFERROR(IF(AC28="","",IF(AC28&lt;=0.2,"Leve",IF(AC28&lt;=0.4,"Menor",IF(AC28&lt;=0.6,"Moderado",IF(AC28&lt;=0.8,"Mayor","Catastrófico"))))),"")</f>
        <v/>
      </c>
      <c r="AC28" s="189" t="str">
        <f>IFERROR(IF(R28="Impacto",(N28-(+N28*U28)),IF(R28="Probabilidad",N28,"")),"")</f>
        <v/>
      </c>
      <c r="AD28" s="192"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188"/>
      <c r="AF28" s="165"/>
      <c r="AG28" s="165"/>
      <c r="AH28" s="193"/>
      <c r="AI28" s="193"/>
      <c r="AJ28" s="165"/>
      <c r="AK28" s="194"/>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26.1" hidden="1" customHeight="1" x14ac:dyDescent="0.3">
      <c r="B29" s="347"/>
      <c r="C29" s="349"/>
      <c r="D29" s="349"/>
      <c r="E29" s="349"/>
      <c r="F29" s="349"/>
      <c r="G29" s="349"/>
      <c r="H29" s="351"/>
      <c r="I29" s="353"/>
      <c r="J29" s="344"/>
      <c r="K29" s="356"/>
      <c r="L29" s="344">
        <f t="shared" ref="L29:L33" si="16">IF(NOT(ISERROR(MATCH(K29,_xlfn.ANCHORARRAY(F40),0))),J42&amp;"Por favor no seleccionar los criterios de impacto",K29)</f>
        <v>0</v>
      </c>
      <c r="M29" s="353"/>
      <c r="N29" s="344"/>
      <c r="O29" s="346"/>
      <c r="P29" s="185">
        <v>2</v>
      </c>
      <c r="Q29" s="186"/>
      <c r="R29" s="187" t="str">
        <f>IF(OR(S29="Preventivo",S29="Detectivo"),"Probabilidad",IF(S29="Correctivo","Impacto",""))</f>
        <v/>
      </c>
      <c r="S29" s="188"/>
      <c r="T29" s="188"/>
      <c r="U29" s="189" t="str">
        <f t="shared" ref="U29:U33" si="17">IF(AND(S29="Preventivo",T29="Automático"),"50%",IF(AND(S29="Preventivo",T29="Manual"),"40%",IF(AND(S29="Detectivo",T29="Automático"),"40%",IF(AND(S29="Detectivo",T29="Manual"),"30%",IF(AND(S29="Correctivo",T29="Automático"),"35%",IF(AND(S29="Correctivo",T29="Manual"),"25%",""))))))</f>
        <v/>
      </c>
      <c r="V29" s="188"/>
      <c r="W29" s="188"/>
      <c r="X29" s="188"/>
      <c r="Y29" s="196" t="str">
        <f>IFERROR(IF(AND(R28="Probabilidad",R29="Probabilidad"),(AA28-(+AA28*U29)),IF(R29="Probabilidad",(J28-(+J28*U29)),IF(R29="Impacto",AA28,""))),"")</f>
        <v/>
      </c>
      <c r="Z29" s="191" t="str">
        <f t="shared" si="2"/>
        <v/>
      </c>
      <c r="AA29" s="189" t="str">
        <f t="shared" ref="AA29:AA33" si="18">+Y29</f>
        <v/>
      </c>
      <c r="AB29" s="191" t="str">
        <f t="shared" si="4"/>
        <v/>
      </c>
      <c r="AC29" s="189" t="str">
        <f>IFERROR(IF(AND(R28="Impacto",R29="Impacto"),(AC22-(+AC22*U29)),IF(R29="Impacto",($N$28-(+$N$28*U29)),IF(R29="Probabilidad",AC22,""))),"")</f>
        <v/>
      </c>
      <c r="AD29" s="192" t="str">
        <f t="shared" ref="AD29:AD30" si="19">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188"/>
      <c r="AF29" s="165"/>
      <c r="AG29" s="165"/>
      <c r="AH29" s="193"/>
      <c r="AI29" s="193"/>
      <c r="AJ29" s="165"/>
      <c r="AK29" s="194"/>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26.1" hidden="1" customHeight="1" x14ac:dyDescent="0.3">
      <c r="B30" s="347"/>
      <c r="C30" s="349"/>
      <c r="D30" s="349"/>
      <c r="E30" s="349"/>
      <c r="F30" s="349"/>
      <c r="G30" s="349"/>
      <c r="H30" s="351"/>
      <c r="I30" s="353"/>
      <c r="J30" s="344"/>
      <c r="K30" s="356"/>
      <c r="L30" s="344">
        <f t="shared" si="16"/>
        <v>0</v>
      </c>
      <c r="M30" s="353"/>
      <c r="N30" s="344"/>
      <c r="O30" s="346"/>
      <c r="P30" s="185">
        <v>3</v>
      </c>
      <c r="Q30" s="195"/>
      <c r="R30" s="187" t="str">
        <f>IF(OR(S30="Preventivo",S30="Detectivo"),"Probabilidad",IF(S30="Correctivo","Impacto",""))</f>
        <v/>
      </c>
      <c r="S30" s="188"/>
      <c r="T30" s="188"/>
      <c r="U30" s="189" t="str">
        <f t="shared" si="17"/>
        <v/>
      </c>
      <c r="V30" s="188"/>
      <c r="W30" s="188"/>
      <c r="X30" s="188"/>
      <c r="Y30" s="190" t="str">
        <f>IFERROR(IF(AND(R29="Probabilidad",R30="Probabilidad"),(AA29-(+AA29*U30)),IF(AND(R29="Impacto",R30="Probabilidad"),(AA28-(+AA28*U30)),IF(R30="Impacto",AA29,""))),"")</f>
        <v/>
      </c>
      <c r="Z30" s="191" t="str">
        <f t="shared" si="2"/>
        <v/>
      </c>
      <c r="AA30" s="189" t="str">
        <f t="shared" si="18"/>
        <v/>
      </c>
      <c r="AB30" s="191" t="str">
        <f t="shared" si="4"/>
        <v/>
      </c>
      <c r="AC30" s="189" t="str">
        <f>IFERROR(IF(AND(R29="Impacto",R30="Impacto"),(AC29-(+AC29*U30)),IF(AND(R29="Probabilidad",R30="Impacto"),(AC28-(+AC28*U30)),IF(R30="Probabilidad",AC29,""))),"")</f>
        <v/>
      </c>
      <c r="AD30" s="192" t="str">
        <f t="shared" si="19"/>
        <v/>
      </c>
      <c r="AE30" s="188"/>
      <c r="AF30" s="165"/>
      <c r="AG30" s="165"/>
      <c r="AH30" s="193"/>
      <c r="AI30" s="193"/>
      <c r="AJ30" s="165"/>
      <c r="AK30" s="194"/>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26.1" hidden="1" customHeight="1" x14ac:dyDescent="0.3">
      <c r="B31" s="347"/>
      <c r="C31" s="349"/>
      <c r="D31" s="349"/>
      <c r="E31" s="349"/>
      <c r="F31" s="349"/>
      <c r="G31" s="349"/>
      <c r="H31" s="351"/>
      <c r="I31" s="353"/>
      <c r="J31" s="344"/>
      <c r="K31" s="356"/>
      <c r="L31" s="344">
        <f t="shared" si="16"/>
        <v>0</v>
      </c>
      <c r="M31" s="353"/>
      <c r="N31" s="344"/>
      <c r="O31" s="346"/>
      <c r="P31" s="185">
        <v>4</v>
      </c>
      <c r="Q31" s="186"/>
      <c r="R31" s="187" t="str">
        <f t="shared" ref="R31:R33" si="20">IF(OR(S31="Preventivo",S31="Detectivo"),"Probabilidad",IF(S31="Correctivo","Impacto",""))</f>
        <v/>
      </c>
      <c r="S31" s="188"/>
      <c r="T31" s="188"/>
      <c r="U31" s="189" t="str">
        <f t="shared" si="17"/>
        <v/>
      </c>
      <c r="V31" s="188"/>
      <c r="W31" s="188"/>
      <c r="X31" s="188"/>
      <c r="Y31" s="190" t="str">
        <f t="shared" ref="Y31:Y33" si="21">IFERROR(IF(AND(R30="Probabilidad",R31="Probabilidad"),(AA30-(+AA30*U31)),IF(AND(R30="Impacto",R31="Probabilidad"),(AA29-(+AA29*U31)),IF(R31="Impacto",AA30,""))),"")</f>
        <v/>
      </c>
      <c r="Z31" s="191" t="str">
        <f t="shared" si="2"/>
        <v/>
      </c>
      <c r="AA31" s="189" t="str">
        <f t="shared" si="18"/>
        <v/>
      </c>
      <c r="AB31" s="191" t="str">
        <f t="shared" si="4"/>
        <v/>
      </c>
      <c r="AC31" s="189" t="str">
        <f t="shared" ref="AC31:AC33" si="22">IFERROR(IF(AND(R30="Impacto",R31="Impacto"),(AC30-(+AC30*U31)),IF(AND(R30="Probabilidad",R31="Impacto"),(AC29-(+AC29*U31)),IF(R31="Probabilidad",AC30,""))),"")</f>
        <v/>
      </c>
      <c r="AD31" s="192"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188"/>
      <c r="AF31" s="165"/>
      <c r="AG31" s="165"/>
      <c r="AH31" s="193"/>
      <c r="AI31" s="193"/>
      <c r="AJ31" s="165"/>
      <c r="AK31" s="194"/>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26.1" hidden="1" customHeight="1" x14ac:dyDescent="0.3">
      <c r="B32" s="347"/>
      <c r="C32" s="349"/>
      <c r="D32" s="349"/>
      <c r="E32" s="349"/>
      <c r="F32" s="349"/>
      <c r="G32" s="349"/>
      <c r="H32" s="351"/>
      <c r="I32" s="353"/>
      <c r="J32" s="344"/>
      <c r="K32" s="356"/>
      <c r="L32" s="344">
        <f t="shared" si="16"/>
        <v>0</v>
      </c>
      <c r="M32" s="353"/>
      <c r="N32" s="344"/>
      <c r="O32" s="346"/>
      <c r="P32" s="185">
        <v>5</v>
      </c>
      <c r="Q32" s="186"/>
      <c r="R32" s="187" t="str">
        <f t="shared" si="20"/>
        <v/>
      </c>
      <c r="S32" s="188"/>
      <c r="T32" s="188"/>
      <c r="U32" s="189" t="str">
        <f t="shared" si="17"/>
        <v/>
      </c>
      <c r="V32" s="188"/>
      <c r="W32" s="188"/>
      <c r="X32" s="188"/>
      <c r="Y32" s="190" t="str">
        <f t="shared" si="21"/>
        <v/>
      </c>
      <c r="Z32" s="191" t="str">
        <f t="shared" si="2"/>
        <v/>
      </c>
      <c r="AA32" s="189" t="str">
        <f t="shared" si="18"/>
        <v/>
      </c>
      <c r="AB32" s="191" t="str">
        <f t="shared" si="4"/>
        <v/>
      </c>
      <c r="AC32" s="189" t="str">
        <f t="shared" si="22"/>
        <v/>
      </c>
      <c r="AD32" s="192" t="str">
        <f t="shared" ref="AD32:AD33" si="23">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188"/>
      <c r="AF32" s="165"/>
      <c r="AG32" s="165"/>
      <c r="AH32" s="193"/>
      <c r="AI32" s="193"/>
      <c r="AJ32" s="165"/>
      <c r="AK32" s="194"/>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26.1" hidden="1" customHeight="1" x14ac:dyDescent="0.3">
      <c r="B33" s="347"/>
      <c r="C33" s="349"/>
      <c r="D33" s="349"/>
      <c r="E33" s="349"/>
      <c r="F33" s="349"/>
      <c r="G33" s="349"/>
      <c r="H33" s="351"/>
      <c r="I33" s="353"/>
      <c r="J33" s="344"/>
      <c r="K33" s="356"/>
      <c r="L33" s="344">
        <f t="shared" si="16"/>
        <v>0</v>
      </c>
      <c r="M33" s="353"/>
      <c r="N33" s="344"/>
      <c r="O33" s="346"/>
      <c r="P33" s="185">
        <v>6</v>
      </c>
      <c r="Q33" s="186"/>
      <c r="R33" s="187" t="str">
        <f t="shared" si="20"/>
        <v/>
      </c>
      <c r="S33" s="188"/>
      <c r="T33" s="188"/>
      <c r="U33" s="189" t="str">
        <f t="shared" si="17"/>
        <v/>
      </c>
      <c r="V33" s="188"/>
      <c r="W33" s="188"/>
      <c r="X33" s="188"/>
      <c r="Y33" s="190" t="str">
        <f t="shared" si="21"/>
        <v/>
      </c>
      <c r="Z33" s="191" t="str">
        <f t="shared" si="2"/>
        <v/>
      </c>
      <c r="AA33" s="189" t="str">
        <f t="shared" si="18"/>
        <v/>
      </c>
      <c r="AB33" s="191" t="str">
        <f t="shared" si="4"/>
        <v/>
      </c>
      <c r="AC33" s="189" t="str">
        <f t="shared" si="22"/>
        <v/>
      </c>
      <c r="AD33" s="192" t="str">
        <f t="shared" si="23"/>
        <v/>
      </c>
      <c r="AE33" s="188"/>
      <c r="AF33" s="165"/>
      <c r="AG33" s="165"/>
      <c r="AH33" s="193"/>
      <c r="AI33" s="193"/>
      <c r="AJ33" s="165"/>
      <c r="AK33" s="194"/>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26.1" hidden="1" customHeight="1" x14ac:dyDescent="0.3">
      <c r="B34" s="347">
        <v>4</v>
      </c>
      <c r="C34" s="349"/>
      <c r="D34" s="349"/>
      <c r="E34" s="349"/>
      <c r="F34" s="349"/>
      <c r="G34" s="349"/>
      <c r="H34" s="351"/>
      <c r="I34" s="353" t="str">
        <f>IF(H34&lt;=0,"",IF(H34&lt;=2,"Muy Baja",IF(H34&lt;=24,"Baja",IF(H34&lt;=500,"Media",IF(H34&lt;=5000,"Alta","Muy Alta")))))</f>
        <v/>
      </c>
      <c r="J34" s="344" t="str">
        <f>IF(I34="","",IF(I34="Muy Baja",0.2,IF(I34="Baja",0.4,IF(I34="Media",0.6,IF(I34="Alta",0.8,IF(I34="Muy Alta",1,))))))</f>
        <v/>
      </c>
      <c r="K34" s="356"/>
      <c r="L34" s="344">
        <f>IF(NOT(ISERROR(MATCH(K34,'Tabla Impacto'!$B$222:$B$224,0))),'Tabla Impacto'!$F$224&amp;"Por favor no seleccionar los criterios de impacto(Afectación Económica o presupuestal y Pérdida Reputacional)",K34)</f>
        <v>0</v>
      </c>
      <c r="M34" s="353" t="str">
        <f>IF(OR(L34='Tabla Impacto'!$C$12,L34='Tabla Impacto'!$D$12),"Leve",IF(OR(L34='Tabla Impacto'!$C$13,L34='Tabla Impacto'!$D$13),"Menor",IF(OR(L34='Tabla Impacto'!$C$14,L34='Tabla Impacto'!$D$14),"Moderado",IF(OR(L34='Tabla Impacto'!$C$15,L34='Tabla Impacto'!$D$15),"Mayor",IF(OR(L34='Tabla Impacto'!$C$16,L34='Tabla Impacto'!$D$16),"Catastrófico","")))))</f>
        <v/>
      </c>
      <c r="N34" s="344" t="str">
        <f>IF(M34="","",IF(M34="Leve",0.2,IF(M34="Menor",0.4,IF(M34="Moderado",0.6,IF(M34="Mayor",0.8,IF(M34="Catastrófico",1,))))))</f>
        <v/>
      </c>
      <c r="O34" s="346" t="str">
        <f>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185">
        <v>1</v>
      </c>
      <c r="Q34" s="186"/>
      <c r="R34" s="187" t="str">
        <f>IF(OR(S34="Preventivo",S34="Detectivo"),"Probabilidad",IF(S34="Correctivo","Impacto",""))</f>
        <v/>
      </c>
      <c r="S34" s="188"/>
      <c r="T34" s="188"/>
      <c r="U34" s="189" t="str">
        <f>IF(AND(S34="Preventivo",T34="Automático"),"50%",IF(AND(S34="Preventivo",T34="Manual"),"40%",IF(AND(S34="Detectivo",T34="Automático"),"40%",IF(AND(S34="Detectivo",T34="Manual"),"30%",IF(AND(S34="Correctivo",T34="Automático"),"35%",IF(AND(S34="Correctivo",T34="Manual"),"25%",""))))))</f>
        <v/>
      </c>
      <c r="V34" s="188"/>
      <c r="W34" s="188"/>
      <c r="X34" s="188"/>
      <c r="Y34" s="190" t="str">
        <f>IFERROR(IF(R34="Probabilidad",(J34-(+J34*U34)),IF(R34="Impacto",J34,"")),"")</f>
        <v/>
      </c>
      <c r="Z34" s="191" t="str">
        <f>IFERROR(IF(Y34="","",IF(Y34&lt;=0.2,"Muy Baja",IF(Y34&lt;=0.4,"Baja",IF(Y34&lt;=0.6,"Media",IF(Y34&lt;=0.8,"Alta","Muy Alta"))))),"")</f>
        <v/>
      </c>
      <c r="AA34" s="189" t="str">
        <f>+Y34</f>
        <v/>
      </c>
      <c r="AB34" s="191" t="str">
        <f>IFERROR(IF(AC34="","",IF(AC34&lt;=0.2,"Leve",IF(AC34&lt;=0.4,"Menor",IF(AC34&lt;=0.6,"Moderado",IF(AC34&lt;=0.8,"Mayor","Catastrófico"))))),"")</f>
        <v/>
      </c>
      <c r="AC34" s="189" t="str">
        <f>IFERROR(IF(R34="Impacto",(N34-(+N34*U34)),IF(R34="Probabilidad",N34,"")),"")</f>
        <v/>
      </c>
      <c r="AD34" s="192"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188"/>
      <c r="AF34" s="165"/>
      <c r="AG34" s="165"/>
      <c r="AH34" s="193"/>
      <c r="AI34" s="193"/>
      <c r="AJ34" s="165"/>
      <c r="AK34" s="194"/>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26.1" hidden="1" customHeight="1" x14ac:dyDescent="0.3">
      <c r="B35" s="347"/>
      <c r="C35" s="349"/>
      <c r="D35" s="349"/>
      <c r="E35" s="349"/>
      <c r="F35" s="349"/>
      <c r="G35" s="349"/>
      <c r="H35" s="351"/>
      <c r="I35" s="353"/>
      <c r="J35" s="344"/>
      <c r="K35" s="356"/>
      <c r="L35" s="344">
        <f t="shared" ref="L35:L39" si="24">IF(NOT(ISERROR(MATCH(K35,_xlfn.ANCHORARRAY(F46),0))),J48&amp;"Por favor no seleccionar los criterios de impacto",K35)</f>
        <v>0</v>
      </c>
      <c r="M35" s="353"/>
      <c r="N35" s="344"/>
      <c r="O35" s="346"/>
      <c r="P35" s="185">
        <v>2</v>
      </c>
      <c r="Q35" s="186"/>
      <c r="R35" s="187" t="str">
        <f>IF(OR(S35="Preventivo",S35="Detectivo"),"Probabilidad",IF(S35="Correctivo","Impacto",""))</f>
        <v/>
      </c>
      <c r="S35" s="188"/>
      <c r="T35" s="188"/>
      <c r="U35" s="189" t="str">
        <f t="shared" ref="U35:U39" si="25">IF(AND(S35="Preventivo",T35="Automático"),"50%",IF(AND(S35="Preventivo",T35="Manual"),"40%",IF(AND(S35="Detectivo",T35="Automático"),"40%",IF(AND(S35="Detectivo",T35="Manual"),"30%",IF(AND(S35="Correctivo",T35="Automático"),"35%",IF(AND(S35="Correctivo",T35="Manual"),"25%",""))))))</f>
        <v/>
      </c>
      <c r="V35" s="188"/>
      <c r="W35" s="188"/>
      <c r="X35" s="188"/>
      <c r="Y35" s="190" t="str">
        <f>IFERROR(IF(AND(R34="Probabilidad",R35="Probabilidad"),(AA34-(+AA34*U35)),IF(R35="Probabilidad",(J34-(+J34*U35)),IF(R35="Impacto",AA34,""))),"")</f>
        <v/>
      </c>
      <c r="Z35" s="191" t="str">
        <f t="shared" si="2"/>
        <v/>
      </c>
      <c r="AA35" s="189" t="str">
        <f t="shared" ref="AA35:AA39" si="26">+Y35</f>
        <v/>
      </c>
      <c r="AB35" s="191" t="str">
        <f t="shared" si="4"/>
        <v/>
      </c>
      <c r="AC35" s="189" t="str">
        <f>IFERROR(IF(AND(R34="Impacto",R35="Impacto"),(AC28-(+AC28*U35)),IF(R35="Impacto",($N$34-(+$N$34*U35)),IF(R35="Probabilidad",AC28,""))),"")</f>
        <v/>
      </c>
      <c r="AD35" s="192" t="str">
        <f t="shared" ref="AD35:AD36" si="27">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188"/>
      <c r="AF35" s="165"/>
      <c r="AG35" s="165"/>
      <c r="AH35" s="193"/>
      <c r="AI35" s="193"/>
      <c r="AJ35" s="165"/>
      <c r="AK35" s="194"/>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26.1" hidden="1" customHeight="1" x14ac:dyDescent="0.3">
      <c r="B36" s="347"/>
      <c r="C36" s="349"/>
      <c r="D36" s="349"/>
      <c r="E36" s="349"/>
      <c r="F36" s="349"/>
      <c r="G36" s="349"/>
      <c r="H36" s="351"/>
      <c r="I36" s="353"/>
      <c r="J36" s="344"/>
      <c r="K36" s="356"/>
      <c r="L36" s="344">
        <f t="shared" si="24"/>
        <v>0</v>
      </c>
      <c r="M36" s="353"/>
      <c r="N36" s="344"/>
      <c r="O36" s="346"/>
      <c r="P36" s="185">
        <v>3</v>
      </c>
      <c r="Q36" s="195"/>
      <c r="R36" s="187" t="str">
        <f>IF(OR(S36="Preventivo",S36="Detectivo"),"Probabilidad",IF(S36="Correctivo","Impacto",""))</f>
        <v/>
      </c>
      <c r="S36" s="188"/>
      <c r="T36" s="188"/>
      <c r="U36" s="189" t="str">
        <f t="shared" si="25"/>
        <v/>
      </c>
      <c r="V36" s="188"/>
      <c r="W36" s="188"/>
      <c r="X36" s="188"/>
      <c r="Y36" s="190" t="str">
        <f>IFERROR(IF(AND(R35="Probabilidad",R36="Probabilidad"),(AA35-(+AA35*U36)),IF(AND(R35="Impacto",R36="Probabilidad"),(AA34-(+AA34*U36)),IF(R36="Impacto",AA35,""))),"")</f>
        <v/>
      </c>
      <c r="Z36" s="191" t="str">
        <f t="shared" si="2"/>
        <v/>
      </c>
      <c r="AA36" s="189" t="str">
        <f t="shared" si="26"/>
        <v/>
      </c>
      <c r="AB36" s="191" t="str">
        <f t="shared" si="4"/>
        <v/>
      </c>
      <c r="AC36" s="189" t="str">
        <f>IFERROR(IF(AND(R35="Impacto",R36="Impacto"),(AC35-(+AC35*U36)),IF(AND(R35="Probabilidad",R36="Impacto"),(AC34-(+AC34*U36)),IF(R36="Probabilidad",AC35,""))),"")</f>
        <v/>
      </c>
      <c r="AD36" s="192" t="str">
        <f t="shared" si="27"/>
        <v/>
      </c>
      <c r="AE36" s="188"/>
      <c r="AF36" s="165"/>
      <c r="AG36" s="165"/>
      <c r="AH36" s="193"/>
      <c r="AI36" s="193"/>
      <c r="AJ36" s="165"/>
      <c r="AK36" s="194"/>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26.1" hidden="1" customHeight="1" x14ac:dyDescent="0.3">
      <c r="B37" s="347"/>
      <c r="C37" s="349"/>
      <c r="D37" s="349"/>
      <c r="E37" s="349"/>
      <c r="F37" s="349"/>
      <c r="G37" s="349"/>
      <c r="H37" s="351"/>
      <c r="I37" s="353"/>
      <c r="J37" s="344"/>
      <c r="K37" s="356"/>
      <c r="L37" s="344">
        <f t="shared" si="24"/>
        <v>0</v>
      </c>
      <c r="M37" s="353"/>
      <c r="N37" s="344"/>
      <c r="O37" s="346"/>
      <c r="P37" s="185">
        <v>4</v>
      </c>
      <c r="Q37" s="186"/>
      <c r="R37" s="187" t="str">
        <f t="shared" ref="R37:R39" si="28">IF(OR(S37="Preventivo",S37="Detectivo"),"Probabilidad",IF(S37="Correctivo","Impacto",""))</f>
        <v/>
      </c>
      <c r="S37" s="188"/>
      <c r="T37" s="188"/>
      <c r="U37" s="189" t="str">
        <f t="shared" si="25"/>
        <v/>
      </c>
      <c r="V37" s="188"/>
      <c r="W37" s="188"/>
      <c r="X37" s="188"/>
      <c r="Y37" s="190" t="str">
        <f t="shared" ref="Y37:Y39" si="29">IFERROR(IF(AND(R36="Probabilidad",R37="Probabilidad"),(AA36-(+AA36*U37)),IF(AND(R36="Impacto",R37="Probabilidad"),(AA35-(+AA35*U37)),IF(R37="Impacto",AA36,""))),"")</f>
        <v/>
      </c>
      <c r="Z37" s="191" t="str">
        <f t="shared" si="2"/>
        <v/>
      </c>
      <c r="AA37" s="189" t="str">
        <f t="shared" si="26"/>
        <v/>
      </c>
      <c r="AB37" s="191" t="str">
        <f t="shared" si="4"/>
        <v/>
      </c>
      <c r="AC37" s="189" t="str">
        <f t="shared" ref="AC37:AC39" si="30">IFERROR(IF(AND(R36="Impacto",R37="Impacto"),(AC36-(+AC36*U37)),IF(AND(R36="Probabilidad",R37="Impacto"),(AC35-(+AC35*U37)),IF(R37="Probabilidad",AC36,""))),"")</f>
        <v/>
      </c>
      <c r="AD37" s="192"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188"/>
      <c r="AF37" s="165"/>
      <c r="AG37" s="165"/>
      <c r="AH37" s="193"/>
      <c r="AI37" s="193"/>
      <c r="AJ37" s="165"/>
      <c r="AK37" s="194"/>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26.1" hidden="1" customHeight="1" x14ac:dyDescent="0.3">
      <c r="B38" s="347"/>
      <c r="C38" s="349"/>
      <c r="D38" s="349"/>
      <c r="E38" s="349"/>
      <c r="F38" s="349"/>
      <c r="G38" s="349"/>
      <c r="H38" s="351"/>
      <c r="I38" s="353"/>
      <c r="J38" s="344"/>
      <c r="K38" s="356"/>
      <c r="L38" s="344">
        <f t="shared" si="24"/>
        <v>0</v>
      </c>
      <c r="M38" s="353"/>
      <c r="N38" s="344"/>
      <c r="O38" s="346"/>
      <c r="P38" s="185">
        <v>5</v>
      </c>
      <c r="Q38" s="186"/>
      <c r="R38" s="187" t="str">
        <f t="shared" si="28"/>
        <v/>
      </c>
      <c r="S38" s="188"/>
      <c r="T38" s="188"/>
      <c r="U38" s="189" t="str">
        <f t="shared" si="25"/>
        <v/>
      </c>
      <c r="V38" s="188"/>
      <c r="W38" s="188"/>
      <c r="X38" s="188"/>
      <c r="Y38" s="196" t="str">
        <f t="shared" si="29"/>
        <v/>
      </c>
      <c r="Z38" s="191" t="str">
        <f>IFERROR(IF(Y38="","",IF(Y38&lt;=0.2,"Muy Baja",IF(Y38&lt;=0.4,"Baja",IF(Y38&lt;=0.6,"Media",IF(Y38&lt;=0.8,"Alta","Muy Alta"))))),"")</f>
        <v/>
      </c>
      <c r="AA38" s="189" t="str">
        <f t="shared" si="26"/>
        <v/>
      </c>
      <c r="AB38" s="191" t="str">
        <f t="shared" si="4"/>
        <v/>
      </c>
      <c r="AC38" s="189" t="str">
        <f t="shared" si="30"/>
        <v/>
      </c>
      <c r="AD38" s="192" t="str">
        <f t="shared" ref="AD38:AD39" si="31">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188"/>
      <c r="AF38" s="165"/>
      <c r="AG38" s="165"/>
      <c r="AH38" s="193"/>
      <c r="AI38" s="193"/>
      <c r="AJ38" s="165"/>
      <c r="AK38" s="194"/>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26.1" hidden="1" customHeight="1" x14ac:dyDescent="0.3">
      <c r="B39" s="347"/>
      <c r="C39" s="349"/>
      <c r="D39" s="349"/>
      <c r="E39" s="349"/>
      <c r="F39" s="349"/>
      <c r="G39" s="349"/>
      <c r="H39" s="351"/>
      <c r="I39" s="353"/>
      <c r="J39" s="344"/>
      <c r="K39" s="356"/>
      <c r="L39" s="344">
        <f t="shared" si="24"/>
        <v>0</v>
      </c>
      <c r="M39" s="353"/>
      <c r="N39" s="344"/>
      <c r="O39" s="346"/>
      <c r="P39" s="185">
        <v>6</v>
      </c>
      <c r="Q39" s="186"/>
      <c r="R39" s="187" t="str">
        <f t="shared" si="28"/>
        <v/>
      </c>
      <c r="S39" s="188"/>
      <c r="T39" s="188"/>
      <c r="U39" s="189" t="str">
        <f t="shared" si="25"/>
        <v/>
      </c>
      <c r="V39" s="188"/>
      <c r="W39" s="188"/>
      <c r="X39" s="188"/>
      <c r="Y39" s="190" t="str">
        <f t="shared" si="29"/>
        <v/>
      </c>
      <c r="Z39" s="191" t="str">
        <f t="shared" si="2"/>
        <v/>
      </c>
      <c r="AA39" s="189" t="str">
        <f t="shared" si="26"/>
        <v/>
      </c>
      <c r="AB39" s="191" t="str">
        <f t="shared" si="4"/>
        <v/>
      </c>
      <c r="AC39" s="189" t="str">
        <f t="shared" si="30"/>
        <v/>
      </c>
      <c r="AD39" s="192" t="str">
        <f t="shared" si="31"/>
        <v/>
      </c>
      <c r="AE39" s="188"/>
      <c r="AF39" s="165"/>
      <c r="AG39" s="165"/>
      <c r="AH39" s="193"/>
      <c r="AI39" s="193"/>
      <c r="AJ39" s="165"/>
      <c r="AK39" s="194"/>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26.1" hidden="1" customHeight="1" x14ac:dyDescent="0.3">
      <c r="B40" s="347">
        <v>5</v>
      </c>
      <c r="C40" s="349"/>
      <c r="D40" s="349"/>
      <c r="E40" s="349"/>
      <c r="F40" s="349"/>
      <c r="G40" s="349"/>
      <c r="H40" s="351"/>
      <c r="I40" s="353" t="str">
        <f>IF(H40&lt;=0,"",IF(H40&lt;=2,"Muy Baja",IF(H40&lt;=24,"Baja",IF(H40&lt;=500,"Media",IF(H40&lt;=5000,"Alta","Muy Alta")))))</f>
        <v/>
      </c>
      <c r="J40" s="344" t="str">
        <f>IF(I40="","",IF(I40="Muy Baja",0.2,IF(I40="Baja",0.4,IF(I40="Media",0.6,IF(I40="Alta",0.8,IF(I40="Muy Alta",1,))))))</f>
        <v/>
      </c>
      <c r="K40" s="356"/>
      <c r="L40" s="344">
        <f>IF(NOT(ISERROR(MATCH(K40,'Tabla Impacto'!$B$222:$B$224,0))),'Tabla Impacto'!$F$224&amp;"Por favor no seleccionar los criterios de impacto(Afectación Económica o presupuestal y Pérdida Reputacional)",K40)</f>
        <v>0</v>
      </c>
      <c r="M40" s="353" t="str">
        <f>IF(OR(L40='Tabla Impacto'!$C$12,L40='Tabla Impacto'!$D$12),"Leve",IF(OR(L40='Tabla Impacto'!$C$13,L40='Tabla Impacto'!$D$13),"Menor",IF(OR(L40='Tabla Impacto'!$C$14,L40='Tabla Impacto'!$D$14),"Moderado",IF(OR(L40='Tabla Impacto'!$C$15,L40='Tabla Impacto'!$D$15),"Mayor",IF(OR(L40='Tabla Impacto'!$C$16,L40='Tabla Impacto'!$D$16),"Catastrófico","")))))</f>
        <v/>
      </c>
      <c r="N40" s="344" t="str">
        <f>IF(M40="","",IF(M40="Leve",0.2,IF(M40="Menor",0.4,IF(M40="Moderado",0.6,IF(M40="Mayor",0.8,IF(M40="Catastrófico",1,))))))</f>
        <v/>
      </c>
      <c r="O40" s="346"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85">
        <v>1</v>
      </c>
      <c r="Q40" s="186"/>
      <c r="R40" s="187" t="str">
        <f>IF(OR(S40="Preventivo",S40="Detectivo"),"Probabilidad",IF(S40="Correctivo","Impacto",""))</f>
        <v/>
      </c>
      <c r="S40" s="188"/>
      <c r="T40" s="188"/>
      <c r="U40" s="189" t="str">
        <f>IF(AND(S40="Preventivo",T40="Automático"),"50%",IF(AND(S40="Preventivo",T40="Manual"),"40%",IF(AND(S40="Detectivo",T40="Automático"),"40%",IF(AND(S40="Detectivo",T40="Manual"),"30%",IF(AND(S40="Correctivo",T40="Automático"),"35%",IF(AND(S40="Correctivo",T40="Manual"),"25%",""))))))</f>
        <v/>
      </c>
      <c r="V40" s="188"/>
      <c r="W40" s="188"/>
      <c r="X40" s="188"/>
      <c r="Y40" s="190" t="str">
        <f>IFERROR(IF(R40="Probabilidad",(J40-(+J40*U40)),IF(R40="Impacto",J40,"")),"")</f>
        <v/>
      </c>
      <c r="Z40" s="191" t="str">
        <f>IFERROR(IF(Y40="","",IF(Y40&lt;=0.2,"Muy Baja",IF(Y40&lt;=0.4,"Baja",IF(Y40&lt;=0.6,"Media",IF(Y40&lt;=0.8,"Alta","Muy Alta"))))),"")</f>
        <v/>
      </c>
      <c r="AA40" s="189" t="str">
        <f>+Y40</f>
        <v/>
      </c>
      <c r="AB40" s="191" t="str">
        <f>IFERROR(IF(AC40="","",IF(AC40&lt;=0.2,"Leve",IF(AC40&lt;=0.4,"Menor",IF(AC40&lt;=0.6,"Moderado",IF(AC40&lt;=0.8,"Mayor","Catastrófico"))))),"")</f>
        <v/>
      </c>
      <c r="AC40" s="189" t="str">
        <f>IFERROR(IF(R40="Impacto",(N40-(+N40*U40)),IF(R40="Probabilidad",N40,"")),"")</f>
        <v/>
      </c>
      <c r="AD40" s="192"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188"/>
      <c r="AF40" s="165"/>
      <c r="AG40" s="165"/>
      <c r="AH40" s="193"/>
      <c r="AI40" s="193"/>
      <c r="AJ40" s="165"/>
      <c r="AK40" s="194"/>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26.1" hidden="1" customHeight="1" x14ac:dyDescent="0.3">
      <c r="B41" s="347"/>
      <c r="C41" s="349"/>
      <c r="D41" s="349"/>
      <c r="E41" s="349"/>
      <c r="F41" s="349"/>
      <c r="G41" s="349"/>
      <c r="H41" s="351"/>
      <c r="I41" s="353"/>
      <c r="J41" s="344"/>
      <c r="K41" s="356"/>
      <c r="L41" s="344">
        <f t="shared" ref="L41:L45" si="32">IF(NOT(ISERROR(MATCH(K41,_xlfn.ANCHORARRAY(F52),0))),J54&amp;"Por favor no seleccionar los criterios de impacto",K41)</f>
        <v>0</v>
      </c>
      <c r="M41" s="353"/>
      <c r="N41" s="344"/>
      <c r="O41" s="346"/>
      <c r="P41" s="185">
        <v>2</v>
      </c>
      <c r="Q41" s="186"/>
      <c r="R41" s="187" t="str">
        <f>IF(OR(S41="Preventivo",S41="Detectivo"),"Probabilidad",IF(S41="Correctivo","Impacto",""))</f>
        <v/>
      </c>
      <c r="S41" s="188"/>
      <c r="T41" s="188"/>
      <c r="U41" s="189" t="str">
        <f t="shared" ref="U41:U45" si="33">IF(AND(S41="Preventivo",T41="Automático"),"50%",IF(AND(S41="Preventivo",T41="Manual"),"40%",IF(AND(S41="Detectivo",T41="Automático"),"40%",IF(AND(S41="Detectivo",T41="Manual"),"30%",IF(AND(S41="Correctivo",T41="Automático"),"35%",IF(AND(S41="Correctivo",T41="Manual"),"25%",""))))))</f>
        <v/>
      </c>
      <c r="V41" s="188"/>
      <c r="W41" s="188"/>
      <c r="X41" s="188"/>
      <c r="Y41" s="190" t="str">
        <f>IFERROR(IF(AND(R40="Probabilidad",R41="Probabilidad"),(AA40-(+AA40*U41)),IF(R41="Probabilidad",(J40-(+J40*U41)),IF(R41="Impacto",AA40,""))),"")</f>
        <v/>
      </c>
      <c r="Z41" s="191" t="str">
        <f t="shared" si="2"/>
        <v/>
      </c>
      <c r="AA41" s="189" t="str">
        <f t="shared" ref="AA41:AA45" si="34">+Y41</f>
        <v/>
      </c>
      <c r="AB41" s="191" t="str">
        <f t="shared" si="4"/>
        <v/>
      </c>
      <c r="AC41" s="189" t="str">
        <f>IFERROR(IF(AND(R40="Impacto",R41="Impacto"),(AC34-(+AC34*U41)),IF(R41="Impacto",($N$40-(+$N$40*U41)),IF(R41="Probabilidad",AC34,""))),"")</f>
        <v/>
      </c>
      <c r="AD41" s="192" t="str">
        <f t="shared" ref="AD41:AD42" si="35">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188"/>
      <c r="AF41" s="165"/>
      <c r="AG41" s="165"/>
      <c r="AH41" s="193"/>
      <c r="AI41" s="193"/>
      <c r="AJ41" s="165"/>
      <c r="AK41" s="194"/>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26.1" hidden="1" customHeight="1" x14ac:dyDescent="0.3">
      <c r="B42" s="347"/>
      <c r="C42" s="349"/>
      <c r="D42" s="349"/>
      <c r="E42" s="349"/>
      <c r="F42" s="349"/>
      <c r="G42" s="349"/>
      <c r="H42" s="351"/>
      <c r="I42" s="353"/>
      <c r="J42" s="344"/>
      <c r="K42" s="356"/>
      <c r="L42" s="344">
        <f t="shared" si="32"/>
        <v>0</v>
      </c>
      <c r="M42" s="353"/>
      <c r="N42" s="344"/>
      <c r="O42" s="346"/>
      <c r="P42" s="185">
        <v>3</v>
      </c>
      <c r="Q42" s="195"/>
      <c r="R42" s="187" t="str">
        <f>IF(OR(S42="Preventivo",S42="Detectivo"),"Probabilidad",IF(S42="Correctivo","Impacto",""))</f>
        <v/>
      </c>
      <c r="S42" s="188"/>
      <c r="T42" s="188"/>
      <c r="U42" s="189" t="str">
        <f t="shared" si="33"/>
        <v/>
      </c>
      <c r="V42" s="188"/>
      <c r="W42" s="188"/>
      <c r="X42" s="188"/>
      <c r="Y42" s="190" t="str">
        <f>IFERROR(IF(AND(R41="Probabilidad",R42="Probabilidad"),(AA41-(+AA41*U42)),IF(AND(R41="Impacto",R42="Probabilidad"),(AA40-(+AA40*U42)),IF(R42="Impacto",AA41,""))),"")</f>
        <v/>
      </c>
      <c r="Z42" s="191" t="str">
        <f t="shared" si="2"/>
        <v/>
      </c>
      <c r="AA42" s="189" t="str">
        <f t="shared" si="34"/>
        <v/>
      </c>
      <c r="AB42" s="191" t="str">
        <f t="shared" si="4"/>
        <v/>
      </c>
      <c r="AC42" s="189" t="str">
        <f>IFERROR(IF(AND(R41="Impacto",R42="Impacto"),(AC41-(+AC41*U42)),IF(AND(R41="Probabilidad",R42="Impacto"),(AC40-(+AC40*U42)),IF(R42="Probabilidad",AC41,""))),"")</f>
        <v/>
      </c>
      <c r="AD42" s="192" t="str">
        <f t="shared" si="35"/>
        <v/>
      </c>
      <c r="AE42" s="188"/>
      <c r="AF42" s="165"/>
      <c r="AG42" s="165"/>
      <c r="AH42" s="193"/>
      <c r="AI42" s="193"/>
      <c r="AJ42" s="165"/>
      <c r="AK42" s="194"/>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26.1" hidden="1" customHeight="1" x14ac:dyDescent="0.3">
      <c r="B43" s="347"/>
      <c r="C43" s="349"/>
      <c r="D43" s="349"/>
      <c r="E43" s="349"/>
      <c r="F43" s="349"/>
      <c r="G43" s="349"/>
      <c r="H43" s="351"/>
      <c r="I43" s="353"/>
      <c r="J43" s="344"/>
      <c r="K43" s="356"/>
      <c r="L43" s="344">
        <f t="shared" si="32"/>
        <v>0</v>
      </c>
      <c r="M43" s="353"/>
      <c r="N43" s="344"/>
      <c r="O43" s="346"/>
      <c r="P43" s="185">
        <v>4</v>
      </c>
      <c r="Q43" s="186"/>
      <c r="R43" s="187" t="str">
        <f t="shared" ref="R43:R45" si="36">IF(OR(S43="Preventivo",S43="Detectivo"),"Probabilidad",IF(S43="Correctivo","Impacto",""))</f>
        <v/>
      </c>
      <c r="S43" s="188"/>
      <c r="T43" s="188"/>
      <c r="U43" s="189" t="str">
        <f t="shared" si="33"/>
        <v/>
      </c>
      <c r="V43" s="188"/>
      <c r="W43" s="188"/>
      <c r="X43" s="188"/>
      <c r="Y43" s="190" t="str">
        <f t="shared" ref="Y43:Y45" si="37">IFERROR(IF(AND(R42="Probabilidad",R43="Probabilidad"),(AA42-(+AA42*U43)),IF(AND(R42="Impacto",R43="Probabilidad"),(AA41-(+AA41*U43)),IF(R43="Impacto",AA42,""))),"")</f>
        <v/>
      </c>
      <c r="Z43" s="191" t="str">
        <f t="shared" si="2"/>
        <v/>
      </c>
      <c r="AA43" s="189" t="str">
        <f t="shared" si="34"/>
        <v/>
      </c>
      <c r="AB43" s="191" t="str">
        <f t="shared" si="4"/>
        <v/>
      </c>
      <c r="AC43" s="189" t="str">
        <f t="shared" ref="AC43:AC45" si="38">IFERROR(IF(AND(R42="Impacto",R43="Impacto"),(AC42-(+AC42*U43)),IF(AND(R42="Probabilidad",R43="Impacto"),(AC41-(+AC41*U43)),IF(R43="Probabilidad",AC42,""))),"")</f>
        <v/>
      </c>
      <c r="AD43" s="192"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188"/>
      <c r="AF43" s="165"/>
      <c r="AG43" s="165"/>
      <c r="AH43" s="193"/>
      <c r="AI43" s="193"/>
      <c r="AJ43" s="165"/>
      <c r="AK43" s="194"/>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26.1" hidden="1" customHeight="1" x14ac:dyDescent="0.3">
      <c r="B44" s="347"/>
      <c r="C44" s="349"/>
      <c r="D44" s="349"/>
      <c r="E44" s="349"/>
      <c r="F44" s="349"/>
      <c r="G44" s="349"/>
      <c r="H44" s="351"/>
      <c r="I44" s="353"/>
      <c r="J44" s="344"/>
      <c r="K44" s="356"/>
      <c r="L44" s="344">
        <f t="shared" si="32"/>
        <v>0</v>
      </c>
      <c r="M44" s="353"/>
      <c r="N44" s="344"/>
      <c r="O44" s="346"/>
      <c r="P44" s="185">
        <v>5</v>
      </c>
      <c r="Q44" s="186"/>
      <c r="R44" s="187" t="str">
        <f t="shared" si="36"/>
        <v/>
      </c>
      <c r="S44" s="188"/>
      <c r="T44" s="188"/>
      <c r="U44" s="189" t="str">
        <f t="shared" si="33"/>
        <v/>
      </c>
      <c r="V44" s="188"/>
      <c r="W44" s="188"/>
      <c r="X44" s="188"/>
      <c r="Y44" s="190" t="str">
        <f t="shared" si="37"/>
        <v/>
      </c>
      <c r="Z44" s="191" t="str">
        <f t="shared" si="2"/>
        <v/>
      </c>
      <c r="AA44" s="189" t="str">
        <f t="shared" si="34"/>
        <v/>
      </c>
      <c r="AB44" s="191" t="str">
        <f t="shared" si="4"/>
        <v/>
      </c>
      <c r="AC44" s="189" t="str">
        <f t="shared" si="38"/>
        <v/>
      </c>
      <c r="AD44" s="192" t="str">
        <f t="shared" ref="AD44:AD45" si="39">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188"/>
      <c r="AF44" s="165"/>
      <c r="AG44" s="165"/>
      <c r="AH44" s="193"/>
      <c r="AI44" s="193"/>
      <c r="AJ44" s="165"/>
      <c r="AK44" s="194"/>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26.1" hidden="1" customHeight="1" x14ac:dyDescent="0.3">
      <c r="B45" s="347"/>
      <c r="C45" s="349"/>
      <c r="D45" s="349"/>
      <c r="E45" s="349"/>
      <c r="F45" s="349"/>
      <c r="G45" s="349"/>
      <c r="H45" s="351"/>
      <c r="I45" s="353"/>
      <c r="J45" s="344"/>
      <c r="K45" s="356"/>
      <c r="L45" s="344">
        <f t="shared" si="32"/>
        <v>0</v>
      </c>
      <c r="M45" s="353"/>
      <c r="N45" s="344"/>
      <c r="O45" s="346"/>
      <c r="P45" s="185">
        <v>6</v>
      </c>
      <c r="Q45" s="186"/>
      <c r="R45" s="187" t="str">
        <f t="shared" si="36"/>
        <v/>
      </c>
      <c r="S45" s="188"/>
      <c r="T45" s="188"/>
      <c r="U45" s="189" t="str">
        <f t="shared" si="33"/>
        <v/>
      </c>
      <c r="V45" s="188"/>
      <c r="W45" s="188"/>
      <c r="X45" s="188"/>
      <c r="Y45" s="190" t="str">
        <f t="shared" si="37"/>
        <v/>
      </c>
      <c r="Z45" s="191" t="str">
        <f t="shared" si="2"/>
        <v/>
      </c>
      <c r="AA45" s="189" t="str">
        <f t="shared" si="34"/>
        <v/>
      </c>
      <c r="AB45" s="191" t="str">
        <f t="shared" si="4"/>
        <v/>
      </c>
      <c r="AC45" s="189" t="str">
        <f t="shared" si="38"/>
        <v/>
      </c>
      <c r="AD45" s="192" t="str">
        <f t="shared" si="39"/>
        <v/>
      </c>
      <c r="AE45" s="188"/>
      <c r="AF45" s="165"/>
      <c r="AG45" s="165"/>
      <c r="AH45" s="193"/>
      <c r="AI45" s="193"/>
      <c r="AJ45" s="165"/>
      <c r="AK45" s="194"/>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26.1" hidden="1" customHeight="1" x14ac:dyDescent="0.3">
      <c r="B46" s="347">
        <v>6</v>
      </c>
      <c r="C46" s="349"/>
      <c r="D46" s="349"/>
      <c r="E46" s="349"/>
      <c r="F46" s="349"/>
      <c r="G46" s="349"/>
      <c r="H46" s="351"/>
      <c r="I46" s="353" t="str">
        <f>IF(H46&lt;=0,"",IF(H46&lt;=2,"Muy Baja",IF(H46&lt;=24,"Baja",IF(H46&lt;=500,"Media",IF(H46&lt;=5000,"Alta","Muy Alta")))))</f>
        <v/>
      </c>
      <c r="J46" s="344" t="str">
        <f>IF(I46="","",IF(I46="Muy Baja",0.2,IF(I46="Baja",0.4,IF(I46="Media",0.6,IF(I46="Alta",0.8,IF(I46="Muy Alta",1,))))))</f>
        <v/>
      </c>
      <c r="K46" s="356"/>
      <c r="L46" s="344">
        <f>IF(NOT(ISERROR(MATCH(K46,'Tabla Impacto'!$B$222:$B$224,0))),'Tabla Impacto'!$F$224&amp;"Por favor no seleccionar los criterios de impacto(Afectación Económica o presupuestal y Pérdida Reputacional)",K46)</f>
        <v>0</v>
      </c>
      <c r="M46" s="353" t="str">
        <f>IF(OR(L46='Tabla Impacto'!$C$12,L46='Tabla Impacto'!$D$12),"Leve",IF(OR(L46='Tabla Impacto'!$C$13,L46='Tabla Impacto'!$D$13),"Menor",IF(OR(L46='Tabla Impacto'!$C$14,L46='Tabla Impacto'!$D$14),"Moderado",IF(OR(L46='Tabla Impacto'!$C$15,L46='Tabla Impacto'!$D$15),"Mayor",IF(OR(L46='Tabla Impacto'!$C$16,L46='Tabla Impacto'!$D$16),"Catastrófico","")))))</f>
        <v/>
      </c>
      <c r="N46" s="344" t="str">
        <f>IF(M46="","",IF(M46="Leve",0.2,IF(M46="Menor",0.4,IF(M46="Moderado",0.6,IF(M46="Mayor",0.8,IF(M46="Catastrófico",1,))))))</f>
        <v/>
      </c>
      <c r="O46" s="346"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85">
        <v>1</v>
      </c>
      <c r="Q46" s="186"/>
      <c r="R46" s="187" t="str">
        <f>IF(OR(S46="Preventivo",S46="Detectivo"),"Probabilidad",IF(S46="Correctivo","Impacto",""))</f>
        <v/>
      </c>
      <c r="S46" s="188"/>
      <c r="T46" s="188"/>
      <c r="U46" s="189" t="str">
        <f>IF(AND(S46="Preventivo",T46="Automático"),"50%",IF(AND(S46="Preventivo",T46="Manual"),"40%",IF(AND(S46="Detectivo",T46="Automático"),"40%",IF(AND(S46="Detectivo",T46="Manual"),"30%",IF(AND(S46="Correctivo",T46="Automático"),"35%",IF(AND(S46="Correctivo",T46="Manual"),"25%",""))))))</f>
        <v/>
      </c>
      <c r="V46" s="188"/>
      <c r="W46" s="188"/>
      <c r="X46" s="188"/>
      <c r="Y46" s="190" t="str">
        <f>IFERROR(IF(R46="Probabilidad",(J46-(+J46*U46)),IF(R46="Impacto",J46,"")),"")</f>
        <v/>
      </c>
      <c r="Z46" s="191" t="str">
        <f>IFERROR(IF(Y46="","",IF(Y46&lt;=0.2,"Muy Baja",IF(Y46&lt;=0.4,"Baja",IF(Y46&lt;=0.6,"Media",IF(Y46&lt;=0.8,"Alta","Muy Alta"))))),"")</f>
        <v/>
      </c>
      <c r="AA46" s="189" t="str">
        <f>+Y46</f>
        <v/>
      </c>
      <c r="AB46" s="191" t="str">
        <f>IFERROR(IF(AC46="","",IF(AC46&lt;=0.2,"Leve",IF(AC46&lt;=0.4,"Menor",IF(AC46&lt;=0.6,"Moderado",IF(AC46&lt;=0.8,"Mayor","Catastrófico"))))),"")</f>
        <v/>
      </c>
      <c r="AC46" s="189" t="str">
        <f>IFERROR(IF(R46="Impacto",(N46-(+N46*U46)),IF(R46="Probabilidad",N46,"")),"")</f>
        <v/>
      </c>
      <c r="AD46" s="192"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188"/>
      <c r="AF46" s="165"/>
      <c r="AG46" s="165"/>
      <c r="AH46" s="193"/>
      <c r="AI46" s="193"/>
      <c r="AJ46" s="165"/>
      <c r="AK46" s="194"/>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26.1" hidden="1" customHeight="1" x14ac:dyDescent="0.3">
      <c r="B47" s="347"/>
      <c r="C47" s="349"/>
      <c r="D47" s="349"/>
      <c r="E47" s="349"/>
      <c r="F47" s="349"/>
      <c r="G47" s="349"/>
      <c r="H47" s="351"/>
      <c r="I47" s="353"/>
      <c r="J47" s="344"/>
      <c r="K47" s="356"/>
      <c r="L47" s="344">
        <f t="shared" ref="L47:L51" si="40">IF(NOT(ISERROR(MATCH(K47,_xlfn.ANCHORARRAY(F58),0))),J60&amp;"Por favor no seleccionar los criterios de impacto",K47)</f>
        <v>0</v>
      </c>
      <c r="M47" s="353"/>
      <c r="N47" s="344"/>
      <c r="O47" s="346"/>
      <c r="P47" s="185">
        <v>2</v>
      </c>
      <c r="Q47" s="186"/>
      <c r="R47" s="187" t="str">
        <f>IF(OR(S47="Preventivo",S47="Detectivo"),"Probabilidad",IF(S47="Correctivo","Impacto",""))</f>
        <v/>
      </c>
      <c r="S47" s="188"/>
      <c r="T47" s="188"/>
      <c r="U47" s="189" t="str">
        <f t="shared" ref="U47:U51" si="41">IF(AND(S47="Preventivo",T47="Automático"),"50%",IF(AND(S47="Preventivo",T47="Manual"),"40%",IF(AND(S47="Detectivo",T47="Automático"),"40%",IF(AND(S47="Detectivo",T47="Manual"),"30%",IF(AND(S47="Correctivo",T47="Automático"),"35%",IF(AND(S47="Correctivo",T47="Manual"),"25%",""))))))</f>
        <v/>
      </c>
      <c r="V47" s="188"/>
      <c r="W47" s="188"/>
      <c r="X47" s="188"/>
      <c r="Y47" s="190" t="str">
        <f>IFERROR(IF(AND(R46="Probabilidad",R47="Probabilidad"),(AA46-(+AA46*U47)),IF(R47="Probabilidad",(J46-(+J46*U47)),IF(R47="Impacto",AA46,""))),"")</f>
        <v/>
      </c>
      <c r="Z47" s="191" t="str">
        <f t="shared" si="2"/>
        <v/>
      </c>
      <c r="AA47" s="189" t="str">
        <f t="shared" ref="AA47:AA51" si="42">+Y47</f>
        <v/>
      </c>
      <c r="AB47" s="191" t="str">
        <f t="shared" si="4"/>
        <v/>
      </c>
      <c r="AC47" s="189" t="str">
        <f>IFERROR(IF(AND(R46="Impacto",R47="Impacto"),(AC40-(+AC40*U47)),IF(R47="Impacto",($N$46-(+$N$46*U47)),IF(R47="Probabilidad",AC40,""))),"")</f>
        <v/>
      </c>
      <c r="AD47" s="192" t="str">
        <f t="shared" ref="AD47:AD48" si="43">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188"/>
      <c r="AF47" s="165"/>
      <c r="AG47" s="165"/>
      <c r="AH47" s="193"/>
      <c r="AI47" s="193"/>
      <c r="AJ47" s="165"/>
      <c r="AK47" s="194"/>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26.1" hidden="1" customHeight="1" x14ac:dyDescent="0.3">
      <c r="B48" s="347"/>
      <c r="C48" s="349"/>
      <c r="D48" s="349"/>
      <c r="E48" s="349"/>
      <c r="F48" s="349"/>
      <c r="G48" s="349"/>
      <c r="H48" s="351"/>
      <c r="I48" s="353"/>
      <c r="J48" s="344"/>
      <c r="K48" s="356"/>
      <c r="L48" s="344">
        <f t="shared" si="40"/>
        <v>0</v>
      </c>
      <c r="M48" s="353"/>
      <c r="N48" s="344"/>
      <c r="O48" s="346"/>
      <c r="P48" s="185">
        <v>3</v>
      </c>
      <c r="Q48" s="195"/>
      <c r="R48" s="187" t="str">
        <f>IF(OR(S48="Preventivo",S48="Detectivo"),"Probabilidad",IF(S48="Correctivo","Impacto",""))</f>
        <v/>
      </c>
      <c r="S48" s="188"/>
      <c r="T48" s="188"/>
      <c r="U48" s="189" t="str">
        <f t="shared" si="41"/>
        <v/>
      </c>
      <c r="V48" s="188"/>
      <c r="W48" s="188"/>
      <c r="X48" s="188"/>
      <c r="Y48" s="190" t="str">
        <f>IFERROR(IF(AND(R47="Probabilidad",R48="Probabilidad"),(AA47-(+AA47*U48)),IF(AND(R47="Impacto",R48="Probabilidad"),(AA46-(+AA46*U48)),IF(R48="Impacto",AA47,""))),"")</f>
        <v/>
      </c>
      <c r="Z48" s="191" t="str">
        <f t="shared" si="2"/>
        <v/>
      </c>
      <c r="AA48" s="189" t="str">
        <f t="shared" si="42"/>
        <v/>
      </c>
      <c r="AB48" s="191" t="str">
        <f t="shared" si="4"/>
        <v/>
      </c>
      <c r="AC48" s="189" t="str">
        <f>IFERROR(IF(AND(R47="Impacto",R48="Impacto"),(AC47-(+AC47*U48)),IF(AND(R47="Probabilidad",R48="Impacto"),(AC46-(+AC46*U48)),IF(R48="Probabilidad",AC47,""))),"")</f>
        <v/>
      </c>
      <c r="AD48" s="192" t="str">
        <f t="shared" si="43"/>
        <v/>
      </c>
      <c r="AE48" s="188"/>
      <c r="AF48" s="165"/>
      <c r="AG48" s="165"/>
      <c r="AH48" s="193"/>
      <c r="AI48" s="193"/>
      <c r="AJ48" s="165"/>
      <c r="AK48" s="194"/>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26.1" hidden="1" customHeight="1" x14ac:dyDescent="0.3">
      <c r="B49" s="347"/>
      <c r="C49" s="349"/>
      <c r="D49" s="349"/>
      <c r="E49" s="349"/>
      <c r="F49" s="349"/>
      <c r="G49" s="349"/>
      <c r="H49" s="351"/>
      <c r="I49" s="353"/>
      <c r="J49" s="344"/>
      <c r="K49" s="356"/>
      <c r="L49" s="344">
        <f t="shared" si="40"/>
        <v>0</v>
      </c>
      <c r="M49" s="353"/>
      <c r="N49" s="344"/>
      <c r="O49" s="346"/>
      <c r="P49" s="185">
        <v>4</v>
      </c>
      <c r="Q49" s="186"/>
      <c r="R49" s="187" t="str">
        <f t="shared" ref="R49:R51" si="44">IF(OR(S49="Preventivo",S49="Detectivo"),"Probabilidad",IF(S49="Correctivo","Impacto",""))</f>
        <v/>
      </c>
      <c r="S49" s="188"/>
      <c r="T49" s="188"/>
      <c r="U49" s="189" t="str">
        <f t="shared" si="41"/>
        <v/>
      </c>
      <c r="V49" s="188"/>
      <c r="W49" s="188"/>
      <c r="X49" s="188"/>
      <c r="Y49" s="190" t="str">
        <f t="shared" ref="Y49:Y51" si="45">IFERROR(IF(AND(R48="Probabilidad",R49="Probabilidad"),(AA48-(+AA48*U49)),IF(AND(R48="Impacto",R49="Probabilidad"),(AA47-(+AA47*U49)),IF(R49="Impacto",AA48,""))),"")</f>
        <v/>
      </c>
      <c r="Z49" s="191" t="str">
        <f t="shared" si="2"/>
        <v/>
      </c>
      <c r="AA49" s="189" t="str">
        <f t="shared" si="42"/>
        <v/>
      </c>
      <c r="AB49" s="191" t="str">
        <f t="shared" si="4"/>
        <v/>
      </c>
      <c r="AC49" s="189" t="str">
        <f t="shared" ref="AC49:AC51" si="46">IFERROR(IF(AND(R48="Impacto",R49="Impacto"),(AC48-(+AC48*U49)),IF(AND(R48="Probabilidad",R49="Impacto"),(AC47-(+AC47*U49)),IF(R49="Probabilidad",AC48,""))),"")</f>
        <v/>
      </c>
      <c r="AD49" s="192"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188"/>
      <c r="AF49" s="165"/>
      <c r="AG49" s="165"/>
      <c r="AH49" s="193"/>
      <c r="AI49" s="193"/>
      <c r="AJ49" s="165"/>
      <c r="AK49" s="194"/>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26.1" hidden="1" customHeight="1" x14ac:dyDescent="0.3">
      <c r="B50" s="347"/>
      <c r="C50" s="349"/>
      <c r="D50" s="349"/>
      <c r="E50" s="349"/>
      <c r="F50" s="349"/>
      <c r="G50" s="349"/>
      <c r="H50" s="351"/>
      <c r="I50" s="353"/>
      <c r="J50" s="344"/>
      <c r="K50" s="356"/>
      <c r="L50" s="344">
        <f t="shared" si="40"/>
        <v>0</v>
      </c>
      <c r="M50" s="353"/>
      <c r="N50" s="344"/>
      <c r="O50" s="346"/>
      <c r="P50" s="185">
        <v>5</v>
      </c>
      <c r="Q50" s="186"/>
      <c r="R50" s="187" t="str">
        <f t="shared" si="44"/>
        <v/>
      </c>
      <c r="S50" s="188"/>
      <c r="T50" s="188"/>
      <c r="U50" s="189" t="str">
        <f t="shared" si="41"/>
        <v/>
      </c>
      <c r="V50" s="188"/>
      <c r="W50" s="188"/>
      <c r="X50" s="188"/>
      <c r="Y50" s="190" t="str">
        <f t="shared" si="45"/>
        <v/>
      </c>
      <c r="Z50" s="191" t="str">
        <f t="shared" si="2"/>
        <v/>
      </c>
      <c r="AA50" s="189" t="str">
        <f t="shared" si="42"/>
        <v/>
      </c>
      <c r="AB50" s="191" t="str">
        <f t="shared" si="4"/>
        <v/>
      </c>
      <c r="AC50" s="189" t="str">
        <f t="shared" si="46"/>
        <v/>
      </c>
      <c r="AD50" s="192" t="str">
        <f t="shared" ref="AD50" si="47">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188"/>
      <c r="AF50" s="165"/>
      <c r="AG50" s="165"/>
      <c r="AH50" s="193"/>
      <c r="AI50" s="193"/>
      <c r="AJ50" s="165"/>
      <c r="AK50" s="194"/>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26.1" hidden="1" customHeight="1" x14ac:dyDescent="0.3">
      <c r="B51" s="347"/>
      <c r="C51" s="349"/>
      <c r="D51" s="349"/>
      <c r="E51" s="349"/>
      <c r="F51" s="349"/>
      <c r="G51" s="349"/>
      <c r="H51" s="351"/>
      <c r="I51" s="353"/>
      <c r="J51" s="344"/>
      <c r="K51" s="356"/>
      <c r="L51" s="344">
        <f t="shared" si="40"/>
        <v>0</v>
      </c>
      <c r="M51" s="353"/>
      <c r="N51" s="344"/>
      <c r="O51" s="346"/>
      <c r="P51" s="185">
        <v>6</v>
      </c>
      <c r="Q51" s="186"/>
      <c r="R51" s="187" t="str">
        <f t="shared" si="44"/>
        <v/>
      </c>
      <c r="S51" s="188"/>
      <c r="T51" s="188"/>
      <c r="U51" s="189" t="str">
        <f t="shared" si="41"/>
        <v/>
      </c>
      <c r="V51" s="188"/>
      <c r="W51" s="188"/>
      <c r="X51" s="188"/>
      <c r="Y51" s="190" t="str">
        <f t="shared" si="45"/>
        <v/>
      </c>
      <c r="Z51" s="191" t="str">
        <f t="shared" si="2"/>
        <v/>
      </c>
      <c r="AA51" s="189" t="str">
        <f t="shared" si="42"/>
        <v/>
      </c>
      <c r="AB51" s="191" t="str">
        <f>IFERROR(IF(AC51="","",IF(AC51&lt;=0.2,"Leve",IF(AC51&lt;=0.4,"Menor",IF(AC51&lt;=0.6,"Moderado",IF(AC51&lt;=0.8,"Mayor","Catastrófico"))))),"")</f>
        <v/>
      </c>
      <c r="AC51" s="189" t="str">
        <f t="shared" si="46"/>
        <v/>
      </c>
      <c r="AD51" s="192"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188"/>
      <c r="AF51" s="165"/>
      <c r="AG51" s="165"/>
      <c r="AH51" s="193"/>
      <c r="AI51" s="193"/>
      <c r="AJ51" s="165"/>
      <c r="AK51" s="194"/>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26.1" hidden="1" customHeight="1" x14ac:dyDescent="0.3">
      <c r="B52" s="347">
        <v>7</v>
      </c>
      <c r="C52" s="349"/>
      <c r="D52" s="349"/>
      <c r="E52" s="349"/>
      <c r="F52" s="349"/>
      <c r="G52" s="349"/>
      <c r="H52" s="351"/>
      <c r="I52" s="353" t="str">
        <f>IF(H52&lt;=0,"",IF(H52&lt;=2,"Muy Baja",IF(H52&lt;=24,"Baja",IF(H52&lt;=500,"Media",IF(H52&lt;=5000,"Alta","Muy Alta")))))</f>
        <v/>
      </c>
      <c r="J52" s="344" t="str">
        <f>IF(I52="","",IF(I52="Muy Baja",0.2,IF(I52="Baja",0.4,IF(I52="Media",0.6,IF(I52="Alta",0.8,IF(I52="Muy Alta",1,))))))</f>
        <v/>
      </c>
      <c r="K52" s="356"/>
      <c r="L52" s="344">
        <f>IF(NOT(ISERROR(MATCH(K52,'Tabla Impacto'!$B$222:$B$224,0))),'Tabla Impacto'!$F$224&amp;"Por favor no seleccionar los criterios de impacto(Afectación Económica o presupuestal y Pérdida Reputacional)",K52)</f>
        <v>0</v>
      </c>
      <c r="M52" s="353" t="str">
        <f>IF(OR(L52='Tabla Impacto'!$C$12,L52='Tabla Impacto'!$D$12),"Leve",IF(OR(L52='Tabla Impacto'!$C$13,L52='Tabla Impacto'!$D$13),"Menor",IF(OR(L52='Tabla Impacto'!$C$14,L52='Tabla Impacto'!$D$14),"Moderado",IF(OR(L52='Tabla Impacto'!$C$15,L52='Tabla Impacto'!$D$15),"Mayor",IF(OR(L52='Tabla Impacto'!$C$16,L52='Tabla Impacto'!$D$16),"Catastrófico","")))))</f>
        <v/>
      </c>
      <c r="N52" s="344" t="str">
        <f>IF(M52="","",IF(M52="Leve",0.2,IF(M52="Menor",0.4,IF(M52="Moderado",0.6,IF(M52="Mayor",0.8,IF(M52="Catastrófico",1,))))))</f>
        <v/>
      </c>
      <c r="O52" s="346"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85">
        <v>1</v>
      </c>
      <c r="Q52" s="186"/>
      <c r="R52" s="187" t="str">
        <f>IF(OR(S52="Preventivo",S52="Detectivo"),"Probabilidad",IF(S52="Correctivo","Impacto",""))</f>
        <v/>
      </c>
      <c r="S52" s="188"/>
      <c r="T52" s="188"/>
      <c r="U52" s="189" t="str">
        <f>IF(AND(S52="Preventivo",T52="Automático"),"50%",IF(AND(S52="Preventivo",T52="Manual"),"40%",IF(AND(S52="Detectivo",T52="Automático"),"40%",IF(AND(S52="Detectivo",T52="Manual"),"30%",IF(AND(S52="Correctivo",T52="Automático"),"35%",IF(AND(S52="Correctivo",T52="Manual"),"25%",""))))))</f>
        <v/>
      </c>
      <c r="V52" s="188"/>
      <c r="W52" s="188"/>
      <c r="X52" s="188"/>
      <c r="Y52" s="190" t="str">
        <f>IFERROR(IF(R52="Probabilidad",(J52-(+J52*U52)),IF(R52="Impacto",J52,"")),"")</f>
        <v/>
      </c>
      <c r="Z52" s="191" t="str">
        <f>IFERROR(IF(Y52="","",IF(Y52&lt;=0.2,"Muy Baja",IF(Y52&lt;=0.4,"Baja",IF(Y52&lt;=0.6,"Media",IF(Y52&lt;=0.8,"Alta","Muy Alta"))))),"")</f>
        <v/>
      </c>
      <c r="AA52" s="189" t="str">
        <f>+Y52</f>
        <v/>
      </c>
      <c r="AB52" s="191" t="str">
        <f>IFERROR(IF(AC52="","",IF(AC52&lt;=0.2,"Leve",IF(AC52&lt;=0.4,"Menor",IF(AC52&lt;=0.6,"Moderado",IF(AC52&lt;=0.8,"Mayor","Catastrófico"))))),"")</f>
        <v/>
      </c>
      <c r="AC52" s="189" t="str">
        <f>IFERROR(IF(R52="Impacto",(N52-(+N52*U52)),IF(R52="Probabilidad",N52,"")),"")</f>
        <v/>
      </c>
      <c r="AD52" s="192"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188"/>
      <c r="AF52" s="165"/>
      <c r="AG52" s="165"/>
      <c r="AH52" s="193"/>
      <c r="AI52" s="193"/>
      <c r="AJ52" s="165"/>
      <c r="AK52" s="194"/>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26.1" hidden="1" customHeight="1" x14ac:dyDescent="0.3">
      <c r="B53" s="347"/>
      <c r="C53" s="349"/>
      <c r="D53" s="349"/>
      <c r="E53" s="349"/>
      <c r="F53" s="349"/>
      <c r="G53" s="349"/>
      <c r="H53" s="351"/>
      <c r="I53" s="353"/>
      <c r="J53" s="344"/>
      <c r="K53" s="356"/>
      <c r="L53" s="344">
        <f t="shared" ref="L53:L57" si="48">IF(NOT(ISERROR(MATCH(K53,_xlfn.ANCHORARRAY(F64),0))),J66&amp;"Por favor no seleccionar los criterios de impacto",K53)</f>
        <v>0</v>
      </c>
      <c r="M53" s="353"/>
      <c r="N53" s="344"/>
      <c r="O53" s="346"/>
      <c r="P53" s="185">
        <v>2</v>
      </c>
      <c r="Q53" s="186"/>
      <c r="R53" s="187" t="str">
        <f>IF(OR(S53="Preventivo",S53="Detectivo"),"Probabilidad",IF(S53="Correctivo","Impacto",""))</f>
        <v/>
      </c>
      <c r="S53" s="188"/>
      <c r="T53" s="188"/>
      <c r="U53" s="189" t="str">
        <f t="shared" ref="U53:U57" si="49">IF(AND(S53="Preventivo",T53="Automático"),"50%",IF(AND(S53="Preventivo",T53="Manual"),"40%",IF(AND(S53="Detectivo",T53="Automático"),"40%",IF(AND(S53="Detectivo",T53="Manual"),"30%",IF(AND(S53="Correctivo",T53="Automático"),"35%",IF(AND(S53="Correctivo",T53="Manual"),"25%",""))))))</f>
        <v/>
      </c>
      <c r="V53" s="188"/>
      <c r="W53" s="188"/>
      <c r="X53" s="188"/>
      <c r="Y53" s="190" t="str">
        <f>IFERROR(IF(AND(R52="Probabilidad",R53="Probabilidad"),(AA52-(+AA52*U53)),IF(R53="Probabilidad",(J52-(+J52*U53)),IF(R53="Impacto",AA52,""))),"")</f>
        <v/>
      </c>
      <c r="Z53" s="191" t="str">
        <f t="shared" si="2"/>
        <v/>
      </c>
      <c r="AA53" s="189" t="str">
        <f t="shared" ref="AA53:AA57" si="50">+Y53</f>
        <v/>
      </c>
      <c r="AB53" s="191" t="str">
        <f t="shared" si="4"/>
        <v/>
      </c>
      <c r="AC53" s="189" t="str">
        <f>IFERROR(IF(AND(R52="Impacto",R53="Impacto"),(AC46-(+AC46*U53)),IF(R53="Impacto",($N$52-(+$N$52*U53)),IF(R53="Probabilidad",AC46,""))),"")</f>
        <v/>
      </c>
      <c r="AD53" s="192" t="str">
        <f t="shared" ref="AD53:AD54" si="51">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188"/>
      <c r="AF53" s="165"/>
      <c r="AG53" s="165"/>
      <c r="AH53" s="193"/>
      <c r="AI53" s="193"/>
      <c r="AJ53" s="165"/>
      <c r="AK53" s="194"/>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26.1" hidden="1" customHeight="1" x14ac:dyDescent="0.3">
      <c r="B54" s="347"/>
      <c r="C54" s="349"/>
      <c r="D54" s="349"/>
      <c r="E54" s="349"/>
      <c r="F54" s="349"/>
      <c r="G54" s="349"/>
      <c r="H54" s="351"/>
      <c r="I54" s="353"/>
      <c r="J54" s="344"/>
      <c r="K54" s="356"/>
      <c r="L54" s="344">
        <f t="shared" si="48"/>
        <v>0</v>
      </c>
      <c r="M54" s="353"/>
      <c r="N54" s="344"/>
      <c r="O54" s="346"/>
      <c r="P54" s="185">
        <v>3</v>
      </c>
      <c r="Q54" s="195"/>
      <c r="R54" s="187" t="str">
        <f>IF(OR(S54="Preventivo",S54="Detectivo"),"Probabilidad",IF(S54="Correctivo","Impacto",""))</f>
        <v/>
      </c>
      <c r="S54" s="188"/>
      <c r="T54" s="188"/>
      <c r="U54" s="189" t="str">
        <f t="shared" si="49"/>
        <v/>
      </c>
      <c r="V54" s="188"/>
      <c r="W54" s="188"/>
      <c r="X54" s="188"/>
      <c r="Y54" s="190" t="str">
        <f>IFERROR(IF(AND(R53="Probabilidad",R54="Probabilidad"),(AA53-(+AA53*U54)),IF(AND(R53="Impacto",R54="Probabilidad"),(AA52-(+AA52*U54)),IF(R54="Impacto",AA53,""))),"")</f>
        <v/>
      </c>
      <c r="Z54" s="191" t="str">
        <f t="shared" si="2"/>
        <v/>
      </c>
      <c r="AA54" s="189" t="str">
        <f t="shared" si="50"/>
        <v/>
      </c>
      <c r="AB54" s="191" t="str">
        <f t="shared" si="4"/>
        <v/>
      </c>
      <c r="AC54" s="189" t="str">
        <f>IFERROR(IF(AND(R53="Impacto",R54="Impacto"),(AC53-(+AC53*U54)),IF(AND(R53="Probabilidad",R54="Impacto"),(AC52-(+AC52*U54)),IF(R54="Probabilidad",AC53,""))),"")</f>
        <v/>
      </c>
      <c r="AD54" s="192" t="str">
        <f t="shared" si="51"/>
        <v/>
      </c>
      <c r="AE54" s="188"/>
      <c r="AF54" s="165"/>
      <c r="AG54" s="165"/>
      <c r="AH54" s="193"/>
      <c r="AI54" s="193"/>
      <c r="AJ54" s="165"/>
      <c r="AK54" s="194"/>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26.1" hidden="1" customHeight="1" x14ac:dyDescent="0.3">
      <c r="B55" s="347"/>
      <c r="C55" s="349"/>
      <c r="D55" s="349"/>
      <c r="E55" s="349"/>
      <c r="F55" s="349"/>
      <c r="G55" s="349"/>
      <c r="H55" s="351"/>
      <c r="I55" s="353"/>
      <c r="J55" s="344"/>
      <c r="K55" s="356"/>
      <c r="L55" s="344">
        <f t="shared" si="48"/>
        <v>0</v>
      </c>
      <c r="M55" s="353"/>
      <c r="N55" s="344"/>
      <c r="O55" s="346"/>
      <c r="P55" s="185">
        <v>4</v>
      </c>
      <c r="Q55" s="186"/>
      <c r="R55" s="187" t="str">
        <f t="shared" ref="R55:R57" si="52">IF(OR(S55="Preventivo",S55="Detectivo"),"Probabilidad",IF(S55="Correctivo","Impacto",""))</f>
        <v/>
      </c>
      <c r="S55" s="188"/>
      <c r="T55" s="188"/>
      <c r="U55" s="189" t="str">
        <f t="shared" si="49"/>
        <v/>
      </c>
      <c r="V55" s="188"/>
      <c r="W55" s="188"/>
      <c r="X55" s="188"/>
      <c r="Y55" s="190" t="str">
        <f t="shared" ref="Y55:Y57" si="53">IFERROR(IF(AND(R54="Probabilidad",R55="Probabilidad"),(AA54-(+AA54*U55)),IF(AND(R54="Impacto",R55="Probabilidad"),(AA53-(+AA53*U55)),IF(R55="Impacto",AA54,""))),"")</f>
        <v/>
      </c>
      <c r="Z55" s="191" t="str">
        <f t="shared" si="2"/>
        <v/>
      </c>
      <c r="AA55" s="189" t="str">
        <f t="shared" si="50"/>
        <v/>
      </c>
      <c r="AB55" s="191" t="str">
        <f t="shared" si="4"/>
        <v/>
      </c>
      <c r="AC55" s="189" t="str">
        <f t="shared" ref="AC55:AC57" si="54">IFERROR(IF(AND(R54="Impacto",R55="Impacto"),(AC54-(+AC54*U55)),IF(AND(R54="Probabilidad",R55="Impacto"),(AC53-(+AC53*U55)),IF(R55="Probabilidad",AC54,""))),"")</f>
        <v/>
      </c>
      <c r="AD55" s="192"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188"/>
      <c r="AF55" s="165"/>
      <c r="AG55" s="165"/>
      <c r="AH55" s="193"/>
      <c r="AI55" s="193"/>
      <c r="AJ55" s="165"/>
      <c r="AK55" s="194"/>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26.1" hidden="1" customHeight="1" x14ac:dyDescent="0.3">
      <c r="B56" s="347"/>
      <c r="C56" s="349"/>
      <c r="D56" s="349"/>
      <c r="E56" s="349"/>
      <c r="F56" s="349"/>
      <c r="G56" s="349"/>
      <c r="H56" s="351"/>
      <c r="I56" s="353"/>
      <c r="J56" s="344"/>
      <c r="K56" s="356"/>
      <c r="L56" s="344">
        <f t="shared" si="48"/>
        <v>0</v>
      </c>
      <c r="M56" s="353"/>
      <c r="N56" s="344"/>
      <c r="O56" s="346"/>
      <c r="P56" s="185">
        <v>5</v>
      </c>
      <c r="Q56" s="186"/>
      <c r="R56" s="187" t="str">
        <f t="shared" si="52"/>
        <v/>
      </c>
      <c r="S56" s="188"/>
      <c r="T56" s="188"/>
      <c r="U56" s="189" t="str">
        <f t="shared" si="49"/>
        <v/>
      </c>
      <c r="V56" s="188"/>
      <c r="W56" s="188"/>
      <c r="X56" s="188"/>
      <c r="Y56" s="190" t="str">
        <f t="shared" si="53"/>
        <v/>
      </c>
      <c r="Z56" s="191" t="str">
        <f t="shared" si="2"/>
        <v/>
      </c>
      <c r="AA56" s="189" t="str">
        <f t="shared" si="50"/>
        <v/>
      </c>
      <c r="AB56" s="191" t="str">
        <f t="shared" si="4"/>
        <v/>
      </c>
      <c r="AC56" s="189" t="str">
        <f t="shared" si="54"/>
        <v/>
      </c>
      <c r="AD56" s="192" t="str">
        <f t="shared" ref="AD56:AD57" si="55">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188"/>
      <c r="AF56" s="165"/>
      <c r="AG56" s="165"/>
      <c r="AH56" s="193"/>
      <c r="AI56" s="193"/>
      <c r="AJ56" s="165"/>
      <c r="AK56" s="194"/>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26.1" hidden="1" customHeight="1" x14ac:dyDescent="0.3">
      <c r="B57" s="347"/>
      <c r="C57" s="349"/>
      <c r="D57" s="349"/>
      <c r="E57" s="349"/>
      <c r="F57" s="349"/>
      <c r="G57" s="349"/>
      <c r="H57" s="351"/>
      <c r="I57" s="353"/>
      <c r="J57" s="344"/>
      <c r="K57" s="356"/>
      <c r="L57" s="344">
        <f t="shared" si="48"/>
        <v>0</v>
      </c>
      <c r="M57" s="353"/>
      <c r="N57" s="344"/>
      <c r="O57" s="346"/>
      <c r="P57" s="185">
        <v>6</v>
      </c>
      <c r="Q57" s="186"/>
      <c r="R57" s="187" t="str">
        <f t="shared" si="52"/>
        <v/>
      </c>
      <c r="S57" s="188"/>
      <c r="T57" s="188"/>
      <c r="U57" s="189" t="str">
        <f t="shared" si="49"/>
        <v/>
      </c>
      <c r="V57" s="188"/>
      <c r="W57" s="188"/>
      <c r="X57" s="188"/>
      <c r="Y57" s="190" t="str">
        <f t="shared" si="53"/>
        <v/>
      </c>
      <c r="Z57" s="191" t="str">
        <f t="shared" si="2"/>
        <v/>
      </c>
      <c r="AA57" s="189" t="str">
        <f t="shared" si="50"/>
        <v/>
      </c>
      <c r="AB57" s="191" t="str">
        <f t="shared" si="4"/>
        <v/>
      </c>
      <c r="AC57" s="189" t="str">
        <f t="shared" si="54"/>
        <v/>
      </c>
      <c r="AD57" s="192" t="str">
        <f t="shared" si="55"/>
        <v/>
      </c>
      <c r="AE57" s="188"/>
      <c r="AF57" s="165"/>
      <c r="AG57" s="165"/>
      <c r="AH57" s="193"/>
      <c r="AI57" s="193"/>
      <c r="AJ57" s="165"/>
      <c r="AK57" s="194"/>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26.1" hidden="1" customHeight="1" x14ac:dyDescent="0.3">
      <c r="B58" s="347">
        <v>8</v>
      </c>
      <c r="C58" s="349"/>
      <c r="D58" s="349"/>
      <c r="E58" s="349"/>
      <c r="F58" s="349"/>
      <c r="G58" s="349"/>
      <c r="H58" s="351"/>
      <c r="I58" s="353" t="str">
        <f>IF(H58&lt;=0,"",IF(H58&lt;=2,"Muy Baja",IF(H58&lt;=24,"Baja",IF(H58&lt;=500,"Media",IF(H58&lt;=5000,"Alta","Muy Alta")))))</f>
        <v/>
      </c>
      <c r="J58" s="344" t="str">
        <f>IF(I58="","",IF(I58="Muy Baja",0.2,IF(I58="Baja",0.4,IF(I58="Media",0.6,IF(I58="Alta",0.8,IF(I58="Muy Alta",1,))))))</f>
        <v/>
      </c>
      <c r="K58" s="356"/>
      <c r="L58" s="344">
        <f>IF(NOT(ISERROR(MATCH(K58,'Tabla Impacto'!$B$222:$B$224,0))),'Tabla Impacto'!$F$224&amp;"Por favor no seleccionar los criterios de impacto(Afectación Económica o presupuestal y Pérdida Reputacional)",K58)</f>
        <v>0</v>
      </c>
      <c r="M58" s="353" t="str">
        <f>IF(OR(L58='Tabla Impacto'!$C$12,L58='Tabla Impacto'!$D$12),"Leve",IF(OR(L58='Tabla Impacto'!$C$13,L58='Tabla Impacto'!$D$13),"Menor",IF(OR(L58='Tabla Impacto'!$C$14,L58='Tabla Impacto'!$D$14),"Moderado",IF(OR(L58='Tabla Impacto'!$C$15,L58='Tabla Impacto'!$D$15),"Mayor",IF(OR(L58='Tabla Impacto'!$C$16,L58='Tabla Impacto'!$D$16),"Catastrófico","")))))</f>
        <v/>
      </c>
      <c r="N58" s="344" t="str">
        <f>IF(M58="","",IF(M58="Leve",0.2,IF(M58="Menor",0.4,IF(M58="Moderado",0.6,IF(M58="Mayor",0.8,IF(M58="Catastrófico",1,))))))</f>
        <v/>
      </c>
      <c r="O58" s="346"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85">
        <v>1</v>
      </c>
      <c r="Q58" s="186"/>
      <c r="R58" s="187" t="str">
        <f>IF(OR(S58="Preventivo",S58="Detectivo"),"Probabilidad",IF(S58="Correctivo","Impacto",""))</f>
        <v/>
      </c>
      <c r="S58" s="188"/>
      <c r="T58" s="188"/>
      <c r="U58" s="189" t="str">
        <f>IF(AND(S58="Preventivo",T58="Automático"),"50%",IF(AND(S58="Preventivo",T58="Manual"),"40%",IF(AND(S58="Detectivo",T58="Automático"),"40%",IF(AND(S58="Detectivo",T58="Manual"),"30%",IF(AND(S58="Correctivo",T58="Automático"),"35%",IF(AND(S58="Correctivo",T58="Manual"),"25%",""))))))</f>
        <v/>
      </c>
      <c r="V58" s="188"/>
      <c r="W58" s="188"/>
      <c r="X58" s="188"/>
      <c r="Y58" s="190" t="str">
        <f>IFERROR(IF(R58="Probabilidad",(J58-(+J58*U58)),IF(R58="Impacto",J58,"")),"")</f>
        <v/>
      </c>
      <c r="Z58" s="191" t="str">
        <f>IFERROR(IF(Y58="","",IF(Y58&lt;=0.2,"Muy Baja",IF(Y58&lt;=0.4,"Baja",IF(Y58&lt;=0.6,"Media",IF(Y58&lt;=0.8,"Alta","Muy Alta"))))),"")</f>
        <v/>
      </c>
      <c r="AA58" s="189" t="str">
        <f>+Y58</f>
        <v/>
      </c>
      <c r="AB58" s="191" t="str">
        <f>IFERROR(IF(AC58="","",IF(AC58&lt;=0.2,"Leve",IF(AC58&lt;=0.4,"Menor",IF(AC58&lt;=0.6,"Moderado",IF(AC58&lt;=0.8,"Mayor","Catastrófico"))))),"")</f>
        <v/>
      </c>
      <c r="AC58" s="189" t="str">
        <f>IFERROR(IF(R58="Impacto",(N58-(+N58*U58)),IF(R58="Probabilidad",N58,"")),"")</f>
        <v/>
      </c>
      <c r="AD58" s="192"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188"/>
      <c r="AF58" s="165"/>
      <c r="AG58" s="165"/>
      <c r="AH58" s="193"/>
      <c r="AI58" s="193"/>
      <c r="AJ58" s="165"/>
      <c r="AK58" s="194"/>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26.1" hidden="1" customHeight="1" x14ac:dyDescent="0.3">
      <c r="B59" s="347"/>
      <c r="C59" s="349"/>
      <c r="D59" s="349"/>
      <c r="E59" s="349"/>
      <c r="F59" s="349"/>
      <c r="G59" s="349"/>
      <c r="H59" s="351"/>
      <c r="I59" s="353"/>
      <c r="J59" s="344"/>
      <c r="K59" s="356"/>
      <c r="L59" s="344">
        <f>IF(NOT(ISERROR(MATCH(K59,_xlfn.ANCHORARRAY(F70),0))),J72&amp;"Por favor no seleccionar los criterios de impacto",K59)</f>
        <v>0</v>
      </c>
      <c r="M59" s="353"/>
      <c r="N59" s="344"/>
      <c r="O59" s="346"/>
      <c r="P59" s="185">
        <v>2</v>
      </c>
      <c r="Q59" s="186"/>
      <c r="R59" s="187" t="str">
        <f>IF(OR(S59="Preventivo",S59="Detectivo"),"Probabilidad",IF(S59="Correctivo","Impacto",""))</f>
        <v/>
      </c>
      <c r="S59" s="188"/>
      <c r="T59" s="188"/>
      <c r="U59" s="189" t="str">
        <f t="shared" ref="U59:U63" si="56">IF(AND(S59="Preventivo",T59="Automático"),"50%",IF(AND(S59="Preventivo",T59="Manual"),"40%",IF(AND(S59="Detectivo",T59="Automático"),"40%",IF(AND(S59="Detectivo",T59="Manual"),"30%",IF(AND(S59="Correctivo",T59="Automático"),"35%",IF(AND(S59="Correctivo",T59="Manual"),"25%",""))))))</f>
        <v/>
      </c>
      <c r="V59" s="188"/>
      <c r="W59" s="188"/>
      <c r="X59" s="188"/>
      <c r="Y59" s="190" t="str">
        <f>IFERROR(IF(AND(R58="Probabilidad",R59="Probabilidad"),(AA58-(+AA58*U59)),IF(R59="Probabilidad",(J58-(+J58*U59)),IF(R59="Impacto",AA58,""))),"")</f>
        <v/>
      </c>
      <c r="Z59" s="191" t="str">
        <f t="shared" si="2"/>
        <v/>
      </c>
      <c r="AA59" s="189" t="str">
        <f t="shared" ref="AA59:AA63" si="57">+Y59</f>
        <v/>
      </c>
      <c r="AB59" s="191" t="str">
        <f t="shared" si="4"/>
        <v/>
      </c>
      <c r="AC59" s="189" t="str">
        <f>IFERROR(IF(AND(R58="Impacto",R59="Impacto"),(AC52-(+AC52*U59)),IF(R59="Impacto",($N$58-(+$N$58*U59)),IF(R59="Probabilidad",AC52,""))),"")</f>
        <v/>
      </c>
      <c r="AD59" s="192" t="str">
        <f t="shared" ref="AD59:AD60" si="58">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188"/>
      <c r="AF59" s="165"/>
      <c r="AG59" s="165"/>
      <c r="AH59" s="193"/>
      <c r="AI59" s="193"/>
      <c r="AJ59" s="165"/>
      <c r="AK59" s="194"/>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26.1" hidden="1" customHeight="1" x14ac:dyDescent="0.3">
      <c r="B60" s="347"/>
      <c r="C60" s="349"/>
      <c r="D60" s="349"/>
      <c r="E60" s="349"/>
      <c r="F60" s="349"/>
      <c r="G60" s="349"/>
      <c r="H60" s="351"/>
      <c r="I60" s="353"/>
      <c r="J60" s="344"/>
      <c r="K60" s="356"/>
      <c r="L60" s="344">
        <f>IF(NOT(ISERROR(MATCH(K60,_xlfn.ANCHORARRAY(F71),0))),J73&amp;"Por favor no seleccionar los criterios de impacto",K60)</f>
        <v>0</v>
      </c>
      <c r="M60" s="353"/>
      <c r="N60" s="344"/>
      <c r="O60" s="346"/>
      <c r="P60" s="185">
        <v>3</v>
      </c>
      <c r="Q60" s="195"/>
      <c r="R60" s="187" t="str">
        <f>IF(OR(S60="Preventivo",S60="Detectivo"),"Probabilidad",IF(S60="Correctivo","Impacto",""))</f>
        <v/>
      </c>
      <c r="S60" s="188"/>
      <c r="T60" s="188"/>
      <c r="U60" s="189" t="str">
        <f t="shared" si="56"/>
        <v/>
      </c>
      <c r="V60" s="188"/>
      <c r="W60" s="188"/>
      <c r="X60" s="188"/>
      <c r="Y60" s="190" t="str">
        <f>IFERROR(IF(AND(R59="Probabilidad",R60="Probabilidad"),(AA59-(+AA59*U60)),IF(AND(R59="Impacto",R60="Probabilidad"),(AA58-(+AA58*U60)),IF(R60="Impacto",AA59,""))),"")</f>
        <v/>
      </c>
      <c r="Z60" s="191" t="str">
        <f t="shared" si="2"/>
        <v/>
      </c>
      <c r="AA60" s="189" t="str">
        <f t="shared" si="57"/>
        <v/>
      </c>
      <c r="AB60" s="191" t="str">
        <f t="shared" si="4"/>
        <v/>
      </c>
      <c r="AC60" s="189" t="str">
        <f>IFERROR(IF(AND(R59="Impacto",R60="Impacto"),(AC59-(+AC59*U60)),IF(AND(R59="Probabilidad",R60="Impacto"),(AC58-(+AC58*U60)),IF(R60="Probabilidad",AC59,""))),"")</f>
        <v/>
      </c>
      <c r="AD60" s="192" t="str">
        <f t="shared" si="58"/>
        <v/>
      </c>
      <c r="AE60" s="188"/>
      <c r="AF60" s="165"/>
      <c r="AG60" s="165"/>
      <c r="AH60" s="193"/>
      <c r="AI60" s="193"/>
      <c r="AJ60" s="165"/>
      <c r="AK60" s="194"/>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26.1" hidden="1" customHeight="1" x14ac:dyDescent="0.3">
      <c r="B61" s="347"/>
      <c r="C61" s="349"/>
      <c r="D61" s="349"/>
      <c r="E61" s="349"/>
      <c r="F61" s="349"/>
      <c r="G61" s="349"/>
      <c r="H61" s="351"/>
      <c r="I61" s="353"/>
      <c r="J61" s="344"/>
      <c r="K61" s="356"/>
      <c r="L61" s="344">
        <f>IF(NOT(ISERROR(MATCH(K61,_xlfn.ANCHORARRAY(F72),0))),J74&amp;"Por favor no seleccionar los criterios de impacto",K61)</f>
        <v>0</v>
      </c>
      <c r="M61" s="353"/>
      <c r="N61" s="344"/>
      <c r="O61" s="346"/>
      <c r="P61" s="185">
        <v>4</v>
      </c>
      <c r="Q61" s="186"/>
      <c r="R61" s="187" t="str">
        <f t="shared" ref="R61:R63" si="59">IF(OR(S61="Preventivo",S61="Detectivo"),"Probabilidad",IF(S61="Correctivo","Impacto",""))</f>
        <v/>
      </c>
      <c r="S61" s="188"/>
      <c r="T61" s="188"/>
      <c r="U61" s="189" t="str">
        <f t="shared" si="56"/>
        <v/>
      </c>
      <c r="V61" s="188"/>
      <c r="W61" s="188"/>
      <c r="X61" s="188"/>
      <c r="Y61" s="190" t="str">
        <f t="shared" ref="Y61:Y63" si="60">IFERROR(IF(AND(R60="Probabilidad",R61="Probabilidad"),(AA60-(+AA60*U61)),IF(AND(R60="Impacto",R61="Probabilidad"),(AA59-(+AA59*U61)),IF(R61="Impacto",AA60,""))),"")</f>
        <v/>
      </c>
      <c r="Z61" s="191" t="str">
        <f t="shared" si="2"/>
        <v/>
      </c>
      <c r="AA61" s="189" t="str">
        <f t="shared" si="57"/>
        <v/>
      </c>
      <c r="AB61" s="191" t="str">
        <f t="shared" si="4"/>
        <v/>
      </c>
      <c r="AC61" s="189" t="str">
        <f t="shared" ref="AC61:AC63" si="61">IFERROR(IF(AND(R60="Impacto",R61="Impacto"),(AC60-(+AC60*U61)),IF(AND(R60="Probabilidad",R61="Impacto"),(AC59-(+AC59*U61)),IF(R61="Probabilidad",AC60,""))),"")</f>
        <v/>
      </c>
      <c r="AD61" s="192"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188"/>
      <c r="AF61" s="165"/>
      <c r="AG61" s="165"/>
      <c r="AH61" s="193"/>
      <c r="AI61" s="193"/>
      <c r="AJ61" s="165"/>
      <c r="AK61" s="194"/>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26.1" hidden="1" customHeight="1" x14ac:dyDescent="0.3">
      <c r="B62" s="347"/>
      <c r="C62" s="349"/>
      <c r="D62" s="349"/>
      <c r="E62" s="349"/>
      <c r="F62" s="349"/>
      <c r="G62" s="349"/>
      <c r="H62" s="351"/>
      <c r="I62" s="353"/>
      <c r="J62" s="344"/>
      <c r="K62" s="356"/>
      <c r="L62" s="344">
        <f>IF(NOT(ISERROR(MATCH(K62,_xlfn.ANCHORARRAY(F73),0))),J75&amp;"Por favor no seleccionar los criterios de impacto",K62)</f>
        <v>0</v>
      </c>
      <c r="M62" s="353"/>
      <c r="N62" s="344"/>
      <c r="O62" s="346"/>
      <c r="P62" s="185">
        <v>5</v>
      </c>
      <c r="Q62" s="186"/>
      <c r="R62" s="187" t="str">
        <f t="shared" si="59"/>
        <v/>
      </c>
      <c r="S62" s="188"/>
      <c r="T62" s="188"/>
      <c r="U62" s="189" t="str">
        <f t="shared" si="56"/>
        <v/>
      </c>
      <c r="V62" s="188"/>
      <c r="W62" s="188"/>
      <c r="X62" s="188"/>
      <c r="Y62" s="190" t="str">
        <f t="shared" si="60"/>
        <v/>
      </c>
      <c r="Z62" s="191" t="str">
        <f t="shared" si="2"/>
        <v/>
      </c>
      <c r="AA62" s="189" t="str">
        <f t="shared" si="57"/>
        <v/>
      </c>
      <c r="AB62" s="191" t="str">
        <f t="shared" si="4"/>
        <v/>
      </c>
      <c r="AC62" s="189" t="str">
        <f t="shared" si="61"/>
        <v/>
      </c>
      <c r="AD62" s="192" t="str">
        <f t="shared" ref="AD62:AD63" si="62">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188"/>
      <c r="AF62" s="165"/>
      <c r="AG62" s="165"/>
      <c r="AH62" s="193"/>
      <c r="AI62" s="193"/>
      <c r="AJ62" s="165"/>
      <c r="AK62" s="194"/>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26.1" hidden="1" customHeight="1" x14ac:dyDescent="0.3">
      <c r="B63" s="347"/>
      <c r="C63" s="349"/>
      <c r="D63" s="349"/>
      <c r="E63" s="349"/>
      <c r="F63" s="349"/>
      <c r="G63" s="349"/>
      <c r="H63" s="351"/>
      <c r="I63" s="353"/>
      <c r="J63" s="344"/>
      <c r="K63" s="356"/>
      <c r="L63" s="344">
        <f>IF(NOT(ISERROR(MATCH(K63,_xlfn.ANCHORARRAY(F74),0))),J76&amp;"Por favor no seleccionar los criterios de impacto",K63)</f>
        <v>0</v>
      </c>
      <c r="M63" s="353"/>
      <c r="N63" s="344"/>
      <c r="O63" s="346"/>
      <c r="P63" s="185">
        <v>6</v>
      </c>
      <c r="Q63" s="186"/>
      <c r="R63" s="187" t="str">
        <f t="shared" si="59"/>
        <v/>
      </c>
      <c r="S63" s="188"/>
      <c r="T63" s="188"/>
      <c r="U63" s="189" t="str">
        <f t="shared" si="56"/>
        <v/>
      </c>
      <c r="V63" s="188"/>
      <c r="W63" s="188"/>
      <c r="X63" s="188"/>
      <c r="Y63" s="190" t="str">
        <f t="shared" si="60"/>
        <v/>
      </c>
      <c r="Z63" s="191" t="str">
        <f t="shared" si="2"/>
        <v/>
      </c>
      <c r="AA63" s="189" t="str">
        <f t="shared" si="57"/>
        <v/>
      </c>
      <c r="AB63" s="191" t="str">
        <f t="shared" si="4"/>
        <v/>
      </c>
      <c r="AC63" s="189" t="str">
        <f t="shared" si="61"/>
        <v/>
      </c>
      <c r="AD63" s="192" t="str">
        <f t="shared" si="62"/>
        <v/>
      </c>
      <c r="AE63" s="188"/>
      <c r="AF63" s="165"/>
      <c r="AG63" s="165"/>
      <c r="AH63" s="193"/>
      <c r="AI63" s="193"/>
      <c r="AJ63" s="165"/>
      <c r="AK63" s="194"/>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26.1" hidden="1" customHeight="1" x14ac:dyDescent="0.3">
      <c r="B64" s="347">
        <v>9</v>
      </c>
      <c r="C64" s="349"/>
      <c r="D64" s="349"/>
      <c r="E64" s="349"/>
      <c r="F64" s="349"/>
      <c r="G64" s="349"/>
      <c r="H64" s="351"/>
      <c r="I64" s="353" t="str">
        <f>IF(H64&lt;=0,"",IF(H64&lt;=2,"Muy Baja",IF(H64&lt;=24,"Baja",IF(H64&lt;=500,"Media",IF(H64&lt;=5000,"Alta","Muy Alta")))))</f>
        <v/>
      </c>
      <c r="J64" s="344" t="str">
        <f>IF(I64="","",IF(I64="Muy Baja",0.2,IF(I64="Baja",0.4,IF(I64="Media",0.6,IF(I64="Alta",0.8,IF(I64="Muy Alta",1,))))))</f>
        <v/>
      </c>
      <c r="K64" s="356"/>
      <c r="L64" s="344">
        <f>IF(NOT(ISERROR(MATCH(K64,'Tabla Impacto'!$B$222:$B$224,0))),'Tabla Impacto'!$F$224&amp;"Por favor no seleccionar los criterios de impacto(Afectación Económica o presupuestal y Pérdida Reputacional)",K64)</f>
        <v>0</v>
      </c>
      <c r="M64" s="353" t="str">
        <f>IF(OR(L64='Tabla Impacto'!$C$12,L64='Tabla Impacto'!$D$12),"Leve",IF(OR(L64='Tabla Impacto'!$C$13,L64='Tabla Impacto'!$D$13),"Menor",IF(OR(L64='Tabla Impacto'!$C$14,L64='Tabla Impacto'!$D$14),"Moderado",IF(OR(L64='Tabla Impacto'!$C$15,L64='Tabla Impacto'!$D$15),"Mayor",IF(OR(L64='Tabla Impacto'!$C$16,L64='Tabla Impacto'!$D$16),"Catastrófico","")))))</f>
        <v/>
      </c>
      <c r="N64" s="344" t="str">
        <f>IF(M64="","",IF(M64="Leve",0.2,IF(M64="Menor",0.4,IF(M64="Moderado",0.6,IF(M64="Mayor",0.8,IF(M64="Catastrófico",1,))))))</f>
        <v/>
      </c>
      <c r="O64" s="346"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85">
        <v>1</v>
      </c>
      <c r="Q64" s="186"/>
      <c r="R64" s="187" t="str">
        <f>IF(OR(S64="Preventivo",S64="Detectivo"),"Probabilidad",IF(S64="Correctivo","Impacto",""))</f>
        <v/>
      </c>
      <c r="S64" s="188"/>
      <c r="T64" s="188"/>
      <c r="U64" s="189" t="str">
        <f>IF(AND(S64="Preventivo",T64="Automático"),"50%",IF(AND(S64="Preventivo",T64="Manual"),"40%",IF(AND(S64="Detectivo",T64="Automático"),"40%",IF(AND(S64="Detectivo",T64="Manual"),"30%",IF(AND(S64="Correctivo",T64="Automático"),"35%",IF(AND(S64="Correctivo",T64="Manual"),"25%",""))))))</f>
        <v/>
      </c>
      <c r="V64" s="188"/>
      <c r="W64" s="188"/>
      <c r="X64" s="188"/>
      <c r="Y64" s="190" t="str">
        <f>IFERROR(IF(R64="Probabilidad",(J64-(+J64*U64)),IF(R64="Impacto",J64,"")),"")</f>
        <v/>
      </c>
      <c r="Z64" s="191" t="str">
        <f>IFERROR(IF(Y64="","",IF(Y64&lt;=0.2,"Muy Baja",IF(Y64&lt;=0.4,"Baja",IF(Y64&lt;=0.6,"Media",IF(Y64&lt;=0.8,"Alta","Muy Alta"))))),"")</f>
        <v/>
      </c>
      <c r="AA64" s="189" t="str">
        <f>+Y64</f>
        <v/>
      </c>
      <c r="AB64" s="191" t="str">
        <f>IFERROR(IF(AC64="","",IF(AC64&lt;=0.2,"Leve",IF(AC64&lt;=0.4,"Menor",IF(AC64&lt;=0.6,"Moderado",IF(AC64&lt;=0.8,"Mayor","Catastrófico"))))),"")</f>
        <v/>
      </c>
      <c r="AC64" s="189" t="str">
        <f>IFERROR(IF(R64="Impacto",(N64-(+N64*U64)),IF(R64="Probabilidad",N64,"")),"")</f>
        <v/>
      </c>
      <c r="AD64" s="192"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188"/>
      <c r="AF64" s="165"/>
      <c r="AG64" s="165"/>
      <c r="AH64" s="193"/>
      <c r="AI64" s="193"/>
      <c r="AJ64" s="165"/>
      <c r="AK64" s="194"/>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26.1" hidden="1" customHeight="1" x14ac:dyDescent="0.3">
      <c r="B65" s="347"/>
      <c r="C65" s="349"/>
      <c r="D65" s="349"/>
      <c r="E65" s="349"/>
      <c r="F65" s="349"/>
      <c r="G65" s="349"/>
      <c r="H65" s="351"/>
      <c r="I65" s="353"/>
      <c r="J65" s="344"/>
      <c r="K65" s="356"/>
      <c r="L65" s="344">
        <f>IF(NOT(ISERROR(MATCH(K65,_xlfn.ANCHORARRAY(F76),0))),J78&amp;"Por favor no seleccionar los criterios de impacto",K65)</f>
        <v>0</v>
      </c>
      <c r="M65" s="353"/>
      <c r="N65" s="344"/>
      <c r="O65" s="346"/>
      <c r="P65" s="185">
        <v>2</v>
      </c>
      <c r="Q65" s="186"/>
      <c r="R65" s="187" t="str">
        <f>IF(OR(S65="Preventivo",S65="Detectivo"),"Probabilidad",IF(S65="Correctivo","Impacto",""))</f>
        <v/>
      </c>
      <c r="S65" s="188"/>
      <c r="T65" s="188"/>
      <c r="U65" s="189" t="str">
        <f t="shared" ref="U65:U69" si="63">IF(AND(S65="Preventivo",T65="Automático"),"50%",IF(AND(S65="Preventivo",T65="Manual"),"40%",IF(AND(S65="Detectivo",T65="Automático"),"40%",IF(AND(S65="Detectivo",T65="Manual"),"30%",IF(AND(S65="Correctivo",T65="Automático"),"35%",IF(AND(S65="Correctivo",T65="Manual"),"25%",""))))))</f>
        <v/>
      </c>
      <c r="V65" s="188"/>
      <c r="W65" s="188"/>
      <c r="X65" s="188"/>
      <c r="Y65" s="190" t="str">
        <f>IFERROR(IF(AND(R64="Probabilidad",R65="Probabilidad"),(AA64-(+AA64*U65)),IF(R65="Probabilidad",(J64-(+J64*U65)),IF(R65="Impacto",AA64,""))),"")</f>
        <v/>
      </c>
      <c r="Z65" s="191" t="str">
        <f t="shared" si="2"/>
        <v/>
      </c>
      <c r="AA65" s="189" t="str">
        <f t="shared" ref="AA65:AA69" si="64">+Y65</f>
        <v/>
      </c>
      <c r="AB65" s="191" t="str">
        <f t="shared" si="4"/>
        <v/>
      </c>
      <c r="AC65" s="189" t="str">
        <f>IFERROR(IF(AND(R64="Impacto",R65="Impacto"),(AC58-(+AC58*U65)),IF(R65="Impacto",($N$64-(+$N$64*U65)),IF(R65="Probabilidad",AC58,""))),"")</f>
        <v/>
      </c>
      <c r="AD65" s="192" t="str">
        <f t="shared" ref="AD65:AD66" si="65">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188"/>
      <c r="AF65" s="165"/>
      <c r="AG65" s="165"/>
      <c r="AH65" s="193"/>
      <c r="AI65" s="193"/>
      <c r="AJ65" s="165"/>
      <c r="AK65" s="194"/>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26.1" hidden="1" customHeight="1" x14ac:dyDescent="0.3">
      <c r="B66" s="347"/>
      <c r="C66" s="349"/>
      <c r="D66" s="349"/>
      <c r="E66" s="349"/>
      <c r="F66" s="349"/>
      <c r="G66" s="349"/>
      <c r="H66" s="351"/>
      <c r="I66" s="353"/>
      <c r="J66" s="344"/>
      <c r="K66" s="356"/>
      <c r="L66" s="344">
        <f>IF(NOT(ISERROR(MATCH(K66,_xlfn.ANCHORARRAY(F77),0))),J79&amp;"Por favor no seleccionar los criterios de impacto",K66)</f>
        <v>0</v>
      </c>
      <c r="M66" s="353"/>
      <c r="N66" s="344"/>
      <c r="O66" s="346"/>
      <c r="P66" s="185">
        <v>3</v>
      </c>
      <c r="Q66" s="195"/>
      <c r="R66" s="187" t="str">
        <f>IF(OR(S66="Preventivo",S66="Detectivo"),"Probabilidad",IF(S66="Correctivo","Impacto",""))</f>
        <v/>
      </c>
      <c r="S66" s="188"/>
      <c r="T66" s="188"/>
      <c r="U66" s="189" t="str">
        <f t="shared" si="63"/>
        <v/>
      </c>
      <c r="V66" s="188"/>
      <c r="W66" s="188"/>
      <c r="X66" s="188"/>
      <c r="Y66" s="190" t="str">
        <f>IFERROR(IF(AND(R65="Probabilidad",R66="Probabilidad"),(AA65-(+AA65*U66)),IF(AND(R65="Impacto",R66="Probabilidad"),(AA64-(+AA64*U66)),IF(R66="Impacto",AA65,""))),"")</f>
        <v/>
      </c>
      <c r="Z66" s="191" t="str">
        <f t="shared" si="2"/>
        <v/>
      </c>
      <c r="AA66" s="189" t="str">
        <f t="shared" si="64"/>
        <v/>
      </c>
      <c r="AB66" s="191" t="str">
        <f t="shared" si="4"/>
        <v/>
      </c>
      <c r="AC66" s="189" t="str">
        <f>IFERROR(IF(AND(R65="Impacto",R66="Impacto"),(AC65-(+AC65*U66)),IF(AND(R65="Probabilidad",R66="Impacto"),(AC64-(+AC64*U66)),IF(R66="Probabilidad",AC65,""))),"")</f>
        <v/>
      </c>
      <c r="AD66" s="192" t="str">
        <f t="shared" si="65"/>
        <v/>
      </c>
      <c r="AE66" s="188"/>
      <c r="AF66" s="165"/>
      <c r="AG66" s="165"/>
      <c r="AH66" s="193"/>
      <c r="AI66" s="193"/>
      <c r="AJ66" s="165"/>
      <c r="AK66" s="194"/>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t="26.1" hidden="1" customHeight="1" x14ac:dyDescent="0.3">
      <c r="B67" s="359"/>
      <c r="C67" s="360"/>
      <c r="D67" s="360"/>
      <c r="E67" s="360"/>
      <c r="F67" s="345"/>
      <c r="G67" s="361"/>
      <c r="H67" s="345"/>
      <c r="I67" s="345"/>
      <c r="J67" s="345"/>
      <c r="K67" s="345"/>
      <c r="L67" s="345"/>
      <c r="M67" s="345"/>
      <c r="N67" s="345"/>
      <c r="O67" s="345"/>
      <c r="P67" s="197"/>
      <c r="Q67" s="197"/>
      <c r="R67" s="197"/>
      <c r="S67" s="197"/>
      <c r="T67" s="197"/>
      <c r="U67" s="197"/>
      <c r="V67" s="197"/>
      <c r="W67" s="197"/>
      <c r="X67" s="197"/>
      <c r="Y67" s="197"/>
      <c r="Z67" s="197"/>
      <c r="AA67" s="197"/>
      <c r="AB67" s="197"/>
      <c r="AC67" s="197"/>
      <c r="AD67" s="197"/>
      <c r="AE67" s="197"/>
      <c r="AF67" s="197"/>
      <c r="AG67" s="198"/>
      <c r="AH67" s="197"/>
      <c r="AI67" s="197"/>
      <c r="AJ67" s="197"/>
      <c r="AK67" s="199"/>
    </row>
    <row r="68" spans="2:69" ht="26.1" hidden="1" customHeight="1" x14ac:dyDescent="0.3">
      <c r="B68" s="347"/>
      <c r="C68" s="349"/>
      <c r="D68" s="349"/>
      <c r="E68" s="349"/>
      <c r="F68" s="349"/>
      <c r="G68" s="349"/>
      <c r="H68" s="351"/>
      <c r="I68" s="353"/>
      <c r="J68" s="344"/>
      <c r="K68" s="356"/>
      <c r="L68" s="344">
        <f>IF(NOT(ISERROR(MATCH(K68,_xlfn.ANCHORARRAY(F79),0))),J81&amp;"Por favor no seleccionar los criterios de impacto",K68)</f>
        <v>0</v>
      </c>
      <c r="M68" s="353"/>
      <c r="N68" s="344"/>
      <c r="O68" s="346"/>
      <c r="P68" s="185">
        <v>5</v>
      </c>
      <c r="Q68" s="186"/>
      <c r="R68" s="187" t="str">
        <f t="shared" ref="R68:R69" si="66">IF(OR(S68="Preventivo",S68="Detectivo"),"Probabilidad",IF(S68="Correctivo","Impacto",""))</f>
        <v/>
      </c>
      <c r="S68" s="188"/>
      <c r="T68" s="188"/>
      <c r="U68" s="189" t="str">
        <f t="shared" si="63"/>
        <v/>
      </c>
      <c r="V68" s="188"/>
      <c r="W68" s="188"/>
      <c r="X68" s="188"/>
      <c r="Y68" s="190" t="str">
        <f t="shared" ref="Y68:Y69" si="67">IFERROR(IF(AND(R67="Probabilidad",R68="Probabilidad"),(AA67-(+AA67*U68)),IF(AND(R67="Impacto",R68="Probabilidad"),(AA66-(+AA66*U68)),IF(R68="Impacto",AA67,""))),"")</f>
        <v/>
      </c>
      <c r="Z68" s="191" t="str">
        <f t="shared" si="2"/>
        <v/>
      </c>
      <c r="AA68" s="189" t="str">
        <f t="shared" si="64"/>
        <v/>
      </c>
      <c r="AB68" s="191" t="str">
        <f t="shared" si="4"/>
        <v/>
      </c>
      <c r="AC68" s="189" t="str">
        <f t="shared" ref="AC68:AC69" si="68">IFERROR(IF(AND(R67="Impacto",R68="Impacto"),(AC67-(+AC67*U68)),IF(AND(R67="Probabilidad",R68="Impacto"),(AC66-(+AC66*U68)),IF(R68="Probabilidad",AC67,""))),"")</f>
        <v/>
      </c>
      <c r="AD68" s="192" t="str">
        <f t="shared" ref="AD68:AD69" si="69">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188"/>
      <c r="AF68" s="165"/>
      <c r="AG68" s="165"/>
      <c r="AH68" s="193"/>
      <c r="AI68" s="193"/>
      <c r="AJ68" s="165"/>
      <c r="AK68" s="194"/>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26.1" hidden="1" customHeight="1" x14ac:dyDescent="0.3">
      <c r="B69" s="347"/>
      <c r="C69" s="349"/>
      <c r="D69" s="349"/>
      <c r="E69" s="349"/>
      <c r="F69" s="349"/>
      <c r="G69" s="349"/>
      <c r="H69" s="351"/>
      <c r="I69" s="353"/>
      <c r="J69" s="344"/>
      <c r="K69" s="356"/>
      <c r="L69" s="344">
        <f>IF(NOT(ISERROR(MATCH(K69,_xlfn.ANCHORARRAY(F80),0))),J82&amp;"Por favor no seleccionar los criterios de impacto",K69)</f>
        <v>0</v>
      </c>
      <c r="M69" s="353"/>
      <c r="N69" s="344"/>
      <c r="O69" s="346"/>
      <c r="P69" s="185">
        <v>6</v>
      </c>
      <c r="Q69" s="186"/>
      <c r="R69" s="187" t="str">
        <f t="shared" si="66"/>
        <v/>
      </c>
      <c r="S69" s="188"/>
      <c r="T69" s="188"/>
      <c r="U69" s="189" t="str">
        <f t="shared" si="63"/>
        <v/>
      </c>
      <c r="V69" s="188"/>
      <c r="W69" s="188"/>
      <c r="X69" s="188"/>
      <c r="Y69" s="190" t="str">
        <f t="shared" si="67"/>
        <v/>
      </c>
      <c r="Z69" s="191" t="str">
        <f t="shared" si="2"/>
        <v/>
      </c>
      <c r="AA69" s="189" t="str">
        <f t="shared" si="64"/>
        <v/>
      </c>
      <c r="AB69" s="191" t="str">
        <f t="shared" si="4"/>
        <v/>
      </c>
      <c r="AC69" s="189" t="str">
        <f t="shared" si="68"/>
        <v/>
      </c>
      <c r="AD69" s="192" t="str">
        <f t="shared" si="69"/>
        <v/>
      </c>
      <c r="AE69" s="188"/>
      <c r="AF69" s="165"/>
      <c r="AG69" s="165"/>
      <c r="AH69" s="193"/>
      <c r="AI69" s="193"/>
      <c r="AJ69" s="165"/>
      <c r="AK69" s="194"/>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26.1" hidden="1" customHeight="1" x14ac:dyDescent="0.3">
      <c r="B70" s="347">
        <v>10</v>
      </c>
      <c r="C70" s="349"/>
      <c r="D70" s="349"/>
      <c r="E70" s="349"/>
      <c r="F70" s="349"/>
      <c r="G70" s="349"/>
      <c r="H70" s="351"/>
      <c r="I70" s="353" t="str">
        <f>IF(H70&lt;=0,"",IF(H70&lt;=2,"Muy Baja",IF(H70&lt;=24,"Baja",IF(H70&lt;=500,"Media",IF(H70&lt;=5000,"Alta","Muy Alta")))))</f>
        <v/>
      </c>
      <c r="J70" s="344" t="str">
        <f>IF(I70="","",IF(I70="Muy Baja",0.2,IF(I70="Baja",0.4,IF(I70="Media",0.6,IF(I70="Alta",0.8,IF(I70="Muy Alta",1,))))))</f>
        <v/>
      </c>
      <c r="K70" s="356"/>
      <c r="L70" s="344">
        <f>IF(NOT(ISERROR(MATCH(K70,'Tabla Impacto'!$B$222:$B$224,0))),'Tabla Impacto'!$F$224&amp;"Por favor no seleccionar los criterios de impacto(Afectación Económica o presupuestal y Pérdida Reputacional)",K70)</f>
        <v>0</v>
      </c>
      <c r="M70" s="353" t="str">
        <f>IF(OR(L70='Tabla Impacto'!$C$12,L70='Tabla Impacto'!$D$12),"Leve",IF(OR(L70='Tabla Impacto'!$C$13,L70='Tabla Impacto'!$D$13),"Menor",IF(OR(L70='Tabla Impacto'!$C$14,L70='Tabla Impacto'!$D$14),"Moderado",IF(OR(L70='Tabla Impacto'!$C$15,L70='Tabla Impacto'!$D$15),"Mayor",IF(OR(L70='Tabla Impacto'!$C$16,L70='Tabla Impacto'!$D$16),"Catastrófico","")))))</f>
        <v/>
      </c>
      <c r="N70" s="344" t="str">
        <f>IF(M70="","",IF(M70="Leve",0.2,IF(M70="Menor",0.4,IF(M70="Moderado",0.6,IF(M70="Mayor",0.8,IF(M70="Catastrófico",1,))))))</f>
        <v/>
      </c>
      <c r="O70" s="346"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85">
        <v>1</v>
      </c>
      <c r="Q70" s="186"/>
      <c r="R70" s="187" t="str">
        <f>IF(OR(S70="Preventivo",S70="Detectivo"),"Probabilidad",IF(S70="Correctivo","Impacto",""))</f>
        <v/>
      </c>
      <c r="S70" s="188"/>
      <c r="T70" s="188"/>
      <c r="U70" s="189" t="str">
        <f>IF(AND(S70="Preventivo",T70="Automático"),"50%",IF(AND(S70="Preventivo",T70="Manual"),"40%",IF(AND(S70="Detectivo",T70="Automático"),"40%",IF(AND(S70="Detectivo",T70="Manual"),"30%",IF(AND(S70="Correctivo",T70="Automático"),"35%",IF(AND(S70="Correctivo",T70="Manual"),"25%",""))))))</f>
        <v/>
      </c>
      <c r="V70" s="188"/>
      <c r="W70" s="188"/>
      <c r="X70" s="188"/>
      <c r="Y70" s="190" t="str">
        <f>IFERROR(IF(R70="Probabilidad",(J70-(+J70*U70)),IF(R70="Impacto",J70,"")),"")</f>
        <v/>
      </c>
      <c r="Z70" s="191" t="str">
        <f>IFERROR(IF(Y70="","",IF(Y70&lt;=0.2,"Muy Baja",IF(Y70&lt;=0.4,"Baja",IF(Y70&lt;=0.6,"Media",IF(Y70&lt;=0.8,"Alta","Muy Alta"))))),"")</f>
        <v/>
      </c>
      <c r="AA70" s="189" t="str">
        <f>+Y70</f>
        <v/>
      </c>
      <c r="AB70" s="191" t="str">
        <f>IFERROR(IF(AC70="","",IF(AC70&lt;=0.2,"Leve",IF(AC70&lt;=0.4,"Menor",IF(AC70&lt;=0.6,"Moderado",IF(AC70&lt;=0.8,"Mayor","Catastrófico"))))),"")</f>
        <v/>
      </c>
      <c r="AC70" s="189" t="str">
        <f>IFERROR(IF(R70="Impacto",(N70-(+N70*U70)),IF(R70="Probabilidad",N70,"")),"")</f>
        <v/>
      </c>
      <c r="AD70" s="192"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188"/>
      <c r="AF70" s="165"/>
      <c r="AG70" s="165"/>
      <c r="AH70" s="193"/>
      <c r="AI70" s="193"/>
      <c r="AJ70" s="165"/>
      <c r="AK70" s="194"/>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26.1" hidden="1" customHeight="1" x14ac:dyDescent="0.3">
      <c r="B71" s="347"/>
      <c r="C71" s="349"/>
      <c r="D71" s="349"/>
      <c r="E71" s="349"/>
      <c r="F71" s="349"/>
      <c r="G71" s="349"/>
      <c r="H71" s="351"/>
      <c r="I71" s="353"/>
      <c r="J71" s="344"/>
      <c r="K71" s="356"/>
      <c r="L71" s="344">
        <f>IF(NOT(ISERROR(MATCH(K71,_xlfn.ANCHORARRAY(F82),0))),J84&amp;"Por favor no seleccionar los criterios de impacto",K71)</f>
        <v>0</v>
      </c>
      <c r="M71" s="353"/>
      <c r="N71" s="344"/>
      <c r="O71" s="346"/>
      <c r="P71" s="185">
        <v>2</v>
      </c>
      <c r="Q71" s="186"/>
      <c r="R71" s="187" t="str">
        <f>IF(OR(S71="Preventivo",S71="Detectivo"),"Probabilidad",IF(S71="Correctivo","Impacto",""))</f>
        <v/>
      </c>
      <c r="S71" s="188"/>
      <c r="T71" s="188"/>
      <c r="U71" s="189" t="str">
        <f t="shared" ref="U71:U75" si="70">IF(AND(S71="Preventivo",T71="Automático"),"50%",IF(AND(S71="Preventivo",T71="Manual"),"40%",IF(AND(S71="Detectivo",T71="Automático"),"40%",IF(AND(S71="Detectivo",T71="Manual"),"30%",IF(AND(S71="Correctivo",T71="Automático"),"35%",IF(AND(S71="Correctivo",T71="Manual"),"25%",""))))))</f>
        <v/>
      </c>
      <c r="V71" s="188"/>
      <c r="W71" s="188"/>
      <c r="X71" s="188"/>
      <c r="Y71" s="190" t="str">
        <f>IFERROR(IF(AND(R70="Probabilidad",R71="Probabilidad"),(AA70-(+AA70*U71)),IF(R71="Probabilidad",(J70-(+J70*U71)),IF(R71="Impacto",AA70,""))),"")</f>
        <v/>
      </c>
      <c r="Z71" s="191" t="str">
        <f t="shared" si="2"/>
        <v/>
      </c>
      <c r="AA71" s="189" t="str">
        <f t="shared" ref="AA71:AA75" si="71">+Y71</f>
        <v/>
      </c>
      <c r="AB71" s="191" t="str">
        <f t="shared" si="4"/>
        <v/>
      </c>
      <c r="AC71" s="189" t="str">
        <f>IFERROR(IF(AND(R70="Impacto",R71="Impacto"),(AC64-(+AC64*U71)),IF(R71="Impacto",($N$70-(+$N$70*U71)),IF(R71="Probabilidad",AC64,""))),"")</f>
        <v/>
      </c>
      <c r="AD71" s="192" t="str">
        <f t="shared" ref="AD71:AD72" si="72">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188"/>
      <c r="AF71" s="165"/>
      <c r="AG71" s="165"/>
      <c r="AH71" s="193"/>
      <c r="AI71" s="193"/>
      <c r="AJ71" s="165"/>
      <c r="AK71" s="194"/>
    </row>
    <row r="72" spans="2:69" ht="26.1" hidden="1" customHeight="1" x14ac:dyDescent="0.3">
      <c r="B72" s="347"/>
      <c r="C72" s="349"/>
      <c r="D72" s="349"/>
      <c r="E72" s="349"/>
      <c r="F72" s="349"/>
      <c r="G72" s="349"/>
      <c r="H72" s="351"/>
      <c r="I72" s="353"/>
      <c r="J72" s="344"/>
      <c r="K72" s="356"/>
      <c r="L72" s="344">
        <f>IF(NOT(ISERROR(MATCH(K72,_xlfn.ANCHORARRAY(F83),0))),J85&amp;"Por favor no seleccionar los criterios de impacto",K72)</f>
        <v>0</v>
      </c>
      <c r="M72" s="353"/>
      <c r="N72" s="344"/>
      <c r="O72" s="346"/>
      <c r="P72" s="185">
        <v>3</v>
      </c>
      <c r="Q72" s="195"/>
      <c r="R72" s="187" t="str">
        <f>IF(OR(S72="Preventivo",S72="Detectivo"),"Probabilidad",IF(S72="Correctivo","Impacto",""))</f>
        <v/>
      </c>
      <c r="S72" s="188"/>
      <c r="T72" s="188"/>
      <c r="U72" s="189" t="str">
        <f t="shared" si="70"/>
        <v/>
      </c>
      <c r="V72" s="188"/>
      <c r="W72" s="188"/>
      <c r="X72" s="188"/>
      <c r="Y72" s="190" t="str">
        <f>IFERROR(IF(AND(R71="Probabilidad",R72="Probabilidad"),(AA71-(+AA71*U72)),IF(AND(R71="Impacto",R72="Probabilidad"),(AA70-(+AA70*U72)),IF(R72="Impacto",AA71,""))),"")</f>
        <v/>
      </c>
      <c r="Z72" s="191" t="str">
        <f t="shared" si="2"/>
        <v/>
      </c>
      <c r="AA72" s="189" t="str">
        <f t="shared" si="71"/>
        <v/>
      </c>
      <c r="AB72" s="191" t="str">
        <f t="shared" si="4"/>
        <v/>
      </c>
      <c r="AC72" s="189" t="str">
        <f>IFERROR(IF(AND(R71="Impacto",R72="Impacto"),(AC71-(+AC71*U72)),IF(AND(R71="Probabilidad",R72="Impacto"),(AC70-(+AC70*U72)),IF(R72="Probabilidad",AC71,""))),"")</f>
        <v/>
      </c>
      <c r="AD72" s="192" t="str">
        <f t="shared" si="72"/>
        <v/>
      </c>
      <c r="AE72" s="188"/>
      <c r="AF72" s="165"/>
      <c r="AG72" s="165"/>
      <c r="AH72" s="193"/>
      <c r="AI72" s="193"/>
      <c r="AJ72" s="165"/>
      <c r="AK72" s="194"/>
    </row>
    <row r="73" spans="2:69" ht="26.1" hidden="1" customHeight="1" x14ac:dyDescent="0.3">
      <c r="B73" s="347"/>
      <c r="C73" s="349"/>
      <c r="D73" s="349"/>
      <c r="E73" s="349"/>
      <c r="F73" s="349"/>
      <c r="G73" s="349"/>
      <c r="H73" s="351"/>
      <c r="I73" s="353"/>
      <c r="J73" s="344"/>
      <c r="K73" s="356"/>
      <c r="L73" s="344">
        <f>IF(NOT(ISERROR(MATCH(K73,_xlfn.ANCHORARRAY(F84),0))),J86&amp;"Por favor no seleccionar los criterios de impacto",K73)</f>
        <v>0</v>
      </c>
      <c r="M73" s="353"/>
      <c r="N73" s="344"/>
      <c r="O73" s="346"/>
      <c r="P73" s="185">
        <v>4</v>
      </c>
      <c r="Q73" s="186"/>
      <c r="R73" s="187" t="str">
        <f t="shared" ref="R73:R75" si="73">IF(OR(S73="Preventivo",S73="Detectivo"),"Probabilidad",IF(S73="Correctivo","Impacto",""))</f>
        <v/>
      </c>
      <c r="S73" s="188"/>
      <c r="T73" s="188"/>
      <c r="U73" s="189" t="str">
        <f t="shared" si="70"/>
        <v/>
      </c>
      <c r="V73" s="188"/>
      <c r="W73" s="188"/>
      <c r="X73" s="188"/>
      <c r="Y73" s="190" t="str">
        <f t="shared" ref="Y73:Y75" si="74">IFERROR(IF(AND(R72="Probabilidad",R73="Probabilidad"),(AA72-(+AA72*U73)),IF(AND(R72="Impacto",R73="Probabilidad"),(AA71-(+AA71*U73)),IF(R73="Impacto",AA72,""))),"")</f>
        <v/>
      </c>
      <c r="Z73" s="191" t="str">
        <f t="shared" si="2"/>
        <v/>
      </c>
      <c r="AA73" s="189" t="str">
        <f t="shared" si="71"/>
        <v/>
      </c>
      <c r="AB73" s="191" t="str">
        <f t="shared" si="4"/>
        <v/>
      </c>
      <c r="AC73" s="189" t="str">
        <f t="shared" ref="AC73:AC75" si="75">IFERROR(IF(AND(R72="Impacto",R73="Impacto"),(AC72-(+AC72*U73)),IF(AND(R72="Probabilidad",R73="Impacto"),(AC71-(+AC71*U73)),IF(R73="Probabilidad",AC72,""))),"")</f>
        <v/>
      </c>
      <c r="AD73" s="192"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188"/>
      <c r="AF73" s="165"/>
      <c r="AG73" s="165"/>
      <c r="AH73" s="193"/>
      <c r="AI73" s="193"/>
      <c r="AJ73" s="165"/>
      <c r="AK73" s="194"/>
    </row>
    <row r="74" spans="2:69" ht="26.1" hidden="1" customHeight="1" x14ac:dyDescent="0.3">
      <c r="B74" s="347"/>
      <c r="C74" s="349"/>
      <c r="D74" s="349"/>
      <c r="E74" s="349"/>
      <c r="F74" s="349"/>
      <c r="G74" s="349"/>
      <c r="H74" s="351"/>
      <c r="I74" s="353"/>
      <c r="J74" s="344"/>
      <c r="K74" s="356"/>
      <c r="L74" s="344">
        <f>IF(NOT(ISERROR(MATCH(K74,_xlfn.ANCHORARRAY(F85),0))),J87&amp;"Por favor no seleccionar los criterios de impacto",K74)</f>
        <v>0</v>
      </c>
      <c r="M74" s="353"/>
      <c r="N74" s="344"/>
      <c r="O74" s="346"/>
      <c r="P74" s="185">
        <v>5</v>
      </c>
      <c r="Q74" s="186"/>
      <c r="R74" s="187" t="str">
        <f t="shared" si="73"/>
        <v/>
      </c>
      <c r="S74" s="188"/>
      <c r="T74" s="188"/>
      <c r="U74" s="189" t="str">
        <f t="shared" si="70"/>
        <v/>
      </c>
      <c r="V74" s="188"/>
      <c r="W74" s="188"/>
      <c r="X74" s="188"/>
      <c r="Y74" s="190" t="str">
        <f t="shared" si="74"/>
        <v/>
      </c>
      <c r="Z74" s="191" t="str">
        <f t="shared" si="2"/>
        <v/>
      </c>
      <c r="AA74" s="189" t="str">
        <f t="shared" si="71"/>
        <v/>
      </c>
      <c r="AB74" s="191" t="str">
        <f t="shared" si="4"/>
        <v/>
      </c>
      <c r="AC74" s="189" t="str">
        <f t="shared" si="75"/>
        <v/>
      </c>
      <c r="AD74" s="192" t="str">
        <f t="shared" ref="AD74:AD75" si="76">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188"/>
      <c r="AF74" s="165"/>
      <c r="AG74" s="165"/>
      <c r="AH74" s="193"/>
      <c r="AI74" s="193"/>
      <c r="AJ74" s="165"/>
      <c r="AK74" s="194"/>
    </row>
    <row r="75" spans="2:69" ht="26.1" hidden="1" customHeight="1" x14ac:dyDescent="0.3">
      <c r="B75" s="348"/>
      <c r="C75" s="350"/>
      <c r="D75" s="350"/>
      <c r="E75" s="350"/>
      <c r="F75" s="350"/>
      <c r="G75" s="350"/>
      <c r="H75" s="352"/>
      <c r="I75" s="354"/>
      <c r="J75" s="355"/>
      <c r="K75" s="357"/>
      <c r="L75" s="355">
        <f>IF(NOT(ISERROR(MATCH(K75,_xlfn.ANCHORARRAY(F86),0))),J88&amp;"Por favor no seleccionar los criterios de impacto",K75)</f>
        <v>0</v>
      </c>
      <c r="M75" s="354"/>
      <c r="N75" s="355"/>
      <c r="O75" s="358"/>
      <c r="P75" s="200">
        <v>6</v>
      </c>
      <c r="Q75" s="201"/>
      <c r="R75" s="202" t="str">
        <f t="shared" si="73"/>
        <v/>
      </c>
      <c r="S75" s="203"/>
      <c r="T75" s="203"/>
      <c r="U75" s="204" t="str">
        <f t="shared" si="70"/>
        <v/>
      </c>
      <c r="V75" s="203"/>
      <c r="W75" s="203"/>
      <c r="X75" s="203"/>
      <c r="Y75" s="205" t="str">
        <f t="shared" si="74"/>
        <v/>
      </c>
      <c r="Z75" s="206" t="str">
        <f t="shared" si="2"/>
        <v/>
      </c>
      <c r="AA75" s="204" t="str">
        <f t="shared" si="71"/>
        <v/>
      </c>
      <c r="AB75" s="206" t="str">
        <f t="shared" si="4"/>
        <v/>
      </c>
      <c r="AC75" s="204" t="str">
        <f t="shared" si="75"/>
        <v/>
      </c>
      <c r="AD75" s="207" t="str">
        <f t="shared" si="76"/>
        <v/>
      </c>
      <c r="AE75" s="203"/>
      <c r="AF75" s="208"/>
      <c r="AG75" s="208"/>
      <c r="AH75" s="209"/>
      <c r="AI75" s="209"/>
      <c r="AJ75" s="208"/>
      <c r="AK75" s="210"/>
    </row>
    <row r="76" spans="2:69" ht="35.25" customHeight="1" thickBot="1" x14ac:dyDescent="0.35">
      <c r="B76" s="211"/>
      <c r="C76" s="341" t="s">
        <v>262</v>
      </c>
      <c r="D76" s="342"/>
      <c r="E76" s="342"/>
      <c r="F76" s="342"/>
      <c r="G76" s="342"/>
      <c r="H76" s="342"/>
      <c r="I76" s="342"/>
      <c r="J76" s="342"/>
      <c r="K76" s="342"/>
      <c r="L76" s="342"/>
      <c r="M76" s="342"/>
      <c r="N76" s="342"/>
      <c r="O76" s="342"/>
      <c r="P76" s="342"/>
      <c r="Q76" s="342"/>
      <c r="R76" s="342"/>
      <c r="S76" s="342"/>
      <c r="T76" s="342"/>
      <c r="U76" s="342"/>
      <c r="V76" s="342"/>
      <c r="W76" s="342"/>
      <c r="X76" s="342"/>
      <c r="Y76" s="342"/>
      <c r="Z76" s="342"/>
      <c r="AA76" s="342"/>
      <c r="AB76" s="342"/>
      <c r="AC76" s="342"/>
      <c r="AD76" s="342"/>
      <c r="AE76" s="342"/>
      <c r="AF76" s="342"/>
      <c r="AG76" s="342"/>
      <c r="AH76" s="342"/>
      <c r="AI76" s="342"/>
      <c r="AJ76" s="342"/>
      <c r="AK76" s="343"/>
    </row>
    <row r="78" spans="2:69" ht="26.1" customHeight="1" x14ac:dyDescent="0.3">
      <c r="B78" s="1"/>
      <c r="C78" s="9" t="s">
        <v>124</v>
      </c>
      <c r="D78" s="1"/>
      <c r="E78" s="1"/>
      <c r="G78" s="1"/>
    </row>
  </sheetData>
  <dataConsolidate/>
  <mergeCells count="190">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 ref="J14:J15"/>
    <mergeCell ref="M14:M15"/>
    <mergeCell ref="N14:N15"/>
    <mergeCell ref="C14:C15"/>
    <mergeCell ref="O14:O15"/>
    <mergeCell ref="K14:K15"/>
    <mergeCell ref="L14:L15"/>
    <mergeCell ref="R14:R15"/>
    <mergeCell ref="S14:X14"/>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M64:M69"/>
    <mergeCell ref="B64:B69"/>
    <mergeCell ref="C64:C69"/>
    <mergeCell ref="D64:D69"/>
    <mergeCell ref="E64:E69"/>
    <mergeCell ref="F64:F69"/>
    <mergeCell ref="G64:G69"/>
    <mergeCell ref="H64:H69"/>
    <mergeCell ref="I64:I69"/>
    <mergeCell ref="J64:J69"/>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AJ7:AK7"/>
    <mergeCell ref="AJ6:AK6"/>
    <mergeCell ref="AJ5:AK5"/>
    <mergeCell ref="AJ4:AK4"/>
    <mergeCell ref="F4:AI7"/>
    <mergeCell ref="B4:E7"/>
    <mergeCell ref="B12:AK12"/>
    <mergeCell ref="B9:C9"/>
    <mergeCell ref="B10:C10"/>
    <mergeCell ref="B11:C11"/>
    <mergeCell ref="D9:AK9"/>
    <mergeCell ref="D10:AK10"/>
    <mergeCell ref="D11:AK11"/>
  </mergeCells>
  <conditionalFormatting sqref="I16 I22">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M16 M22 M28 M34 M40 M46 M52 M58 M64 M70">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O16">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Z16:Z21">
    <cfRule type="cellIs" dxfId="226" priority="305" operator="equal">
      <formula>"Muy Alta"</formula>
    </cfRule>
    <cfRule type="cellIs" dxfId="225" priority="306" operator="equal">
      <formula>"Alta"</formula>
    </cfRule>
    <cfRule type="cellIs" dxfId="224" priority="307" operator="equal">
      <formula>"Media"</formula>
    </cfRule>
    <cfRule type="cellIs" dxfId="223" priority="308" operator="equal">
      <formula>"Baja"</formula>
    </cfRule>
    <cfRule type="cellIs" dxfId="222" priority="309" operator="equal">
      <formula>"Muy Baja"</formula>
    </cfRule>
  </conditionalFormatting>
  <conditionalFormatting sqref="AB16:AB21">
    <cfRule type="cellIs" dxfId="221" priority="300" operator="equal">
      <formula>"Catastrófico"</formula>
    </cfRule>
    <cfRule type="cellIs" dxfId="220" priority="301" operator="equal">
      <formula>"Mayor"</formula>
    </cfRule>
    <cfRule type="cellIs" dxfId="219" priority="302" operator="equal">
      <formula>"Moderado"</formula>
    </cfRule>
    <cfRule type="cellIs" dxfId="218" priority="303" operator="equal">
      <formula>"Menor"</formula>
    </cfRule>
    <cfRule type="cellIs" dxfId="217" priority="304" operator="equal">
      <formula>"Leve"</formula>
    </cfRule>
  </conditionalFormatting>
  <conditionalFormatting sqref="AD16:AD21">
    <cfRule type="cellIs" dxfId="216" priority="296" operator="equal">
      <formula>"Extremo"</formula>
    </cfRule>
    <cfRule type="cellIs" dxfId="215" priority="297" operator="equal">
      <formula>"Alto"</formula>
    </cfRule>
    <cfRule type="cellIs" dxfId="214" priority="298" operator="equal">
      <formula>"Moderado"</formula>
    </cfRule>
    <cfRule type="cellIs" dxfId="213" priority="299" operator="equal">
      <formula>"Bajo"</formula>
    </cfRule>
  </conditionalFormatting>
  <conditionalFormatting sqref="I64">
    <cfRule type="cellIs" dxfId="212" priority="53" operator="equal">
      <formula>"Muy Alta"</formula>
    </cfRule>
    <cfRule type="cellIs" dxfId="211" priority="54" operator="equal">
      <formula>"Alta"</formula>
    </cfRule>
    <cfRule type="cellIs" dxfId="210" priority="55" operator="equal">
      <formula>"Media"</formula>
    </cfRule>
    <cfRule type="cellIs" dxfId="209" priority="56" operator="equal">
      <formula>"Baja"</formula>
    </cfRule>
    <cfRule type="cellIs" dxfId="208" priority="57" operator="equal">
      <formula>"Muy Baja"</formula>
    </cfRule>
  </conditionalFormatting>
  <conditionalFormatting sqref="O22">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Z22:Z27">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AB22:AB27">
    <cfRule type="cellIs" dxfId="198" priority="230" operator="equal">
      <formula>"Catastrófico"</formula>
    </cfRule>
    <cfRule type="cellIs" dxfId="197" priority="231" operator="equal">
      <formula>"Mayor"</formula>
    </cfRule>
    <cfRule type="cellIs" dxfId="196" priority="232" operator="equal">
      <formula>"Moderado"</formula>
    </cfRule>
    <cfRule type="cellIs" dxfId="195" priority="233" operator="equal">
      <formula>"Menor"</formula>
    </cfRule>
    <cfRule type="cellIs" dxfId="194" priority="234" operator="equal">
      <formula>"Leve"</formula>
    </cfRule>
  </conditionalFormatting>
  <conditionalFormatting sqref="AD22:AD27">
    <cfRule type="cellIs" dxfId="193" priority="226" operator="equal">
      <formula>"Extremo"</formula>
    </cfRule>
    <cfRule type="cellIs" dxfId="192" priority="227" operator="equal">
      <formula>"Alto"</formula>
    </cfRule>
    <cfRule type="cellIs" dxfId="191" priority="228" operator="equal">
      <formula>"Moderado"</formula>
    </cfRule>
    <cfRule type="cellIs" dxfId="190" priority="229" operator="equal">
      <formula>"Bajo"</formula>
    </cfRule>
  </conditionalFormatting>
  <conditionalFormatting sqref="I28">
    <cfRule type="cellIs" dxfId="189" priority="221" operator="equal">
      <formula>"Muy Alta"</formula>
    </cfRule>
    <cfRule type="cellIs" dxfId="188" priority="222" operator="equal">
      <formula>"Alta"</formula>
    </cfRule>
    <cfRule type="cellIs" dxfId="187" priority="223" operator="equal">
      <formula>"Media"</formula>
    </cfRule>
    <cfRule type="cellIs" dxfId="186" priority="224" operator="equal">
      <formula>"Baja"</formula>
    </cfRule>
    <cfRule type="cellIs" dxfId="185" priority="225" operator="equal">
      <formula>"Muy Baja"</formula>
    </cfRule>
  </conditionalFormatting>
  <conditionalFormatting sqref="O28">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ignoredErrors>
    <ignoredError sqref="AC18"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controles'!$D$5:$D$7</xm:f>
          </x14:formula1>
          <xm:sqref>S16:S75</xm:sqref>
        </x14:dataValidation>
        <x14:dataValidation type="list" allowBlank="1" showInputMessage="1" showErrorMessage="1">
          <x14:formula1>
            <xm:f>'Tabla Valoración controles'!$D$8:$D$9</xm:f>
          </x14:formula1>
          <xm:sqref>T16:T75</xm:sqref>
        </x14:dataValidation>
        <x14:dataValidation type="list" allowBlank="1" showInputMessage="1" showErrorMessage="1">
          <x14:formula1>
            <xm:f>'Tabla Valoración controles'!$D$10:$D$11</xm:f>
          </x14:formula1>
          <xm:sqref>V16:V75</xm:sqref>
        </x14:dataValidation>
        <x14:dataValidation type="list" allowBlank="1" showInputMessage="1" showErrorMessage="1">
          <x14:formula1>
            <xm:f>'Tabla Valoración controles'!$D$12:$D$13</xm:f>
          </x14:formula1>
          <xm:sqref>W16:W75</xm:sqref>
        </x14:dataValidation>
        <x14:dataValidation type="list" allowBlank="1" showInputMessage="1" showErrorMessage="1">
          <x14:formula1>
            <xm:f>'Opciones Tratamiento'!$B$9:$B$10</xm:f>
          </x14:formula1>
          <xm:sqref>AK73:AK74 AK19:AK20 AK22:AK23 AK25:AK26 AK28:AK29 AK31:AK32 AK34:AK35 AK37:AK38 AK40:AK41 AK43:AK44 AK46:AK47 AK49:AK50 AK52:AK53 AK55:AK56 AK58:AK59 AK61:AK62 AK64:AK65 AK67:AK68 AK70:AK71</xm:sqref>
        </x14:dataValidation>
        <x14:dataValidation type="list" allowBlank="1" showInputMessage="1" showErrorMessage="1">
          <x14:formula1>
            <xm:f>'Tabla Valoración controles'!$D$14:$D$15</xm:f>
          </x14:formula1>
          <xm:sqref>X16:X75</xm:sqref>
        </x14:dataValidation>
        <x14:dataValidation type="list" allowBlank="1" showInputMessage="1" showErrorMessage="1">
          <x14:formula1>
            <xm:f>'Opciones Tratamiento'!$B$13:$B$19</xm:f>
          </x14:formula1>
          <xm:sqref>G16:G75</xm:sqref>
        </x14:dataValidation>
        <x14:dataValidation type="list" allowBlank="1" showInputMessage="1" showErrorMessage="1">
          <x14:formula1>
            <xm:f>'Opciones Tratamiento'!$E$2:$E$4</xm:f>
          </x14:formula1>
          <xm:sqref>C16:C75</xm:sqref>
        </x14:dataValidation>
        <x14:dataValidation type="list" allowBlank="1" showInputMessage="1" showErrorMessage="1">
          <x14:formula1>
            <xm:f>'Opciones Tratamiento'!$B$2:$B$5</xm:f>
          </x14:formula1>
          <xm:sqref>AE16:AE75</xm:sqref>
        </x14:dataValidation>
        <x14:dataValidation type="list" allowBlank="1" showInputMessage="1" showErrorMessage="1">
          <x14:formula1>
            <xm:f>'Tabla Impacto'!$F$211:$F$222</xm:f>
          </x14:formula1>
          <xm:sqref>K16:K75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AF16:AF75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AG16:AG75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AH16:AH75 AI16:AI17</xm:sqref>
        </x14:dataValidation>
        <x14:dataValidation type="custom" allowBlank="1" showInputMessage="1" showErrorMessage="1" error="Recuerde que las acciones se generan bajo la medida de mitigar el riesgo">
          <x14:formula1>
            <xm:f>IF(OR(AE18='Opciones Tratamiento'!$B$2,AE18='Opciones Tratamiento'!$B$3,AE18='Opciones Tratamiento'!$B$4),ISBLANK(AE18),ISTEXT(AE18))</xm:f>
          </x14:formula1>
          <xm:sqref>AI18:AI75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AJ16:AJ75 AK16:AK17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462" t="s">
        <v>141</v>
      </c>
      <c r="C2" s="462"/>
      <c r="D2" s="462"/>
      <c r="E2" s="462"/>
      <c r="F2" s="462"/>
      <c r="G2" s="462"/>
      <c r="H2" s="462"/>
      <c r="I2" s="462"/>
      <c r="J2" s="429" t="s">
        <v>2</v>
      </c>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462"/>
      <c r="C3" s="462"/>
      <c r="D3" s="462"/>
      <c r="E3" s="462"/>
      <c r="F3" s="462"/>
      <c r="G3" s="462"/>
      <c r="H3" s="462"/>
      <c r="I3" s="462"/>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29"/>
      <c r="AM3" s="429"/>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462"/>
      <c r="C4" s="462"/>
      <c r="D4" s="462"/>
      <c r="E4" s="462"/>
      <c r="F4" s="462"/>
      <c r="G4" s="462"/>
      <c r="H4" s="462"/>
      <c r="I4" s="462"/>
      <c r="J4" s="429"/>
      <c r="K4" s="429"/>
      <c r="L4" s="429"/>
      <c r="M4" s="429"/>
      <c r="N4" s="429"/>
      <c r="O4" s="429"/>
      <c r="P4" s="429"/>
      <c r="Q4" s="429"/>
      <c r="R4" s="429"/>
      <c r="S4" s="429"/>
      <c r="T4" s="429"/>
      <c r="U4" s="429"/>
      <c r="V4" s="429"/>
      <c r="W4" s="429"/>
      <c r="X4" s="429"/>
      <c r="Y4" s="429"/>
      <c r="Z4" s="429"/>
      <c r="AA4" s="429"/>
      <c r="AB4" s="429"/>
      <c r="AC4" s="429"/>
      <c r="AD4" s="429"/>
      <c r="AE4" s="429"/>
      <c r="AF4" s="429"/>
      <c r="AG4" s="429"/>
      <c r="AH4" s="429"/>
      <c r="AI4" s="429"/>
      <c r="AJ4" s="429"/>
      <c r="AK4" s="429"/>
      <c r="AL4" s="429"/>
      <c r="AM4" s="429"/>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375" t="s">
        <v>4</v>
      </c>
      <c r="C6" s="375"/>
      <c r="D6" s="376"/>
      <c r="E6" s="413" t="s">
        <v>107</v>
      </c>
      <c r="F6" s="414"/>
      <c r="G6" s="414"/>
      <c r="H6" s="414"/>
      <c r="I6" s="415"/>
      <c r="J6" s="425" t="str">
        <f>IF(AND('MAPA DE RIESGO'!$I$16="Muy Alta",'MAPA DE RIESGO'!$M$16="Leve"),CONCATENATE("R",'MAPA DE RIESGO'!$B$16),"")</f>
        <v/>
      </c>
      <c r="K6" s="426"/>
      <c r="L6" s="426" t="str">
        <f>IF(AND('MAPA DE RIESGO'!$I$22="Muy Alta",'MAPA DE RIESGO'!$M$22="Leve"),CONCATENATE("R",'MAPA DE RIESGO'!$B$22),"")</f>
        <v/>
      </c>
      <c r="M6" s="426"/>
      <c r="N6" s="426" t="str">
        <f>IF(AND('MAPA DE RIESGO'!$I$28="Muy Alta",'MAPA DE RIESGO'!$M$28="Leve"),CONCATENATE("R",'MAPA DE RIESGO'!$B$28),"")</f>
        <v/>
      </c>
      <c r="O6" s="428"/>
      <c r="P6" s="425" t="str">
        <f>IF(AND('MAPA DE RIESGO'!$I$16="Muy Alta",'MAPA DE RIESGO'!$M$16="Menor"),CONCATENATE("R",'MAPA DE RIESGO'!$B$16),"")</f>
        <v/>
      </c>
      <c r="Q6" s="426"/>
      <c r="R6" s="426" t="str">
        <f>IF(AND('MAPA DE RIESGO'!$I$22="Muy Alta",'MAPA DE RIESGO'!$M$22="Menor"),CONCATENATE("R",'MAPA DE RIESGO'!$B$22),"")</f>
        <v/>
      </c>
      <c r="S6" s="426"/>
      <c r="T6" s="426" t="str">
        <f>IF(AND('MAPA DE RIESGO'!$I$28="Muy Alta",'MAPA DE RIESGO'!$M$28="Menor"),CONCATENATE("R",'MAPA DE RIESGO'!$B$28),"")</f>
        <v/>
      </c>
      <c r="U6" s="428"/>
      <c r="V6" s="425" t="str">
        <f>IF(AND('MAPA DE RIESGO'!$I$16="Muy Alta",'MAPA DE RIESGO'!$M$16="Moderado"),CONCATENATE("R",'MAPA DE RIESGO'!$B$16),"")</f>
        <v/>
      </c>
      <c r="W6" s="426"/>
      <c r="X6" s="426" t="str">
        <f>IF(AND('MAPA DE RIESGO'!$I$22="Muy Alta",'MAPA DE RIESGO'!$M$22="Moderado"),CONCATENATE("R",'MAPA DE RIESGO'!$B$22),"")</f>
        <v/>
      </c>
      <c r="Y6" s="426"/>
      <c r="Z6" s="426" t="str">
        <f>IF(AND('MAPA DE RIESGO'!$I$28="Muy Alta",'MAPA DE RIESGO'!$M$28="Moderado"),CONCATENATE("R",'MAPA DE RIESGO'!$B$28),"")</f>
        <v/>
      </c>
      <c r="AA6" s="428"/>
      <c r="AB6" s="425" t="str">
        <f>IF(AND('MAPA DE RIESGO'!$I$16="Muy Alta",'MAPA DE RIESGO'!$M$16="Mayor"),CONCATENATE("R",'MAPA DE RIESGO'!$B$16),"")</f>
        <v/>
      </c>
      <c r="AC6" s="426"/>
      <c r="AD6" s="426" t="str">
        <f>IF(AND('MAPA DE RIESGO'!$I$22="Muy Alta",'MAPA DE RIESGO'!$M$22="Mayor"),CONCATENATE("R",'MAPA DE RIESGO'!$B$22),"")</f>
        <v/>
      </c>
      <c r="AE6" s="426"/>
      <c r="AF6" s="426" t="str">
        <f>IF(AND('MAPA DE RIESGO'!$I$28="Muy Alta",'MAPA DE RIESGO'!$M$28="Mayor"),CONCATENATE("R",'MAPA DE RIESGO'!$B$28),"")</f>
        <v/>
      </c>
      <c r="AG6" s="428"/>
      <c r="AH6" s="441" t="str">
        <f>IF(AND('MAPA DE RIESGO'!$I$16="Muy Alta",'MAPA DE RIESGO'!$M$16="Catastrófico"),CONCATENATE("R",'MAPA DE RIESGO'!$B$16),"")</f>
        <v/>
      </c>
      <c r="AI6" s="442"/>
      <c r="AJ6" s="442" t="str">
        <f>IF(AND('MAPA DE RIESGO'!$I$22="Muy Alta",'MAPA DE RIESGO'!$M$22="Catastrófico"),CONCATENATE("R",'MAPA DE RIESGO'!$B$22),"")</f>
        <v/>
      </c>
      <c r="AK6" s="442"/>
      <c r="AL6" s="442" t="str">
        <f>IF(AND('MAPA DE RIESGO'!$I$28="Muy Alta",'MAPA DE RIESGO'!$M$28="Catastrófico"),CONCATENATE("R",'MAPA DE RIESGO'!$B$28),"")</f>
        <v/>
      </c>
      <c r="AM6" s="443"/>
      <c r="AO6" s="377" t="s">
        <v>71</v>
      </c>
      <c r="AP6" s="378"/>
      <c r="AQ6" s="378"/>
      <c r="AR6" s="378"/>
      <c r="AS6" s="378"/>
      <c r="AT6" s="379"/>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375"/>
      <c r="C7" s="375"/>
      <c r="D7" s="376"/>
      <c r="E7" s="416"/>
      <c r="F7" s="417"/>
      <c r="G7" s="417"/>
      <c r="H7" s="417"/>
      <c r="I7" s="418"/>
      <c r="J7" s="427"/>
      <c r="K7" s="424"/>
      <c r="L7" s="424"/>
      <c r="M7" s="424"/>
      <c r="N7" s="424"/>
      <c r="O7" s="423"/>
      <c r="P7" s="427"/>
      <c r="Q7" s="424"/>
      <c r="R7" s="424"/>
      <c r="S7" s="424"/>
      <c r="T7" s="424"/>
      <c r="U7" s="423"/>
      <c r="V7" s="427"/>
      <c r="W7" s="424"/>
      <c r="X7" s="424"/>
      <c r="Y7" s="424"/>
      <c r="Z7" s="424"/>
      <c r="AA7" s="423"/>
      <c r="AB7" s="427"/>
      <c r="AC7" s="424"/>
      <c r="AD7" s="424"/>
      <c r="AE7" s="424"/>
      <c r="AF7" s="424"/>
      <c r="AG7" s="423"/>
      <c r="AH7" s="435"/>
      <c r="AI7" s="436"/>
      <c r="AJ7" s="436"/>
      <c r="AK7" s="436"/>
      <c r="AL7" s="436"/>
      <c r="AM7" s="437"/>
      <c r="AN7" s="55"/>
      <c r="AO7" s="380"/>
      <c r="AP7" s="381"/>
      <c r="AQ7" s="381"/>
      <c r="AR7" s="381"/>
      <c r="AS7" s="381"/>
      <c r="AT7" s="382"/>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375"/>
      <c r="C8" s="375"/>
      <c r="D8" s="376"/>
      <c r="E8" s="416"/>
      <c r="F8" s="417"/>
      <c r="G8" s="417"/>
      <c r="H8" s="417"/>
      <c r="I8" s="418"/>
      <c r="J8" s="427" t="str">
        <f>IF(AND('MAPA DE RIESGO'!$I$34="Muy Alta",'MAPA DE RIESGO'!$M$34="Leve"),CONCATENATE("R",'MAPA DE RIESGO'!$B$34),"")</f>
        <v/>
      </c>
      <c r="K8" s="424"/>
      <c r="L8" s="422" t="str">
        <f>IF(AND('MAPA DE RIESGO'!$I$40="Muy Alta",'MAPA DE RIESGO'!$M$40="Leve"),CONCATENATE("R",'MAPA DE RIESGO'!$B$40),"")</f>
        <v/>
      </c>
      <c r="M8" s="422"/>
      <c r="N8" s="422" t="str">
        <f>IF(AND('MAPA DE RIESGO'!$I$46="Muy Alta",'MAPA DE RIESGO'!$M$46="Leve"),CONCATENATE("R",'MAPA DE RIESGO'!$B$46),"")</f>
        <v/>
      </c>
      <c r="O8" s="423"/>
      <c r="P8" s="427" t="str">
        <f>IF(AND('MAPA DE RIESGO'!$I$34="Muy Alta",'MAPA DE RIESGO'!$M$34="Menor"),CONCATENATE("R",'MAPA DE RIESGO'!$B$34),"")</f>
        <v/>
      </c>
      <c r="Q8" s="424"/>
      <c r="R8" s="422" t="str">
        <f>IF(AND('MAPA DE RIESGO'!$I$40="Muy Alta",'MAPA DE RIESGO'!$M$40="Menor"),CONCATENATE("R",'MAPA DE RIESGO'!$B$40),"")</f>
        <v/>
      </c>
      <c r="S8" s="422"/>
      <c r="T8" s="422" t="str">
        <f>IF(AND('MAPA DE RIESGO'!$I$46="Muy Alta",'MAPA DE RIESGO'!$M$46="Menor"),CONCATENATE("R",'MAPA DE RIESGO'!$B$46),"")</f>
        <v/>
      </c>
      <c r="U8" s="423"/>
      <c r="V8" s="427" t="str">
        <f>IF(AND('MAPA DE RIESGO'!$I$34="Muy Alta",'MAPA DE RIESGO'!$M$34="Moderado"),CONCATENATE("R",'MAPA DE RIESGO'!$B$34),"")</f>
        <v/>
      </c>
      <c r="W8" s="424"/>
      <c r="X8" s="422" t="str">
        <f>IF(AND('MAPA DE RIESGO'!$I$40="Muy Alta",'MAPA DE RIESGO'!$M$40="Moderado"),CONCATENATE("R",'MAPA DE RIESGO'!$B$40),"")</f>
        <v/>
      </c>
      <c r="Y8" s="422"/>
      <c r="Z8" s="422" t="str">
        <f>IF(AND('MAPA DE RIESGO'!$I$46="Muy Alta",'MAPA DE RIESGO'!$M$46="Moderado"),CONCATENATE("R",'MAPA DE RIESGO'!$B$46),"")</f>
        <v/>
      </c>
      <c r="AA8" s="423"/>
      <c r="AB8" s="427" t="str">
        <f>IF(AND('MAPA DE RIESGO'!$I$34="Muy Alta",'MAPA DE RIESGO'!$M$34="Mayor"),CONCATENATE("R",'MAPA DE RIESGO'!$B$34),"")</f>
        <v/>
      </c>
      <c r="AC8" s="424"/>
      <c r="AD8" s="422" t="str">
        <f>IF(AND('MAPA DE RIESGO'!$I$40="Muy Alta",'MAPA DE RIESGO'!$M$40="Mayor"),CONCATENATE("R",'MAPA DE RIESGO'!$B$40),"")</f>
        <v/>
      </c>
      <c r="AE8" s="422"/>
      <c r="AF8" s="422" t="str">
        <f>IF(AND('MAPA DE RIESGO'!$I$46="Muy Alta",'MAPA DE RIESGO'!$M$46="Mayor"),CONCATENATE("R",'MAPA DE RIESGO'!$B$46),"")</f>
        <v/>
      </c>
      <c r="AG8" s="423"/>
      <c r="AH8" s="435" t="str">
        <f>IF(AND('MAPA DE RIESGO'!$I$34="Muy Alta",'MAPA DE RIESGO'!$M$34="Catastrófico"),CONCATENATE("R",'MAPA DE RIESGO'!$B$34),"")</f>
        <v/>
      </c>
      <c r="AI8" s="436"/>
      <c r="AJ8" s="436" t="str">
        <f>IF(AND('MAPA DE RIESGO'!$I$40="Muy Alta",'MAPA DE RIESGO'!$M$40="Catastrófico"),CONCATENATE("R",'MAPA DE RIESGO'!$B$40),"")</f>
        <v/>
      </c>
      <c r="AK8" s="436"/>
      <c r="AL8" s="436" t="str">
        <f>IF(AND('MAPA DE RIESGO'!$I$46="Muy Alta",'MAPA DE RIESGO'!$M$46="Catastrófico"),CONCATENATE("R",'MAPA DE RIESGO'!$B$46),"")</f>
        <v/>
      </c>
      <c r="AM8" s="437"/>
      <c r="AN8" s="55"/>
      <c r="AO8" s="380"/>
      <c r="AP8" s="381"/>
      <c r="AQ8" s="381"/>
      <c r="AR8" s="381"/>
      <c r="AS8" s="381"/>
      <c r="AT8" s="382"/>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375"/>
      <c r="C9" s="375"/>
      <c r="D9" s="376"/>
      <c r="E9" s="416"/>
      <c r="F9" s="417"/>
      <c r="G9" s="417"/>
      <c r="H9" s="417"/>
      <c r="I9" s="418"/>
      <c r="J9" s="427"/>
      <c r="K9" s="424"/>
      <c r="L9" s="422"/>
      <c r="M9" s="422"/>
      <c r="N9" s="422"/>
      <c r="O9" s="423"/>
      <c r="P9" s="427"/>
      <c r="Q9" s="424"/>
      <c r="R9" s="422"/>
      <c r="S9" s="422"/>
      <c r="T9" s="422"/>
      <c r="U9" s="423"/>
      <c r="V9" s="427"/>
      <c r="W9" s="424"/>
      <c r="X9" s="422"/>
      <c r="Y9" s="422"/>
      <c r="Z9" s="422"/>
      <c r="AA9" s="423"/>
      <c r="AB9" s="427"/>
      <c r="AC9" s="424"/>
      <c r="AD9" s="422"/>
      <c r="AE9" s="422"/>
      <c r="AF9" s="422"/>
      <c r="AG9" s="423"/>
      <c r="AH9" s="435"/>
      <c r="AI9" s="436"/>
      <c r="AJ9" s="436"/>
      <c r="AK9" s="436"/>
      <c r="AL9" s="436"/>
      <c r="AM9" s="437"/>
      <c r="AN9" s="55"/>
      <c r="AO9" s="380"/>
      <c r="AP9" s="381"/>
      <c r="AQ9" s="381"/>
      <c r="AR9" s="381"/>
      <c r="AS9" s="381"/>
      <c r="AT9" s="382"/>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375"/>
      <c r="C10" s="375"/>
      <c r="D10" s="376"/>
      <c r="E10" s="416"/>
      <c r="F10" s="417"/>
      <c r="G10" s="417"/>
      <c r="H10" s="417"/>
      <c r="I10" s="418"/>
      <c r="J10" s="427" t="str">
        <f>IF(AND('MAPA DE RIESGO'!$I$52="Muy Alta",'MAPA DE RIESGO'!$M$52="Leve"),CONCATENATE("R",'MAPA DE RIESGO'!$B$52),"")</f>
        <v/>
      </c>
      <c r="K10" s="424"/>
      <c r="L10" s="422" t="str">
        <f>IF(AND('MAPA DE RIESGO'!$I$58="Muy Alta",'MAPA DE RIESGO'!$M$58="Leve"),CONCATENATE("R",'MAPA DE RIESGO'!$B$58),"")</f>
        <v/>
      </c>
      <c r="M10" s="422"/>
      <c r="N10" s="422" t="str">
        <f>IF(AND('MAPA DE RIESGO'!$I$64="Muy Alta",'MAPA DE RIESGO'!$M$64="Leve"),CONCATENATE("R",'MAPA DE RIESGO'!$B$64),"")</f>
        <v/>
      </c>
      <c r="O10" s="423"/>
      <c r="P10" s="427" t="str">
        <f>IF(AND('MAPA DE RIESGO'!$I$52="Muy Alta",'MAPA DE RIESGO'!$M$52="Menor"),CONCATENATE("R",'MAPA DE RIESGO'!$B$52),"")</f>
        <v/>
      </c>
      <c r="Q10" s="424"/>
      <c r="R10" s="422" t="str">
        <f>IF(AND('MAPA DE RIESGO'!$I$58="Muy Alta",'MAPA DE RIESGO'!$M$58="Menor"),CONCATENATE("R",'MAPA DE RIESGO'!$B$58),"")</f>
        <v/>
      </c>
      <c r="S10" s="422"/>
      <c r="T10" s="422" t="str">
        <f>IF(AND('MAPA DE RIESGO'!$I$64="Muy Alta",'MAPA DE RIESGO'!$M$64="Menor"),CONCATENATE("R",'MAPA DE RIESGO'!$B$64),"")</f>
        <v/>
      </c>
      <c r="U10" s="423"/>
      <c r="V10" s="427" t="str">
        <f>IF(AND('MAPA DE RIESGO'!$I$52="Muy Alta",'MAPA DE RIESGO'!$M$52="Moderado"),CONCATENATE("R",'MAPA DE RIESGO'!$B$52),"")</f>
        <v/>
      </c>
      <c r="W10" s="424"/>
      <c r="X10" s="422" t="str">
        <f>IF(AND('MAPA DE RIESGO'!$I$58="Muy Alta",'MAPA DE RIESGO'!$M$58="Moderado"),CONCATENATE("R",'MAPA DE RIESGO'!$B$58),"")</f>
        <v/>
      </c>
      <c r="Y10" s="422"/>
      <c r="Z10" s="422" t="str">
        <f>IF(AND('MAPA DE RIESGO'!$I$64="Muy Alta",'MAPA DE RIESGO'!$M$64="Moderado"),CONCATENATE("R",'MAPA DE RIESGO'!$B$64),"")</f>
        <v/>
      </c>
      <c r="AA10" s="423"/>
      <c r="AB10" s="427" t="str">
        <f>IF(AND('MAPA DE RIESGO'!$I$52="Muy Alta",'MAPA DE RIESGO'!$M$52="Mayor"),CONCATENATE("R",'MAPA DE RIESGO'!$B$52),"")</f>
        <v/>
      </c>
      <c r="AC10" s="424"/>
      <c r="AD10" s="422" t="str">
        <f>IF(AND('MAPA DE RIESGO'!$I$58="Muy Alta",'MAPA DE RIESGO'!$M$58="Mayor"),CONCATENATE("R",'MAPA DE RIESGO'!$B$58),"")</f>
        <v/>
      </c>
      <c r="AE10" s="422"/>
      <c r="AF10" s="422" t="str">
        <f>IF(AND('MAPA DE RIESGO'!$I$64="Muy Alta",'MAPA DE RIESGO'!$M$64="Mayor"),CONCATENATE("R",'MAPA DE RIESGO'!$B$64),"")</f>
        <v/>
      </c>
      <c r="AG10" s="423"/>
      <c r="AH10" s="435" t="str">
        <f>IF(AND('MAPA DE RIESGO'!$I$52="Muy Alta",'MAPA DE RIESGO'!$M$52="Catastrófico"),CONCATENATE("R",'MAPA DE RIESGO'!$B$52),"")</f>
        <v/>
      </c>
      <c r="AI10" s="436"/>
      <c r="AJ10" s="436" t="str">
        <f>IF(AND('MAPA DE RIESGO'!$I$58="Muy Alta",'MAPA DE RIESGO'!$M$58="Catastrófico"),CONCATENATE("R",'MAPA DE RIESGO'!$B$58),"")</f>
        <v/>
      </c>
      <c r="AK10" s="436"/>
      <c r="AL10" s="436" t="str">
        <f>IF(AND('MAPA DE RIESGO'!$I$64="Muy Alta",'MAPA DE RIESGO'!$M$64="Catastrófico"),CONCATENATE("R",'MAPA DE RIESGO'!$B$64),"")</f>
        <v/>
      </c>
      <c r="AM10" s="437"/>
      <c r="AN10" s="55"/>
      <c r="AO10" s="380"/>
      <c r="AP10" s="381"/>
      <c r="AQ10" s="381"/>
      <c r="AR10" s="381"/>
      <c r="AS10" s="381"/>
      <c r="AT10" s="382"/>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375"/>
      <c r="C11" s="375"/>
      <c r="D11" s="376"/>
      <c r="E11" s="416"/>
      <c r="F11" s="417"/>
      <c r="G11" s="417"/>
      <c r="H11" s="417"/>
      <c r="I11" s="418"/>
      <c r="J11" s="427"/>
      <c r="K11" s="424"/>
      <c r="L11" s="422"/>
      <c r="M11" s="422"/>
      <c r="N11" s="422"/>
      <c r="O11" s="423"/>
      <c r="P11" s="427"/>
      <c r="Q11" s="424"/>
      <c r="R11" s="422"/>
      <c r="S11" s="422"/>
      <c r="T11" s="422"/>
      <c r="U11" s="423"/>
      <c r="V11" s="427"/>
      <c r="W11" s="424"/>
      <c r="X11" s="422"/>
      <c r="Y11" s="422"/>
      <c r="Z11" s="422"/>
      <c r="AA11" s="423"/>
      <c r="AB11" s="427"/>
      <c r="AC11" s="424"/>
      <c r="AD11" s="422"/>
      <c r="AE11" s="422"/>
      <c r="AF11" s="422"/>
      <c r="AG11" s="423"/>
      <c r="AH11" s="435"/>
      <c r="AI11" s="436"/>
      <c r="AJ11" s="436"/>
      <c r="AK11" s="436"/>
      <c r="AL11" s="436"/>
      <c r="AM11" s="437"/>
      <c r="AN11" s="55"/>
      <c r="AO11" s="380"/>
      <c r="AP11" s="381"/>
      <c r="AQ11" s="381"/>
      <c r="AR11" s="381"/>
      <c r="AS11" s="381"/>
      <c r="AT11" s="382"/>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375"/>
      <c r="C12" s="375"/>
      <c r="D12" s="376"/>
      <c r="E12" s="416"/>
      <c r="F12" s="417"/>
      <c r="G12" s="417"/>
      <c r="H12" s="417"/>
      <c r="I12" s="418"/>
      <c r="J12" s="427" t="str">
        <f>IF(AND('MAPA DE RIESGO'!$I$70="Muy Alta",'MAPA DE RIESGO'!$M$70="Leve"),CONCATENATE("R",'MAPA DE RIESGO'!$B$70),"")</f>
        <v/>
      </c>
      <c r="K12" s="424"/>
      <c r="L12" s="422" t="str">
        <f>IF(AND('MAPA DE RIESGO'!$I$76="Muy Alta",'MAPA DE RIESGO'!$M$76="Leve"),CONCATENATE("R",'MAPA DE RIESGO'!$B$76),"")</f>
        <v/>
      </c>
      <c r="M12" s="422"/>
      <c r="N12" s="422" t="str">
        <f>IF(AND('MAPA DE RIESGO'!$I$82="Muy Alta",'MAPA DE RIESGO'!$M$82="Leve"),CONCATENATE("R",'MAPA DE RIESGO'!$B$82),"")</f>
        <v/>
      </c>
      <c r="O12" s="423"/>
      <c r="P12" s="427" t="str">
        <f>IF(AND('MAPA DE RIESGO'!$I$70="Muy Alta",'MAPA DE RIESGO'!$M$70="Menor"),CONCATENATE("R",'MAPA DE RIESGO'!$B$70),"")</f>
        <v/>
      </c>
      <c r="Q12" s="424"/>
      <c r="R12" s="422" t="str">
        <f>IF(AND('MAPA DE RIESGO'!$I$76="Muy Alta",'MAPA DE RIESGO'!$M$76="Menor"),CONCATENATE("R",'MAPA DE RIESGO'!$B$76),"")</f>
        <v/>
      </c>
      <c r="S12" s="422"/>
      <c r="T12" s="422" t="str">
        <f>IF(AND('MAPA DE RIESGO'!$I$82="Muy Alta",'MAPA DE RIESGO'!$M$82="Menor"),CONCATENATE("R",'MAPA DE RIESGO'!$B$82),"")</f>
        <v/>
      </c>
      <c r="U12" s="423"/>
      <c r="V12" s="427" t="str">
        <f>IF(AND('MAPA DE RIESGO'!$I$70="Muy Alta",'MAPA DE RIESGO'!$M$70="Moderado"),CONCATENATE("R",'MAPA DE RIESGO'!$B$70),"")</f>
        <v/>
      </c>
      <c r="W12" s="424"/>
      <c r="X12" s="422" t="str">
        <f>IF(AND('MAPA DE RIESGO'!$I$76="Muy Alta",'MAPA DE RIESGO'!$M$76="Moderado"),CONCATENATE("R",'MAPA DE RIESGO'!$B$76),"")</f>
        <v/>
      </c>
      <c r="Y12" s="422"/>
      <c r="Z12" s="422" t="str">
        <f>IF(AND('MAPA DE RIESGO'!$I$82="Muy Alta",'MAPA DE RIESGO'!$M$82="Moderado"),CONCATENATE("R",'MAPA DE RIESGO'!$B$82),"")</f>
        <v/>
      </c>
      <c r="AA12" s="423"/>
      <c r="AB12" s="427" t="str">
        <f>IF(AND('MAPA DE RIESGO'!$I$70="Muy Alta",'MAPA DE RIESGO'!$M$70="Mayor"),CONCATENATE("R",'MAPA DE RIESGO'!$B$70),"")</f>
        <v/>
      </c>
      <c r="AC12" s="424"/>
      <c r="AD12" s="422" t="str">
        <f>IF(AND('MAPA DE RIESGO'!$I$76="Muy Alta",'MAPA DE RIESGO'!$M$76="Mayor"),CONCATENATE("R",'MAPA DE RIESGO'!$B$76),"")</f>
        <v/>
      </c>
      <c r="AE12" s="422"/>
      <c r="AF12" s="422" t="str">
        <f>IF(AND('MAPA DE RIESGO'!$I$82="Muy Alta",'MAPA DE RIESGO'!$M$82="Mayor"),CONCATENATE("R",'MAPA DE RIESGO'!$B$82),"")</f>
        <v/>
      </c>
      <c r="AG12" s="423"/>
      <c r="AH12" s="435" t="str">
        <f>IF(AND('MAPA DE RIESGO'!$I$70="Muy Alta",'MAPA DE RIESGO'!$M$70="Catastrófico"),CONCATENATE("R",'MAPA DE RIESGO'!$B$70),"")</f>
        <v/>
      </c>
      <c r="AI12" s="436"/>
      <c r="AJ12" s="436" t="str">
        <f>IF(AND('MAPA DE RIESGO'!$I$76="Muy Alta",'MAPA DE RIESGO'!$M$76="Catastrófico"),CONCATENATE("R",'MAPA DE RIESGO'!$B$76),"")</f>
        <v/>
      </c>
      <c r="AK12" s="436"/>
      <c r="AL12" s="436" t="str">
        <f>IF(AND('MAPA DE RIESGO'!$I$82="Muy Alta",'MAPA DE RIESGO'!$M$82="Catastrófico"),CONCATENATE("R",'MAPA DE RIESGO'!$B$82),"")</f>
        <v/>
      </c>
      <c r="AM12" s="437"/>
      <c r="AN12" s="55"/>
      <c r="AO12" s="380"/>
      <c r="AP12" s="381"/>
      <c r="AQ12" s="381"/>
      <c r="AR12" s="381"/>
      <c r="AS12" s="381"/>
      <c r="AT12" s="382"/>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375"/>
      <c r="C13" s="375"/>
      <c r="D13" s="376"/>
      <c r="E13" s="419"/>
      <c r="F13" s="420"/>
      <c r="G13" s="420"/>
      <c r="H13" s="420"/>
      <c r="I13" s="421"/>
      <c r="J13" s="427"/>
      <c r="K13" s="424"/>
      <c r="L13" s="424"/>
      <c r="M13" s="424"/>
      <c r="N13" s="424"/>
      <c r="O13" s="423"/>
      <c r="P13" s="427"/>
      <c r="Q13" s="424"/>
      <c r="R13" s="424"/>
      <c r="S13" s="424"/>
      <c r="T13" s="424"/>
      <c r="U13" s="423"/>
      <c r="V13" s="427"/>
      <c r="W13" s="424"/>
      <c r="X13" s="424"/>
      <c r="Y13" s="424"/>
      <c r="Z13" s="424"/>
      <c r="AA13" s="423"/>
      <c r="AB13" s="427"/>
      <c r="AC13" s="424"/>
      <c r="AD13" s="424"/>
      <c r="AE13" s="424"/>
      <c r="AF13" s="424"/>
      <c r="AG13" s="423"/>
      <c r="AH13" s="438"/>
      <c r="AI13" s="439"/>
      <c r="AJ13" s="439"/>
      <c r="AK13" s="439"/>
      <c r="AL13" s="439"/>
      <c r="AM13" s="440"/>
      <c r="AN13" s="55"/>
      <c r="AO13" s="383"/>
      <c r="AP13" s="384"/>
      <c r="AQ13" s="384"/>
      <c r="AR13" s="384"/>
      <c r="AS13" s="384"/>
      <c r="AT13" s="38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375"/>
      <c r="C14" s="375"/>
      <c r="D14" s="376"/>
      <c r="E14" s="413" t="s">
        <v>106</v>
      </c>
      <c r="F14" s="414"/>
      <c r="G14" s="414"/>
      <c r="H14" s="414"/>
      <c r="I14" s="414"/>
      <c r="J14" s="450" t="str">
        <f>IF(AND('MAPA DE RIESGO'!$I$16="Alta",'MAPA DE RIESGO'!$M$16="Leve"),CONCATENATE("R",'MAPA DE RIESGO'!$B$16),"")</f>
        <v/>
      </c>
      <c r="K14" s="451"/>
      <c r="L14" s="451" t="str">
        <f>IF(AND('MAPA DE RIESGO'!$I$22="Alta",'MAPA DE RIESGO'!$M$22="Leve"),CONCATENATE("R",'MAPA DE RIESGO'!$B$22),"")</f>
        <v/>
      </c>
      <c r="M14" s="451"/>
      <c r="N14" s="451" t="str">
        <f>IF(AND('MAPA DE RIESGO'!$I$28="Alta",'MAPA DE RIESGO'!$M$28="Leve"),CONCATENATE("R",'MAPA DE RIESGO'!$B$28),"")</f>
        <v/>
      </c>
      <c r="O14" s="452"/>
      <c r="P14" s="450" t="str">
        <f>IF(AND('MAPA DE RIESGO'!$I$16="Alta",'MAPA DE RIESGO'!$M$16="Menor"),CONCATENATE("R",'MAPA DE RIESGO'!$B$16),"")</f>
        <v/>
      </c>
      <c r="Q14" s="451"/>
      <c r="R14" s="451" t="str">
        <f>IF(AND('MAPA DE RIESGO'!$I$22="Alta",'MAPA DE RIESGO'!$M$22="Menor"),CONCATENATE("R",'MAPA DE RIESGO'!$B$22),"")</f>
        <v/>
      </c>
      <c r="S14" s="451"/>
      <c r="T14" s="451" t="str">
        <f>IF(AND('MAPA DE RIESGO'!$I$28="Alta",'MAPA DE RIESGO'!$M$28="Menor"),CONCATENATE("R",'MAPA DE RIESGO'!$B$28),"")</f>
        <v/>
      </c>
      <c r="U14" s="452"/>
      <c r="V14" s="425" t="str">
        <f>IF(AND('MAPA DE RIESGO'!$I$16="Alta",'MAPA DE RIESGO'!$M$16="Moderado"),CONCATENATE("R",'MAPA DE RIESGO'!$B$16),"")</f>
        <v/>
      </c>
      <c r="W14" s="426"/>
      <c r="X14" s="426" t="str">
        <f>IF(AND('MAPA DE RIESGO'!$I$22="Alta",'MAPA DE RIESGO'!$M$22="Moderado"),CONCATENATE("R",'MAPA DE RIESGO'!$B$22),"")</f>
        <v/>
      </c>
      <c r="Y14" s="426"/>
      <c r="Z14" s="426" t="str">
        <f>IF(AND('MAPA DE RIESGO'!$I$28="Alta",'MAPA DE RIESGO'!$M$28="Moderado"),CONCATENATE("R",'MAPA DE RIESGO'!$B$28),"")</f>
        <v/>
      </c>
      <c r="AA14" s="428"/>
      <c r="AB14" s="425" t="str">
        <f>IF(AND('MAPA DE RIESGO'!$I$16="Alta",'MAPA DE RIESGO'!$M$16="Mayor"),CONCATENATE("R",'MAPA DE RIESGO'!$B$16),"")</f>
        <v/>
      </c>
      <c r="AC14" s="426"/>
      <c r="AD14" s="426" t="str">
        <f>IF(AND('MAPA DE RIESGO'!$I$22="Alta",'MAPA DE RIESGO'!$M$22="Mayor"),CONCATENATE("R",'MAPA DE RIESGO'!$B$22),"")</f>
        <v/>
      </c>
      <c r="AE14" s="426"/>
      <c r="AF14" s="426" t="str">
        <f>IF(AND('MAPA DE RIESGO'!$I$28="Alta",'MAPA DE RIESGO'!$M$28="Mayor"),CONCATENATE("R",'MAPA DE RIESGO'!$B$28),"")</f>
        <v/>
      </c>
      <c r="AG14" s="428"/>
      <c r="AH14" s="441" t="str">
        <f>IF(AND('MAPA DE RIESGO'!$I$16="Alta",'MAPA DE RIESGO'!$M$16="Catastrófico"),CONCATENATE("R",'MAPA DE RIESGO'!$B$16),"")</f>
        <v/>
      </c>
      <c r="AI14" s="442"/>
      <c r="AJ14" s="442" t="str">
        <f>IF(AND('MAPA DE RIESGO'!$I$22="Alta",'MAPA DE RIESGO'!$M$22="Catastrófico"),CONCATENATE("R",'MAPA DE RIESGO'!$B$22),"")</f>
        <v/>
      </c>
      <c r="AK14" s="442"/>
      <c r="AL14" s="442" t="str">
        <f>IF(AND('MAPA DE RIESGO'!$I$28="Alta",'MAPA DE RIESGO'!$M$28="Catastrófico"),CONCATENATE("R",'MAPA DE RIESGO'!$B$28),"")</f>
        <v/>
      </c>
      <c r="AM14" s="443"/>
      <c r="AN14" s="55"/>
      <c r="AO14" s="386" t="s">
        <v>72</v>
      </c>
      <c r="AP14" s="387"/>
      <c r="AQ14" s="387"/>
      <c r="AR14" s="387"/>
      <c r="AS14" s="387"/>
      <c r="AT14" s="388"/>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375"/>
      <c r="C15" s="375"/>
      <c r="D15" s="376"/>
      <c r="E15" s="416"/>
      <c r="F15" s="417"/>
      <c r="G15" s="417"/>
      <c r="H15" s="417"/>
      <c r="I15" s="430"/>
      <c r="J15" s="444"/>
      <c r="K15" s="445"/>
      <c r="L15" s="445"/>
      <c r="M15" s="445"/>
      <c r="N15" s="445"/>
      <c r="O15" s="446"/>
      <c r="P15" s="444"/>
      <c r="Q15" s="445"/>
      <c r="R15" s="445"/>
      <c r="S15" s="445"/>
      <c r="T15" s="445"/>
      <c r="U15" s="446"/>
      <c r="V15" s="427"/>
      <c r="W15" s="424"/>
      <c r="X15" s="424"/>
      <c r="Y15" s="424"/>
      <c r="Z15" s="424"/>
      <c r="AA15" s="423"/>
      <c r="AB15" s="427"/>
      <c r="AC15" s="424"/>
      <c r="AD15" s="424"/>
      <c r="AE15" s="424"/>
      <c r="AF15" s="424"/>
      <c r="AG15" s="423"/>
      <c r="AH15" s="435"/>
      <c r="AI15" s="436"/>
      <c r="AJ15" s="436"/>
      <c r="AK15" s="436"/>
      <c r="AL15" s="436"/>
      <c r="AM15" s="437"/>
      <c r="AN15" s="55"/>
      <c r="AO15" s="389"/>
      <c r="AP15" s="390"/>
      <c r="AQ15" s="390"/>
      <c r="AR15" s="390"/>
      <c r="AS15" s="390"/>
      <c r="AT15" s="391"/>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375"/>
      <c r="C16" s="375"/>
      <c r="D16" s="376"/>
      <c r="E16" s="416"/>
      <c r="F16" s="417"/>
      <c r="G16" s="417"/>
      <c r="H16" s="417"/>
      <c r="I16" s="430"/>
      <c r="J16" s="444" t="str">
        <f>IF(AND('MAPA DE RIESGO'!$I$34="Alta",'MAPA DE RIESGO'!$M$34="Leve"),CONCATENATE("R",'MAPA DE RIESGO'!$B$34),"")</f>
        <v/>
      </c>
      <c r="K16" s="445"/>
      <c r="L16" s="445" t="str">
        <f>IF(AND('MAPA DE RIESGO'!$I$40="Alta",'MAPA DE RIESGO'!$M$40="Leve"),CONCATENATE("R",'MAPA DE RIESGO'!$B$40),"")</f>
        <v/>
      </c>
      <c r="M16" s="445"/>
      <c r="N16" s="445" t="str">
        <f>IF(AND('MAPA DE RIESGO'!$I$46="Alta",'MAPA DE RIESGO'!$M$46="Leve"),CONCATENATE("R",'MAPA DE RIESGO'!$B$46),"")</f>
        <v/>
      </c>
      <c r="O16" s="446"/>
      <c r="P16" s="444" t="str">
        <f>IF(AND('MAPA DE RIESGO'!$I$34="Alta",'MAPA DE RIESGO'!$M$34="Menor"),CONCATENATE("R",'MAPA DE RIESGO'!$B$34),"")</f>
        <v/>
      </c>
      <c r="Q16" s="445"/>
      <c r="R16" s="445" t="str">
        <f>IF(AND('MAPA DE RIESGO'!$I$40="Alta",'MAPA DE RIESGO'!$M$40="Menor"),CONCATENATE("R",'MAPA DE RIESGO'!$B$40),"")</f>
        <v/>
      </c>
      <c r="S16" s="445"/>
      <c r="T16" s="445" t="str">
        <f>IF(AND('MAPA DE RIESGO'!$I$46="Alta",'MAPA DE RIESGO'!$M$46="Menor"),CONCATENATE("R",'MAPA DE RIESGO'!$B$46),"")</f>
        <v/>
      </c>
      <c r="U16" s="446"/>
      <c r="V16" s="427" t="str">
        <f>IF(AND('MAPA DE RIESGO'!$I$34="Alta",'MAPA DE RIESGO'!$M$34="Moderado"),CONCATENATE("R",'MAPA DE RIESGO'!$B$34),"")</f>
        <v/>
      </c>
      <c r="W16" s="424"/>
      <c r="X16" s="422" t="str">
        <f>IF(AND('MAPA DE RIESGO'!$I$40="Alta",'MAPA DE RIESGO'!$M$40="Moderado"),CONCATENATE("R",'MAPA DE RIESGO'!$B$40),"")</f>
        <v/>
      </c>
      <c r="Y16" s="422"/>
      <c r="Z16" s="422" t="str">
        <f>IF(AND('MAPA DE RIESGO'!$I$46="Alta",'MAPA DE RIESGO'!$M$46="Moderado"),CONCATENATE("R",'MAPA DE RIESGO'!$B$46),"")</f>
        <v/>
      </c>
      <c r="AA16" s="423"/>
      <c r="AB16" s="427" t="str">
        <f>IF(AND('MAPA DE RIESGO'!$I$34="Alta",'MAPA DE RIESGO'!$M$34="Mayor"),CONCATENATE("R",'MAPA DE RIESGO'!$B$34),"")</f>
        <v/>
      </c>
      <c r="AC16" s="424"/>
      <c r="AD16" s="422" t="str">
        <f>IF(AND('MAPA DE RIESGO'!$I$40="Alta",'MAPA DE RIESGO'!$M$40="Mayor"),CONCATENATE("R",'MAPA DE RIESGO'!$B$40),"")</f>
        <v/>
      </c>
      <c r="AE16" s="422"/>
      <c r="AF16" s="422" t="str">
        <f>IF(AND('MAPA DE RIESGO'!$I$46="Alta",'MAPA DE RIESGO'!$M$46="Mayor"),CONCATENATE("R",'MAPA DE RIESGO'!$B$46),"")</f>
        <v/>
      </c>
      <c r="AG16" s="423"/>
      <c r="AH16" s="435" t="str">
        <f>IF(AND('MAPA DE RIESGO'!$I$34="Alta",'MAPA DE RIESGO'!$M$34="Catastrófico"),CONCATENATE("R",'MAPA DE RIESGO'!$B$34),"")</f>
        <v/>
      </c>
      <c r="AI16" s="436"/>
      <c r="AJ16" s="436" t="str">
        <f>IF(AND('MAPA DE RIESGO'!$I$40="Alta",'MAPA DE RIESGO'!$M$40="Catastrófico"),CONCATENATE("R",'MAPA DE RIESGO'!$B$40),"")</f>
        <v/>
      </c>
      <c r="AK16" s="436"/>
      <c r="AL16" s="436" t="str">
        <f>IF(AND('MAPA DE RIESGO'!$I$46="Alta",'MAPA DE RIESGO'!$M$46="Catastrófico"),CONCATENATE("R",'MAPA DE RIESGO'!$B$46),"")</f>
        <v/>
      </c>
      <c r="AM16" s="437"/>
      <c r="AN16" s="55"/>
      <c r="AO16" s="389"/>
      <c r="AP16" s="390"/>
      <c r="AQ16" s="390"/>
      <c r="AR16" s="390"/>
      <c r="AS16" s="390"/>
      <c r="AT16" s="391"/>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375"/>
      <c r="C17" s="375"/>
      <c r="D17" s="376"/>
      <c r="E17" s="416"/>
      <c r="F17" s="417"/>
      <c r="G17" s="417"/>
      <c r="H17" s="417"/>
      <c r="I17" s="430"/>
      <c r="J17" s="444"/>
      <c r="K17" s="445"/>
      <c r="L17" s="445"/>
      <c r="M17" s="445"/>
      <c r="N17" s="445"/>
      <c r="O17" s="446"/>
      <c r="P17" s="444"/>
      <c r="Q17" s="445"/>
      <c r="R17" s="445"/>
      <c r="S17" s="445"/>
      <c r="T17" s="445"/>
      <c r="U17" s="446"/>
      <c r="V17" s="427"/>
      <c r="W17" s="424"/>
      <c r="X17" s="422"/>
      <c r="Y17" s="422"/>
      <c r="Z17" s="422"/>
      <c r="AA17" s="423"/>
      <c r="AB17" s="427"/>
      <c r="AC17" s="424"/>
      <c r="AD17" s="422"/>
      <c r="AE17" s="422"/>
      <c r="AF17" s="422"/>
      <c r="AG17" s="423"/>
      <c r="AH17" s="435"/>
      <c r="AI17" s="436"/>
      <c r="AJ17" s="436"/>
      <c r="AK17" s="436"/>
      <c r="AL17" s="436"/>
      <c r="AM17" s="437"/>
      <c r="AN17" s="55"/>
      <c r="AO17" s="389"/>
      <c r="AP17" s="390"/>
      <c r="AQ17" s="390"/>
      <c r="AR17" s="390"/>
      <c r="AS17" s="390"/>
      <c r="AT17" s="391"/>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375"/>
      <c r="C18" s="375"/>
      <c r="D18" s="376"/>
      <c r="E18" s="416"/>
      <c r="F18" s="417"/>
      <c r="G18" s="417"/>
      <c r="H18" s="417"/>
      <c r="I18" s="430"/>
      <c r="J18" s="444" t="str">
        <f>IF(AND('MAPA DE RIESGO'!$I$52="Alta",'MAPA DE RIESGO'!$M$52="Leve"),CONCATENATE("R",'MAPA DE RIESGO'!$B$52),"")</f>
        <v/>
      </c>
      <c r="K18" s="445"/>
      <c r="L18" s="445" t="str">
        <f>IF(AND('MAPA DE RIESGO'!$I$58="Alta",'MAPA DE RIESGO'!$M$58="Leve"),CONCATENATE("R",'MAPA DE RIESGO'!$B$58),"")</f>
        <v/>
      </c>
      <c r="M18" s="445"/>
      <c r="N18" s="445" t="str">
        <f>IF(AND('MAPA DE RIESGO'!$I$64="Alta",'MAPA DE RIESGO'!$M$64="Leve"),CONCATENATE("R",'MAPA DE RIESGO'!$B$64),"")</f>
        <v/>
      </c>
      <c r="O18" s="446"/>
      <c r="P18" s="444" t="str">
        <f>IF(AND('MAPA DE RIESGO'!$I$52="Alta",'MAPA DE RIESGO'!$M$52="Menor"),CONCATENATE("R",'MAPA DE RIESGO'!$B$52),"")</f>
        <v/>
      </c>
      <c r="Q18" s="445"/>
      <c r="R18" s="445" t="str">
        <f>IF(AND('MAPA DE RIESGO'!$I$58="Alta",'MAPA DE RIESGO'!$M$58="Menor"),CONCATENATE("R",'MAPA DE RIESGO'!$B$58),"")</f>
        <v/>
      </c>
      <c r="S18" s="445"/>
      <c r="T18" s="445" t="str">
        <f>IF(AND('MAPA DE RIESGO'!$I$64="Alta",'MAPA DE RIESGO'!$M$64="Menor"),CONCATENATE("R",'MAPA DE RIESGO'!$B$64),"")</f>
        <v/>
      </c>
      <c r="U18" s="446"/>
      <c r="V18" s="427" t="str">
        <f>IF(AND('MAPA DE RIESGO'!$I$52="Alta",'MAPA DE RIESGO'!$M$52="Moderado"),CONCATENATE("R",'MAPA DE RIESGO'!$B$52),"")</f>
        <v/>
      </c>
      <c r="W18" s="424"/>
      <c r="X18" s="422" t="str">
        <f>IF(AND('MAPA DE RIESGO'!$I$58="Alta",'MAPA DE RIESGO'!$M$58="Moderado"),CONCATENATE("R",'MAPA DE RIESGO'!$B$58),"")</f>
        <v/>
      </c>
      <c r="Y18" s="422"/>
      <c r="Z18" s="422" t="str">
        <f>IF(AND('MAPA DE RIESGO'!$I$64="Alta",'MAPA DE RIESGO'!$M$64="Moderado"),CONCATENATE("R",'MAPA DE RIESGO'!$B$64),"")</f>
        <v/>
      </c>
      <c r="AA18" s="423"/>
      <c r="AB18" s="427" t="str">
        <f>IF(AND('MAPA DE RIESGO'!$I$52="Alta",'MAPA DE RIESGO'!$M$52="Mayor"),CONCATENATE("R",'MAPA DE RIESGO'!$B$52),"")</f>
        <v/>
      </c>
      <c r="AC18" s="424"/>
      <c r="AD18" s="422" t="str">
        <f>IF(AND('MAPA DE RIESGO'!$I$58="Alta",'MAPA DE RIESGO'!$M$58="Mayor"),CONCATENATE("R",'MAPA DE RIESGO'!$B$58),"")</f>
        <v/>
      </c>
      <c r="AE18" s="422"/>
      <c r="AF18" s="422" t="str">
        <f>IF(AND('MAPA DE RIESGO'!$I$64="Alta",'MAPA DE RIESGO'!$M$64="Mayor"),CONCATENATE("R",'MAPA DE RIESGO'!$B$64),"")</f>
        <v/>
      </c>
      <c r="AG18" s="423"/>
      <c r="AH18" s="435" t="str">
        <f>IF(AND('MAPA DE RIESGO'!$I$52="Alta",'MAPA DE RIESGO'!$M$52="Catastrófico"),CONCATENATE("R",'MAPA DE RIESGO'!$B$52),"")</f>
        <v/>
      </c>
      <c r="AI18" s="436"/>
      <c r="AJ18" s="436" t="str">
        <f>IF(AND('MAPA DE RIESGO'!$I$58="Alta",'MAPA DE RIESGO'!$M$58="Catastrófico"),CONCATENATE("R",'MAPA DE RIESGO'!$B$58),"")</f>
        <v/>
      </c>
      <c r="AK18" s="436"/>
      <c r="AL18" s="436" t="str">
        <f>IF(AND('MAPA DE RIESGO'!$I$64="Alta",'MAPA DE RIESGO'!$M$64="Catastrófico"),CONCATENATE("R",'MAPA DE RIESGO'!$B$64),"")</f>
        <v/>
      </c>
      <c r="AM18" s="437"/>
      <c r="AN18" s="55"/>
      <c r="AO18" s="389"/>
      <c r="AP18" s="390"/>
      <c r="AQ18" s="390"/>
      <c r="AR18" s="390"/>
      <c r="AS18" s="390"/>
      <c r="AT18" s="391"/>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375"/>
      <c r="C19" s="375"/>
      <c r="D19" s="376"/>
      <c r="E19" s="416"/>
      <c r="F19" s="417"/>
      <c r="G19" s="417"/>
      <c r="H19" s="417"/>
      <c r="I19" s="430"/>
      <c r="J19" s="444"/>
      <c r="K19" s="445"/>
      <c r="L19" s="445"/>
      <c r="M19" s="445"/>
      <c r="N19" s="445"/>
      <c r="O19" s="446"/>
      <c r="P19" s="444"/>
      <c r="Q19" s="445"/>
      <c r="R19" s="445"/>
      <c r="S19" s="445"/>
      <c r="T19" s="445"/>
      <c r="U19" s="446"/>
      <c r="V19" s="427"/>
      <c r="W19" s="424"/>
      <c r="X19" s="422"/>
      <c r="Y19" s="422"/>
      <c r="Z19" s="422"/>
      <c r="AA19" s="423"/>
      <c r="AB19" s="427"/>
      <c r="AC19" s="424"/>
      <c r="AD19" s="422"/>
      <c r="AE19" s="422"/>
      <c r="AF19" s="422"/>
      <c r="AG19" s="423"/>
      <c r="AH19" s="435"/>
      <c r="AI19" s="436"/>
      <c r="AJ19" s="436"/>
      <c r="AK19" s="436"/>
      <c r="AL19" s="436"/>
      <c r="AM19" s="437"/>
      <c r="AN19" s="55"/>
      <c r="AO19" s="389"/>
      <c r="AP19" s="390"/>
      <c r="AQ19" s="390"/>
      <c r="AR19" s="390"/>
      <c r="AS19" s="390"/>
      <c r="AT19" s="391"/>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375"/>
      <c r="C20" s="375"/>
      <c r="D20" s="376"/>
      <c r="E20" s="416"/>
      <c r="F20" s="417"/>
      <c r="G20" s="417"/>
      <c r="H20" s="417"/>
      <c r="I20" s="430"/>
      <c r="J20" s="444" t="str">
        <f>IF(AND('MAPA DE RIESGO'!$I$70="Alta",'MAPA DE RIESGO'!$M$70="Leve"),CONCATENATE("R",'MAPA DE RIESGO'!$B$70),"")</f>
        <v/>
      </c>
      <c r="K20" s="445"/>
      <c r="L20" s="445" t="str">
        <f>IF(AND('MAPA DE RIESGO'!$I$76="Alta",'MAPA DE RIESGO'!$M$76="Leve"),CONCATENATE("R",'MAPA DE RIESGO'!$B$76),"")</f>
        <v/>
      </c>
      <c r="M20" s="445"/>
      <c r="N20" s="445" t="str">
        <f>IF(AND('MAPA DE RIESGO'!$I$82="Alta",'MAPA DE RIESGO'!$M$82="Leve"),CONCATENATE("R",'MAPA DE RIESGO'!$B$82),"")</f>
        <v/>
      </c>
      <c r="O20" s="446"/>
      <c r="P20" s="444" t="str">
        <f>IF(AND('MAPA DE RIESGO'!$I$70="Alta",'MAPA DE RIESGO'!$M$70="Menor"),CONCATENATE("R",'MAPA DE RIESGO'!$B$70),"")</f>
        <v/>
      </c>
      <c r="Q20" s="445"/>
      <c r="R20" s="445" t="str">
        <f>IF(AND('MAPA DE RIESGO'!$I$76="Alta",'MAPA DE RIESGO'!$M$76="Menor"),CONCATENATE("R",'MAPA DE RIESGO'!$B$76),"")</f>
        <v/>
      </c>
      <c r="S20" s="445"/>
      <c r="T20" s="445" t="str">
        <f>IF(AND('MAPA DE RIESGO'!$I$82="Alta",'MAPA DE RIESGO'!$M$82="Menor"),CONCATENATE("R",'MAPA DE RIESGO'!$B$82),"")</f>
        <v/>
      </c>
      <c r="U20" s="446"/>
      <c r="V20" s="427" t="str">
        <f>IF(AND('MAPA DE RIESGO'!$I$70="Alta",'MAPA DE RIESGO'!$M$70="Moderado"),CONCATENATE("R",'MAPA DE RIESGO'!$B$70),"")</f>
        <v/>
      </c>
      <c r="W20" s="424"/>
      <c r="X20" s="422" t="str">
        <f>IF(AND('MAPA DE RIESGO'!$I$76="Alta",'MAPA DE RIESGO'!$M$76="Moderado"),CONCATENATE("R",'MAPA DE RIESGO'!$B$76),"")</f>
        <v/>
      </c>
      <c r="Y20" s="422"/>
      <c r="Z20" s="422" t="str">
        <f>IF(AND('MAPA DE RIESGO'!$I$82="Alta",'MAPA DE RIESGO'!$M$82="Moderado"),CONCATENATE("R",'MAPA DE RIESGO'!$B$82),"")</f>
        <v/>
      </c>
      <c r="AA20" s="423"/>
      <c r="AB20" s="427" t="str">
        <f>IF(AND('MAPA DE RIESGO'!$I$70="Alta",'MAPA DE RIESGO'!$M$70="Mayor"),CONCATENATE("R",'MAPA DE RIESGO'!$B$70),"")</f>
        <v/>
      </c>
      <c r="AC20" s="424"/>
      <c r="AD20" s="422" t="str">
        <f>IF(AND('MAPA DE RIESGO'!$I$76="Alta",'MAPA DE RIESGO'!$M$76="Mayor"),CONCATENATE("R",'MAPA DE RIESGO'!$B$76),"")</f>
        <v/>
      </c>
      <c r="AE20" s="422"/>
      <c r="AF20" s="422" t="str">
        <f>IF(AND('MAPA DE RIESGO'!$I$82="Alta",'MAPA DE RIESGO'!$M$82="Mayor"),CONCATENATE("R",'MAPA DE RIESGO'!$B$82),"")</f>
        <v/>
      </c>
      <c r="AG20" s="423"/>
      <c r="AH20" s="435" t="str">
        <f>IF(AND('MAPA DE RIESGO'!$I$70="Alta",'MAPA DE RIESGO'!$M$70="Catastrófico"),CONCATENATE("R",'MAPA DE RIESGO'!$B$70),"")</f>
        <v/>
      </c>
      <c r="AI20" s="436"/>
      <c r="AJ20" s="436" t="str">
        <f>IF(AND('MAPA DE RIESGO'!$I$76="Alta",'MAPA DE RIESGO'!$M$76="Catastrófico"),CONCATENATE("R",'MAPA DE RIESGO'!$B$76),"")</f>
        <v/>
      </c>
      <c r="AK20" s="436"/>
      <c r="AL20" s="436" t="str">
        <f>IF(AND('MAPA DE RIESGO'!$I$82="Alta",'MAPA DE RIESGO'!$M$82="Catastrófico"),CONCATENATE("R",'MAPA DE RIESGO'!$B$82),"")</f>
        <v/>
      </c>
      <c r="AM20" s="437"/>
      <c r="AN20" s="55"/>
      <c r="AO20" s="389"/>
      <c r="AP20" s="390"/>
      <c r="AQ20" s="390"/>
      <c r="AR20" s="390"/>
      <c r="AS20" s="390"/>
      <c r="AT20" s="391"/>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375"/>
      <c r="C21" s="375"/>
      <c r="D21" s="376"/>
      <c r="E21" s="419"/>
      <c r="F21" s="420"/>
      <c r="G21" s="420"/>
      <c r="H21" s="420"/>
      <c r="I21" s="420"/>
      <c r="J21" s="447"/>
      <c r="K21" s="448"/>
      <c r="L21" s="448"/>
      <c r="M21" s="448"/>
      <c r="N21" s="448"/>
      <c r="O21" s="449"/>
      <c r="P21" s="447"/>
      <c r="Q21" s="448"/>
      <c r="R21" s="448"/>
      <c r="S21" s="448"/>
      <c r="T21" s="448"/>
      <c r="U21" s="449"/>
      <c r="V21" s="432"/>
      <c r="W21" s="433"/>
      <c r="X21" s="433"/>
      <c r="Y21" s="433"/>
      <c r="Z21" s="433"/>
      <c r="AA21" s="434"/>
      <c r="AB21" s="432"/>
      <c r="AC21" s="433"/>
      <c r="AD21" s="433"/>
      <c r="AE21" s="433"/>
      <c r="AF21" s="433"/>
      <c r="AG21" s="434"/>
      <c r="AH21" s="438"/>
      <c r="AI21" s="439"/>
      <c r="AJ21" s="439"/>
      <c r="AK21" s="439"/>
      <c r="AL21" s="439"/>
      <c r="AM21" s="440"/>
      <c r="AN21" s="55"/>
      <c r="AO21" s="392"/>
      <c r="AP21" s="393"/>
      <c r="AQ21" s="393"/>
      <c r="AR21" s="393"/>
      <c r="AS21" s="393"/>
      <c r="AT21" s="394"/>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375"/>
      <c r="C22" s="375"/>
      <c r="D22" s="376"/>
      <c r="E22" s="413" t="s">
        <v>108</v>
      </c>
      <c r="F22" s="414"/>
      <c r="G22" s="414"/>
      <c r="H22" s="414"/>
      <c r="I22" s="415"/>
      <c r="J22" s="450" t="str">
        <f>IF(AND('MAPA DE RIESGO'!$I$16="Media",'MAPA DE RIESGO'!$M$16="Leve"),CONCATENATE("R",'MAPA DE RIESGO'!$B$16),"")</f>
        <v/>
      </c>
      <c r="K22" s="451"/>
      <c r="L22" s="451" t="str">
        <f>IF(AND('MAPA DE RIESGO'!$I$22="Media",'MAPA DE RIESGO'!$M$22="Leve"),CONCATENATE("R",'MAPA DE RIESGO'!$B$22),"")</f>
        <v/>
      </c>
      <c r="M22" s="451"/>
      <c r="N22" s="451" t="str">
        <f>IF(AND('MAPA DE RIESGO'!$I$28="Media",'MAPA DE RIESGO'!$M$28="Leve"),CONCATENATE("R",'MAPA DE RIESGO'!$B$28),"")</f>
        <v/>
      </c>
      <c r="O22" s="452"/>
      <c r="P22" s="450" t="str">
        <f>IF(AND('MAPA DE RIESGO'!$I$16="Media",'MAPA DE RIESGO'!$M$16="Menor"),CONCATENATE("R",'MAPA DE RIESGO'!$B$16),"")</f>
        <v/>
      </c>
      <c r="Q22" s="451"/>
      <c r="R22" s="451" t="str">
        <f>IF(AND('MAPA DE RIESGO'!$I$22="Media",'MAPA DE RIESGO'!$M$22="Menor"),CONCATENATE("R",'MAPA DE RIESGO'!$B$22),"")</f>
        <v/>
      </c>
      <c r="S22" s="451"/>
      <c r="T22" s="451" t="str">
        <f>IF(AND('MAPA DE RIESGO'!$I$28="Media",'MAPA DE RIESGO'!$M$28="Menor"),CONCATENATE("R",'MAPA DE RIESGO'!$B$28),"")</f>
        <v/>
      </c>
      <c r="U22" s="452"/>
      <c r="V22" s="450" t="str">
        <f>IF(AND('MAPA DE RIESGO'!$I$16="Media",'MAPA DE RIESGO'!$M$16="Moderado"),CONCATENATE("R",'MAPA DE RIESGO'!$B$16),"")</f>
        <v/>
      </c>
      <c r="W22" s="451"/>
      <c r="X22" s="451" t="str">
        <f>IF(AND('MAPA DE RIESGO'!$I$22="Media",'MAPA DE RIESGO'!$M$22="Moderado"),CONCATENATE("R",'MAPA DE RIESGO'!$B$22),"")</f>
        <v/>
      </c>
      <c r="Y22" s="451"/>
      <c r="Z22" s="451" t="str">
        <f>IF(AND('MAPA DE RIESGO'!$I$28="Media",'MAPA DE RIESGO'!$M$28="Moderado"),CONCATENATE("R",'MAPA DE RIESGO'!$B$28),"")</f>
        <v/>
      </c>
      <c r="AA22" s="452"/>
      <c r="AB22" s="425" t="str">
        <f>IF(AND('MAPA DE RIESGO'!$I$16="Media",'MAPA DE RIESGO'!$M$16="Mayor"),CONCATENATE("R",'MAPA DE RIESGO'!$B$16),"")</f>
        <v>R1</v>
      </c>
      <c r="AC22" s="426"/>
      <c r="AD22" s="426" t="str">
        <f>IF(AND('MAPA DE RIESGO'!$I$22="Media",'MAPA DE RIESGO'!$M$22="Mayor"),CONCATENATE("R",'MAPA DE RIESGO'!$B$22),"")</f>
        <v/>
      </c>
      <c r="AE22" s="426"/>
      <c r="AF22" s="426" t="str">
        <f>IF(AND('MAPA DE RIESGO'!$I$28="Media",'MAPA DE RIESGO'!$M$28="Mayor"),CONCATENATE("R",'MAPA DE RIESGO'!$B$28),"")</f>
        <v/>
      </c>
      <c r="AG22" s="428"/>
      <c r="AH22" s="441" t="str">
        <f>IF(AND('MAPA DE RIESGO'!$I$16="Media",'MAPA DE RIESGO'!$M$16="Catastrófico"),CONCATENATE("R",'MAPA DE RIESGO'!$B$16),"")</f>
        <v/>
      </c>
      <c r="AI22" s="442"/>
      <c r="AJ22" s="442" t="str">
        <f>IF(AND('MAPA DE RIESGO'!$I$22="Media",'MAPA DE RIESGO'!$M$22="Catastrófico"),CONCATENATE("R",'MAPA DE RIESGO'!$B$22),"")</f>
        <v/>
      </c>
      <c r="AK22" s="442"/>
      <c r="AL22" s="442" t="str">
        <f>IF(AND('MAPA DE RIESGO'!$I$28="Media",'MAPA DE RIESGO'!$M$28="Catastrófico"),CONCATENATE("R",'MAPA DE RIESGO'!$B$28),"")</f>
        <v/>
      </c>
      <c r="AM22" s="443"/>
      <c r="AN22" s="55"/>
      <c r="AO22" s="395" t="s">
        <v>73</v>
      </c>
      <c r="AP22" s="396"/>
      <c r="AQ22" s="396"/>
      <c r="AR22" s="396"/>
      <c r="AS22" s="396"/>
      <c r="AT22" s="397"/>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375"/>
      <c r="C23" s="375"/>
      <c r="D23" s="376"/>
      <c r="E23" s="416"/>
      <c r="F23" s="417"/>
      <c r="G23" s="417"/>
      <c r="H23" s="417"/>
      <c r="I23" s="418"/>
      <c r="J23" s="444"/>
      <c r="K23" s="445"/>
      <c r="L23" s="445"/>
      <c r="M23" s="445"/>
      <c r="N23" s="445"/>
      <c r="O23" s="446"/>
      <c r="P23" s="444"/>
      <c r="Q23" s="445"/>
      <c r="R23" s="445"/>
      <c r="S23" s="445"/>
      <c r="T23" s="445"/>
      <c r="U23" s="446"/>
      <c r="V23" s="444"/>
      <c r="W23" s="445"/>
      <c r="X23" s="445"/>
      <c r="Y23" s="445"/>
      <c r="Z23" s="445"/>
      <c r="AA23" s="446"/>
      <c r="AB23" s="427"/>
      <c r="AC23" s="424"/>
      <c r="AD23" s="424"/>
      <c r="AE23" s="424"/>
      <c r="AF23" s="424"/>
      <c r="AG23" s="423"/>
      <c r="AH23" s="435"/>
      <c r="AI23" s="436"/>
      <c r="AJ23" s="436"/>
      <c r="AK23" s="436"/>
      <c r="AL23" s="436"/>
      <c r="AM23" s="437"/>
      <c r="AN23" s="55"/>
      <c r="AO23" s="398"/>
      <c r="AP23" s="399"/>
      <c r="AQ23" s="399"/>
      <c r="AR23" s="399"/>
      <c r="AS23" s="399"/>
      <c r="AT23" s="400"/>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375"/>
      <c r="C24" s="375"/>
      <c r="D24" s="376"/>
      <c r="E24" s="416"/>
      <c r="F24" s="417"/>
      <c r="G24" s="417"/>
      <c r="H24" s="417"/>
      <c r="I24" s="418"/>
      <c r="J24" s="444" t="str">
        <f>IF(AND('MAPA DE RIESGO'!$I$34="Media",'MAPA DE RIESGO'!$M$34="Leve"),CONCATENATE("R",'MAPA DE RIESGO'!$B$34),"")</f>
        <v/>
      </c>
      <c r="K24" s="445"/>
      <c r="L24" s="445" t="str">
        <f>IF(AND('MAPA DE RIESGO'!$I$40="Media",'MAPA DE RIESGO'!$M$40="Leve"),CONCATENATE("R",'MAPA DE RIESGO'!$B$40),"")</f>
        <v/>
      </c>
      <c r="M24" s="445"/>
      <c r="N24" s="445" t="str">
        <f>IF(AND('MAPA DE RIESGO'!$I$46="Media",'MAPA DE RIESGO'!$M$46="Leve"),CONCATENATE("R",'MAPA DE RIESGO'!$B$46),"")</f>
        <v/>
      </c>
      <c r="O24" s="446"/>
      <c r="P24" s="444" t="str">
        <f>IF(AND('MAPA DE RIESGO'!$I$34="Media",'MAPA DE RIESGO'!$M$34="Menor"),CONCATENATE("R",'MAPA DE RIESGO'!$B$34),"")</f>
        <v/>
      </c>
      <c r="Q24" s="445"/>
      <c r="R24" s="445" t="str">
        <f>IF(AND('MAPA DE RIESGO'!$I$40="Media",'MAPA DE RIESGO'!$M$40="Menor"),CONCATENATE("R",'MAPA DE RIESGO'!$B$40),"")</f>
        <v/>
      </c>
      <c r="S24" s="445"/>
      <c r="T24" s="445" t="str">
        <f>IF(AND('MAPA DE RIESGO'!$I$46="Media",'MAPA DE RIESGO'!$M$46="Menor"),CONCATENATE("R",'MAPA DE RIESGO'!$B$46),"")</f>
        <v/>
      </c>
      <c r="U24" s="446"/>
      <c r="V24" s="444" t="str">
        <f>IF(AND('MAPA DE RIESGO'!$I$34="Media",'MAPA DE RIESGO'!$M$34="Moderado"),CONCATENATE("R",'MAPA DE RIESGO'!$B$34),"")</f>
        <v/>
      </c>
      <c r="W24" s="445"/>
      <c r="X24" s="445" t="str">
        <f>IF(AND('MAPA DE RIESGO'!$I$40="Media",'MAPA DE RIESGO'!$M$40="Moderado"),CONCATENATE("R",'MAPA DE RIESGO'!$B$40),"")</f>
        <v/>
      </c>
      <c r="Y24" s="445"/>
      <c r="Z24" s="445" t="str">
        <f>IF(AND('MAPA DE RIESGO'!$I$46="Media",'MAPA DE RIESGO'!$M$46="Moderado"),CONCATENATE("R",'MAPA DE RIESGO'!$B$46),"")</f>
        <v/>
      </c>
      <c r="AA24" s="446"/>
      <c r="AB24" s="427" t="str">
        <f>IF(AND('MAPA DE RIESGO'!$I$34="Media",'MAPA DE RIESGO'!$M$34="Mayor"),CONCATENATE("R",'MAPA DE RIESGO'!$B$34),"")</f>
        <v/>
      </c>
      <c r="AC24" s="424"/>
      <c r="AD24" s="422" t="str">
        <f>IF(AND('MAPA DE RIESGO'!$I$40="Media",'MAPA DE RIESGO'!$M$40="Mayor"),CONCATENATE("R",'MAPA DE RIESGO'!$B$40),"")</f>
        <v/>
      </c>
      <c r="AE24" s="422"/>
      <c r="AF24" s="422" t="str">
        <f>IF(AND('MAPA DE RIESGO'!$I$46="Media",'MAPA DE RIESGO'!$M$46="Mayor"),CONCATENATE("R",'MAPA DE RIESGO'!$B$46),"")</f>
        <v/>
      </c>
      <c r="AG24" s="423"/>
      <c r="AH24" s="435" t="str">
        <f>IF(AND('MAPA DE RIESGO'!$I$34="Media",'MAPA DE RIESGO'!$M$34="Catastrófico"),CONCATENATE("R",'MAPA DE RIESGO'!$B$34),"")</f>
        <v/>
      </c>
      <c r="AI24" s="436"/>
      <c r="AJ24" s="436" t="str">
        <f>IF(AND('MAPA DE RIESGO'!$I$40="Media",'MAPA DE RIESGO'!$M$40="Catastrófico"),CONCATENATE("R",'MAPA DE RIESGO'!$B$40),"")</f>
        <v/>
      </c>
      <c r="AK24" s="436"/>
      <c r="AL24" s="436" t="str">
        <f>IF(AND('MAPA DE RIESGO'!$I$46="Media",'MAPA DE RIESGO'!$M$46="Catastrófico"),CONCATENATE("R",'MAPA DE RIESGO'!$B$46),"")</f>
        <v/>
      </c>
      <c r="AM24" s="437"/>
      <c r="AN24" s="55"/>
      <c r="AO24" s="398"/>
      <c r="AP24" s="399"/>
      <c r="AQ24" s="399"/>
      <c r="AR24" s="399"/>
      <c r="AS24" s="399"/>
      <c r="AT24" s="400"/>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375"/>
      <c r="C25" s="375"/>
      <c r="D25" s="376"/>
      <c r="E25" s="416"/>
      <c r="F25" s="417"/>
      <c r="G25" s="417"/>
      <c r="H25" s="417"/>
      <c r="I25" s="418"/>
      <c r="J25" s="444"/>
      <c r="K25" s="445"/>
      <c r="L25" s="445"/>
      <c r="M25" s="445"/>
      <c r="N25" s="445"/>
      <c r="O25" s="446"/>
      <c r="P25" s="444"/>
      <c r="Q25" s="445"/>
      <c r="R25" s="445"/>
      <c r="S25" s="445"/>
      <c r="T25" s="445"/>
      <c r="U25" s="446"/>
      <c r="V25" s="444"/>
      <c r="W25" s="445"/>
      <c r="X25" s="445"/>
      <c r="Y25" s="445"/>
      <c r="Z25" s="445"/>
      <c r="AA25" s="446"/>
      <c r="AB25" s="427"/>
      <c r="AC25" s="424"/>
      <c r="AD25" s="422"/>
      <c r="AE25" s="422"/>
      <c r="AF25" s="422"/>
      <c r="AG25" s="423"/>
      <c r="AH25" s="435"/>
      <c r="AI25" s="436"/>
      <c r="AJ25" s="436"/>
      <c r="AK25" s="436"/>
      <c r="AL25" s="436"/>
      <c r="AM25" s="437"/>
      <c r="AN25" s="55"/>
      <c r="AO25" s="398"/>
      <c r="AP25" s="399"/>
      <c r="AQ25" s="399"/>
      <c r="AR25" s="399"/>
      <c r="AS25" s="399"/>
      <c r="AT25" s="400"/>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375"/>
      <c r="C26" s="375"/>
      <c r="D26" s="376"/>
      <c r="E26" s="416"/>
      <c r="F26" s="417"/>
      <c r="G26" s="417"/>
      <c r="H26" s="417"/>
      <c r="I26" s="418"/>
      <c r="J26" s="444" t="str">
        <f>IF(AND('MAPA DE RIESGO'!$I$52="Media",'MAPA DE RIESGO'!$M$52="Leve"),CONCATENATE("R",'MAPA DE RIESGO'!$B$52),"")</f>
        <v/>
      </c>
      <c r="K26" s="445"/>
      <c r="L26" s="445" t="str">
        <f>IF(AND('MAPA DE RIESGO'!$I$58="Media",'MAPA DE RIESGO'!$M$58="Leve"),CONCATENATE("R",'MAPA DE RIESGO'!$B$58),"")</f>
        <v/>
      </c>
      <c r="M26" s="445"/>
      <c r="N26" s="445" t="str">
        <f>IF(AND('MAPA DE RIESGO'!$I$64="Media",'MAPA DE RIESGO'!$M$64="Leve"),CONCATENATE("R",'MAPA DE RIESGO'!$B$64),"")</f>
        <v/>
      </c>
      <c r="O26" s="446"/>
      <c r="P26" s="444" t="str">
        <f>IF(AND('MAPA DE RIESGO'!$I$52="Media",'MAPA DE RIESGO'!$M$52="Menor"),CONCATENATE("R",'MAPA DE RIESGO'!$B$52),"")</f>
        <v/>
      </c>
      <c r="Q26" s="445"/>
      <c r="R26" s="445" t="str">
        <f>IF(AND('MAPA DE RIESGO'!$I$58="Media",'MAPA DE RIESGO'!$M$58="Menor"),CONCATENATE("R",'MAPA DE RIESGO'!$B$58),"")</f>
        <v/>
      </c>
      <c r="S26" s="445"/>
      <c r="T26" s="445" t="str">
        <f>IF(AND('MAPA DE RIESGO'!$I$64="Media",'MAPA DE RIESGO'!$M$64="Menor"),CONCATENATE("R",'MAPA DE RIESGO'!$B$64),"")</f>
        <v/>
      </c>
      <c r="U26" s="446"/>
      <c r="V26" s="444" t="str">
        <f>IF(AND('MAPA DE RIESGO'!$I$52="Media",'MAPA DE RIESGO'!$M$52="Moderado"),CONCATENATE("R",'MAPA DE RIESGO'!$B$52),"")</f>
        <v/>
      </c>
      <c r="W26" s="445"/>
      <c r="X26" s="445" t="str">
        <f>IF(AND('MAPA DE RIESGO'!$I$58="Media",'MAPA DE RIESGO'!$M$58="Moderado"),CONCATENATE("R",'MAPA DE RIESGO'!$B$58),"")</f>
        <v/>
      </c>
      <c r="Y26" s="445"/>
      <c r="Z26" s="445" t="str">
        <f>IF(AND('MAPA DE RIESGO'!$I$64="Media",'MAPA DE RIESGO'!$M$64="Moderado"),CONCATENATE("R",'MAPA DE RIESGO'!$B$64),"")</f>
        <v/>
      </c>
      <c r="AA26" s="446"/>
      <c r="AB26" s="427" t="str">
        <f>IF(AND('MAPA DE RIESGO'!$I$52="Media",'MAPA DE RIESGO'!$M$52="Mayor"),CONCATENATE("R",'MAPA DE RIESGO'!$B$52),"")</f>
        <v/>
      </c>
      <c r="AC26" s="424"/>
      <c r="AD26" s="422" t="str">
        <f>IF(AND('MAPA DE RIESGO'!$I$58="Media",'MAPA DE RIESGO'!$M$58="Mayor"),CONCATENATE("R",'MAPA DE RIESGO'!$B$58),"")</f>
        <v/>
      </c>
      <c r="AE26" s="422"/>
      <c r="AF26" s="422" t="str">
        <f>IF(AND('MAPA DE RIESGO'!$I$64="Media",'MAPA DE RIESGO'!$M$64="Mayor"),CONCATENATE("R",'MAPA DE RIESGO'!$B$64),"")</f>
        <v/>
      </c>
      <c r="AG26" s="423"/>
      <c r="AH26" s="435" t="str">
        <f>IF(AND('MAPA DE RIESGO'!$I$52="Media",'MAPA DE RIESGO'!$M$52="Catastrófico"),CONCATENATE("R",'MAPA DE RIESGO'!$B$52),"")</f>
        <v/>
      </c>
      <c r="AI26" s="436"/>
      <c r="AJ26" s="436" t="str">
        <f>IF(AND('MAPA DE RIESGO'!$I$58="Media",'MAPA DE RIESGO'!$M$58="Catastrófico"),CONCATENATE("R",'MAPA DE RIESGO'!$B$58),"")</f>
        <v/>
      </c>
      <c r="AK26" s="436"/>
      <c r="AL26" s="436" t="str">
        <f>IF(AND('MAPA DE RIESGO'!$I$64="Media",'MAPA DE RIESGO'!$M$64="Catastrófico"),CONCATENATE("R",'MAPA DE RIESGO'!$B$64),"")</f>
        <v/>
      </c>
      <c r="AM26" s="437"/>
      <c r="AN26" s="55"/>
      <c r="AO26" s="398"/>
      <c r="AP26" s="399"/>
      <c r="AQ26" s="399"/>
      <c r="AR26" s="399"/>
      <c r="AS26" s="399"/>
      <c r="AT26" s="400"/>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375"/>
      <c r="C27" s="375"/>
      <c r="D27" s="376"/>
      <c r="E27" s="416"/>
      <c r="F27" s="417"/>
      <c r="G27" s="417"/>
      <c r="H27" s="417"/>
      <c r="I27" s="418"/>
      <c r="J27" s="444"/>
      <c r="K27" s="445"/>
      <c r="L27" s="445"/>
      <c r="M27" s="445"/>
      <c r="N27" s="445"/>
      <c r="O27" s="446"/>
      <c r="P27" s="444"/>
      <c r="Q27" s="445"/>
      <c r="R27" s="445"/>
      <c r="S27" s="445"/>
      <c r="T27" s="445"/>
      <c r="U27" s="446"/>
      <c r="V27" s="444"/>
      <c r="W27" s="445"/>
      <c r="X27" s="445"/>
      <c r="Y27" s="445"/>
      <c r="Z27" s="445"/>
      <c r="AA27" s="446"/>
      <c r="AB27" s="427"/>
      <c r="AC27" s="424"/>
      <c r="AD27" s="422"/>
      <c r="AE27" s="422"/>
      <c r="AF27" s="422"/>
      <c r="AG27" s="423"/>
      <c r="AH27" s="435"/>
      <c r="AI27" s="436"/>
      <c r="AJ27" s="436"/>
      <c r="AK27" s="436"/>
      <c r="AL27" s="436"/>
      <c r="AM27" s="437"/>
      <c r="AN27" s="55"/>
      <c r="AO27" s="398"/>
      <c r="AP27" s="399"/>
      <c r="AQ27" s="399"/>
      <c r="AR27" s="399"/>
      <c r="AS27" s="399"/>
      <c r="AT27" s="400"/>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375"/>
      <c r="C28" s="375"/>
      <c r="D28" s="376"/>
      <c r="E28" s="416"/>
      <c r="F28" s="417"/>
      <c r="G28" s="417"/>
      <c r="H28" s="417"/>
      <c r="I28" s="418"/>
      <c r="J28" s="444" t="str">
        <f>IF(AND('MAPA DE RIESGO'!$I$70="Media",'MAPA DE RIESGO'!$M$70="Leve"),CONCATENATE("R",'MAPA DE RIESGO'!$B$70),"")</f>
        <v/>
      </c>
      <c r="K28" s="445"/>
      <c r="L28" s="445" t="str">
        <f>IF(AND('MAPA DE RIESGO'!$I$76="Media",'MAPA DE RIESGO'!$M$76="Leve"),CONCATENATE("R",'MAPA DE RIESGO'!$B$76),"")</f>
        <v/>
      </c>
      <c r="M28" s="445"/>
      <c r="N28" s="445" t="str">
        <f>IF(AND('MAPA DE RIESGO'!$I$82="Media",'MAPA DE RIESGO'!$M$82="Leve"),CONCATENATE("R",'MAPA DE RIESGO'!$B$82),"")</f>
        <v/>
      </c>
      <c r="O28" s="446"/>
      <c r="P28" s="444" t="str">
        <f>IF(AND('MAPA DE RIESGO'!$I$70="Media",'MAPA DE RIESGO'!$M$70="Menor"),CONCATENATE("R",'MAPA DE RIESGO'!$B$70),"")</f>
        <v/>
      </c>
      <c r="Q28" s="445"/>
      <c r="R28" s="445" t="str">
        <f>IF(AND('MAPA DE RIESGO'!$I$76="Media",'MAPA DE RIESGO'!$M$76="Menor"),CONCATENATE("R",'MAPA DE RIESGO'!$B$76),"")</f>
        <v/>
      </c>
      <c r="S28" s="445"/>
      <c r="T28" s="445" t="str">
        <f>IF(AND('MAPA DE RIESGO'!$I$82="Media",'MAPA DE RIESGO'!$M$82="Menor"),CONCATENATE("R",'MAPA DE RIESGO'!$B$82),"")</f>
        <v/>
      </c>
      <c r="U28" s="446"/>
      <c r="V28" s="444" t="str">
        <f>IF(AND('MAPA DE RIESGO'!$I$70="Media",'MAPA DE RIESGO'!$M$70="Moderado"),CONCATENATE("R",'MAPA DE RIESGO'!$B$70),"")</f>
        <v/>
      </c>
      <c r="W28" s="445"/>
      <c r="X28" s="445" t="str">
        <f>IF(AND('MAPA DE RIESGO'!$I$76="Media",'MAPA DE RIESGO'!$M$76="Moderado"),CONCATENATE("R",'MAPA DE RIESGO'!$B$76),"")</f>
        <v/>
      </c>
      <c r="Y28" s="445"/>
      <c r="Z28" s="445" t="str">
        <f>IF(AND('MAPA DE RIESGO'!$I$82="Media",'MAPA DE RIESGO'!$M$82="Moderado"),CONCATENATE("R",'MAPA DE RIESGO'!$B$82),"")</f>
        <v/>
      </c>
      <c r="AA28" s="446"/>
      <c r="AB28" s="427" t="str">
        <f>IF(AND('MAPA DE RIESGO'!$I$70="Media",'MAPA DE RIESGO'!$M$70="Mayor"),CONCATENATE("R",'MAPA DE RIESGO'!$B$70),"")</f>
        <v/>
      </c>
      <c r="AC28" s="424"/>
      <c r="AD28" s="422" t="str">
        <f>IF(AND('MAPA DE RIESGO'!$I$76="Media",'MAPA DE RIESGO'!$M$76="Mayor"),CONCATENATE("R",'MAPA DE RIESGO'!$B$76),"")</f>
        <v/>
      </c>
      <c r="AE28" s="422"/>
      <c r="AF28" s="422" t="str">
        <f>IF(AND('MAPA DE RIESGO'!$I$82="Media",'MAPA DE RIESGO'!$M$82="Mayor"),CONCATENATE("R",'MAPA DE RIESGO'!$B$82),"")</f>
        <v/>
      </c>
      <c r="AG28" s="423"/>
      <c r="AH28" s="435" t="str">
        <f>IF(AND('MAPA DE RIESGO'!$I$70="Media",'MAPA DE RIESGO'!$M$70="Catastrófico"),CONCATENATE("R",'MAPA DE RIESGO'!$B$70),"")</f>
        <v/>
      </c>
      <c r="AI28" s="436"/>
      <c r="AJ28" s="436" t="str">
        <f>IF(AND('MAPA DE RIESGO'!$I$76="Media",'MAPA DE RIESGO'!$M$76="Catastrófico"),CONCATENATE("R",'MAPA DE RIESGO'!$B$76),"")</f>
        <v/>
      </c>
      <c r="AK28" s="436"/>
      <c r="AL28" s="436" t="str">
        <f>IF(AND('MAPA DE RIESGO'!$I$82="Media",'MAPA DE RIESGO'!$M$82="Catastrófico"),CONCATENATE("R",'MAPA DE RIESGO'!$B$82),"")</f>
        <v/>
      </c>
      <c r="AM28" s="437"/>
      <c r="AN28" s="55"/>
      <c r="AO28" s="398"/>
      <c r="AP28" s="399"/>
      <c r="AQ28" s="399"/>
      <c r="AR28" s="399"/>
      <c r="AS28" s="399"/>
      <c r="AT28" s="400"/>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375"/>
      <c r="C29" s="375"/>
      <c r="D29" s="376"/>
      <c r="E29" s="419"/>
      <c r="F29" s="420"/>
      <c r="G29" s="420"/>
      <c r="H29" s="420"/>
      <c r="I29" s="421"/>
      <c r="J29" s="444"/>
      <c r="K29" s="445"/>
      <c r="L29" s="445"/>
      <c r="M29" s="445"/>
      <c r="N29" s="445"/>
      <c r="O29" s="446"/>
      <c r="P29" s="447"/>
      <c r="Q29" s="448"/>
      <c r="R29" s="448"/>
      <c r="S29" s="448"/>
      <c r="T29" s="448"/>
      <c r="U29" s="449"/>
      <c r="V29" s="447"/>
      <c r="W29" s="448"/>
      <c r="X29" s="448"/>
      <c r="Y29" s="448"/>
      <c r="Z29" s="448"/>
      <c r="AA29" s="449"/>
      <c r="AB29" s="432"/>
      <c r="AC29" s="433"/>
      <c r="AD29" s="433"/>
      <c r="AE29" s="433"/>
      <c r="AF29" s="433"/>
      <c r="AG29" s="434"/>
      <c r="AH29" s="438"/>
      <c r="AI29" s="439"/>
      <c r="AJ29" s="439"/>
      <c r="AK29" s="439"/>
      <c r="AL29" s="439"/>
      <c r="AM29" s="440"/>
      <c r="AN29" s="55"/>
      <c r="AO29" s="401"/>
      <c r="AP29" s="402"/>
      <c r="AQ29" s="402"/>
      <c r="AR29" s="402"/>
      <c r="AS29" s="402"/>
      <c r="AT29" s="403"/>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375"/>
      <c r="C30" s="375"/>
      <c r="D30" s="376"/>
      <c r="E30" s="413" t="s">
        <v>105</v>
      </c>
      <c r="F30" s="414"/>
      <c r="G30" s="414"/>
      <c r="H30" s="414"/>
      <c r="I30" s="414"/>
      <c r="J30" s="459" t="str">
        <f>IF(AND('MAPA DE RIESGO'!$I$16="Baja",'MAPA DE RIESGO'!$M$16="Leve"),CONCATENATE("R",'MAPA DE RIESGO'!$B$16),"")</f>
        <v/>
      </c>
      <c r="K30" s="460"/>
      <c r="L30" s="460" t="str">
        <f>IF(AND('MAPA DE RIESGO'!$I$22="Baja",'MAPA DE RIESGO'!$M$22="Leve"),CONCATENATE("R",'MAPA DE RIESGO'!$B$22),"")</f>
        <v/>
      </c>
      <c r="M30" s="460"/>
      <c r="N30" s="460" t="str">
        <f>IF(AND('MAPA DE RIESGO'!$I$28="Baja",'MAPA DE RIESGO'!$M$28="Leve"),CONCATENATE("R",'MAPA DE RIESGO'!$B$28),"")</f>
        <v/>
      </c>
      <c r="O30" s="461"/>
      <c r="P30" s="451" t="str">
        <f>IF(AND('MAPA DE RIESGO'!$I$16="Baja",'MAPA DE RIESGO'!$M$16="Menor"),CONCATENATE("R",'MAPA DE RIESGO'!$B$16),"")</f>
        <v/>
      </c>
      <c r="Q30" s="451"/>
      <c r="R30" s="451" t="str">
        <f>IF(AND('MAPA DE RIESGO'!$I$22="Baja",'MAPA DE RIESGO'!$M$22="Menor"),CONCATENATE("R",'MAPA DE RIESGO'!$B$22),"")</f>
        <v/>
      </c>
      <c r="S30" s="451"/>
      <c r="T30" s="451" t="str">
        <f>IF(AND('MAPA DE RIESGO'!$I$28="Baja",'MAPA DE RIESGO'!$M$28="Menor"),CONCATENATE("R",'MAPA DE RIESGO'!$B$28),"")</f>
        <v/>
      </c>
      <c r="U30" s="452"/>
      <c r="V30" s="450" t="str">
        <f>IF(AND('MAPA DE RIESGO'!$I$16="Baja",'MAPA DE RIESGO'!$M$16="Moderado"),CONCATENATE("R",'MAPA DE RIESGO'!$B$16),"")</f>
        <v/>
      </c>
      <c r="W30" s="451"/>
      <c r="X30" s="451" t="str">
        <f>IF(AND('MAPA DE RIESGO'!$I$22="Baja",'MAPA DE RIESGO'!$M$22="Moderado"),CONCATENATE("R",'MAPA DE RIESGO'!$B$22),"")</f>
        <v/>
      </c>
      <c r="Y30" s="451"/>
      <c r="Z30" s="451" t="str">
        <f>IF(AND('MAPA DE RIESGO'!$I$28="Baja",'MAPA DE RIESGO'!$M$28="Moderado"),CONCATENATE("R",'MAPA DE RIESGO'!$B$28),"")</f>
        <v/>
      </c>
      <c r="AA30" s="452"/>
      <c r="AB30" s="425" t="str">
        <f>IF(AND('MAPA DE RIESGO'!$I$16="Baja",'MAPA DE RIESGO'!$M$16="Mayor"),CONCATENATE("R",'MAPA DE RIESGO'!$B$16),"")</f>
        <v/>
      </c>
      <c r="AC30" s="426"/>
      <c r="AD30" s="426" t="str">
        <f>IF(AND('MAPA DE RIESGO'!$I$22="Baja",'MAPA DE RIESGO'!$M$22="Mayor"),CONCATENATE("R",'MAPA DE RIESGO'!$B$22),"")</f>
        <v/>
      </c>
      <c r="AE30" s="426"/>
      <c r="AF30" s="426" t="str">
        <f>IF(AND('MAPA DE RIESGO'!$I$28="Baja",'MAPA DE RIESGO'!$M$28="Mayor"),CONCATENATE("R",'MAPA DE RIESGO'!$B$28),"")</f>
        <v/>
      </c>
      <c r="AG30" s="428"/>
      <c r="AH30" s="441" t="str">
        <f>IF(AND('MAPA DE RIESGO'!$I$16="Baja",'MAPA DE RIESGO'!$M$16="Catastrófico"),CONCATENATE("R",'MAPA DE RIESGO'!$B$16),"")</f>
        <v/>
      </c>
      <c r="AI30" s="442"/>
      <c r="AJ30" s="442" t="str">
        <f>IF(AND('MAPA DE RIESGO'!$I$22="Baja",'MAPA DE RIESGO'!$M$22="Catastrófico"),CONCATENATE("R",'MAPA DE RIESGO'!$B$22),"")</f>
        <v/>
      </c>
      <c r="AK30" s="442"/>
      <c r="AL30" s="442" t="str">
        <f>IF(AND('MAPA DE RIESGO'!$I$28="Baja",'MAPA DE RIESGO'!$M$28="Catastrófico"),CONCATENATE("R",'MAPA DE RIESGO'!$B$28),"")</f>
        <v/>
      </c>
      <c r="AM30" s="443"/>
      <c r="AN30" s="55"/>
      <c r="AO30" s="404" t="s">
        <v>74</v>
      </c>
      <c r="AP30" s="405"/>
      <c r="AQ30" s="405"/>
      <c r="AR30" s="405"/>
      <c r="AS30" s="405"/>
      <c r="AT30" s="406"/>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375"/>
      <c r="C31" s="375"/>
      <c r="D31" s="376"/>
      <c r="E31" s="416"/>
      <c r="F31" s="417"/>
      <c r="G31" s="417"/>
      <c r="H31" s="417"/>
      <c r="I31" s="430"/>
      <c r="J31" s="455"/>
      <c r="K31" s="453"/>
      <c r="L31" s="453"/>
      <c r="M31" s="453"/>
      <c r="N31" s="453"/>
      <c r="O31" s="454"/>
      <c r="P31" s="445"/>
      <c r="Q31" s="445"/>
      <c r="R31" s="445"/>
      <c r="S31" s="445"/>
      <c r="T31" s="445"/>
      <c r="U31" s="446"/>
      <c r="V31" s="444"/>
      <c r="W31" s="445"/>
      <c r="X31" s="445"/>
      <c r="Y31" s="445"/>
      <c r="Z31" s="445"/>
      <c r="AA31" s="446"/>
      <c r="AB31" s="427"/>
      <c r="AC31" s="424"/>
      <c r="AD31" s="424"/>
      <c r="AE31" s="424"/>
      <c r="AF31" s="424"/>
      <c r="AG31" s="423"/>
      <c r="AH31" s="435"/>
      <c r="AI31" s="436"/>
      <c r="AJ31" s="436"/>
      <c r="AK31" s="436"/>
      <c r="AL31" s="436"/>
      <c r="AM31" s="437"/>
      <c r="AN31" s="55"/>
      <c r="AO31" s="407"/>
      <c r="AP31" s="408"/>
      <c r="AQ31" s="408"/>
      <c r="AR31" s="408"/>
      <c r="AS31" s="408"/>
      <c r="AT31" s="409"/>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375"/>
      <c r="C32" s="375"/>
      <c r="D32" s="376"/>
      <c r="E32" s="416"/>
      <c r="F32" s="417"/>
      <c r="G32" s="417"/>
      <c r="H32" s="417"/>
      <c r="I32" s="430"/>
      <c r="J32" s="455" t="str">
        <f>IF(AND('MAPA DE RIESGO'!$I$34="Baja",'MAPA DE RIESGO'!$M$34="Leve"),CONCATENATE("R",'MAPA DE RIESGO'!$B$34),"")</f>
        <v/>
      </c>
      <c r="K32" s="453"/>
      <c r="L32" s="453" t="str">
        <f>IF(AND('MAPA DE RIESGO'!$I$40="Baja",'MAPA DE RIESGO'!$M$40="Leve"),CONCATENATE("R",'MAPA DE RIESGO'!$B$40),"")</f>
        <v/>
      </c>
      <c r="M32" s="453"/>
      <c r="N32" s="453" t="str">
        <f>IF(AND('MAPA DE RIESGO'!$I$46="Baja",'MAPA DE RIESGO'!$M$46="Leve"),CONCATENATE("R",'MAPA DE RIESGO'!$B$46),"")</f>
        <v/>
      </c>
      <c r="O32" s="454"/>
      <c r="P32" s="445" t="str">
        <f>IF(AND('MAPA DE RIESGO'!$I$34="Baja",'MAPA DE RIESGO'!$M$34="Menor"),CONCATENATE("R",'MAPA DE RIESGO'!$B$34),"")</f>
        <v/>
      </c>
      <c r="Q32" s="445"/>
      <c r="R32" s="445" t="str">
        <f>IF(AND('MAPA DE RIESGO'!$I$40="Baja",'MAPA DE RIESGO'!$M$40="Menor"),CONCATENATE("R",'MAPA DE RIESGO'!$B$40),"")</f>
        <v/>
      </c>
      <c r="S32" s="445"/>
      <c r="T32" s="445" t="str">
        <f>IF(AND('MAPA DE RIESGO'!$I$46="Baja",'MAPA DE RIESGO'!$M$46="Menor"),CONCATENATE("R",'MAPA DE RIESGO'!$B$46),"")</f>
        <v/>
      </c>
      <c r="U32" s="446"/>
      <c r="V32" s="444" t="str">
        <f>IF(AND('MAPA DE RIESGO'!$I$34="Baja",'MAPA DE RIESGO'!$M$34="Moderado"),CONCATENATE("R",'MAPA DE RIESGO'!$B$34),"")</f>
        <v/>
      </c>
      <c r="W32" s="445"/>
      <c r="X32" s="445" t="str">
        <f>IF(AND('MAPA DE RIESGO'!$I$40="Baja",'MAPA DE RIESGO'!$M$40="Moderado"),CONCATENATE("R",'MAPA DE RIESGO'!$B$40),"")</f>
        <v/>
      </c>
      <c r="Y32" s="445"/>
      <c r="Z32" s="445" t="str">
        <f>IF(AND('MAPA DE RIESGO'!$I$46="Baja",'MAPA DE RIESGO'!$M$46="Moderado"),CONCATENATE("R",'MAPA DE RIESGO'!$B$46),"")</f>
        <v/>
      </c>
      <c r="AA32" s="446"/>
      <c r="AB32" s="427" t="str">
        <f>IF(AND('MAPA DE RIESGO'!$I$34="Baja",'MAPA DE RIESGO'!$M$34="Mayor"),CONCATENATE("R",'MAPA DE RIESGO'!$B$34),"")</f>
        <v/>
      </c>
      <c r="AC32" s="424"/>
      <c r="AD32" s="422" t="str">
        <f>IF(AND('MAPA DE RIESGO'!$I$40="Baja",'MAPA DE RIESGO'!$M$40="Mayor"),CONCATENATE("R",'MAPA DE RIESGO'!$B$40),"")</f>
        <v/>
      </c>
      <c r="AE32" s="422"/>
      <c r="AF32" s="422" t="str">
        <f>IF(AND('MAPA DE RIESGO'!$I$46="Baja",'MAPA DE RIESGO'!$M$46="Mayor"),CONCATENATE("R",'MAPA DE RIESGO'!$B$46),"")</f>
        <v/>
      </c>
      <c r="AG32" s="423"/>
      <c r="AH32" s="435" t="str">
        <f>IF(AND('MAPA DE RIESGO'!$I$34="Baja",'MAPA DE RIESGO'!$M$34="Catastrófico"),CONCATENATE("R",'MAPA DE RIESGO'!$B$34),"")</f>
        <v/>
      </c>
      <c r="AI32" s="436"/>
      <c r="AJ32" s="436" t="str">
        <f>IF(AND('MAPA DE RIESGO'!$I$40="Baja",'MAPA DE RIESGO'!$M$40="Catastrófico"),CONCATENATE("R",'MAPA DE RIESGO'!$B$40),"")</f>
        <v/>
      </c>
      <c r="AK32" s="436"/>
      <c r="AL32" s="436" t="str">
        <f>IF(AND('MAPA DE RIESGO'!$I$46="Baja",'MAPA DE RIESGO'!$M$46="Catastrófico"),CONCATENATE("R",'MAPA DE RIESGO'!$B$46),"")</f>
        <v/>
      </c>
      <c r="AM32" s="437"/>
      <c r="AN32" s="55"/>
      <c r="AO32" s="407"/>
      <c r="AP32" s="408"/>
      <c r="AQ32" s="408"/>
      <c r="AR32" s="408"/>
      <c r="AS32" s="408"/>
      <c r="AT32" s="409"/>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375"/>
      <c r="C33" s="375"/>
      <c r="D33" s="376"/>
      <c r="E33" s="416"/>
      <c r="F33" s="417"/>
      <c r="G33" s="417"/>
      <c r="H33" s="417"/>
      <c r="I33" s="430"/>
      <c r="J33" s="455"/>
      <c r="K33" s="453"/>
      <c r="L33" s="453"/>
      <c r="M33" s="453"/>
      <c r="N33" s="453"/>
      <c r="O33" s="454"/>
      <c r="P33" s="445"/>
      <c r="Q33" s="445"/>
      <c r="R33" s="445"/>
      <c r="S33" s="445"/>
      <c r="T33" s="445"/>
      <c r="U33" s="446"/>
      <c r="V33" s="444"/>
      <c r="W33" s="445"/>
      <c r="X33" s="445"/>
      <c r="Y33" s="445"/>
      <c r="Z33" s="445"/>
      <c r="AA33" s="446"/>
      <c r="AB33" s="427"/>
      <c r="AC33" s="424"/>
      <c r="AD33" s="422"/>
      <c r="AE33" s="422"/>
      <c r="AF33" s="422"/>
      <c r="AG33" s="423"/>
      <c r="AH33" s="435"/>
      <c r="AI33" s="436"/>
      <c r="AJ33" s="436"/>
      <c r="AK33" s="436"/>
      <c r="AL33" s="436"/>
      <c r="AM33" s="437"/>
      <c r="AN33" s="55"/>
      <c r="AO33" s="407"/>
      <c r="AP33" s="408"/>
      <c r="AQ33" s="408"/>
      <c r="AR33" s="408"/>
      <c r="AS33" s="408"/>
      <c r="AT33" s="409"/>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375"/>
      <c r="C34" s="375"/>
      <c r="D34" s="376"/>
      <c r="E34" s="416"/>
      <c r="F34" s="417"/>
      <c r="G34" s="417"/>
      <c r="H34" s="417"/>
      <c r="I34" s="430"/>
      <c r="J34" s="455" t="str">
        <f>IF(AND('MAPA DE RIESGO'!$I$52="Baja",'MAPA DE RIESGO'!$M$52="Leve"),CONCATENATE("R",'MAPA DE RIESGO'!$B$52),"")</f>
        <v/>
      </c>
      <c r="K34" s="453"/>
      <c r="L34" s="453" t="str">
        <f>IF(AND('MAPA DE RIESGO'!$I$58="Baja",'MAPA DE RIESGO'!$M$58="Leve"),CONCATENATE("R",'MAPA DE RIESGO'!$B$58),"")</f>
        <v/>
      </c>
      <c r="M34" s="453"/>
      <c r="N34" s="453" t="str">
        <f>IF(AND('MAPA DE RIESGO'!$I$64="Baja",'MAPA DE RIESGO'!$M$64="Leve"),CONCATENATE("R",'MAPA DE RIESGO'!$B$64),"")</f>
        <v/>
      </c>
      <c r="O34" s="454"/>
      <c r="P34" s="445" t="str">
        <f>IF(AND('MAPA DE RIESGO'!$I$52="Baja",'MAPA DE RIESGO'!$M$52="Menor"),CONCATENATE("R",'MAPA DE RIESGO'!$B$52),"")</f>
        <v/>
      </c>
      <c r="Q34" s="445"/>
      <c r="R34" s="445" t="str">
        <f>IF(AND('MAPA DE RIESGO'!$I$58="Baja",'MAPA DE RIESGO'!$M$58="Menor"),CONCATENATE("R",'MAPA DE RIESGO'!$B$58),"")</f>
        <v/>
      </c>
      <c r="S34" s="445"/>
      <c r="T34" s="445" t="str">
        <f>IF(AND('MAPA DE RIESGO'!$I$64="Baja",'MAPA DE RIESGO'!$M$64="Menor"),CONCATENATE("R",'MAPA DE RIESGO'!$B$64),"")</f>
        <v/>
      </c>
      <c r="U34" s="446"/>
      <c r="V34" s="444" t="str">
        <f>IF(AND('MAPA DE RIESGO'!$I$52="Baja",'MAPA DE RIESGO'!$M$52="Moderado"),CONCATENATE("R",'MAPA DE RIESGO'!$B$52),"")</f>
        <v/>
      </c>
      <c r="W34" s="445"/>
      <c r="X34" s="445" t="str">
        <f>IF(AND('MAPA DE RIESGO'!$I$58="Baja",'MAPA DE RIESGO'!$M$58="Moderado"),CONCATENATE("R",'MAPA DE RIESGO'!$B$58),"")</f>
        <v/>
      </c>
      <c r="Y34" s="445"/>
      <c r="Z34" s="445" t="str">
        <f>IF(AND('MAPA DE RIESGO'!$I$64="Baja",'MAPA DE RIESGO'!$M$64="Moderado"),CONCATENATE("R",'MAPA DE RIESGO'!$B$64),"")</f>
        <v/>
      </c>
      <c r="AA34" s="446"/>
      <c r="AB34" s="427" t="str">
        <f>IF(AND('MAPA DE RIESGO'!$I$52="Baja",'MAPA DE RIESGO'!$M$52="Mayor"),CONCATENATE("R",'MAPA DE RIESGO'!$B$52),"")</f>
        <v/>
      </c>
      <c r="AC34" s="424"/>
      <c r="AD34" s="422" t="str">
        <f>IF(AND('MAPA DE RIESGO'!$I$58="Baja",'MAPA DE RIESGO'!$M$58="Mayor"),CONCATENATE("R",'MAPA DE RIESGO'!$B$58),"")</f>
        <v/>
      </c>
      <c r="AE34" s="422"/>
      <c r="AF34" s="422" t="str">
        <f>IF(AND('MAPA DE RIESGO'!$I$64="Baja",'MAPA DE RIESGO'!$M$64="Mayor"),CONCATENATE("R",'MAPA DE RIESGO'!$B$64),"")</f>
        <v/>
      </c>
      <c r="AG34" s="423"/>
      <c r="AH34" s="435" t="str">
        <f>IF(AND('MAPA DE RIESGO'!$I$52="Baja",'MAPA DE RIESGO'!$M$52="Catastrófico"),CONCATENATE("R",'MAPA DE RIESGO'!$B$52),"")</f>
        <v/>
      </c>
      <c r="AI34" s="436"/>
      <c r="AJ34" s="436" t="str">
        <f>IF(AND('MAPA DE RIESGO'!$I$58="Baja",'MAPA DE RIESGO'!$M$58="Catastrófico"),CONCATENATE("R",'MAPA DE RIESGO'!$B$58),"")</f>
        <v/>
      </c>
      <c r="AK34" s="436"/>
      <c r="AL34" s="436" t="str">
        <f>IF(AND('MAPA DE RIESGO'!$I$64="Baja",'MAPA DE RIESGO'!$M$64="Catastrófico"),CONCATENATE("R",'MAPA DE RIESGO'!$B$64),"")</f>
        <v/>
      </c>
      <c r="AM34" s="437"/>
      <c r="AN34" s="55"/>
      <c r="AO34" s="407"/>
      <c r="AP34" s="408"/>
      <c r="AQ34" s="408"/>
      <c r="AR34" s="408"/>
      <c r="AS34" s="408"/>
      <c r="AT34" s="409"/>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375"/>
      <c r="C35" s="375"/>
      <c r="D35" s="376"/>
      <c r="E35" s="416"/>
      <c r="F35" s="417"/>
      <c r="G35" s="417"/>
      <c r="H35" s="417"/>
      <c r="I35" s="430"/>
      <c r="J35" s="455"/>
      <c r="K35" s="453"/>
      <c r="L35" s="453"/>
      <c r="M35" s="453"/>
      <c r="N35" s="453"/>
      <c r="O35" s="454"/>
      <c r="P35" s="445"/>
      <c r="Q35" s="445"/>
      <c r="R35" s="445"/>
      <c r="S35" s="445"/>
      <c r="T35" s="445"/>
      <c r="U35" s="446"/>
      <c r="V35" s="444"/>
      <c r="W35" s="445"/>
      <c r="X35" s="445"/>
      <c r="Y35" s="445"/>
      <c r="Z35" s="445"/>
      <c r="AA35" s="446"/>
      <c r="AB35" s="427"/>
      <c r="AC35" s="424"/>
      <c r="AD35" s="422"/>
      <c r="AE35" s="422"/>
      <c r="AF35" s="422"/>
      <c r="AG35" s="423"/>
      <c r="AH35" s="435"/>
      <c r="AI35" s="436"/>
      <c r="AJ35" s="436"/>
      <c r="AK35" s="436"/>
      <c r="AL35" s="436"/>
      <c r="AM35" s="437"/>
      <c r="AN35" s="55"/>
      <c r="AO35" s="407"/>
      <c r="AP35" s="408"/>
      <c r="AQ35" s="408"/>
      <c r="AR35" s="408"/>
      <c r="AS35" s="408"/>
      <c r="AT35" s="409"/>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375"/>
      <c r="C36" s="375"/>
      <c r="D36" s="376"/>
      <c r="E36" s="416"/>
      <c r="F36" s="417"/>
      <c r="G36" s="417"/>
      <c r="H36" s="417"/>
      <c r="I36" s="430"/>
      <c r="J36" s="455" t="str">
        <f>IF(AND('MAPA DE RIESGO'!$I$70="Baja",'MAPA DE RIESGO'!$M$70="Leve"),CONCATENATE("R",'MAPA DE RIESGO'!$B$70),"")</f>
        <v/>
      </c>
      <c r="K36" s="453"/>
      <c r="L36" s="453" t="str">
        <f>IF(AND('MAPA DE RIESGO'!$I$76="Baja",'MAPA DE RIESGO'!$M$76="Leve"),CONCATENATE("R",'MAPA DE RIESGO'!$B$76),"")</f>
        <v/>
      </c>
      <c r="M36" s="453"/>
      <c r="N36" s="453" t="str">
        <f>IF(AND('MAPA DE RIESGO'!$I$82="Baja",'MAPA DE RIESGO'!$M$82="Leve"),CONCATENATE("R",'MAPA DE RIESGO'!$B$82),"")</f>
        <v/>
      </c>
      <c r="O36" s="454"/>
      <c r="P36" s="445" t="str">
        <f>IF(AND('MAPA DE RIESGO'!$I$70="Baja",'MAPA DE RIESGO'!$M$70="Menor"),CONCATENATE("R",'MAPA DE RIESGO'!$B$70),"")</f>
        <v/>
      </c>
      <c r="Q36" s="445"/>
      <c r="R36" s="445" t="str">
        <f>IF(AND('MAPA DE RIESGO'!$I$76="Baja",'MAPA DE RIESGO'!$M$76="Menor"),CONCATENATE("R",'MAPA DE RIESGO'!$B$76),"")</f>
        <v/>
      </c>
      <c r="S36" s="445"/>
      <c r="T36" s="445" t="str">
        <f>IF(AND('MAPA DE RIESGO'!$I$82="Baja",'MAPA DE RIESGO'!$M$82="Menor"),CONCATENATE("R",'MAPA DE RIESGO'!$B$82),"")</f>
        <v/>
      </c>
      <c r="U36" s="446"/>
      <c r="V36" s="444" t="str">
        <f>IF(AND('MAPA DE RIESGO'!$I$70="Baja",'MAPA DE RIESGO'!$M$70="Moderado"),CONCATENATE("R",'MAPA DE RIESGO'!$B$70),"")</f>
        <v/>
      </c>
      <c r="W36" s="445"/>
      <c r="X36" s="445" t="str">
        <f>IF(AND('MAPA DE RIESGO'!$I$76="Baja",'MAPA DE RIESGO'!$M$76="Moderado"),CONCATENATE("R",'MAPA DE RIESGO'!$B$76),"")</f>
        <v/>
      </c>
      <c r="Y36" s="445"/>
      <c r="Z36" s="445" t="str">
        <f>IF(AND('MAPA DE RIESGO'!$I$82="Baja",'MAPA DE RIESGO'!$M$82="Moderado"),CONCATENATE("R",'MAPA DE RIESGO'!$B$82),"")</f>
        <v/>
      </c>
      <c r="AA36" s="446"/>
      <c r="AB36" s="427" t="str">
        <f>IF(AND('MAPA DE RIESGO'!$I$70="Baja",'MAPA DE RIESGO'!$M$70="Mayor"),CONCATENATE("R",'MAPA DE RIESGO'!$B$70),"")</f>
        <v/>
      </c>
      <c r="AC36" s="424"/>
      <c r="AD36" s="422" t="str">
        <f>IF(AND('MAPA DE RIESGO'!$I$76="Baja",'MAPA DE RIESGO'!$M$76="Mayor"),CONCATENATE("R",'MAPA DE RIESGO'!$B$76),"")</f>
        <v/>
      </c>
      <c r="AE36" s="422"/>
      <c r="AF36" s="422" t="str">
        <f>IF(AND('MAPA DE RIESGO'!$I$82="Baja",'MAPA DE RIESGO'!$M$82="Mayor"),CONCATENATE("R",'MAPA DE RIESGO'!$B$82),"")</f>
        <v/>
      </c>
      <c r="AG36" s="423"/>
      <c r="AH36" s="435" t="str">
        <f>IF(AND('MAPA DE RIESGO'!$I$70="Baja",'MAPA DE RIESGO'!$M$70="Catastrófico"),CONCATENATE("R",'MAPA DE RIESGO'!$B$70),"")</f>
        <v/>
      </c>
      <c r="AI36" s="436"/>
      <c r="AJ36" s="436" t="str">
        <f>IF(AND('MAPA DE RIESGO'!$I$76="Baja",'MAPA DE RIESGO'!$M$76="Catastrófico"),CONCATENATE("R",'MAPA DE RIESGO'!$B$76),"")</f>
        <v/>
      </c>
      <c r="AK36" s="436"/>
      <c r="AL36" s="436" t="str">
        <f>IF(AND('MAPA DE RIESGO'!$I$82="Baja",'MAPA DE RIESGO'!$M$82="Catastrófico"),CONCATENATE("R",'MAPA DE RIESGO'!$B$82),"")</f>
        <v/>
      </c>
      <c r="AM36" s="437"/>
      <c r="AN36" s="55"/>
      <c r="AO36" s="407"/>
      <c r="AP36" s="408"/>
      <c r="AQ36" s="408"/>
      <c r="AR36" s="408"/>
      <c r="AS36" s="408"/>
      <c r="AT36" s="409"/>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375"/>
      <c r="C37" s="375"/>
      <c r="D37" s="376"/>
      <c r="E37" s="419"/>
      <c r="F37" s="420"/>
      <c r="G37" s="420"/>
      <c r="H37" s="420"/>
      <c r="I37" s="420"/>
      <c r="J37" s="456"/>
      <c r="K37" s="457"/>
      <c r="L37" s="457"/>
      <c r="M37" s="457"/>
      <c r="N37" s="457"/>
      <c r="O37" s="458"/>
      <c r="P37" s="448"/>
      <c r="Q37" s="448"/>
      <c r="R37" s="448"/>
      <c r="S37" s="448"/>
      <c r="T37" s="448"/>
      <c r="U37" s="449"/>
      <c r="V37" s="447"/>
      <c r="W37" s="448"/>
      <c r="X37" s="448"/>
      <c r="Y37" s="448"/>
      <c r="Z37" s="448"/>
      <c r="AA37" s="449"/>
      <c r="AB37" s="432"/>
      <c r="AC37" s="433"/>
      <c r="AD37" s="433"/>
      <c r="AE37" s="433"/>
      <c r="AF37" s="433"/>
      <c r="AG37" s="434"/>
      <c r="AH37" s="438"/>
      <c r="AI37" s="439"/>
      <c r="AJ37" s="439"/>
      <c r="AK37" s="439"/>
      <c r="AL37" s="439"/>
      <c r="AM37" s="440"/>
      <c r="AN37" s="55"/>
      <c r="AO37" s="410"/>
      <c r="AP37" s="411"/>
      <c r="AQ37" s="411"/>
      <c r="AR37" s="411"/>
      <c r="AS37" s="411"/>
      <c r="AT37" s="412"/>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375"/>
      <c r="C38" s="375"/>
      <c r="D38" s="376"/>
      <c r="E38" s="413" t="s">
        <v>104</v>
      </c>
      <c r="F38" s="414"/>
      <c r="G38" s="414"/>
      <c r="H38" s="414"/>
      <c r="I38" s="415"/>
      <c r="J38" s="459" t="str">
        <f>IF(AND('MAPA DE RIESGO'!$I$16="Muy Baja",'MAPA DE RIESGO'!$M$16="Leve"),CONCATENATE("R",'MAPA DE RIESGO'!$B$16),"")</f>
        <v/>
      </c>
      <c r="K38" s="460"/>
      <c r="L38" s="460" t="str">
        <f>IF(AND('MAPA DE RIESGO'!$I$22="Muy Baja",'MAPA DE RIESGO'!$M$22="Leve"),CONCATENATE("R",'MAPA DE RIESGO'!$B$22),"")</f>
        <v/>
      </c>
      <c r="M38" s="460"/>
      <c r="N38" s="460" t="str">
        <f>IF(AND('MAPA DE RIESGO'!$I$28="Muy Baja",'MAPA DE RIESGO'!$M$28="Leve"),CONCATENATE("R",'MAPA DE RIESGO'!$B$28),"")</f>
        <v/>
      </c>
      <c r="O38" s="461"/>
      <c r="P38" s="459" t="str">
        <f>IF(AND('MAPA DE RIESGO'!$I$16="Muy Baja",'MAPA DE RIESGO'!$M$16="Menor"),CONCATENATE("R",'MAPA DE RIESGO'!$B$16),"")</f>
        <v/>
      </c>
      <c r="Q38" s="460"/>
      <c r="R38" s="460" t="str">
        <f>IF(AND('MAPA DE RIESGO'!$I$22="Muy Baja",'MAPA DE RIESGO'!$M$22="Menor"),CONCATENATE("R",'MAPA DE RIESGO'!$B$22),"")</f>
        <v/>
      </c>
      <c r="S38" s="460"/>
      <c r="T38" s="460" t="str">
        <f>IF(AND('MAPA DE RIESGO'!$I$28="Muy Baja",'MAPA DE RIESGO'!$M$28="Menor"),CONCATENATE("R",'MAPA DE RIESGO'!$B$28),"")</f>
        <v/>
      </c>
      <c r="U38" s="461"/>
      <c r="V38" s="450" t="str">
        <f>IF(AND('MAPA DE RIESGO'!$I$16="Muy Baja",'MAPA DE RIESGO'!$M$16="Moderado"),CONCATENATE("R",'MAPA DE RIESGO'!$B$16),"")</f>
        <v/>
      </c>
      <c r="W38" s="451"/>
      <c r="X38" s="451" t="str">
        <f>IF(AND('MAPA DE RIESGO'!$I$22="Muy Baja",'MAPA DE RIESGO'!$M$22="Moderado"),CONCATENATE("R",'MAPA DE RIESGO'!$B$22),"")</f>
        <v/>
      </c>
      <c r="Y38" s="451"/>
      <c r="Z38" s="451" t="str">
        <f>IF(AND('MAPA DE RIESGO'!$I$28="Muy Baja",'MAPA DE RIESGO'!$M$28="Moderado"),CONCATENATE("R",'MAPA DE RIESGO'!$B$28),"")</f>
        <v/>
      </c>
      <c r="AA38" s="452"/>
      <c r="AB38" s="425" t="str">
        <f>IF(AND('MAPA DE RIESGO'!$I$16="Muy Baja",'MAPA DE RIESGO'!$M$16="Mayor"),CONCATENATE("R",'MAPA DE RIESGO'!$B$16),"")</f>
        <v/>
      </c>
      <c r="AC38" s="426"/>
      <c r="AD38" s="426" t="str">
        <f>IF(AND('MAPA DE RIESGO'!$I$22="Muy Baja",'MAPA DE RIESGO'!$M$22="Mayor"),CONCATENATE("R",'MAPA DE RIESGO'!$B$22),"")</f>
        <v/>
      </c>
      <c r="AE38" s="426"/>
      <c r="AF38" s="426" t="str">
        <f>IF(AND('MAPA DE RIESGO'!$I$28="Muy Baja",'MAPA DE RIESGO'!$M$28="Mayor"),CONCATENATE("R",'MAPA DE RIESGO'!$B$28),"")</f>
        <v/>
      </c>
      <c r="AG38" s="428"/>
      <c r="AH38" s="441" t="str">
        <f>IF(AND('MAPA DE RIESGO'!$I$16="Muy Baja",'MAPA DE RIESGO'!$M$16="Catastrófico"),CONCATENATE("R",'MAPA DE RIESGO'!$B$16),"")</f>
        <v/>
      </c>
      <c r="AI38" s="442"/>
      <c r="AJ38" s="442" t="str">
        <f>IF(AND('MAPA DE RIESGO'!$I$22="Muy Baja",'MAPA DE RIESGO'!$M$22="Catastrófico"),CONCATENATE("R",'MAPA DE RIESGO'!$B$22),"")</f>
        <v/>
      </c>
      <c r="AK38" s="442"/>
      <c r="AL38" s="442" t="str">
        <f>IF(AND('MAPA DE RIESGO'!$I$28="Muy Baja",'MAPA DE RIESGO'!$M$28="Catastrófico"),CONCATENATE("R",'MAPA DE RIESGO'!$B$28),"")</f>
        <v/>
      </c>
      <c r="AM38" s="443"/>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375"/>
      <c r="C39" s="375"/>
      <c r="D39" s="376"/>
      <c r="E39" s="416"/>
      <c r="F39" s="417"/>
      <c r="G39" s="417"/>
      <c r="H39" s="417"/>
      <c r="I39" s="418"/>
      <c r="J39" s="455"/>
      <c r="K39" s="453"/>
      <c r="L39" s="453"/>
      <c r="M39" s="453"/>
      <c r="N39" s="453"/>
      <c r="O39" s="454"/>
      <c r="P39" s="455"/>
      <c r="Q39" s="453"/>
      <c r="R39" s="453"/>
      <c r="S39" s="453"/>
      <c r="T39" s="453"/>
      <c r="U39" s="454"/>
      <c r="V39" s="444"/>
      <c r="W39" s="445"/>
      <c r="X39" s="445"/>
      <c r="Y39" s="445"/>
      <c r="Z39" s="445"/>
      <c r="AA39" s="446"/>
      <c r="AB39" s="427"/>
      <c r="AC39" s="424"/>
      <c r="AD39" s="424"/>
      <c r="AE39" s="424"/>
      <c r="AF39" s="424"/>
      <c r="AG39" s="423"/>
      <c r="AH39" s="435"/>
      <c r="AI39" s="436"/>
      <c r="AJ39" s="436"/>
      <c r="AK39" s="436"/>
      <c r="AL39" s="436"/>
      <c r="AM39" s="437"/>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375"/>
      <c r="C40" s="375"/>
      <c r="D40" s="376"/>
      <c r="E40" s="416"/>
      <c r="F40" s="417"/>
      <c r="G40" s="417"/>
      <c r="H40" s="417"/>
      <c r="I40" s="418"/>
      <c r="J40" s="455" t="str">
        <f>IF(AND('MAPA DE RIESGO'!$I$34="Muy Baja",'MAPA DE RIESGO'!$M$34="Leve"),CONCATENATE("R",'MAPA DE RIESGO'!$B$34),"")</f>
        <v/>
      </c>
      <c r="K40" s="453"/>
      <c r="L40" s="453" t="str">
        <f>IF(AND('MAPA DE RIESGO'!$I$40="Muy Baja",'MAPA DE RIESGO'!$M$40="Leve"),CONCATENATE("R",'MAPA DE RIESGO'!$B$40),"")</f>
        <v/>
      </c>
      <c r="M40" s="453"/>
      <c r="N40" s="453" t="str">
        <f>IF(AND('MAPA DE RIESGO'!$I$46="Muy Baja",'MAPA DE RIESGO'!$M$46="Leve"),CONCATENATE("R",'MAPA DE RIESGO'!$B$46),"")</f>
        <v/>
      </c>
      <c r="O40" s="454"/>
      <c r="P40" s="455" t="str">
        <f>IF(AND('MAPA DE RIESGO'!$I$34="Muy Baja",'MAPA DE RIESGO'!$M$34="Menor"),CONCATENATE("R",'MAPA DE RIESGO'!$B$34),"")</f>
        <v/>
      </c>
      <c r="Q40" s="453"/>
      <c r="R40" s="453" t="str">
        <f>IF(AND('MAPA DE RIESGO'!$I$40="Muy Baja",'MAPA DE RIESGO'!$M$40="Menor"),CONCATENATE("R",'MAPA DE RIESGO'!$B$40),"")</f>
        <v/>
      </c>
      <c r="S40" s="453"/>
      <c r="T40" s="453" t="str">
        <f>IF(AND('MAPA DE RIESGO'!$I$46="Muy Baja",'MAPA DE RIESGO'!$M$46="Menor"),CONCATENATE("R",'MAPA DE RIESGO'!$B$46),"")</f>
        <v/>
      </c>
      <c r="U40" s="454"/>
      <c r="V40" s="444" t="str">
        <f>IF(AND('MAPA DE RIESGO'!$I$34="Muy Baja",'MAPA DE RIESGO'!$M$34="Moderado"),CONCATENATE("R",'MAPA DE RIESGO'!$B$34),"")</f>
        <v/>
      </c>
      <c r="W40" s="445"/>
      <c r="X40" s="445" t="str">
        <f>IF(AND('MAPA DE RIESGO'!$I$40="Muy Baja",'MAPA DE RIESGO'!$M$40="Moderado"),CONCATENATE("R",'MAPA DE RIESGO'!$B$40),"")</f>
        <v/>
      </c>
      <c r="Y40" s="445"/>
      <c r="Z40" s="445" t="str">
        <f>IF(AND('MAPA DE RIESGO'!$I$46="Muy Baja",'MAPA DE RIESGO'!$M$46="Moderado"),CONCATENATE("R",'MAPA DE RIESGO'!$B$46),"")</f>
        <v/>
      </c>
      <c r="AA40" s="446"/>
      <c r="AB40" s="427" t="str">
        <f>IF(AND('MAPA DE RIESGO'!$I$34="Muy Baja",'MAPA DE RIESGO'!$M$34="Mayor"),CONCATENATE("R",'MAPA DE RIESGO'!$B$34),"")</f>
        <v/>
      </c>
      <c r="AC40" s="424"/>
      <c r="AD40" s="422" t="str">
        <f>IF(AND('MAPA DE RIESGO'!$I$40="Muy Baja",'MAPA DE RIESGO'!$M$40="Mayor"),CONCATENATE("R",'MAPA DE RIESGO'!$B$40),"")</f>
        <v/>
      </c>
      <c r="AE40" s="422"/>
      <c r="AF40" s="422" t="str">
        <f>IF(AND('MAPA DE RIESGO'!$I$46="Muy Baja",'MAPA DE RIESGO'!$M$46="Mayor"),CONCATENATE("R",'MAPA DE RIESGO'!$B$46),"")</f>
        <v/>
      </c>
      <c r="AG40" s="423"/>
      <c r="AH40" s="435" t="str">
        <f>IF(AND('MAPA DE RIESGO'!$I$34="Muy Baja",'MAPA DE RIESGO'!$M$34="Catastrófico"),CONCATENATE("R",'MAPA DE RIESGO'!$B$34),"")</f>
        <v/>
      </c>
      <c r="AI40" s="436"/>
      <c r="AJ40" s="436" t="str">
        <f>IF(AND('MAPA DE RIESGO'!$I$40="Muy Baja",'MAPA DE RIESGO'!$M$40="Catastrófico"),CONCATENATE("R",'MAPA DE RIESGO'!$B$40),"")</f>
        <v/>
      </c>
      <c r="AK40" s="436"/>
      <c r="AL40" s="436" t="str">
        <f>IF(AND('MAPA DE RIESGO'!$I$46="Muy Baja",'MAPA DE RIESGO'!$M$46="Catastrófico"),CONCATENATE("R",'MAPA DE RIESGO'!$B$46),"")</f>
        <v/>
      </c>
      <c r="AM40" s="437"/>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375"/>
      <c r="C41" s="375"/>
      <c r="D41" s="376"/>
      <c r="E41" s="416"/>
      <c r="F41" s="417"/>
      <c r="G41" s="417"/>
      <c r="H41" s="417"/>
      <c r="I41" s="418"/>
      <c r="J41" s="455"/>
      <c r="K41" s="453"/>
      <c r="L41" s="453"/>
      <c r="M41" s="453"/>
      <c r="N41" s="453"/>
      <c r="O41" s="454"/>
      <c r="P41" s="455"/>
      <c r="Q41" s="453"/>
      <c r="R41" s="453"/>
      <c r="S41" s="453"/>
      <c r="T41" s="453"/>
      <c r="U41" s="454"/>
      <c r="V41" s="444"/>
      <c r="W41" s="445"/>
      <c r="X41" s="445"/>
      <c r="Y41" s="445"/>
      <c r="Z41" s="445"/>
      <c r="AA41" s="446"/>
      <c r="AB41" s="427"/>
      <c r="AC41" s="424"/>
      <c r="AD41" s="422"/>
      <c r="AE41" s="422"/>
      <c r="AF41" s="422"/>
      <c r="AG41" s="423"/>
      <c r="AH41" s="435"/>
      <c r="AI41" s="436"/>
      <c r="AJ41" s="436"/>
      <c r="AK41" s="436"/>
      <c r="AL41" s="436"/>
      <c r="AM41" s="437"/>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375"/>
      <c r="C42" s="375"/>
      <c r="D42" s="376"/>
      <c r="E42" s="416"/>
      <c r="F42" s="417"/>
      <c r="G42" s="417"/>
      <c r="H42" s="417"/>
      <c r="I42" s="418"/>
      <c r="J42" s="455" t="str">
        <f>IF(AND('MAPA DE RIESGO'!$I$52="Muy Baja",'MAPA DE RIESGO'!$M$52="Leve"),CONCATENATE("R",'MAPA DE RIESGO'!$B$52),"")</f>
        <v/>
      </c>
      <c r="K42" s="453"/>
      <c r="L42" s="453" t="str">
        <f>IF(AND('MAPA DE RIESGO'!$I$58="Muy Baja",'MAPA DE RIESGO'!$M$58="Leve"),CONCATENATE("R",'MAPA DE RIESGO'!$B$58),"")</f>
        <v/>
      </c>
      <c r="M42" s="453"/>
      <c r="N42" s="453" t="str">
        <f>IF(AND('MAPA DE RIESGO'!$I$64="Muy Baja",'MAPA DE RIESGO'!$M$64="Leve"),CONCATENATE("R",'MAPA DE RIESGO'!$B$64),"")</f>
        <v/>
      </c>
      <c r="O42" s="454"/>
      <c r="P42" s="455" t="str">
        <f>IF(AND('MAPA DE RIESGO'!$I$52="Muy Baja",'MAPA DE RIESGO'!$M$52="Menor"),CONCATENATE("R",'MAPA DE RIESGO'!$B$52),"")</f>
        <v/>
      </c>
      <c r="Q42" s="453"/>
      <c r="R42" s="453" t="str">
        <f>IF(AND('MAPA DE RIESGO'!$I$58="Muy Baja",'MAPA DE RIESGO'!$M$58="Menor"),CONCATENATE("R",'MAPA DE RIESGO'!$B$58),"")</f>
        <v/>
      </c>
      <c r="S42" s="453"/>
      <c r="T42" s="453" t="str">
        <f>IF(AND('MAPA DE RIESGO'!$I$64="Muy Baja",'MAPA DE RIESGO'!$M$64="Menor"),CONCATENATE("R",'MAPA DE RIESGO'!$B$64),"")</f>
        <v/>
      </c>
      <c r="U42" s="454"/>
      <c r="V42" s="444" t="str">
        <f>IF(AND('MAPA DE RIESGO'!$I$52="Muy Baja",'MAPA DE RIESGO'!$M$52="Moderado"),CONCATENATE("R",'MAPA DE RIESGO'!$B$52),"")</f>
        <v/>
      </c>
      <c r="W42" s="445"/>
      <c r="X42" s="445" t="str">
        <f>IF(AND('MAPA DE RIESGO'!$I$58="Muy Baja",'MAPA DE RIESGO'!$M$58="Moderado"),CONCATENATE("R",'MAPA DE RIESGO'!$B$58),"")</f>
        <v/>
      </c>
      <c r="Y42" s="445"/>
      <c r="Z42" s="445" t="str">
        <f>IF(AND('MAPA DE RIESGO'!$I$64="Muy Baja",'MAPA DE RIESGO'!$M$64="Moderado"),CONCATENATE("R",'MAPA DE RIESGO'!$B$64),"")</f>
        <v/>
      </c>
      <c r="AA42" s="446"/>
      <c r="AB42" s="427" t="str">
        <f>IF(AND('MAPA DE RIESGO'!$I$52="Muy Baja",'MAPA DE RIESGO'!$M$52="Mayor"),CONCATENATE("R",'MAPA DE RIESGO'!$B$52),"")</f>
        <v/>
      </c>
      <c r="AC42" s="424"/>
      <c r="AD42" s="422" t="str">
        <f>IF(AND('MAPA DE RIESGO'!$I$58="Muy Baja",'MAPA DE RIESGO'!$M$58="Mayor"),CONCATENATE("R",'MAPA DE RIESGO'!$B$58),"")</f>
        <v/>
      </c>
      <c r="AE42" s="422"/>
      <c r="AF42" s="422" t="str">
        <f>IF(AND('MAPA DE RIESGO'!$I$64="Muy Baja",'MAPA DE RIESGO'!$M$64="Mayor"),CONCATENATE("R",'MAPA DE RIESGO'!$B$64),"")</f>
        <v/>
      </c>
      <c r="AG42" s="423"/>
      <c r="AH42" s="435" t="str">
        <f>IF(AND('MAPA DE RIESGO'!$I$52="Muy Baja",'MAPA DE RIESGO'!$M$52="Catastrófico"),CONCATENATE("R",'MAPA DE RIESGO'!$B$52),"")</f>
        <v/>
      </c>
      <c r="AI42" s="436"/>
      <c r="AJ42" s="436" t="str">
        <f>IF(AND('MAPA DE RIESGO'!$I$58="Muy Baja",'MAPA DE RIESGO'!$M$58="Catastrófico"),CONCATENATE("R",'MAPA DE RIESGO'!$B$58),"")</f>
        <v/>
      </c>
      <c r="AK42" s="436"/>
      <c r="AL42" s="436" t="str">
        <f>IF(AND('MAPA DE RIESGO'!$I$64="Muy Baja",'MAPA DE RIESGO'!$M$64="Catastrófico"),CONCATENATE("R",'MAPA DE RIESGO'!$B$64),"")</f>
        <v/>
      </c>
      <c r="AM42" s="437"/>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375"/>
      <c r="C43" s="375"/>
      <c r="D43" s="376"/>
      <c r="E43" s="416"/>
      <c r="F43" s="417"/>
      <c r="G43" s="417"/>
      <c r="H43" s="417"/>
      <c r="I43" s="418"/>
      <c r="J43" s="455"/>
      <c r="K43" s="453"/>
      <c r="L43" s="453"/>
      <c r="M43" s="453"/>
      <c r="N43" s="453"/>
      <c r="O43" s="454"/>
      <c r="P43" s="455"/>
      <c r="Q43" s="453"/>
      <c r="R43" s="453"/>
      <c r="S43" s="453"/>
      <c r="T43" s="453"/>
      <c r="U43" s="454"/>
      <c r="V43" s="444"/>
      <c r="W43" s="445"/>
      <c r="X43" s="445"/>
      <c r="Y43" s="445"/>
      <c r="Z43" s="445"/>
      <c r="AA43" s="446"/>
      <c r="AB43" s="427"/>
      <c r="AC43" s="424"/>
      <c r="AD43" s="422"/>
      <c r="AE43" s="422"/>
      <c r="AF43" s="422"/>
      <c r="AG43" s="423"/>
      <c r="AH43" s="435"/>
      <c r="AI43" s="436"/>
      <c r="AJ43" s="436"/>
      <c r="AK43" s="436"/>
      <c r="AL43" s="436"/>
      <c r="AM43" s="437"/>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375"/>
      <c r="C44" s="375"/>
      <c r="D44" s="376"/>
      <c r="E44" s="416"/>
      <c r="F44" s="417"/>
      <c r="G44" s="417"/>
      <c r="H44" s="417"/>
      <c r="I44" s="418"/>
      <c r="J44" s="455" t="str">
        <f>IF(AND('MAPA DE RIESGO'!$I$70="Muy Baja",'MAPA DE RIESGO'!$M$70="Leve"),CONCATENATE("R",'MAPA DE RIESGO'!$B$70),"")</f>
        <v/>
      </c>
      <c r="K44" s="453"/>
      <c r="L44" s="453" t="str">
        <f>IF(AND('MAPA DE RIESGO'!$I$76="Muy Baja",'MAPA DE RIESGO'!$M$76="Leve"),CONCATENATE("R",'MAPA DE RIESGO'!$B$76),"")</f>
        <v/>
      </c>
      <c r="M44" s="453"/>
      <c r="N44" s="453" t="str">
        <f>IF(AND('MAPA DE RIESGO'!$I$82="Muy Baja",'MAPA DE RIESGO'!$M$82="Leve"),CONCATENATE("R",'MAPA DE RIESGO'!$B$82),"")</f>
        <v/>
      </c>
      <c r="O44" s="454"/>
      <c r="P44" s="455" t="str">
        <f>IF(AND('MAPA DE RIESGO'!$I$70="Muy Baja",'MAPA DE RIESGO'!$M$70="Menor"),CONCATENATE("R",'MAPA DE RIESGO'!$B$70),"")</f>
        <v/>
      </c>
      <c r="Q44" s="453"/>
      <c r="R44" s="453" t="str">
        <f>IF(AND('MAPA DE RIESGO'!$I$76="Muy Baja",'MAPA DE RIESGO'!$M$76="Menor"),CONCATENATE("R",'MAPA DE RIESGO'!$B$76),"")</f>
        <v/>
      </c>
      <c r="S44" s="453"/>
      <c r="T44" s="453" t="str">
        <f>IF(AND('MAPA DE RIESGO'!$I$82="Muy Baja",'MAPA DE RIESGO'!$M$82="Menor"),CONCATENATE("R",'MAPA DE RIESGO'!$B$82),"")</f>
        <v/>
      </c>
      <c r="U44" s="454"/>
      <c r="V44" s="444" t="str">
        <f>IF(AND('MAPA DE RIESGO'!$I$70="Muy Baja",'MAPA DE RIESGO'!$M$70="Moderado"),CONCATENATE("R",'MAPA DE RIESGO'!$B$70),"")</f>
        <v/>
      </c>
      <c r="W44" s="445"/>
      <c r="X44" s="445" t="str">
        <f>IF(AND('MAPA DE RIESGO'!$I$76="Muy Baja",'MAPA DE RIESGO'!$M$76="Moderado"),CONCATENATE("R",'MAPA DE RIESGO'!$B$76),"")</f>
        <v/>
      </c>
      <c r="Y44" s="445"/>
      <c r="Z44" s="445" t="str">
        <f>IF(AND('MAPA DE RIESGO'!$I$82="Muy Baja",'MAPA DE RIESGO'!$M$82="Moderado"),CONCATENATE("R",'MAPA DE RIESGO'!$B$82),"")</f>
        <v/>
      </c>
      <c r="AA44" s="446"/>
      <c r="AB44" s="427" t="str">
        <f>IF(AND('MAPA DE RIESGO'!$I$70="Muy Baja",'MAPA DE RIESGO'!$M$70="Mayor"),CONCATENATE("R",'MAPA DE RIESGO'!$B$70),"")</f>
        <v/>
      </c>
      <c r="AC44" s="424"/>
      <c r="AD44" s="422" t="str">
        <f>IF(AND('MAPA DE RIESGO'!$I$76="Muy Baja",'MAPA DE RIESGO'!$M$76="Mayor"),CONCATENATE("R",'MAPA DE RIESGO'!$B$76),"")</f>
        <v/>
      </c>
      <c r="AE44" s="422"/>
      <c r="AF44" s="422" t="str">
        <f>IF(AND('MAPA DE RIESGO'!$I$82="Muy Baja",'MAPA DE RIESGO'!$M$82="Mayor"),CONCATENATE("R",'MAPA DE RIESGO'!$B$82),"")</f>
        <v/>
      </c>
      <c r="AG44" s="423"/>
      <c r="AH44" s="435" t="str">
        <f>IF(AND('MAPA DE RIESGO'!$I$70="Muy Baja",'MAPA DE RIESGO'!$M$70="Catastrófico"),CONCATENATE("R",'MAPA DE RIESGO'!$B$70),"")</f>
        <v/>
      </c>
      <c r="AI44" s="436"/>
      <c r="AJ44" s="436" t="str">
        <f>IF(AND('MAPA DE RIESGO'!$I$76="Muy Baja",'MAPA DE RIESGO'!$M$76="Catastrófico"),CONCATENATE("R",'MAPA DE RIESGO'!$B$76),"")</f>
        <v/>
      </c>
      <c r="AK44" s="436"/>
      <c r="AL44" s="436" t="str">
        <f>IF(AND('MAPA DE RIESGO'!$I$82="Muy Baja",'MAPA DE RIESGO'!$M$82="Catastrófico"),CONCATENATE("R",'MAPA DE RIESGO'!$B$82),"")</f>
        <v/>
      </c>
      <c r="AM44" s="437"/>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375"/>
      <c r="C45" s="375"/>
      <c r="D45" s="376"/>
      <c r="E45" s="419"/>
      <c r="F45" s="420"/>
      <c r="G45" s="420"/>
      <c r="H45" s="420"/>
      <c r="I45" s="421"/>
      <c r="J45" s="456"/>
      <c r="K45" s="457"/>
      <c r="L45" s="457"/>
      <c r="M45" s="457"/>
      <c r="N45" s="457"/>
      <c r="O45" s="458"/>
      <c r="P45" s="456"/>
      <c r="Q45" s="457"/>
      <c r="R45" s="457"/>
      <c r="S45" s="457"/>
      <c r="T45" s="457"/>
      <c r="U45" s="458"/>
      <c r="V45" s="447"/>
      <c r="W45" s="448"/>
      <c r="X45" s="448"/>
      <c r="Y45" s="448"/>
      <c r="Z45" s="448"/>
      <c r="AA45" s="449"/>
      <c r="AB45" s="432"/>
      <c r="AC45" s="433"/>
      <c r="AD45" s="433"/>
      <c r="AE45" s="433"/>
      <c r="AF45" s="433"/>
      <c r="AG45" s="434"/>
      <c r="AH45" s="438"/>
      <c r="AI45" s="439"/>
      <c r="AJ45" s="439"/>
      <c r="AK45" s="439"/>
      <c r="AL45" s="439"/>
      <c r="AM45" s="440"/>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413" t="s">
        <v>103</v>
      </c>
      <c r="K46" s="414"/>
      <c r="L46" s="414"/>
      <c r="M46" s="414"/>
      <c r="N46" s="414"/>
      <c r="O46" s="415"/>
      <c r="P46" s="413" t="s">
        <v>102</v>
      </c>
      <c r="Q46" s="414"/>
      <c r="R46" s="414"/>
      <c r="S46" s="414"/>
      <c r="T46" s="414"/>
      <c r="U46" s="415"/>
      <c r="V46" s="413" t="s">
        <v>101</v>
      </c>
      <c r="W46" s="414"/>
      <c r="X46" s="414"/>
      <c r="Y46" s="414"/>
      <c r="Z46" s="414"/>
      <c r="AA46" s="415"/>
      <c r="AB46" s="413" t="s">
        <v>100</v>
      </c>
      <c r="AC46" s="431"/>
      <c r="AD46" s="414"/>
      <c r="AE46" s="414"/>
      <c r="AF46" s="414"/>
      <c r="AG46" s="415"/>
      <c r="AH46" s="413" t="s">
        <v>99</v>
      </c>
      <c r="AI46" s="414"/>
      <c r="AJ46" s="414"/>
      <c r="AK46" s="414"/>
      <c r="AL46" s="414"/>
      <c r="AM46" s="41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416"/>
      <c r="K47" s="417"/>
      <c r="L47" s="417"/>
      <c r="M47" s="417"/>
      <c r="N47" s="417"/>
      <c r="O47" s="418"/>
      <c r="P47" s="416"/>
      <c r="Q47" s="417"/>
      <c r="R47" s="417"/>
      <c r="S47" s="417"/>
      <c r="T47" s="417"/>
      <c r="U47" s="418"/>
      <c r="V47" s="416"/>
      <c r="W47" s="417"/>
      <c r="X47" s="417"/>
      <c r="Y47" s="417"/>
      <c r="Z47" s="417"/>
      <c r="AA47" s="418"/>
      <c r="AB47" s="416"/>
      <c r="AC47" s="417"/>
      <c r="AD47" s="417"/>
      <c r="AE47" s="417"/>
      <c r="AF47" s="417"/>
      <c r="AG47" s="418"/>
      <c r="AH47" s="416"/>
      <c r="AI47" s="417"/>
      <c r="AJ47" s="417"/>
      <c r="AK47" s="417"/>
      <c r="AL47" s="417"/>
      <c r="AM47" s="418"/>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416"/>
      <c r="K48" s="417"/>
      <c r="L48" s="417"/>
      <c r="M48" s="417"/>
      <c r="N48" s="417"/>
      <c r="O48" s="418"/>
      <c r="P48" s="416"/>
      <c r="Q48" s="417"/>
      <c r="R48" s="417"/>
      <c r="S48" s="417"/>
      <c r="T48" s="417"/>
      <c r="U48" s="418"/>
      <c r="V48" s="416"/>
      <c r="W48" s="417"/>
      <c r="X48" s="417"/>
      <c r="Y48" s="417"/>
      <c r="Z48" s="417"/>
      <c r="AA48" s="418"/>
      <c r="AB48" s="416"/>
      <c r="AC48" s="417"/>
      <c r="AD48" s="417"/>
      <c r="AE48" s="417"/>
      <c r="AF48" s="417"/>
      <c r="AG48" s="418"/>
      <c r="AH48" s="416"/>
      <c r="AI48" s="417"/>
      <c r="AJ48" s="417"/>
      <c r="AK48" s="417"/>
      <c r="AL48" s="417"/>
      <c r="AM48" s="418"/>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416"/>
      <c r="K49" s="417"/>
      <c r="L49" s="417"/>
      <c r="M49" s="417"/>
      <c r="N49" s="417"/>
      <c r="O49" s="418"/>
      <c r="P49" s="416"/>
      <c r="Q49" s="417"/>
      <c r="R49" s="417"/>
      <c r="S49" s="417"/>
      <c r="T49" s="417"/>
      <c r="U49" s="418"/>
      <c r="V49" s="416"/>
      <c r="W49" s="417"/>
      <c r="X49" s="417"/>
      <c r="Y49" s="417"/>
      <c r="Z49" s="417"/>
      <c r="AA49" s="418"/>
      <c r="AB49" s="416"/>
      <c r="AC49" s="417"/>
      <c r="AD49" s="417"/>
      <c r="AE49" s="417"/>
      <c r="AF49" s="417"/>
      <c r="AG49" s="418"/>
      <c r="AH49" s="416"/>
      <c r="AI49" s="417"/>
      <c r="AJ49" s="417"/>
      <c r="AK49" s="417"/>
      <c r="AL49" s="417"/>
      <c r="AM49" s="418"/>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416"/>
      <c r="K50" s="417"/>
      <c r="L50" s="417"/>
      <c r="M50" s="417"/>
      <c r="N50" s="417"/>
      <c r="O50" s="418"/>
      <c r="P50" s="416"/>
      <c r="Q50" s="417"/>
      <c r="R50" s="417"/>
      <c r="S50" s="417"/>
      <c r="T50" s="417"/>
      <c r="U50" s="418"/>
      <c r="V50" s="416"/>
      <c r="W50" s="417"/>
      <c r="X50" s="417"/>
      <c r="Y50" s="417"/>
      <c r="Z50" s="417"/>
      <c r="AA50" s="418"/>
      <c r="AB50" s="416"/>
      <c r="AC50" s="417"/>
      <c r="AD50" s="417"/>
      <c r="AE50" s="417"/>
      <c r="AF50" s="417"/>
      <c r="AG50" s="418"/>
      <c r="AH50" s="416"/>
      <c r="AI50" s="417"/>
      <c r="AJ50" s="417"/>
      <c r="AK50" s="417"/>
      <c r="AL50" s="417"/>
      <c r="AM50" s="418"/>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419"/>
      <c r="K51" s="420"/>
      <c r="L51" s="420"/>
      <c r="M51" s="420"/>
      <c r="N51" s="420"/>
      <c r="O51" s="421"/>
      <c r="P51" s="419"/>
      <c r="Q51" s="420"/>
      <c r="R51" s="420"/>
      <c r="S51" s="420"/>
      <c r="T51" s="420"/>
      <c r="U51" s="421"/>
      <c r="V51" s="419"/>
      <c r="W51" s="420"/>
      <c r="X51" s="420"/>
      <c r="Y51" s="420"/>
      <c r="Z51" s="420"/>
      <c r="AA51" s="421"/>
      <c r="AB51" s="419"/>
      <c r="AC51" s="420"/>
      <c r="AD51" s="420"/>
      <c r="AE51" s="420"/>
      <c r="AF51" s="420"/>
      <c r="AG51" s="421"/>
      <c r="AH51" s="419"/>
      <c r="AI51" s="420"/>
      <c r="AJ51" s="420"/>
      <c r="AK51" s="420"/>
      <c r="AL51" s="420"/>
      <c r="AM51" s="421"/>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462" t="s">
        <v>140</v>
      </c>
      <c r="C2" s="462"/>
      <c r="D2" s="462"/>
      <c r="E2" s="462"/>
      <c r="F2" s="462"/>
      <c r="G2" s="462"/>
      <c r="H2" s="462"/>
      <c r="I2" s="462"/>
      <c r="J2" s="429" t="s">
        <v>2</v>
      </c>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462"/>
      <c r="C3" s="462"/>
      <c r="D3" s="462"/>
      <c r="E3" s="462"/>
      <c r="F3" s="462"/>
      <c r="G3" s="462"/>
      <c r="H3" s="462"/>
      <c r="I3" s="462"/>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29"/>
      <c r="AM3" s="429"/>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462"/>
      <c r="C4" s="462"/>
      <c r="D4" s="462"/>
      <c r="E4" s="462"/>
      <c r="F4" s="462"/>
      <c r="G4" s="462"/>
      <c r="H4" s="462"/>
      <c r="I4" s="462"/>
      <c r="J4" s="429"/>
      <c r="K4" s="429"/>
      <c r="L4" s="429"/>
      <c r="M4" s="429"/>
      <c r="N4" s="429"/>
      <c r="O4" s="429"/>
      <c r="P4" s="429"/>
      <c r="Q4" s="429"/>
      <c r="R4" s="429"/>
      <c r="S4" s="429"/>
      <c r="T4" s="429"/>
      <c r="U4" s="429"/>
      <c r="V4" s="429"/>
      <c r="W4" s="429"/>
      <c r="X4" s="429"/>
      <c r="Y4" s="429"/>
      <c r="Z4" s="429"/>
      <c r="AA4" s="429"/>
      <c r="AB4" s="429"/>
      <c r="AC4" s="429"/>
      <c r="AD4" s="429"/>
      <c r="AE4" s="429"/>
      <c r="AF4" s="429"/>
      <c r="AG4" s="429"/>
      <c r="AH4" s="429"/>
      <c r="AI4" s="429"/>
      <c r="AJ4" s="429"/>
      <c r="AK4" s="429"/>
      <c r="AL4" s="429"/>
      <c r="AM4" s="429"/>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375" t="s">
        <v>4</v>
      </c>
      <c r="C6" s="375"/>
      <c r="D6" s="376"/>
      <c r="E6" s="472" t="s">
        <v>107</v>
      </c>
      <c r="F6" s="473"/>
      <c r="G6" s="473"/>
      <c r="H6" s="473"/>
      <c r="I6" s="489"/>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480" t="s">
        <v>71</v>
      </c>
      <c r="AP6" s="481"/>
      <c r="AQ6" s="481"/>
      <c r="AR6" s="481"/>
      <c r="AS6" s="481"/>
      <c r="AT6" s="482"/>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375"/>
      <c r="C7" s="375"/>
      <c r="D7" s="376"/>
      <c r="E7" s="476"/>
      <c r="F7" s="477"/>
      <c r="G7" s="477"/>
      <c r="H7" s="477"/>
      <c r="I7" s="490"/>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483"/>
      <c r="AP7" s="484"/>
      <c r="AQ7" s="484"/>
      <c r="AR7" s="484"/>
      <c r="AS7" s="484"/>
      <c r="AT7" s="48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375"/>
      <c r="C8" s="375"/>
      <c r="D8" s="376"/>
      <c r="E8" s="476"/>
      <c r="F8" s="477"/>
      <c r="G8" s="477"/>
      <c r="H8" s="477"/>
      <c r="I8" s="490"/>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483"/>
      <c r="AP8" s="484"/>
      <c r="AQ8" s="484"/>
      <c r="AR8" s="484"/>
      <c r="AS8" s="484"/>
      <c r="AT8" s="48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375"/>
      <c r="C9" s="375"/>
      <c r="D9" s="376"/>
      <c r="E9" s="476"/>
      <c r="F9" s="477"/>
      <c r="G9" s="477"/>
      <c r="H9" s="477"/>
      <c r="I9" s="490"/>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483"/>
      <c r="AP9" s="484"/>
      <c r="AQ9" s="484"/>
      <c r="AR9" s="484"/>
      <c r="AS9" s="484"/>
      <c r="AT9" s="48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375"/>
      <c r="C10" s="375"/>
      <c r="D10" s="376"/>
      <c r="E10" s="476"/>
      <c r="F10" s="477"/>
      <c r="G10" s="477"/>
      <c r="H10" s="477"/>
      <c r="I10" s="490"/>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483"/>
      <c r="AP10" s="484"/>
      <c r="AQ10" s="484"/>
      <c r="AR10" s="484"/>
      <c r="AS10" s="484"/>
      <c r="AT10" s="48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375"/>
      <c r="C11" s="375"/>
      <c r="D11" s="376"/>
      <c r="E11" s="476"/>
      <c r="F11" s="477"/>
      <c r="G11" s="477"/>
      <c r="H11" s="477"/>
      <c r="I11" s="490"/>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483"/>
      <c r="AP11" s="484"/>
      <c r="AQ11" s="484"/>
      <c r="AR11" s="484"/>
      <c r="AS11" s="484"/>
      <c r="AT11" s="48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375"/>
      <c r="C12" s="375"/>
      <c r="D12" s="376"/>
      <c r="E12" s="476"/>
      <c r="F12" s="477"/>
      <c r="G12" s="477"/>
      <c r="H12" s="477"/>
      <c r="I12" s="490"/>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483"/>
      <c r="AP12" s="484"/>
      <c r="AQ12" s="484"/>
      <c r="AR12" s="484"/>
      <c r="AS12" s="484"/>
      <c r="AT12" s="48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375"/>
      <c r="C13" s="375"/>
      <c r="D13" s="376"/>
      <c r="E13" s="476"/>
      <c r="F13" s="477"/>
      <c r="G13" s="477"/>
      <c r="H13" s="477"/>
      <c r="I13" s="490"/>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483"/>
      <c r="AP13" s="484"/>
      <c r="AQ13" s="484"/>
      <c r="AR13" s="484"/>
      <c r="AS13" s="484"/>
      <c r="AT13" s="48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375"/>
      <c r="C14" s="375"/>
      <c r="D14" s="376"/>
      <c r="E14" s="476"/>
      <c r="F14" s="477"/>
      <c r="G14" s="477"/>
      <c r="H14" s="477"/>
      <c r="I14" s="490"/>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483"/>
      <c r="AP14" s="484"/>
      <c r="AQ14" s="484"/>
      <c r="AR14" s="484"/>
      <c r="AS14" s="484"/>
      <c r="AT14" s="48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375"/>
      <c r="C15" s="375"/>
      <c r="D15" s="376"/>
      <c r="E15" s="478"/>
      <c r="F15" s="479"/>
      <c r="G15" s="479"/>
      <c r="H15" s="479"/>
      <c r="I15" s="491"/>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486"/>
      <c r="AP15" s="487"/>
      <c r="AQ15" s="487"/>
      <c r="AR15" s="487"/>
      <c r="AS15" s="487"/>
      <c r="AT15" s="488"/>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375"/>
      <c r="C16" s="375"/>
      <c r="D16" s="376"/>
      <c r="E16" s="472" t="s">
        <v>106</v>
      </c>
      <c r="F16" s="473"/>
      <c r="G16" s="473"/>
      <c r="H16" s="473"/>
      <c r="I16" s="473"/>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463" t="s">
        <v>72</v>
      </c>
      <c r="AP16" s="464"/>
      <c r="AQ16" s="464"/>
      <c r="AR16" s="464"/>
      <c r="AS16" s="464"/>
      <c r="AT16" s="46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375"/>
      <c r="C17" s="375"/>
      <c r="D17" s="376"/>
      <c r="E17" s="474"/>
      <c r="F17" s="475"/>
      <c r="G17" s="475"/>
      <c r="H17" s="475"/>
      <c r="I17" s="475"/>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466"/>
      <c r="AP17" s="467"/>
      <c r="AQ17" s="467"/>
      <c r="AR17" s="467"/>
      <c r="AS17" s="467"/>
      <c r="AT17" s="468"/>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375"/>
      <c r="C18" s="375"/>
      <c r="D18" s="376"/>
      <c r="E18" s="476"/>
      <c r="F18" s="477"/>
      <c r="G18" s="477"/>
      <c r="H18" s="477"/>
      <c r="I18" s="475"/>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466"/>
      <c r="AP18" s="467"/>
      <c r="AQ18" s="467"/>
      <c r="AR18" s="467"/>
      <c r="AS18" s="467"/>
      <c r="AT18" s="468"/>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375"/>
      <c r="C19" s="375"/>
      <c r="D19" s="376"/>
      <c r="E19" s="476"/>
      <c r="F19" s="477"/>
      <c r="G19" s="477"/>
      <c r="H19" s="477"/>
      <c r="I19" s="475"/>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466"/>
      <c r="AP19" s="467"/>
      <c r="AQ19" s="467"/>
      <c r="AR19" s="467"/>
      <c r="AS19" s="467"/>
      <c r="AT19" s="468"/>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375"/>
      <c r="C20" s="375"/>
      <c r="D20" s="376"/>
      <c r="E20" s="476"/>
      <c r="F20" s="477"/>
      <c r="G20" s="477"/>
      <c r="H20" s="477"/>
      <c r="I20" s="475"/>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466"/>
      <c r="AP20" s="467"/>
      <c r="AQ20" s="467"/>
      <c r="AR20" s="467"/>
      <c r="AS20" s="467"/>
      <c r="AT20" s="468"/>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375"/>
      <c r="C21" s="375"/>
      <c r="D21" s="376"/>
      <c r="E21" s="476"/>
      <c r="F21" s="477"/>
      <c r="G21" s="477"/>
      <c r="H21" s="477"/>
      <c r="I21" s="475"/>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466"/>
      <c r="AP21" s="467"/>
      <c r="AQ21" s="467"/>
      <c r="AR21" s="467"/>
      <c r="AS21" s="467"/>
      <c r="AT21" s="468"/>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375"/>
      <c r="C22" s="375"/>
      <c r="D22" s="376"/>
      <c r="E22" s="476"/>
      <c r="F22" s="477"/>
      <c r="G22" s="477"/>
      <c r="H22" s="477"/>
      <c r="I22" s="475"/>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466"/>
      <c r="AP22" s="467"/>
      <c r="AQ22" s="467"/>
      <c r="AR22" s="467"/>
      <c r="AS22" s="467"/>
      <c r="AT22" s="468"/>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375"/>
      <c r="C23" s="375"/>
      <c r="D23" s="376"/>
      <c r="E23" s="476"/>
      <c r="F23" s="477"/>
      <c r="G23" s="477"/>
      <c r="H23" s="477"/>
      <c r="I23" s="475"/>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466"/>
      <c r="AP23" s="467"/>
      <c r="AQ23" s="467"/>
      <c r="AR23" s="467"/>
      <c r="AS23" s="467"/>
      <c r="AT23" s="468"/>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375"/>
      <c r="C24" s="375"/>
      <c r="D24" s="376"/>
      <c r="E24" s="476"/>
      <c r="F24" s="477"/>
      <c r="G24" s="477"/>
      <c r="H24" s="477"/>
      <c r="I24" s="475"/>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466"/>
      <c r="AP24" s="467"/>
      <c r="AQ24" s="467"/>
      <c r="AR24" s="467"/>
      <c r="AS24" s="467"/>
      <c r="AT24" s="468"/>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375"/>
      <c r="C25" s="375"/>
      <c r="D25" s="376"/>
      <c r="E25" s="478"/>
      <c r="F25" s="479"/>
      <c r="G25" s="479"/>
      <c r="H25" s="479"/>
      <c r="I25" s="479"/>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469"/>
      <c r="AP25" s="470"/>
      <c r="AQ25" s="470"/>
      <c r="AR25" s="470"/>
      <c r="AS25" s="470"/>
      <c r="AT25" s="471"/>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375"/>
      <c r="C26" s="375"/>
      <c r="D26" s="376"/>
      <c r="E26" s="472" t="s">
        <v>108</v>
      </c>
      <c r="F26" s="473"/>
      <c r="G26" s="473"/>
      <c r="H26" s="473"/>
      <c r="I26" s="489"/>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501" t="s">
        <v>73</v>
      </c>
      <c r="AP26" s="502"/>
      <c r="AQ26" s="502"/>
      <c r="AR26" s="502"/>
      <c r="AS26" s="502"/>
      <c r="AT26" s="503"/>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375"/>
      <c r="C27" s="375"/>
      <c r="D27" s="376"/>
      <c r="E27" s="474"/>
      <c r="F27" s="475"/>
      <c r="G27" s="475"/>
      <c r="H27" s="475"/>
      <c r="I27" s="490"/>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504"/>
      <c r="AP27" s="505"/>
      <c r="AQ27" s="505"/>
      <c r="AR27" s="505"/>
      <c r="AS27" s="505"/>
      <c r="AT27" s="506"/>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375"/>
      <c r="C28" s="375"/>
      <c r="D28" s="376"/>
      <c r="E28" s="476"/>
      <c r="F28" s="477"/>
      <c r="G28" s="477"/>
      <c r="H28" s="477"/>
      <c r="I28" s="490"/>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504"/>
      <c r="AP28" s="505"/>
      <c r="AQ28" s="505"/>
      <c r="AR28" s="505"/>
      <c r="AS28" s="505"/>
      <c r="AT28" s="506"/>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375"/>
      <c r="C29" s="375"/>
      <c r="D29" s="376"/>
      <c r="E29" s="476"/>
      <c r="F29" s="477"/>
      <c r="G29" s="477"/>
      <c r="H29" s="477"/>
      <c r="I29" s="490"/>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504"/>
      <c r="AP29" s="505"/>
      <c r="AQ29" s="505"/>
      <c r="AR29" s="505"/>
      <c r="AS29" s="505"/>
      <c r="AT29" s="506"/>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375"/>
      <c r="C30" s="375"/>
      <c r="D30" s="376"/>
      <c r="E30" s="476"/>
      <c r="F30" s="477"/>
      <c r="G30" s="477"/>
      <c r="H30" s="477"/>
      <c r="I30" s="490"/>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504"/>
      <c r="AP30" s="505"/>
      <c r="AQ30" s="505"/>
      <c r="AR30" s="505"/>
      <c r="AS30" s="505"/>
      <c r="AT30" s="506"/>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375"/>
      <c r="C31" s="375"/>
      <c r="D31" s="376"/>
      <c r="E31" s="476"/>
      <c r="F31" s="477"/>
      <c r="G31" s="477"/>
      <c r="H31" s="477"/>
      <c r="I31" s="490"/>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504"/>
      <c r="AP31" s="505"/>
      <c r="AQ31" s="505"/>
      <c r="AR31" s="505"/>
      <c r="AS31" s="505"/>
      <c r="AT31" s="506"/>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375"/>
      <c r="C32" s="375"/>
      <c r="D32" s="376"/>
      <c r="E32" s="476"/>
      <c r="F32" s="477"/>
      <c r="G32" s="477"/>
      <c r="H32" s="477"/>
      <c r="I32" s="490"/>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504"/>
      <c r="AP32" s="505"/>
      <c r="AQ32" s="505"/>
      <c r="AR32" s="505"/>
      <c r="AS32" s="505"/>
      <c r="AT32" s="506"/>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375"/>
      <c r="C33" s="375"/>
      <c r="D33" s="376"/>
      <c r="E33" s="476"/>
      <c r="F33" s="477"/>
      <c r="G33" s="477"/>
      <c r="H33" s="477"/>
      <c r="I33" s="490"/>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504"/>
      <c r="AP33" s="505"/>
      <c r="AQ33" s="505"/>
      <c r="AR33" s="505"/>
      <c r="AS33" s="505"/>
      <c r="AT33" s="506"/>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375"/>
      <c r="C34" s="375"/>
      <c r="D34" s="376"/>
      <c r="E34" s="476"/>
      <c r="F34" s="477"/>
      <c r="G34" s="477"/>
      <c r="H34" s="477"/>
      <c r="I34" s="490"/>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504"/>
      <c r="AP34" s="505"/>
      <c r="AQ34" s="505"/>
      <c r="AR34" s="505"/>
      <c r="AS34" s="505"/>
      <c r="AT34" s="506"/>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375"/>
      <c r="C35" s="375"/>
      <c r="D35" s="376"/>
      <c r="E35" s="478"/>
      <c r="F35" s="479"/>
      <c r="G35" s="479"/>
      <c r="H35" s="479"/>
      <c r="I35" s="491"/>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507"/>
      <c r="AP35" s="508"/>
      <c r="AQ35" s="508"/>
      <c r="AR35" s="508"/>
      <c r="AS35" s="508"/>
      <c r="AT35" s="509"/>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375"/>
      <c r="C36" s="375"/>
      <c r="D36" s="376"/>
      <c r="E36" s="472" t="s">
        <v>105</v>
      </c>
      <c r="F36" s="473"/>
      <c r="G36" s="473"/>
      <c r="H36" s="473"/>
      <c r="I36" s="473"/>
      <c r="J36" s="45" t="str">
        <f>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88" t="str">
        <f>IF(AND('MAPA DE RIESGO'!$Z$16="Baja",'MAPA DE RIESGO'!$AB$16="Mayor"),CONCATENATE("R1C",'MAPA DE RIESGO'!$P$16),"")</f>
        <v>R1C1</v>
      </c>
      <c r="AC36" s="18" t="str">
        <f>IF(AND('MAPA DE RIESGO'!$Z$17="Baja",'MAPA DE RIESGO'!$AB$17="Mayor"),CONCATENATE("R1C",'MAPA DE RIESGO'!$P$17),"")</f>
        <v>R1C2</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492" t="s">
        <v>74</v>
      </c>
      <c r="AP36" s="493"/>
      <c r="AQ36" s="493"/>
      <c r="AR36" s="493"/>
      <c r="AS36" s="493"/>
      <c r="AT36" s="494"/>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375"/>
      <c r="C37" s="375"/>
      <c r="D37" s="376"/>
      <c r="E37" s="474"/>
      <c r="F37" s="475"/>
      <c r="G37" s="475"/>
      <c r="H37" s="475"/>
      <c r="I37" s="475"/>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495"/>
      <c r="AP37" s="496"/>
      <c r="AQ37" s="496"/>
      <c r="AR37" s="496"/>
      <c r="AS37" s="496"/>
      <c r="AT37" s="497"/>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375"/>
      <c r="C38" s="375"/>
      <c r="D38" s="376"/>
      <c r="E38" s="476"/>
      <c r="F38" s="477"/>
      <c r="G38" s="477"/>
      <c r="H38" s="477"/>
      <c r="I38" s="475"/>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495"/>
      <c r="AP38" s="496"/>
      <c r="AQ38" s="496"/>
      <c r="AR38" s="496"/>
      <c r="AS38" s="496"/>
      <c r="AT38" s="497"/>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375"/>
      <c r="C39" s="375"/>
      <c r="D39" s="376"/>
      <c r="E39" s="476"/>
      <c r="F39" s="477"/>
      <c r="G39" s="477"/>
      <c r="H39" s="477"/>
      <c r="I39" s="475"/>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495"/>
      <c r="AP39" s="496"/>
      <c r="AQ39" s="496"/>
      <c r="AR39" s="496"/>
      <c r="AS39" s="496"/>
      <c r="AT39" s="497"/>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375"/>
      <c r="C40" s="375"/>
      <c r="D40" s="376"/>
      <c r="E40" s="476"/>
      <c r="F40" s="477"/>
      <c r="G40" s="477"/>
      <c r="H40" s="477"/>
      <c r="I40" s="475"/>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495"/>
      <c r="AP40" s="496"/>
      <c r="AQ40" s="496"/>
      <c r="AR40" s="496"/>
      <c r="AS40" s="496"/>
      <c r="AT40" s="497"/>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375"/>
      <c r="C41" s="375"/>
      <c r="D41" s="376"/>
      <c r="E41" s="476"/>
      <c r="F41" s="477"/>
      <c r="G41" s="477"/>
      <c r="H41" s="477"/>
      <c r="I41" s="475"/>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495"/>
      <c r="AP41" s="496"/>
      <c r="AQ41" s="496"/>
      <c r="AR41" s="496"/>
      <c r="AS41" s="496"/>
      <c r="AT41" s="497"/>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375"/>
      <c r="C42" s="375"/>
      <c r="D42" s="376"/>
      <c r="E42" s="476"/>
      <c r="F42" s="477"/>
      <c r="G42" s="477"/>
      <c r="H42" s="477"/>
      <c r="I42" s="475"/>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495"/>
      <c r="AP42" s="496"/>
      <c r="AQ42" s="496"/>
      <c r="AR42" s="496"/>
      <c r="AS42" s="496"/>
      <c r="AT42" s="497"/>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375"/>
      <c r="C43" s="375"/>
      <c r="D43" s="376"/>
      <c r="E43" s="476"/>
      <c r="F43" s="477"/>
      <c r="G43" s="477"/>
      <c r="H43" s="477"/>
      <c r="I43" s="475"/>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495"/>
      <c r="AP43" s="496"/>
      <c r="AQ43" s="496"/>
      <c r="AR43" s="496"/>
      <c r="AS43" s="496"/>
      <c r="AT43" s="497"/>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375"/>
      <c r="C44" s="375"/>
      <c r="D44" s="376"/>
      <c r="E44" s="476"/>
      <c r="F44" s="477"/>
      <c r="G44" s="477"/>
      <c r="H44" s="477"/>
      <c r="I44" s="475"/>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495"/>
      <c r="AP44" s="496"/>
      <c r="AQ44" s="496"/>
      <c r="AR44" s="496"/>
      <c r="AS44" s="496"/>
      <c r="AT44" s="497"/>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375"/>
      <c r="C45" s="375"/>
      <c r="D45" s="376"/>
      <c r="E45" s="478"/>
      <c r="F45" s="479"/>
      <c r="G45" s="479"/>
      <c r="H45" s="479"/>
      <c r="I45" s="479"/>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498"/>
      <c r="AP45" s="499"/>
      <c r="AQ45" s="499"/>
      <c r="AR45" s="499"/>
      <c r="AS45" s="499"/>
      <c r="AT45" s="500"/>
    </row>
    <row r="46" spans="1:80" ht="46.5" customHeight="1" x14ac:dyDescent="0.35">
      <c r="A46" s="55"/>
      <c r="B46" s="375"/>
      <c r="C46" s="375"/>
      <c r="D46" s="376"/>
      <c r="E46" s="472" t="s">
        <v>104</v>
      </c>
      <c r="F46" s="473"/>
      <c r="G46" s="473"/>
      <c r="H46" s="473"/>
      <c r="I46" s="489"/>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375"/>
      <c r="C47" s="375"/>
      <c r="D47" s="376"/>
      <c r="E47" s="474"/>
      <c r="F47" s="475"/>
      <c r="G47" s="475"/>
      <c r="H47" s="475"/>
      <c r="I47" s="490"/>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375"/>
      <c r="C48" s="375"/>
      <c r="D48" s="376"/>
      <c r="E48" s="474"/>
      <c r="F48" s="475"/>
      <c r="G48" s="475"/>
      <c r="H48" s="475"/>
      <c r="I48" s="490"/>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375"/>
      <c r="C49" s="375"/>
      <c r="D49" s="376"/>
      <c r="E49" s="476"/>
      <c r="F49" s="477"/>
      <c r="G49" s="477"/>
      <c r="H49" s="477"/>
      <c r="I49" s="490"/>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375"/>
      <c r="C50" s="375"/>
      <c r="D50" s="376"/>
      <c r="E50" s="476"/>
      <c r="F50" s="477"/>
      <c r="G50" s="477"/>
      <c r="H50" s="477"/>
      <c r="I50" s="490"/>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375"/>
      <c r="C51" s="375"/>
      <c r="D51" s="376"/>
      <c r="E51" s="476"/>
      <c r="F51" s="477"/>
      <c r="G51" s="477"/>
      <c r="H51" s="477"/>
      <c r="I51" s="490"/>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375"/>
      <c r="C52" s="375"/>
      <c r="D52" s="376"/>
      <c r="E52" s="476"/>
      <c r="F52" s="477"/>
      <c r="G52" s="477"/>
      <c r="H52" s="477"/>
      <c r="I52" s="490"/>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375"/>
      <c r="C53" s="375"/>
      <c r="D53" s="376"/>
      <c r="E53" s="476"/>
      <c r="F53" s="477"/>
      <c r="G53" s="477"/>
      <c r="H53" s="477"/>
      <c r="I53" s="490"/>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375"/>
      <c r="C54" s="375"/>
      <c r="D54" s="376"/>
      <c r="E54" s="476"/>
      <c r="F54" s="477"/>
      <c r="G54" s="477"/>
      <c r="H54" s="477"/>
      <c r="I54" s="490"/>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375"/>
      <c r="C55" s="375"/>
      <c r="D55" s="376"/>
      <c r="E55" s="478"/>
      <c r="F55" s="479"/>
      <c r="G55" s="479"/>
      <c r="H55" s="479"/>
      <c r="I55" s="491"/>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472" t="s">
        <v>103</v>
      </c>
      <c r="K56" s="473"/>
      <c r="L56" s="473"/>
      <c r="M56" s="473"/>
      <c r="N56" s="473"/>
      <c r="O56" s="489"/>
      <c r="P56" s="472" t="s">
        <v>102</v>
      </c>
      <c r="Q56" s="473"/>
      <c r="R56" s="473"/>
      <c r="S56" s="473"/>
      <c r="T56" s="473"/>
      <c r="U56" s="489"/>
      <c r="V56" s="472" t="s">
        <v>101</v>
      </c>
      <c r="W56" s="473"/>
      <c r="X56" s="473"/>
      <c r="Y56" s="473"/>
      <c r="Z56" s="473"/>
      <c r="AA56" s="489"/>
      <c r="AB56" s="472" t="s">
        <v>100</v>
      </c>
      <c r="AC56" s="510"/>
      <c r="AD56" s="473"/>
      <c r="AE56" s="473"/>
      <c r="AF56" s="473"/>
      <c r="AG56" s="489"/>
      <c r="AH56" s="472" t="s">
        <v>99</v>
      </c>
      <c r="AI56" s="473"/>
      <c r="AJ56" s="473"/>
      <c r="AK56" s="473"/>
      <c r="AL56" s="473"/>
      <c r="AM56" s="489"/>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476"/>
      <c r="K57" s="477"/>
      <c r="L57" s="477"/>
      <c r="M57" s="477"/>
      <c r="N57" s="477"/>
      <c r="O57" s="490"/>
      <c r="P57" s="476"/>
      <c r="Q57" s="477"/>
      <c r="R57" s="477"/>
      <c r="S57" s="477"/>
      <c r="T57" s="477"/>
      <c r="U57" s="490"/>
      <c r="V57" s="476"/>
      <c r="W57" s="477"/>
      <c r="X57" s="477"/>
      <c r="Y57" s="477"/>
      <c r="Z57" s="477"/>
      <c r="AA57" s="490"/>
      <c r="AB57" s="476"/>
      <c r="AC57" s="477"/>
      <c r="AD57" s="477"/>
      <c r="AE57" s="477"/>
      <c r="AF57" s="477"/>
      <c r="AG57" s="490"/>
      <c r="AH57" s="476"/>
      <c r="AI57" s="477"/>
      <c r="AJ57" s="477"/>
      <c r="AK57" s="477"/>
      <c r="AL57" s="477"/>
      <c r="AM57" s="490"/>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476"/>
      <c r="K58" s="477"/>
      <c r="L58" s="477"/>
      <c r="M58" s="477"/>
      <c r="N58" s="477"/>
      <c r="O58" s="490"/>
      <c r="P58" s="476"/>
      <c r="Q58" s="477"/>
      <c r="R58" s="477"/>
      <c r="S58" s="477"/>
      <c r="T58" s="477"/>
      <c r="U58" s="490"/>
      <c r="V58" s="476"/>
      <c r="W58" s="477"/>
      <c r="X58" s="477"/>
      <c r="Y58" s="477"/>
      <c r="Z58" s="477"/>
      <c r="AA58" s="490"/>
      <c r="AB58" s="476"/>
      <c r="AC58" s="477"/>
      <c r="AD58" s="477"/>
      <c r="AE58" s="477"/>
      <c r="AF58" s="477"/>
      <c r="AG58" s="490"/>
      <c r="AH58" s="476"/>
      <c r="AI58" s="477"/>
      <c r="AJ58" s="477"/>
      <c r="AK58" s="477"/>
      <c r="AL58" s="477"/>
      <c r="AM58" s="490"/>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476"/>
      <c r="K59" s="477"/>
      <c r="L59" s="477"/>
      <c r="M59" s="477"/>
      <c r="N59" s="477"/>
      <c r="O59" s="490"/>
      <c r="P59" s="476"/>
      <c r="Q59" s="477"/>
      <c r="R59" s="477"/>
      <c r="S59" s="477"/>
      <c r="T59" s="477"/>
      <c r="U59" s="490"/>
      <c r="V59" s="476"/>
      <c r="W59" s="477"/>
      <c r="X59" s="477"/>
      <c r="Y59" s="477"/>
      <c r="Z59" s="477"/>
      <c r="AA59" s="490"/>
      <c r="AB59" s="476"/>
      <c r="AC59" s="477"/>
      <c r="AD59" s="477"/>
      <c r="AE59" s="477"/>
      <c r="AF59" s="477"/>
      <c r="AG59" s="490"/>
      <c r="AH59" s="476"/>
      <c r="AI59" s="477"/>
      <c r="AJ59" s="477"/>
      <c r="AK59" s="477"/>
      <c r="AL59" s="477"/>
      <c r="AM59" s="490"/>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476"/>
      <c r="K60" s="477"/>
      <c r="L60" s="477"/>
      <c r="M60" s="477"/>
      <c r="N60" s="477"/>
      <c r="O60" s="490"/>
      <c r="P60" s="476"/>
      <c r="Q60" s="477"/>
      <c r="R60" s="477"/>
      <c r="S60" s="477"/>
      <c r="T60" s="477"/>
      <c r="U60" s="490"/>
      <c r="V60" s="476"/>
      <c r="W60" s="477"/>
      <c r="X60" s="477"/>
      <c r="Y60" s="477"/>
      <c r="Z60" s="477"/>
      <c r="AA60" s="490"/>
      <c r="AB60" s="476"/>
      <c r="AC60" s="477"/>
      <c r="AD60" s="477"/>
      <c r="AE60" s="477"/>
      <c r="AF60" s="477"/>
      <c r="AG60" s="490"/>
      <c r="AH60" s="476"/>
      <c r="AI60" s="477"/>
      <c r="AJ60" s="477"/>
      <c r="AK60" s="477"/>
      <c r="AL60" s="477"/>
      <c r="AM60" s="490"/>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478"/>
      <c r="K61" s="479"/>
      <c r="L61" s="479"/>
      <c r="M61" s="479"/>
      <c r="N61" s="479"/>
      <c r="O61" s="491"/>
      <c r="P61" s="478"/>
      <c r="Q61" s="479"/>
      <c r="R61" s="479"/>
      <c r="S61" s="479"/>
      <c r="T61" s="479"/>
      <c r="U61" s="491"/>
      <c r="V61" s="478"/>
      <c r="W61" s="479"/>
      <c r="X61" s="479"/>
      <c r="Y61" s="479"/>
      <c r="Z61" s="479"/>
      <c r="AA61" s="491"/>
      <c r="AB61" s="478"/>
      <c r="AC61" s="479"/>
      <c r="AD61" s="479"/>
      <c r="AE61" s="479"/>
      <c r="AF61" s="479"/>
      <c r="AG61" s="491"/>
      <c r="AH61" s="478"/>
      <c r="AI61" s="479"/>
      <c r="AJ61" s="479"/>
      <c r="AK61" s="479"/>
      <c r="AL61" s="479"/>
      <c r="AM61" s="491"/>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92"/>
    <col min="2" max="2" width="24.28515625" style="92" customWidth="1" collapsed="1"/>
    <col min="3" max="3" width="70.28515625" style="92" customWidth="1" collapsed="1"/>
    <col min="4" max="4" width="29.7109375" style="92" customWidth="1" collapsed="1"/>
    <col min="5" max="16384" width="10.85546875" style="92"/>
  </cols>
  <sheetData>
    <row r="1" spans="1:37" ht="17.25" thickBot="1" x14ac:dyDescent="0.35">
      <c r="A1" s="6"/>
      <c r="B1" s="6"/>
      <c r="C1" s="6"/>
    </row>
    <row r="2" spans="1:37" ht="18.399999999999999" customHeight="1" thickBot="1" x14ac:dyDescent="0.35">
      <c r="A2" s="6"/>
      <c r="B2" s="511" t="s">
        <v>239</v>
      </c>
      <c r="C2" s="512"/>
      <c r="D2" s="513"/>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37"/>
      <c r="C4" s="138" t="s">
        <v>50</v>
      </c>
      <c r="D4" s="139"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40" t="s">
        <v>49</v>
      </c>
      <c r="C5" s="141" t="s">
        <v>93</v>
      </c>
      <c r="D5" s="142">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43" t="s">
        <v>51</v>
      </c>
      <c r="C6" s="144" t="s">
        <v>94</v>
      </c>
      <c r="D6" s="145">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46" t="s">
        <v>98</v>
      </c>
      <c r="C7" s="144" t="s">
        <v>95</v>
      </c>
      <c r="D7" s="145">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47" t="s">
        <v>6</v>
      </c>
      <c r="C8" s="144" t="s">
        <v>96</v>
      </c>
      <c r="D8" s="145">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48" t="s">
        <v>52</v>
      </c>
      <c r="C9" s="149" t="s">
        <v>97</v>
      </c>
      <c r="D9" s="150">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27"/>
      <c r="C10" s="127"/>
      <c r="D10" s="127"/>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27"/>
      <c r="D11" s="127"/>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27"/>
      <c r="C12" s="127"/>
      <c r="D12" s="127"/>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27"/>
      <c r="C13" s="127"/>
      <c r="D13" s="127"/>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27"/>
      <c r="C14" s="127"/>
      <c r="D14" s="127"/>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27"/>
      <c r="C15" s="127"/>
      <c r="D15" s="127"/>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27"/>
      <c r="C16" s="127"/>
      <c r="D16" s="127"/>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27"/>
      <c r="C17" s="127"/>
      <c r="D17" s="127"/>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27"/>
      <c r="C18" s="127"/>
      <c r="D18" s="127"/>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27"/>
      <c r="C19" s="127"/>
      <c r="D19" s="127"/>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233"/>
  <sheetViews>
    <sheetView showRowColHeaders="0" zoomScale="60" zoomScaleNormal="60" workbookViewId="0"/>
  </sheetViews>
  <sheetFormatPr baseColWidth="10" defaultColWidth="10.85546875" defaultRowHeight="16.5" x14ac:dyDescent="0.3"/>
  <cols>
    <col min="1" max="1" width="10.85546875" style="92"/>
    <col min="2" max="2" width="40.42578125" style="92" customWidth="1" collapsed="1"/>
    <col min="3" max="3" width="74.7109375" style="92" customWidth="1" collapsed="1"/>
    <col min="4" max="4" width="135" style="92" bestFit="1" customWidth="1" collapsed="1"/>
    <col min="5" max="5" width="144.7109375" style="92" bestFit="1" customWidth="1" collapsed="1"/>
    <col min="6" max="16384" width="10.85546875" style="92"/>
  </cols>
  <sheetData>
    <row r="1" spans="1:21" ht="17.25" thickBot="1" x14ac:dyDescent="0.35"/>
    <row r="2" spans="1:21" ht="30.75" thickBot="1" x14ac:dyDescent="0.35">
      <c r="A2" s="6"/>
      <c r="B2" s="514" t="s">
        <v>240</v>
      </c>
      <c r="C2" s="515"/>
      <c r="D2" s="515"/>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51"/>
      <c r="C4" s="152" t="s">
        <v>53</v>
      </c>
      <c r="D4" s="153" t="s">
        <v>54</v>
      </c>
      <c r="E4" s="6"/>
      <c r="F4" s="6"/>
      <c r="G4" s="6"/>
      <c r="H4" s="6"/>
      <c r="I4" s="6"/>
      <c r="J4" s="6"/>
      <c r="K4" s="6"/>
      <c r="L4" s="6"/>
      <c r="M4" s="6"/>
      <c r="N4" s="6"/>
      <c r="O4" s="6"/>
      <c r="P4" s="6"/>
      <c r="Q4" s="6"/>
      <c r="R4" s="6"/>
      <c r="S4" s="6"/>
      <c r="T4" s="6"/>
      <c r="U4" s="6"/>
    </row>
    <row r="5" spans="1:21" ht="27" x14ac:dyDescent="0.3">
      <c r="A5" s="128" t="s">
        <v>75</v>
      </c>
      <c r="B5" s="154" t="s">
        <v>92</v>
      </c>
      <c r="C5" s="155" t="s">
        <v>138</v>
      </c>
      <c r="D5" s="156" t="s">
        <v>88</v>
      </c>
      <c r="E5" s="6"/>
      <c r="F5" s="6"/>
      <c r="G5" s="6"/>
      <c r="H5" s="6"/>
      <c r="I5" s="6"/>
      <c r="J5" s="6"/>
      <c r="K5" s="6"/>
      <c r="L5" s="6"/>
      <c r="M5" s="6"/>
      <c r="N5" s="6"/>
      <c r="O5" s="6"/>
      <c r="P5" s="6"/>
      <c r="Q5" s="6"/>
      <c r="R5" s="6"/>
      <c r="S5" s="6"/>
      <c r="T5" s="6"/>
      <c r="U5" s="6"/>
    </row>
    <row r="6" spans="1:21" ht="54" x14ac:dyDescent="0.3">
      <c r="A6" s="128" t="s">
        <v>76</v>
      </c>
      <c r="B6" s="157" t="s">
        <v>56</v>
      </c>
      <c r="C6" s="158" t="s">
        <v>84</v>
      </c>
      <c r="D6" s="159" t="s">
        <v>89</v>
      </c>
      <c r="E6" s="6"/>
      <c r="F6" s="6"/>
      <c r="G6" s="6"/>
      <c r="H6" s="6"/>
      <c r="I6" s="6"/>
      <c r="J6" s="6"/>
      <c r="K6" s="6"/>
      <c r="L6" s="6"/>
      <c r="M6" s="6"/>
      <c r="N6" s="6"/>
      <c r="O6" s="6"/>
      <c r="P6" s="6"/>
      <c r="Q6" s="6"/>
      <c r="R6" s="6"/>
      <c r="S6" s="6"/>
      <c r="T6" s="6"/>
      <c r="U6" s="6"/>
    </row>
    <row r="7" spans="1:21" ht="54" x14ac:dyDescent="0.3">
      <c r="A7" s="128" t="s">
        <v>73</v>
      </c>
      <c r="B7" s="160" t="s">
        <v>57</v>
      </c>
      <c r="C7" s="158" t="s">
        <v>85</v>
      </c>
      <c r="D7" s="159" t="s">
        <v>91</v>
      </c>
      <c r="E7" s="6"/>
      <c r="F7" s="6"/>
      <c r="G7" s="6"/>
      <c r="H7" s="6"/>
      <c r="I7" s="6"/>
      <c r="J7" s="6"/>
      <c r="K7" s="6"/>
      <c r="L7" s="6"/>
      <c r="M7" s="6"/>
      <c r="N7" s="6"/>
      <c r="O7" s="6"/>
      <c r="P7" s="6"/>
      <c r="Q7" s="6"/>
      <c r="R7" s="6"/>
      <c r="S7" s="6"/>
      <c r="T7" s="6"/>
      <c r="U7" s="6"/>
    </row>
    <row r="8" spans="1:21" ht="54" x14ac:dyDescent="0.3">
      <c r="A8" s="128" t="s">
        <v>7</v>
      </c>
      <c r="B8" s="161" t="s">
        <v>58</v>
      </c>
      <c r="C8" s="158" t="s">
        <v>86</v>
      </c>
      <c r="D8" s="159" t="s">
        <v>90</v>
      </c>
      <c r="E8" s="6"/>
      <c r="F8" s="6"/>
      <c r="G8" s="6"/>
      <c r="H8" s="6"/>
      <c r="I8" s="6"/>
      <c r="J8" s="6"/>
      <c r="K8" s="6"/>
      <c r="L8" s="6"/>
      <c r="M8" s="6"/>
      <c r="N8" s="6"/>
      <c r="O8" s="6"/>
      <c r="P8" s="6"/>
      <c r="Q8" s="6"/>
      <c r="R8" s="6"/>
      <c r="S8" s="6"/>
      <c r="T8" s="6"/>
      <c r="U8" s="6"/>
    </row>
    <row r="9" spans="1:21" ht="54.75" thickBot="1" x14ac:dyDescent="0.35">
      <c r="A9" s="128" t="s">
        <v>77</v>
      </c>
      <c r="B9" s="162" t="s">
        <v>59</v>
      </c>
      <c r="C9" s="163" t="s">
        <v>87</v>
      </c>
      <c r="D9" s="164" t="s">
        <v>109</v>
      </c>
      <c r="E9" s="6"/>
      <c r="F9" s="6"/>
      <c r="G9" s="6"/>
      <c r="H9" s="6"/>
      <c r="I9" s="6"/>
      <c r="J9" s="6"/>
      <c r="K9" s="6"/>
      <c r="L9" s="6"/>
      <c r="M9" s="6"/>
      <c r="N9" s="6"/>
      <c r="O9" s="6"/>
      <c r="P9" s="6"/>
      <c r="Q9" s="6"/>
      <c r="R9" s="6"/>
      <c r="S9" s="6"/>
      <c r="T9" s="6"/>
      <c r="U9" s="6"/>
    </row>
    <row r="10" spans="1:21" ht="20.25" x14ac:dyDescent="0.3">
      <c r="A10" s="128"/>
      <c r="B10" s="128"/>
      <c r="C10" s="86"/>
      <c r="D10" s="69"/>
      <c r="E10" s="6"/>
      <c r="F10" s="6"/>
      <c r="G10" s="6"/>
      <c r="H10" s="6"/>
      <c r="I10" s="6"/>
      <c r="J10" s="6"/>
      <c r="K10" s="6"/>
      <c r="L10" s="6"/>
      <c r="M10" s="6"/>
      <c r="N10" s="6"/>
      <c r="O10" s="6"/>
      <c r="P10" s="6"/>
      <c r="Q10" s="6"/>
      <c r="R10" s="6"/>
      <c r="S10" s="6"/>
      <c r="T10" s="6"/>
      <c r="U10" s="6"/>
    </row>
    <row r="11" spans="1:21" x14ac:dyDescent="0.3">
      <c r="A11" s="128"/>
      <c r="B11" s="70"/>
      <c r="C11" s="70"/>
      <c r="D11" s="70"/>
      <c r="E11" s="6"/>
      <c r="F11" s="6"/>
      <c r="G11" s="6"/>
      <c r="H11" s="6"/>
      <c r="I11" s="6"/>
      <c r="J11" s="6"/>
      <c r="K11" s="6"/>
      <c r="L11" s="6"/>
      <c r="M11" s="6"/>
      <c r="N11" s="6"/>
      <c r="O11" s="6"/>
      <c r="P11" s="6"/>
      <c r="Q11" s="6"/>
      <c r="R11" s="6"/>
      <c r="S11" s="6"/>
      <c r="T11" s="6"/>
      <c r="U11" s="6"/>
    </row>
    <row r="12" spans="1:21" x14ac:dyDescent="0.3">
      <c r="A12" s="128"/>
      <c r="B12" s="128" t="s">
        <v>82</v>
      </c>
      <c r="C12" s="128" t="s">
        <v>126</v>
      </c>
      <c r="D12" s="128" t="s">
        <v>133</v>
      </c>
      <c r="E12" s="6"/>
      <c r="F12" s="6"/>
      <c r="G12" s="6"/>
      <c r="H12" s="6"/>
      <c r="I12" s="6"/>
      <c r="J12" s="6"/>
      <c r="K12" s="6"/>
      <c r="L12" s="6"/>
      <c r="M12" s="6"/>
      <c r="N12" s="6"/>
      <c r="O12" s="6"/>
      <c r="P12" s="6"/>
      <c r="Q12" s="6"/>
      <c r="R12" s="6"/>
      <c r="S12" s="6"/>
      <c r="T12" s="6"/>
      <c r="U12" s="6"/>
    </row>
    <row r="13" spans="1:21" x14ac:dyDescent="0.3">
      <c r="A13" s="128"/>
      <c r="B13" s="128" t="s">
        <v>80</v>
      </c>
      <c r="C13" s="128" t="s">
        <v>130</v>
      </c>
      <c r="D13" s="128" t="s">
        <v>134</v>
      </c>
      <c r="E13" s="6"/>
      <c r="F13" s="6"/>
      <c r="G13" s="6"/>
      <c r="H13" s="6"/>
      <c r="I13" s="6"/>
      <c r="J13" s="6"/>
      <c r="K13" s="6"/>
      <c r="L13" s="6"/>
      <c r="M13" s="6"/>
      <c r="N13" s="6"/>
      <c r="O13" s="6"/>
      <c r="P13" s="6"/>
      <c r="Q13" s="6"/>
      <c r="R13" s="6"/>
      <c r="S13" s="6"/>
      <c r="T13" s="6"/>
      <c r="U13" s="6"/>
    </row>
    <row r="14" spans="1:21" x14ac:dyDescent="0.3">
      <c r="A14" s="128"/>
      <c r="B14" s="128"/>
      <c r="C14" s="128" t="s">
        <v>129</v>
      </c>
      <c r="D14" s="128" t="s">
        <v>135</v>
      </c>
      <c r="E14" s="6"/>
      <c r="F14" s="6"/>
      <c r="G14" s="6"/>
      <c r="H14" s="6"/>
      <c r="I14" s="6"/>
      <c r="J14" s="6"/>
      <c r="K14" s="6"/>
      <c r="L14" s="6"/>
      <c r="M14" s="6"/>
      <c r="N14" s="6"/>
      <c r="O14" s="6"/>
      <c r="P14" s="6"/>
      <c r="Q14" s="6"/>
      <c r="R14" s="6"/>
      <c r="S14" s="6"/>
      <c r="T14" s="6"/>
      <c r="U14" s="6"/>
    </row>
    <row r="15" spans="1:21" x14ac:dyDescent="0.3">
      <c r="A15" s="128"/>
      <c r="B15" s="128"/>
      <c r="C15" s="128" t="s">
        <v>131</v>
      </c>
      <c r="D15" s="128" t="s">
        <v>136</v>
      </c>
      <c r="E15" s="6"/>
      <c r="F15" s="6"/>
      <c r="G15" s="6"/>
      <c r="H15" s="6"/>
      <c r="I15" s="6"/>
      <c r="J15" s="6"/>
      <c r="K15" s="6"/>
      <c r="L15" s="6"/>
      <c r="M15" s="6"/>
      <c r="N15" s="6"/>
      <c r="O15" s="6"/>
      <c r="P15" s="6"/>
      <c r="Q15" s="6"/>
      <c r="R15" s="6"/>
      <c r="S15" s="6"/>
      <c r="T15" s="6"/>
      <c r="U15" s="6"/>
    </row>
    <row r="16" spans="1:21" x14ac:dyDescent="0.3">
      <c r="A16" s="128"/>
      <c r="B16" s="128"/>
      <c r="C16" s="128" t="s">
        <v>132</v>
      </c>
      <c r="D16" s="128" t="s">
        <v>137</v>
      </c>
      <c r="E16" s="6"/>
      <c r="F16" s="6"/>
      <c r="G16" s="6"/>
      <c r="H16" s="6"/>
      <c r="I16" s="6"/>
      <c r="J16" s="6"/>
      <c r="K16" s="6"/>
      <c r="L16" s="6"/>
      <c r="M16" s="6"/>
      <c r="N16" s="6"/>
      <c r="O16" s="6"/>
      <c r="P16" s="6"/>
      <c r="Q16" s="6"/>
      <c r="R16" s="6"/>
      <c r="S16" s="6"/>
      <c r="T16" s="6"/>
      <c r="U16" s="6"/>
    </row>
    <row r="17" spans="1:15" x14ac:dyDescent="0.3">
      <c r="A17" s="128"/>
      <c r="B17" s="128"/>
      <c r="C17" s="6"/>
      <c r="D17" s="128"/>
      <c r="E17" s="6"/>
      <c r="F17" s="6"/>
      <c r="G17" s="6"/>
      <c r="H17" s="6"/>
      <c r="I17" s="6"/>
      <c r="J17" s="6"/>
      <c r="K17" s="6"/>
      <c r="L17" s="6"/>
      <c r="M17" s="6"/>
      <c r="N17" s="6"/>
      <c r="O17" s="6"/>
    </row>
    <row r="18" spans="1:15" x14ac:dyDescent="0.3">
      <c r="A18" s="128"/>
      <c r="B18" s="128"/>
      <c r="C18" s="6"/>
      <c r="D18" s="128"/>
      <c r="E18" s="6"/>
      <c r="F18" s="6"/>
      <c r="G18" s="6"/>
      <c r="H18" s="6"/>
      <c r="I18" s="6"/>
      <c r="J18" s="6"/>
      <c r="K18" s="6"/>
      <c r="L18" s="6"/>
      <c r="M18" s="6"/>
      <c r="N18" s="6"/>
      <c r="O18" s="6"/>
    </row>
    <row r="19" spans="1:15" x14ac:dyDescent="0.3">
      <c r="A19" s="128"/>
      <c r="B19" s="127"/>
      <c r="C19" s="6"/>
      <c r="D19" s="127"/>
      <c r="E19" s="6"/>
      <c r="F19" s="6"/>
      <c r="G19" s="6"/>
      <c r="H19" s="6"/>
      <c r="I19" s="6"/>
      <c r="J19" s="6"/>
      <c r="K19" s="6"/>
      <c r="L19" s="6"/>
      <c r="M19" s="6"/>
      <c r="N19" s="6"/>
      <c r="O19" s="6"/>
    </row>
    <row r="20" spans="1:15" x14ac:dyDescent="0.3">
      <c r="A20" s="128"/>
      <c r="B20" s="127"/>
      <c r="C20" s="6"/>
      <c r="D20" s="127"/>
      <c r="E20" s="6"/>
      <c r="F20" s="6"/>
      <c r="G20" s="6"/>
      <c r="H20" s="6"/>
      <c r="I20" s="6"/>
      <c r="J20" s="6"/>
      <c r="K20" s="6"/>
      <c r="L20" s="6"/>
      <c r="M20" s="6"/>
      <c r="N20" s="6"/>
      <c r="O20" s="6"/>
    </row>
    <row r="21" spans="1:15" x14ac:dyDescent="0.3">
      <c r="A21" s="128"/>
      <c r="B21" s="127"/>
      <c r="C21" s="6"/>
      <c r="D21" s="127"/>
      <c r="E21" s="6"/>
      <c r="F21" s="6"/>
      <c r="G21" s="6"/>
      <c r="H21" s="6"/>
      <c r="I21" s="6"/>
      <c r="J21" s="6"/>
      <c r="K21" s="6"/>
      <c r="L21" s="6"/>
      <c r="M21" s="6"/>
      <c r="N21" s="6"/>
      <c r="O21" s="6"/>
    </row>
    <row r="22" spans="1:15" x14ac:dyDescent="0.3">
      <c r="A22" s="128"/>
      <c r="B22" s="127"/>
      <c r="C22" s="6"/>
      <c r="D22" s="127"/>
      <c r="E22" s="6"/>
      <c r="F22" s="6"/>
      <c r="G22" s="6"/>
      <c r="H22" s="6"/>
      <c r="I22" s="6"/>
      <c r="J22" s="6"/>
      <c r="K22" s="6"/>
      <c r="L22" s="6"/>
      <c r="M22" s="6"/>
      <c r="N22" s="6"/>
      <c r="O22" s="6"/>
    </row>
    <row r="23" spans="1:15" ht="20.25" x14ac:dyDescent="0.3">
      <c r="A23" s="128"/>
      <c r="B23" s="128"/>
      <c r="C23" s="86"/>
      <c r="D23" s="69"/>
      <c r="E23" s="6"/>
      <c r="F23" s="6"/>
      <c r="G23" s="6"/>
      <c r="H23" s="6"/>
      <c r="I23" s="6"/>
      <c r="J23" s="6"/>
      <c r="K23" s="6"/>
      <c r="L23" s="6"/>
      <c r="M23" s="6"/>
      <c r="N23" s="6"/>
      <c r="O23" s="6"/>
    </row>
    <row r="24" spans="1:15" ht="20.25" x14ac:dyDescent="0.3">
      <c r="A24" s="128"/>
      <c r="B24" s="128"/>
      <c r="C24" s="86"/>
      <c r="D24" s="69"/>
      <c r="E24" s="6"/>
      <c r="F24" s="6"/>
      <c r="G24" s="6"/>
      <c r="H24" s="6"/>
      <c r="I24" s="6"/>
      <c r="J24" s="6"/>
      <c r="K24" s="6"/>
      <c r="L24" s="6"/>
      <c r="M24" s="6"/>
      <c r="N24" s="6"/>
      <c r="O24" s="6"/>
    </row>
    <row r="25" spans="1:15" ht="20.25" x14ac:dyDescent="0.3">
      <c r="A25" s="128"/>
      <c r="B25" s="128"/>
      <c r="C25" s="86"/>
      <c r="D25" s="69"/>
      <c r="E25" s="6"/>
      <c r="F25" s="6"/>
      <c r="G25" s="6"/>
      <c r="H25" s="6"/>
      <c r="I25" s="6"/>
      <c r="J25" s="6"/>
      <c r="K25" s="6"/>
      <c r="L25" s="6"/>
      <c r="M25" s="6"/>
      <c r="N25" s="6"/>
      <c r="O25" s="6"/>
    </row>
    <row r="26" spans="1:15" ht="20.25" x14ac:dyDescent="0.3">
      <c r="A26" s="128"/>
      <c r="B26" s="128"/>
      <c r="C26" s="86"/>
      <c r="D26" s="69"/>
      <c r="E26" s="6"/>
      <c r="F26" s="6"/>
      <c r="G26" s="6"/>
      <c r="H26" s="6"/>
      <c r="I26" s="6"/>
      <c r="J26" s="6"/>
      <c r="K26" s="6"/>
      <c r="L26" s="6"/>
      <c r="M26" s="6"/>
      <c r="N26" s="6"/>
      <c r="O26" s="6"/>
    </row>
    <row r="27" spans="1:15" ht="20.25" x14ac:dyDescent="0.3">
      <c r="A27" s="128"/>
      <c r="B27" s="128"/>
      <c r="C27" s="86"/>
      <c r="D27" s="69"/>
      <c r="E27" s="6"/>
      <c r="F27" s="6"/>
      <c r="G27" s="6"/>
      <c r="H27" s="6"/>
      <c r="I27" s="6"/>
      <c r="J27" s="6"/>
      <c r="K27" s="6"/>
      <c r="L27" s="6"/>
      <c r="M27" s="6"/>
      <c r="N27" s="6"/>
      <c r="O27" s="6"/>
    </row>
    <row r="28" spans="1:15" ht="20.25" x14ac:dyDescent="0.3">
      <c r="A28" s="128"/>
      <c r="B28" s="128"/>
      <c r="C28" s="86"/>
      <c r="D28" s="69"/>
      <c r="E28" s="6"/>
      <c r="F28" s="6"/>
      <c r="G28" s="6"/>
      <c r="H28" s="6"/>
      <c r="I28" s="6"/>
      <c r="J28" s="6"/>
      <c r="K28" s="6"/>
      <c r="L28" s="6"/>
      <c r="M28" s="6"/>
      <c r="N28" s="6"/>
      <c r="O28" s="6"/>
    </row>
    <row r="29" spans="1:15" ht="20.25" x14ac:dyDescent="0.3">
      <c r="A29" s="128"/>
      <c r="B29" s="128"/>
      <c r="C29" s="86"/>
      <c r="D29" s="69"/>
      <c r="E29" s="6"/>
      <c r="F29" s="6"/>
      <c r="G29" s="6"/>
      <c r="H29" s="6"/>
      <c r="I29" s="6"/>
      <c r="J29" s="6"/>
      <c r="K29" s="6"/>
      <c r="L29" s="6"/>
      <c r="M29" s="6"/>
      <c r="N29" s="6"/>
      <c r="O29" s="6"/>
    </row>
    <row r="30" spans="1:15" ht="20.25" x14ac:dyDescent="0.3">
      <c r="A30" s="128"/>
      <c r="B30" s="128"/>
      <c r="C30" s="86"/>
      <c r="D30" s="69"/>
      <c r="E30" s="6"/>
      <c r="F30" s="6"/>
      <c r="G30" s="6"/>
      <c r="H30" s="6"/>
      <c r="I30" s="6"/>
      <c r="J30" s="6"/>
      <c r="K30" s="6"/>
      <c r="L30" s="6"/>
      <c r="M30" s="6"/>
      <c r="N30" s="6"/>
      <c r="O30" s="6"/>
    </row>
    <row r="31" spans="1:15" ht="20.25" x14ac:dyDescent="0.3">
      <c r="A31" s="128"/>
      <c r="B31" s="128"/>
      <c r="C31" s="86"/>
      <c r="D31" s="69"/>
      <c r="E31" s="6"/>
      <c r="F31" s="6"/>
      <c r="G31" s="6"/>
      <c r="H31" s="6"/>
      <c r="I31" s="6"/>
      <c r="J31" s="6"/>
      <c r="K31" s="6"/>
      <c r="L31" s="6"/>
      <c r="M31" s="6"/>
      <c r="N31" s="6"/>
      <c r="O31" s="6"/>
    </row>
    <row r="32" spans="1:15" ht="20.25" x14ac:dyDescent="0.3">
      <c r="A32" s="128"/>
      <c r="B32" s="128"/>
      <c r="C32" s="86"/>
      <c r="D32" s="69"/>
      <c r="E32" s="6"/>
      <c r="F32" s="6"/>
      <c r="G32" s="6"/>
      <c r="H32" s="6"/>
      <c r="I32" s="6"/>
      <c r="J32" s="6"/>
      <c r="K32" s="6"/>
      <c r="L32" s="6"/>
      <c r="M32" s="6"/>
      <c r="N32" s="6"/>
      <c r="O32" s="6"/>
    </row>
    <row r="33" spans="1:15" ht="20.25" x14ac:dyDescent="0.3">
      <c r="A33" s="128"/>
      <c r="B33" s="128"/>
      <c r="C33" s="86"/>
      <c r="D33" s="69"/>
      <c r="E33" s="6"/>
      <c r="F33" s="6"/>
      <c r="G33" s="6"/>
      <c r="H33" s="6"/>
      <c r="I33" s="6"/>
      <c r="J33" s="6"/>
      <c r="K33" s="6"/>
      <c r="L33" s="6"/>
      <c r="M33" s="6"/>
      <c r="N33" s="6"/>
      <c r="O33" s="6"/>
    </row>
    <row r="34" spans="1:15" ht="20.25" x14ac:dyDescent="0.3">
      <c r="A34" s="128"/>
      <c r="B34" s="128"/>
      <c r="C34" s="86"/>
      <c r="D34" s="69"/>
      <c r="E34" s="6"/>
      <c r="F34" s="6"/>
      <c r="G34" s="6"/>
      <c r="H34" s="6"/>
      <c r="I34" s="6"/>
      <c r="J34" s="6"/>
      <c r="K34" s="6"/>
      <c r="L34" s="6"/>
      <c r="M34" s="6"/>
      <c r="N34" s="6"/>
      <c r="O34" s="6"/>
    </row>
    <row r="35" spans="1:15" ht="20.25" x14ac:dyDescent="0.3">
      <c r="A35" s="128"/>
      <c r="B35" s="128"/>
      <c r="C35" s="86"/>
      <c r="D35" s="69"/>
      <c r="E35" s="6"/>
      <c r="F35" s="6"/>
      <c r="G35" s="6"/>
      <c r="H35" s="6"/>
      <c r="I35" s="6"/>
      <c r="J35" s="6"/>
      <c r="K35" s="6"/>
      <c r="L35" s="6"/>
      <c r="M35" s="6"/>
      <c r="N35" s="6"/>
      <c r="O35" s="6"/>
    </row>
    <row r="36" spans="1:15" ht="20.25" x14ac:dyDescent="0.3">
      <c r="A36" s="128"/>
      <c r="B36" s="128"/>
      <c r="C36" s="86"/>
      <c r="D36" s="69"/>
      <c r="E36" s="6"/>
      <c r="F36" s="6"/>
      <c r="G36" s="6"/>
      <c r="H36" s="6"/>
      <c r="I36" s="6"/>
      <c r="J36" s="6"/>
      <c r="K36" s="6"/>
      <c r="L36" s="6"/>
      <c r="M36" s="6"/>
      <c r="N36" s="6"/>
      <c r="O36" s="6"/>
    </row>
    <row r="37" spans="1:15" ht="20.25" x14ac:dyDescent="0.3">
      <c r="A37" s="128"/>
      <c r="B37" s="128"/>
      <c r="C37" s="86"/>
      <c r="D37" s="69"/>
      <c r="E37" s="6"/>
      <c r="F37" s="6"/>
      <c r="G37" s="6"/>
      <c r="H37" s="6"/>
      <c r="I37" s="6"/>
      <c r="J37" s="6"/>
      <c r="K37" s="6"/>
      <c r="L37" s="6"/>
      <c r="M37" s="6"/>
      <c r="N37" s="6"/>
      <c r="O37" s="6"/>
    </row>
    <row r="38" spans="1:15" ht="20.25" x14ac:dyDescent="0.3">
      <c r="A38" s="128"/>
      <c r="B38" s="128"/>
      <c r="C38" s="86"/>
      <c r="D38" s="69"/>
      <c r="E38" s="6"/>
      <c r="F38" s="6"/>
      <c r="G38" s="6"/>
      <c r="H38" s="6"/>
      <c r="I38" s="6"/>
      <c r="J38" s="6"/>
      <c r="K38" s="6"/>
      <c r="L38" s="6"/>
      <c r="M38" s="6"/>
      <c r="N38" s="6"/>
      <c r="O38" s="6"/>
    </row>
    <row r="39" spans="1:15" ht="20.25" x14ac:dyDescent="0.3">
      <c r="A39" s="128"/>
      <c r="B39" s="128"/>
      <c r="C39" s="86"/>
      <c r="D39" s="69"/>
      <c r="E39" s="6"/>
      <c r="F39" s="6"/>
      <c r="G39" s="6"/>
      <c r="H39" s="6"/>
      <c r="I39" s="6"/>
      <c r="J39" s="6"/>
      <c r="K39" s="6"/>
      <c r="L39" s="6"/>
      <c r="M39" s="6"/>
      <c r="N39" s="6"/>
      <c r="O39" s="6"/>
    </row>
    <row r="40" spans="1:15" ht="20.25" x14ac:dyDescent="0.3">
      <c r="A40" s="128"/>
      <c r="B40" s="128"/>
      <c r="C40" s="86"/>
      <c r="D40" s="69"/>
      <c r="E40" s="6"/>
      <c r="F40" s="6"/>
      <c r="G40" s="6"/>
      <c r="H40" s="6"/>
      <c r="I40" s="6"/>
      <c r="J40" s="6"/>
      <c r="K40" s="6"/>
      <c r="L40" s="6"/>
      <c r="M40" s="6"/>
      <c r="N40" s="6"/>
      <c r="O40" s="6"/>
    </row>
    <row r="41" spans="1:15" ht="20.25" x14ac:dyDescent="0.3">
      <c r="A41" s="128"/>
      <c r="B41" s="128"/>
      <c r="C41" s="86"/>
      <c r="D41" s="69"/>
      <c r="E41" s="6"/>
      <c r="F41" s="6"/>
      <c r="G41" s="6"/>
      <c r="H41" s="6"/>
      <c r="I41" s="6"/>
      <c r="J41" s="6"/>
      <c r="K41" s="6"/>
      <c r="L41" s="6"/>
      <c r="M41" s="6"/>
      <c r="N41" s="6"/>
      <c r="O41" s="6"/>
    </row>
    <row r="42" spans="1:15" ht="20.25" x14ac:dyDescent="0.3">
      <c r="A42" s="128"/>
      <c r="B42" s="128"/>
      <c r="C42" s="86"/>
      <c r="D42" s="69"/>
      <c r="E42" s="6"/>
      <c r="F42" s="6"/>
      <c r="G42" s="6"/>
      <c r="H42" s="6"/>
      <c r="I42" s="6"/>
      <c r="J42" s="6"/>
      <c r="K42" s="6"/>
      <c r="L42" s="6"/>
      <c r="M42" s="6"/>
      <c r="N42" s="6"/>
      <c r="O42" s="6"/>
    </row>
    <row r="43" spans="1:15" ht="20.25" x14ac:dyDescent="0.3">
      <c r="A43" s="128"/>
      <c r="B43" s="128"/>
      <c r="C43" s="86"/>
      <c r="D43" s="69"/>
      <c r="E43" s="6"/>
      <c r="F43" s="6"/>
      <c r="G43" s="6"/>
      <c r="H43" s="6"/>
      <c r="I43" s="6"/>
      <c r="J43" s="6"/>
      <c r="K43" s="6"/>
      <c r="L43" s="6"/>
      <c r="M43" s="6"/>
      <c r="N43" s="6"/>
      <c r="O43" s="6"/>
    </row>
    <row r="44" spans="1:15" ht="20.25" x14ac:dyDescent="0.3">
      <c r="A44" s="128"/>
      <c r="B44" s="128"/>
      <c r="C44" s="86"/>
      <c r="D44" s="69"/>
      <c r="E44" s="6"/>
      <c r="F44" s="6"/>
      <c r="G44" s="6"/>
      <c r="H44" s="6"/>
      <c r="I44" s="6"/>
      <c r="J44" s="6"/>
      <c r="K44" s="6"/>
      <c r="L44" s="6"/>
      <c r="M44" s="6"/>
      <c r="N44" s="6"/>
      <c r="O44" s="6"/>
    </row>
    <row r="45" spans="1:15" ht="20.25" x14ac:dyDescent="0.3">
      <c r="A45" s="128"/>
      <c r="B45" s="128"/>
      <c r="C45" s="86"/>
      <c r="D45" s="69"/>
      <c r="E45" s="6"/>
      <c r="F45" s="6"/>
      <c r="G45" s="6"/>
      <c r="H45" s="6"/>
      <c r="I45" s="6"/>
      <c r="J45" s="6"/>
      <c r="K45" s="6"/>
      <c r="L45" s="6"/>
      <c r="M45" s="6"/>
      <c r="N45" s="6"/>
      <c r="O45" s="6"/>
    </row>
    <row r="46" spans="1:15" ht="20.25" x14ac:dyDescent="0.3">
      <c r="A46" s="128"/>
      <c r="B46" s="128"/>
      <c r="C46" s="86"/>
      <c r="D46" s="69"/>
      <c r="E46" s="6"/>
      <c r="F46" s="6"/>
      <c r="G46" s="6"/>
      <c r="H46" s="6"/>
      <c r="I46" s="6"/>
      <c r="J46" s="6"/>
      <c r="K46" s="6"/>
      <c r="L46" s="6"/>
      <c r="M46" s="6"/>
      <c r="N46" s="6"/>
      <c r="O46" s="6"/>
    </row>
    <row r="47" spans="1:15" ht="20.25" x14ac:dyDescent="0.3">
      <c r="A47" s="128"/>
      <c r="B47" s="128"/>
      <c r="C47" s="86"/>
      <c r="D47" s="69"/>
      <c r="E47" s="6"/>
      <c r="F47" s="6"/>
      <c r="G47" s="6"/>
      <c r="H47" s="6"/>
      <c r="I47" s="6"/>
      <c r="J47" s="6"/>
      <c r="K47" s="6"/>
      <c r="L47" s="6"/>
      <c r="M47" s="6"/>
      <c r="N47" s="6"/>
      <c r="O47" s="6"/>
    </row>
    <row r="48" spans="1:15" ht="20.25" x14ac:dyDescent="0.3">
      <c r="A48" s="128"/>
      <c r="B48" s="128"/>
      <c r="C48" s="86"/>
      <c r="D48" s="69"/>
      <c r="E48" s="6"/>
      <c r="F48" s="6"/>
      <c r="G48" s="6"/>
      <c r="H48" s="6"/>
      <c r="I48" s="6"/>
      <c r="J48" s="6"/>
      <c r="K48" s="6"/>
      <c r="L48" s="6"/>
      <c r="M48" s="6"/>
      <c r="N48" s="6"/>
      <c r="O48" s="6"/>
    </row>
    <row r="49" spans="1:15" ht="20.25" x14ac:dyDescent="0.3">
      <c r="A49" s="128"/>
      <c r="B49" s="128"/>
      <c r="C49" s="86"/>
      <c r="D49" s="69"/>
      <c r="E49" s="6"/>
      <c r="F49" s="6"/>
      <c r="G49" s="6"/>
      <c r="H49" s="6"/>
      <c r="I49" s="6"/>
      <c r="J49" s="6"/>
      <c r="K49" s="6"/>
      <c r="L49" s="6"/>
      <c r="M49" s="6"/>
      <c r="N49" s="6"/>
      <c r="O49" s="6"/>
    </row>
    <row r="50" spans="1:15" ht="20.25" x14ac:dyDescent="0.3">
      <c r="A50" s="128"/>
      <c r="B50" s="128"/>
      <c r="C50" s="86"/>
      <c r="D50" s="69"/>
      <c r="E50" s="6"/>
      <c r="F50" s="6"/>
      <c r="G50" s="6"/>
      <c r="H50" s="6"/>
      <c r="I50" s="6"/>
      <c r="J50" s="6"/>
      <c r="K50" s="6"/>
      <c r="L50" s="6"/>
      <c r="M50" s="6"/>
      <c r="N50" s="6"/>
      <c r="O50" s="6"/>
    </row>
    <row r="51" spans="1:15" ht="20.25" x14ac:dyDescent="0.3">
      <c r="A51" s="128"/>
      <c r="B51" s="128"/>
      <c r="C51" s="86"/>
      <c r="D51" s="69"/>
      <c r="E51" s="6"/>
      <c r="F51" s="6"/>
      <c r="G51" s="6"/>
      <c r="H51" s="6"/>
      <c r="I51" s="6"/>
      <c r="J51" s="6"/>
      <c r="K51" s="6"/>
      <c r="L51" s="6"/>
      <c r="M51" s="6"/>
      <c r="N51" s="6"/>
      <c r="O51" s="6"/>
    </row>
    <row r="52" spans="1:15" ht="20.25" x14ac:dyDescent="0.3">
      <c r="A52" s="128"/>
      <c r="B52" s="128"/>
      <c r="C52" s="86"/>
      <c r="D52" s="69"/>
      <c r="E52" s="6"/>
      <c r="F52" s="6"/>
      <c r="G52" s="6"/>
      <c r="H52" s="6"/>
      <c r="I52" s="6"/>
      <c r="J52" s="6"/>
      <c r="K52" s="6"/>
      <c r="L52" s="6"/>
      <c r="M52" s="6"/>
      <c r="N52" s="6"/>
      <c r="O52" s="6"/>
    </row>
    <row r="53" spans="1:15" ht="20.25" x14ac:dyDescent="0.3">
      <c r="A53" s="128"/>
      <c r="B53" s="129"/>
      <c r="C53" s="87"/>
      <c r="D53" s="16"/>
    </row>
    <row r="54" spans="1:15" ht="20.25" x14ac:dyDescent="0.3">
      <c r="A54" s="128"/>
      <c r="B54" s="129"/>
      <c r="C54" s="87"/>
      <c r="D54" s="16"/>
    </row>
    <row r="55" spans="1:15" ht="20.25" x14ac:dyDescent="0.3">
      <c r="A55" s="128"/>
      <c r="B55" s="129"/>
      <c r="C55" s="87"/>
      <c r="D55" s="16"/>
    </row>
    <row r="56" spans="1:15" ht="20.25" x14ac:dyDescent="0.3">
      <c r="A56" s="128"/>
      <c r="B56" s="129"/>
      <c r="C56" s="87"/>
      <c r="D56" s="16"/>
    </row>
    <row r="57" spans="1:15" ht="20.25" x14ac:dyDescent="0.3">
      <c r="A57" s="128"/>
      <c r="B57" s="129"/>
      <c r="C57" s="87"/>
      <c r="D57" s="16"/>
    </row>
    <row r="58" spans="1:15" ht="20.25" x14ac:dyDescent="0.3">
      <c r="A58" s="128"/>
      <c r="B58" s="129"/>
      <c r="C58" s="87"/>
      <c r="D58" s="16"/>
    </row>
    <row r="59" spans="1:15" ht="20.25" x14ac:dyDescent="0.3">
      <c r="A59" s="128"/>
      <c r="B59" s="129"/>
      <c r="C59" s="87"/>
      <c r="D59" s="16"/>
    </row>
    <row r="60" spans="1:15" ht="20.25" x14ac:dyDescent="0.3">
      <c r="A60" s="128"/>
      <c r="B60" s="129"/>
      <c r="C60" s="87"/>
      <c r="D60" s="16"/>
    </row>
    <row r="61" spans="1:15" ht="20.25" x14ac:dyDescent="0.3">
      <c r="A61" s="128"/>
      <c r="B61" s="129"/>
      <c r="C61" s="87"/>
      <c r="D61" s="16"/>
    </row>
    <row r="62" spans="1:15" ht="20.25" x14ac:dyDescent="0.3">
      <c r="A62" s="128"/>
      <c r="B62" s="129"/>
      <c r="C62" s="87"/>
      <c r="D62" s="16"/>
    </row>
    <row r="63" spans="1:15" ht="20.25" x14ac:dyDescent="0.3">
      <c r="A63" s="128"/>
      <c r="B63" s="129"/>
      <c r="C63" s="87"/>
      <c r="D63" s="16"/>
    </row>
    <row r="64" spans="1:15" ht="20.25" x14ac:dyDescent="0.3">
      <c r="A64" s="128"/>
      <c r="B64" s="129"/>
      <c r="C64" s="87"/>
      <c r="D64" s="16"/>
    </row>
    <row r="65" spans="1:4" ht="20.25" x14ac:dyDescent="0.3">
      <c r="A65" s="128"/>
      <c r="B65" s="129"/>
      <c r="C65" s="87"/>
      <c r="D65" s="16"/>
    </row>
    <row r="66" spans="1:4" ht="20.25" x14ac:dyDescent="0.3">
      <c r="A66" s="128"/>
      <c r="B66" s="129"/>
      <c r="C66" s="87"/>
      <c r="D66" s="16"/>
    </row>
    <row r="67" spans="1:4" ht="20.25" x14ac:dyDescent="0.3">
      <c r="A67" s="128"/>
      <c r="B67" s="129"/>
      <c r="C67" s="87"/>
      <c r="D67" s="16"/>
    </row>
    <row r="68" spans="1:4" ht="20.25" x14ac:dyDescent="0.3">
      <c r="A68" s="128"/>
      <c r="B68" s="129"/>
      <c r="C68" s="87"/>
      <c r="D68" s="16"/>
    </row>
    <row r="69" spans="1:4" ht="20.25" x14ac:dyDescent="0.3">
      <c r="A69" s="128"/>
      <c r="B69" s="129"/>
      <c r="C69" s="87"/>
      <c r="D69" s="16"/>
    </row>
    <row r="70" spans="1:4" ht="20.25" x14ac:dyDescent="0.3">
      <c r="A70" s="128"/>
      <c r="B70" s="129"/>
      <c r="C70" s="87"/>
      <c r="D70" s="16"/>
    </row>
    <row r="71" spans="1:4" ht="20.25" x14ac:dyDescent="0.3">
      <c r="A71" s="128"/>
      <c r="B71" s="129"/>
      <c r="C71" s="87"/>
      <c r="D71" s="16"/>
    </row>
    <row r="72" spans="1:4" ht="20.25" x14ac:dyDescent="0.3">
      <c r="A72" s="128"/>
      <c r="B72" s="129"/>
      <c r="C72" s="87"/>
      <c r="D72" s="16"/>
    </row>
    <row r="73" spans="1:4" ht="20.25" x14ac:dyDescent="0.3">
      <c r="A73" s="128"/>
      <c r="B73" s="129"/>
      <c r="C73" s="87"/>
      <c r="D73" s="16"/>
    </row>
    <row r="74" spans="1:4" ht="20.25" x14ac:dyDescent="0.3">
      <c r="A74" s="128"/>
      <c r="B74" s="129"/>
      <c r="C74" s="87"/>
      <c r="D74" s="16"/>
    </row>
    <row r="75" spans="1:4" ht="20.25" x14ac:dyDescent="0.3">
      <c r="A75" s="128"/>
      <c r="B75" s="129"/>
      <c r="C75" s="87"/>
      <c r="D75" s="16"/>
    </row>
    <row r="76" spans="1:4" ht="20.25" x14ac:dyDescent="0.3">
      <c r="A76" s="128"/>
      <c r="B76" s="129"/>
      <c r="C76" s="87"/>
      <c r="D76" s="16"/>
    </row>
    <row r="77" spans="1:4" ht="20.25" x14ac:dyDescent="0.3">
      <c r="A77" s="128"/>
      <c r="B77" s="129"/>
      <c r="C77" s="87"/>
      <c r="D77" s="16"/>
    </row>
    <row r="78" spans="1:4" ht="20.25" x14ac:dyDescent="0.3">
      <c r="A78" s="128"/>
      <c r="B78" s="129"/>
      <c r="C78" s="87"/>
      <c r="D78" s="16"/>
    </row>
    <row r="79" spans="1:4" ht="20.25" x14ac:dyDescent="0.3">
      <c r="A79" s="128"/>
      <c r="B79" s="129"/>
      <c r="C79" s="87"/>
      <c r="D79" s="16"/>
    </row>
    <row r="80" spans="1:4" ht="20.25" x14ac:dyDescent="0.3">
      <c r="A80" s="128"/>
      <c r="B80" s="129"/>
      <c r="C80" s="87"/>
      <c r="D80" s="16"/>
    </row>
    <row r="81" spans="1:4" ht="20.25" x14ac:dyDescent="0.3">
      <c r="A81" s="128"/>
      <c r="B81" s="129"/>
      <c r="C81" s="87"/>
      <c r="D81" s="16"/>
    </row>
    <row r="82" spans="1:4" ht="20.25" x14ac:dyDescent="0.3">
      <c r="A82" s="128"/>
      <c r="B82" s="129"/>
      <c r="C82" s="87"/>
      <c r="D82" s="16"/>
    </row>
    <row r="83" spans="1:4" ht="20.25" x14ac:dyDescent="0.3">
      <c r="A83" s="128"/>
      <c r="B83" s="129"/>
      <c r="C83" s="87"/>
      <c r="D83" s="16"/>
    </row>
    <row r="84" spans="1:4" ht="20.25" x14ac:dyDescent="0.3">
      <c r="A84" s="128"/>
      <c r="B84" s="129"/>
      <c r="C84" s="87"/>
      <c r="D84" s="16"/>
    </row>
    <row r="85" spans="1:4" ht="20.25" x14ac:dyDescent="0.3">
      <c r="A85" s="128"/>
      <c r="B85" s="129"/>
      <c r="C85" s="87"/>
      <c r="D85" s="16"/>
    </row>
    <row r="86" spans="1:4" ht="20.25" x14ac:dyDescent="0.3">
      <c r="A86" s="128"/>
      <c r="B86" s="129"/>
      <c r="C86" s="87"/>
      <c r="D86" s="16"/>
    </row>
    <row r="87" spans="1:4" ht="20.25" x14ac:dyDescent="0.3">
      <c r="A87" s="128"/>
      <c r="B87" s="129"/>
      <c r="C87" s="87"/>
      <c r="D87" s="16"/>
    </row>
    <row r="88" spans="1:4" ht="20.25" x14ac:dyDescent="0.3">
      <c r="A88" s="128"/>
      <c r="B88" s="129"/>
      <c r="C88" s="87"/>
      <c r="D88" s="16"/>
    </row>
    <row r="89" spans="1:4" ht="20.25" x14ac:dyDescent="0.3">
      <c r="A89" s="128"/>
      <c r="B89" s="129"/>
      <c r="C89" s="87"/>
      <c r="D89" s="16"/>
    </row>
    <row r="90" spans="1:4" ht="20.25" x14ac:dyDescent="0.3">
      <c r="A90" s="128"/>
      <c r="B90" s="129"/>
      <c r="C90" s="87"/>
      <c r="D90" s="16"/>
    </row>
    <row r="91" spans="1:4" ht="20.25" x14ac:dyDescent="0.3">
      <c r="A91" s="128"/>
      <c r="B91" s="129"/>
      <c r="C91" s="87"/>
      <c r="D91" s="16"/>
    </row>
    <row r="92" spans="1:4" ht="20.25" x14ac:dyDescent="0.3">
      <c r="A92" s="128"/>
      <c r="B92" s="129"/>
      <c r="C92" s="87"/>
      <c r="D92" s="16"/>
    </row>
    <row r="93" spans="1:4" ht="20.25" x14ac:dyDescent="0.3">
      <c r="A93" s="128"/>
      <c r="B93" s="129"/>
      <c r="C93" s="87"/>
      <c r="D93" s="16"/>
    </row>
    <row r="94" spans="1:4" ht="20.25" x14ac:dyDescent="0.3">
      <c r="A94" s="128"/>
      <c r="B94" s="129"/>
      <c r="C94" s="87"/>
      <c r="D94" s="16"/>
    </row>
    <row r="95" spans="1:4" ht="20.25" x14ac:dyDescent="0.3">
      <c r="A95" s="128"/>
      <c r="B95" s="129"/>
      <c r="C95" s="87"/>
      <c r="D95" s="16"/>
    </row>
    <row r="96" spans="1:4" ht="20.25" x14ac:dyDescent="0.3">
      <c r="A96" s="128"/>
      <c r="B96" s="129"/>
      <c r="C96" s="87"/>
      <c r="D96" s="16"/>
    </row>
    <row r="97" spans="1:4" ht="20.25" x14ac:dyDescent="0.3">
      <c r="A97" s="128"/>
      <c r="B97" s="129"/>
      <c r="C97" s="87"/>
      <c r="D97" s="16"/>
    </row>
    <row r="98" spans="1:4" ht="20.25" x14ac:dyDescent="0.3">
      <c r="A98" s="128"/>
      <c r="B98" s="129"/>
      <c r="C98" s="87"/>
      <c r="D98" s="16"/>
    </row>
    <row r="99" spans="1:4" ht="20.25" x14ac:dyDescent="0.3">
      <c r="A99" s="128"/>
      <c r="B99" s="129"/>
      <c r="C99" s="87"/>
      <c r="D99" s="16"/>
    </row>
    <row r="100" spans="1:4" ht="20.25" x14ac:dyDescent="0.3">
      <c r="A100" s="128"/>
      <c r="B100" s="129"/>
      <c r="C100" s="87"/>
      <c r="D100" s="16"/>
    </row>
    <row r="101" spans="1:4" ht="20.25" x14ac:dyDescent="0.3">
      <c r="A101" s="128"/>
      <c r="B101" s="129"/>
      <c r="C101" s="87"/>
      <c r="D101" s="16"/>
    </row>
    <row r="102" spans="1:4" ht="20.25" x14ac:dyDescent="0.3">
      <c r="A102" s="128"/>
      <c r="B102" s="129"/>
      <c r="C102" s="87"/>
      <c r="D102" s="16"/>
    </row>
    <row r="103" spans="1:4" ht="20.25" x14ac:dyDescent="0.3">
      <c r="A103" s="128"/>
      <c r="B103" s="129"/>
      <c r="C103" s="87"/>
      <c r="D103" s="16"/>
    </row>
    <row r="104" spans="1:4" ht="20.25" x14ac:dyDescent="0.3">
      <c r="A104" s="128"/>
      <c r="B104" s="129"/>
      <c r="C104" s="87"/>
      <c r="D104" s="16"/>
    </row>
    <row r="105" spans="1:4" ht="20.25" x14ac:dyDescent="0.3">
      <c r="A105" s="128"/>
      <c r="B105" s="129"/>
      <c r="C105" s="87"/>
      <c r="D105" s="16"/>
    </row>
    <row r="106" spans="1:4" ht="20.25" x14ac:dyDescent="0.3">
      <c r="A106" s="128"/>
      <c r="B106" s="129"/>
      <c r="C106" s="87"/>
      <c r="D106" s="16"/>
    </row>
    <row r="107" spans="1:4" ht="20.25" x14ac:dyDescent="0.3">
      <c r="A107" s="128"/>
      <c r="B107" s="129"/>
      <c r="C107" s="87"/>
      <c r="D107" s="16"/>
    </row>
    <row r="108" spans="1:4" ht="20.25" x14ac:dyDescent="0.3">
      <c r="A108" s="128"/>
      <c r="B108" s="129"/>
      <c r="C108" s="87"/>
      <c r="D108" s="16"/>
    </row>
    <row r="109" spans="1:4" ht="20.25" x14ac:dyDescent="0.3">
      <c r="A109" s="128"/>
      <c r="B109" s="129"/>
      <c r="C109" s="87"/>
      <c r="D109" s="16"/>
    </row>
    <row r="110" spans="1:4" ht="20.25" x14ac:dyDescent="0.3">
      <c r="A110" s="128"/>
      <c r="B110" s="129"/>
      <c r="C110" s="87"/>
      <c r="D110" s="16"/>
    </row>
    <row r="111" spans="1:4" ht="20.25" x14ac:dyDescent="0.3">
      <c r="A111" s="128"/>
      <c r="B111" s="129"/>
      <c r="C111" s="87"/>
      <c r="D111" s="16"/>
    </row>
    <row r="112" spans="1:4" ht="20.25" x14ac:dyDescent="0.3">
      <c r="A112" s="128"/>
      <c r="B112" s="129"/>
      <c r="C112" s="87"/>
      <c r="D112" s="16"/>
    </row>
    <row r="113" spans="1:4" ht="20.25" x14ac:dyDescent="0.3">
      <c r="A113" s="128"/>
      <c r="B113" s="129"/>
      <c r="C113" s="87"/>
      <c r="D113" s="16"/>
    </row>
    <row r="114" spans="1:4" ht="20.25" x14ac:dyDescent="0.3">
      <c r="A114" s="128"/>
      <c r="B114" s="129"/>
      <c r="C114" s="87"/>
      <c r="D114" s="16"/>
    </row>
    <row r="115" spans="1:4" ht="20.25" x14ac:dyDescent="0.3">
      <c r="A115" s="128"/>
      <c r="B115" s="129"/>
      <c r="C115" s="87"/>
      <c r="D115" s="16"/>
    </row>
    <row r="116" spans="1:4" ht="20.25" x14ac:dyDescent="0.3">
      <c r="A116" s="128"/>
      <c r="B116" s="129"/>
      <c r="C116" s="87"/>
      <c r="D116" s="16"/>
    </row>
    <row r="117" spans="1:4" ht="20.25" x14ac:dyDescent="0.3">
      <c r="A117" s="128"/>
      <c r="B117" s="129"/>
      <c r="C117" s="87"/>
      <c r="D117" s="16"/>
    </row>
    <row r="118" spans="1:4" ht="20.25" x14ac:dyDescent="0.3">
      <c r="A118" s="128"/>
      <c r="B118" s="129"/>
      <c r="C118" s="87"/>
      <c r="D118" s="16"/>
    </row>
    <row r="119" spans="1:4" ht="20.25" x14ac:dyDescent="0.3">
      <c r="A119" s="128"/>
      <c r="B119" s="129"/>
      <c r="C119" s="87"/>
      <c r="D119" s="16"/>
    </row>
    <row r="120" spans="1:4" ht="20.25" x14ac:dyDescent="0.3">
      <c r="A120" s="128"/>
      <c r="B120" s="129"/>
      <c r="C120" s="87"/>
      <c r="D120" s="16"/>
    </row>
    <row r="121" spans="1:4" ht="20.25" x14ac:dyDescent="0.3">
      <c r="A121" s="128"/>
      <c r="B121" s="129"/>
      <c r="C121" s="87"/>
      <c r="D121" s="16"/>
    </row>
    <row r="122" spans="1:4" ht="20.25" x14ac:dyDescent="0.3">
      <c r="A122" s="128"/>
      <c r="B122" s="129"/>
      <c r="C122" s="87"/>
      <c r="D122" s="16"/>
    </row>
    <row r="123" spans="1:4" ht="20.25" x14ac:dyDescent="0.3">
      <c r="A123" s="128"/>
      <c r="B123" s="129"/>
      <c r="C123" s="16"/>
      <c r="D123" s="16"/>
    </row>
    <row r="124" spans="1:4" ht="20.25" x14ac:dyDescent="0.3">
      <c r="A124" s="128"/>
      <c r="B124" s="129"/>
      <c r="C124" s="16"/>
      <c r="D124" s="16"/>
    </row>
    <row r="125" spans="1:4" ht="20.25" x14ac:dyDescent="0.3">
      <c r="A125" s="128"/>
      <c r="B125" s="129"/>
      <c r="C125" s="16"/>
      <c r="D125" s="16"/>
    </row>
    <row r="126" spans="1:4" ht="20.25" x14ac:dyDescent="0.3">
      <c r="A126" s="128"/>
      <c r="B126" s="129"/>
      <c r="C126" s="16"/>
      <c r="D126" s="16"/>
    </row>
    <row r="127" spans="1:4" ht="20.25" x14ac:dyDescent="0.3">
      <c r="A127" s="128"/>
      <c r="B127" s="129"/>
      <c r="C127" s="16"/>
      <c r="D127" s="16"/>
    </row>
    <row r="128" spans="1:4" ht="20.25" x14ac:dyDescent="0.3">
      <c r="A128" s="128"/>
      <c r="B128" s="129"/>
      <c r="C128" s="16"/>
      <c r="D128" s="16"/>
    </row>
    <row r="129" spans="1:4" ht="20.25" x14ac:dyDescent="0.3">
      <c r="A129" s="128"/>
      <c r="B129" s="129"/>
      <c r="C129" s="16"/>
      <c r="D129" s="16"/>
    </row>
    <row r="130" spans="1:4" ht="20.25" x14ac:dyDescent="0.3">
      <c r="A130" s="128"/>
      <c r="B130" s="129"/>
      <c r="C130" s="16"/>
      <c r="D130" s="16"/>
    </row>
    <row r="131" spans="1:4" ht="20.25" x14ac:dyDescent="0.3">
      <c r="A131" s="128"/>
      <c r="B131" s="129"/>
      <c r="C131" s="16"/>
      <c r="D131" s="16"/>
    </row>
    <row r="132" spans="1:4" ht="20.25" x14ac:dyDescent="0.3">
      <c r="A132" s="128"/>
      <c r="B132" s="129"/>
      <c r="C132" s="16"/>
      <c r="D132" s="16"/>
    </row>
    <row r="133" spans="1:4" ht="20.25" x14ac:dyDescent="0.3">
      <c r="A133" s="128"/>
      <c r="B133" s="129"/>
      <c r="C133" s="16"/>
      <c r="D133" s="16"/>
    </row>
    <row r="134" spans="1:4" ht="20.25" x14ac:dyDescent="0.3">
      <c r="A134" s="128"/>
      <c r="B134" s="129"/>
      <c r="C134" s="16"/>
      <c r="D134" s="16"/>
    </row>
    <row r="135" spans="1:4" ht="20.25" x14ac:dyDescent="0.3">
      <c r="A135" s="128"/>
      <c r="B135" s="129"/>
      <c r="C135" s="16"/>
      <c r="D135" s="16"/>
    </row>
    <row r="136" spans="1:4" ht="20.25" x14ac:dyDescent="0.3">
      <c r="A136" s="128"/>
      <c r="B136" s="129"/>
      <c r="C136" s="16"/>
      <c r="D136" s="16"/>
    </row>
    <row r="137" spans="1:4" ht="20.25" x14ac:dyDescent="0.3">
      <c r="A137" s="128"/>
      <c r="B137" s="129"/>
      <c r="C137" s="16"/>
      <c r="D137" s="16"/>
    </row>
    <row r="138" spans="1:4" ht="20.25" x14ac:dyDescent="0.3">
      <c r="A138" s="128"/>
      <c r="B138" s="129"/>
      <c r="C138" s="16"/>
      <c r="D138" s="16"/>
    </row>
    <row r="139" spans="1:4" ht="20.25" x14ac:dyDescent="0.3">
      <c r="A139" s="128"/>
      <c r="B139" s="129"/>
      <c r="C139" s="16"/>
      <c r="D139" s="16"/>
    </row>
    <row r="140" spans="1:4" ht="20.25" x14ac:dyDescent="0.3">
      <c r="A140" s="128"/>
      <c r="B140" s="129"/>
      <c r="C140" s="16"/>
      <c r="D140" s="16"/>
    </row>
    <row r="141" spans="1:4" ht="20.25" x14ac:dyDescent="0.3">
      <c r="A141" s="128"/>
      <c r="B141" s="129"/>
      <c r="C141" s="16"/>
      <c r="D141" s="16"/>
    </row>
    <row r="142" spans="1:4" ht="20.25" x14ac:dyDescent="0.3">
      <c r="A142" s="128"/>
      <c r="B142" s="129"/>
      <c r="C142" s="16"/>
      <c r="D142" s="16"/>
    </row>
    <row r="143" spans="1:4" ht="20.25" x14ac:dyDescent="0.3">
      <c r="A143" s="128"/>
      <c r="B143" s="129"/>
      <c r="C143" s="16"/>
      <c r="D143" s="16"/>
    </row>
    <row r="144" spans="1:4" ht="20.25" x14ac:dyDescent="0.3">
      <c r="A144" s="128"/>
      <c r="B144" s="129"/>
      <c r="C144" s="16"/>
      <c r="D144" s="16"/>
    </row>
    <row r="145" spans="1:4" ht="20.25" x14ac:dyDescent="0.3">
      <c r="A145" s="128"/>
      <c r="B145" s="129"/>
      <c r="C145" s="16"/>
      <c r="D145" s="16"/>
    </row>
    <row r="146" spans="1:4" ht="20.25" x14ac:dyDescent="0.3">
      <c r="A146" s="128"/>
      <c r="B146" s="129"/>
      <c r="C146" s="16"/>
      <c r="D146" s="16"/>
    </row>
    <row r="147" spans="1:4" ht="20.25" x14ac:dyDescent="0.3">
      <c r="A147" s="128"/>
      <c r="B147" s="129"/>
      <c r="C147" s="16"/>
      <c r="D147" s="16"/>
    </row>
    <row r="148" spans="1:4" ht="20.25" x14ac:dyDescent="0.3">
      <c r="A148" s="128"/>
      <c r="B148" s="129"/>
      <c r="C148" s="16"/>
      <c r="D148" s="16"/>
    </row>
    <row r="149" spans="1:4" ht="20.25" x14ac:dyDescent="0.3">
      <c r="A149" s="128"/>
      <c r="B149" s="129"/>
      <c r="C149" s="16"/>
      <c r="D149" s="16"/>
    </row>
    <row r="150" spans="1:4" ht="20.25" x14ac:dyDescent="0.3">
      <c r="A150" s="128"/>
      <c r="B150" s="129"/>
      <c r="C150" s="16"/>
      <c r="D150" s="16"/>
    </row>
    <row r="151" spans="1:4" ht="20.25" x14ac:dyDescent="0.3">
      <c r="A151" s="128"/>
      <c r="B151" s="129"/>
      <c r="C151" s="16"/>
      <c r="D151" s="16"/>
    </row>
    <row r="152" spans="1:4" ht="20.25" x14ac:dyDescent="0.3">
      <c r="A152" s="128"/>
      <c r="B152" s="129"/>
      <c r="C152" s="16"/>
      <c r="D152" s="16"/>
    </row>
    <row r="153" spans="1:4" ht="20.25" x14ac:dyDescent="0.3">
      <c r="A153" s="128"/>
      <c r="B153" s="129"/>
      <c r="C153" s="16"/>
      <c r="D153" s="16"/>
    </row>
    <row r="154" spans="1:4" ht="20.25" x14ac:dyDescent="0.3">
      <c r="A154" s="128"/>
      <c r="B154" s="129"/>
      <c r="C154" s="16"/>
      <c r="D154" s="16"/>
    </row>
    <row r="155" spans="1:4" ht="20.25" x14ac:dyDescent="0.3">
      <c r="A155" s="128"/>
      <c r="B155" s="129"/>
      <c r="C155" s="16"/>
      <c r="D155" s="16"/>
    </row>
    <row r="156" spans="1:4" ht="20.25" x14ac:dyDescent="0.3">
      <c r="A156" s="128"/>
      <c r="B156" s="129"/>
      <c r="C156" s="16"/>
      <c r="D156" s="16"/>
    </row>
    <row r="157" spans="1:4" ht="20.25" x14ac:dyDescent="0.3">
      <c r="A157" s="128"/>
      <c r="B157" s="129"/>
      <c r="C157" s="16"/>
      <c r="D157" s="16"/>
    </row>
    <row r="158" spans="1:4" ht="20.25" x14ac:dyDescent="0.3">
      <c r="A158" s="128"/>
      <c r="B158" s="129"/>
      <c r="C158" s="16"/>
      <c r="D158" s="16"/>
    </row>
    <row r="159" spans="1:4" ht="20.25" x14ac:dyDescent="0.3">
      <c r="A159" s="128"/>
      <c r="B159" s="129"/>
      <c r="C159" s="16"/>
      <c r="D159" s="16"/>
    </row>
    <row r="160" spans="1:4" ht="20.25" x14ac:dyDescent="0.3">
      <c r="A160" s="128"/>
      <c r="B160" s="129"/>
      <c r="C160" s="16"/>
      <c r="D160" s="16"/>
    </row>
    <row r="161" spans="1:4" ht="20.25" x14ac:dyDescent="0.3">
      <c r="A161" s="128"/>
      <c r="B161" s="129"/>
      <c r="C161" s="16"/>
      <c r="D161" s="16"/>
    </row>
    <row r="162" spans="1:4" ht="20.25" x14ac:dyDescent="0.3">
      <c r="A162" s="128"/>
      <c r="B162" s="129"/>
      <c r="C162" s="16"/>
      <c r="D162" s="16"/>
    </row>
    <row r="163" spans="1:4" ht="20.25" x14ac:dyDescent="0.3">
      <c r="A163" s="128"/>
      <c r="B163" s="129"/>
      <c r="C163" s="16"/>
      <c r="D163" s="16"/>
    </row>
    <row r="164" spans="1:4" ht="20.25" x14ac:dyDescent="0.3">
      <c r="A164" s="128"/>
      <c r="B164" s="129"/>
      <c r="C164" s="16"/>
      <c r="D164" s="16"/>
    </row>
    <row r="165" spans="1:4" ht="20.25" x14ac:dyDescent="0.3">
      <c r="A165" s="128"/>
      <c r="B165" s="129"/>
      <c r="C165" s="16"/>
      <c r="D165" s="16"/>
    </row>
    <row r="166" spans="1:4" ht="20.25" x14ac:dyDescent="0.3">
      <c r="A166" s="128"/>
      <c r="B166" s="129"/>
      <c r="C166" s="16"/>
      <c r="D166" s="16"/>
    </row>
    <row r="167" spans="1:4" ht="20.25" x14ac:dyDescent="0.3">
      <c r="A167" s="128"/>
      <c r="B167" s="129"/>
      <c r="C167" s="16"/>
      <c r="D167" s="16"/>
    </row>
    <row r="168" spans="1:4" ht="20.25" x14ac:dyDescent="0.3">
      <c r="A168" s="128"/>
      <c r="B168" s="129"/>
      <c r="C168" s="16"/>
      <c r="D168" s="16"/>
    </row>
    <row r="169" spans="1:4" ht="20.25" x14ac:dyDescent="0.3">
      <c r="A169" s="128"/>
      <c r="B169" s="129"/>
      <c r="C169" s="16"/>
      <c r="D169" s="16"/>
    </row>
    <row r="170" spans="1:4" ht="20.25" x14ac:dyDescent="0.3">
      <c r="A170" s="128"/>
      <c r="B170" s="129"/>
      <c r="C170" s="16"/>
      <c r="D170" s="16"/>
    </row>
    <row r="171" spans="1:4" ht="20.25" x14ac:dyDescent="0.3">
      <c r="A171" s="128"/>
      <c r="B171" s="129"/>
      <c r="C171" s="16"/>
      <c r="D171" s="16"/>
    </row>
    <row r="172" spans="1:4" ht="20.25" x14ac:dyDescent="0.3">
      <c r="A172" s="128"/>
      <c r="B172" s="129"/>
      <c r="C172" s="16"/>
      <c r="D172" s="16"/>
    </row>
    <row r="173" spans="1:4" ht="20.25" x14ac:dyDescent="0.3">
      <c r="A173" s="128"/>
      <c r="B173" s="129"/>
      <c r="C173" s="16"/>
      <c r="D173" s="16"/>
    </row>
    <row r="174" spans="1:4" ht="20.25" x14ac:dyDescent="0.3">
      <c r="A174" s="128"/>
      <c r="B174" s="129"/>
      <c r="C174" s="16"/>
      <c r="D174" s="16"/>
    </row>
    <row r="175" spans="1:4" ht="20.25" x14ac:dyDescent="0.3">
      <c r="A175" s="128"/>
      <c r="B175" s="129"/>
      <c r="C175" s="16"/>
      <c r="D175" s="16"/>
    </row>
    <row r="176" spans="1:4" ht="20.25" x14ac:dyDescent="0.3">
      <c r="A176" s="128"/>
      <c r="B176" s="129"/>
      <c r="C176" s="16"/>
      <c r="D176" s="16"/>
    </row>
    <row r="177" spans="1:4" ht="20.25" x14ac:dyDescent="0.3">
      <c r="A177" s="128"/>
      <c r="B177" s="129"/>
      <c r="C177" s="16"/>
      <c r="D177" s="16"/>
    </row>
    <row r="178" spans="1:4" ht="20.25" x14ac:dyDescent="0.3">
      <c r="A178" s="128"/>
      <c r="B178" s="129"/>
      <c r="C178" s="16"/>
      <c r="D178" s="16"/>
    </row>
    <row r="179" spans="1:4" ht="20.25" x14ac:dyDescent="0.3">
      <c r="A179" s="128"/>
      <c r="B179" s="129"/>
      <c r="C179" s="16"/>
      <c r="D179" s="16"/>
    </row>
    <row r="180" spans="1:4" ht="20.25" x14ac:dyDescent="0.3">
      <c r="A180" s="128"/>
      <c r="B180" s="129"/>
      <c r="C180" s="16"/>
      <c r="D180" s="16"/>
    </row>
    <row r="181" spans="1:4" ht="20.25" x14ac:dyDescent="0.3">
      <c r="A181" s="128"/>
      <c r="B181" s="129"/>
      <c r="C181" s="16"/>
      <c r="D181" s="16"/>
    </row>
    <row r="182" spans="1:4" ht="20.25" x14ac:dyDescent="0.3">
      <c r="A182" s="128"/>
      <c r="B182" s="129"/>
      <c r="C182" s="16"/>
      <c r="D182" s="16"/>
    </row>
    <row r="183" spans="1:4" ht="20.25" x14ac:dyDescent="0.3">
      <c r="A183" s="128"/>
      <c r="B183" s="129"/>
      <c r="C183" s="16"/>
      <c r="D183" s="16"/>
    </row>
    <row r="184" spans="1:4" ht="20.25" x14ac:dyDescent="0.3">
      <c r="A184" s="128"/>
      <c r="B184" s="129"/>
      <c r="C184" s="16"/>
      <c r="D184" s="16"/>
    </row>
    <row r="185" spans="1:4" ht="20.25" x14ac:dyDescent="0.3">
      <c r="A185" s="128"/>
      <c r="B185" s="129"/>
      <c r="C185" s="16"/>
      <c r="D185" s="16"/>
    </row>
    <row r="186" spans="1:4" ht="20.25" x14ac:dyDescent="0.3">
      <c r="A186" s="128"/>
      <c r="B186" s="129"/>
      <c r="C186" s="16"/>
      <c r="D186" s="16"/>
    </row>
    <row r="187" spans="1:4" ht="20.25" x14ac:dyDescent="0.3">
      <c r="A187" s="128"/>
      <c r="B187" s="129"/>
      <c r="C187" s="16"/>
      <c r="D187" s="16"/>
    </row>
    <row r="188" spans="1:4" ht="20.25" x14ac:dyDescent="0.3">
      <c r="A188" s="128"/>
      <c r="B188" s="129"/>
      <c r="C188" s="16"/>
      <c r="D188" s="16"/>
    </row>
    <row r="189" spans="1:4" ht="20.25" x14ac:dyDescent="0.3">
      <c r="A189" s="128"/>
      <c r="B189" s="129"/>
      <c r="C189" s="16"/>
      <c r="D189" s="16"/>
    </row>
    <row r="190" spans="1:4" ht="20.25" x14ac:dyDescent="0.3">
      <c r="A190" s="128"/>
      <c r="B190" s="129"/>
      <c r="C190" s="16"/>
      <c r="D190" s="16"/>
    </row>
    <row r="191" spans="1:4" ht="20.25" x14ac:dyDescent="0.3">
      <c r="A191" s="128"/>
      <c r="B191" s="129"/>
      <c r="C191" s="16"/>
      <c r="D191" s="16"/>
    </row>
    <row r="192" spans="1:4" ht="20.25" x14ac:dyDescent="0.3">
      <c r="A192" s="128"/>
      <c r="B192" s="129"/>
      <c r="C192" s="16"/>
      <c r="D192" s="16"/>
    </row>
    <row r="193" spans="1:4" ht="20.25" x14ac:dyDescent="0.3">
      <c r="A193" s="128"/>
      <c r="B193" s="129"/>
      <c r="C193" s="16"/>
      <c r="D193" s="16"/>
    </row>
    <row r="194" spans="1:4" ht="20.25" x14ac:dyDescent="0.3">
      <c r="A194" s="128"/>
      <c r="B194" s="129"/>
      <c r="C194" s="16"/>
      <c r="D194" s="16"/>
    </row>
    <row r="195" spans="1:4" ht="20.25" x14ac:dyDescent="0.3">
      <c r="A195" s="128"/>
      <c r="B195" s="129"/>
      <c r="C195" s="16"/>
      <c r="D195" s="16"/>
    </row>
    <row r="196" spans="1:4" ht="20.25" x14ac:dyDescent="0.3">
      <c r="A196" s="128"/>
      <c r="B196" s="129"/>
      <c r="C196" s="16"/>
      <c r="D196" s="16"/>
    </row>
    <row r="197" spans="1:4" ht="20.25" x14ac:dyDescent="0.3">
      <c r="A197" s="128"/>
      <c r="B197" s="129"/>
      <c r="C197" s="16"/>
      <c r="D197" s="16"/>
    </row>
    <row r="198" spans="1:4" ht="20.25" x14ac:dyDescent="0.3">
      <c r="A198" s="128"/>
      <c r="B198" s="129"/>
      <c r="C198" s="16"/>
      <c r="D198" s="16"/>
    </row>
    <row r="199" spans="1:4" ht="20.25" x14ac:dyDescent="0.3">
      <c r="A199" s="128"/>
      <c r="B199" s="129"/>
      <c r="C199" s="16"/>
      <c r="D199" s="16"/>
    </row>
    <row r="200" spans="1:4" ht="20.25" x14ac:dyDescent="0.3">
      <c r="A200" s="128"/>
      <c r="B200" s="129"/>
      <c r="C200" s="16"/>
      <c r="D200" s="16"/>
    </row>
    <row r="201" spans="1:4" ht="20.25" x14ac:dyDescent="0.3">
      <c r="A201" s="128"/>
      <c r="B201" s="129"/>
      <c r="C201" s="16"/>
      <c r="D201" s="16"/>
    </row>
    <row r="202" spans="1:4" ht="20.25" x14ac:dyDescent="0.3">
      <c r="A202" s="128"/>
      <c r="B202" s="129"/>
      <c r="C202" s="16"/>
      <c r="D202" s="16"/>
    </row>
    <row r="203" spans="1:4" ht="20.25" x14ac:dyDescent="0.3">
      <c r="A203" s="128"/>
      <c r="B203" s="129"/>
      <c r="C203" s="16"/>
      <c r="D203" s="16"/>
    </row>
    <row r="204" spans="1:4" ht="20.25" x14ac:dyDescent="0.3">
      <c r="A204" s="128"/>
      <c r="B204" s="129"/>
      <c r="C204" s="16"/>
      <c r="D204" s="16"/>
    </row>
    <row r="205" spans="1:4" ht="20.25" x14ac:dyDescent="0.3">
      <c r="A205" s="128"/>
      <c r="B205" s="129"/>
      <c r="C205" s="16"/>
      <c r="D205" s="16"/>
    </row>
    <row r="206" spans="1:4" ht="20.25" x14ac:dyDescent="0.3">
      <c r="A206" s="128"/>
      <c r="B206" s="129"/>
      <c r="C206" s="16"/>
      <c r="D206" s="16"/>
    </row>
    <row r="207" spans="1:4" ht="20.25" x14ac:dyDescent="0.3">
      <c r="A207" s="128"/>
      <c r="B207" s="129"/>
      <c r="C207" s="16"/>
      <c r="D207" s="16"/>
    </row>
    <row r="208" spans="1:4" ht="20.25" x14ac:dyDescent="0.3">
      <c r="A208" s="128"/>
      <c r="B208" s="129"/>
      <c r="C208" s="16"/>
      <c r="D208" s="16"/>
    </row>
    <row r="209" spans="1:8" x14ac:dyDescent="0.3">
      <c r="A209" s="6"/>
      <c r="B209" s="129"/>
      <c r="C209" s="129"/>
      <c r="D209" s="129"/>
    </row>
    <row r="210" spans="1:8" ht="20.25" x14ac:dyDescent="0.3">
      <c r="A210" s="6"/>
      <c r="B210" s="15" t="s">
        <v>79</v>
      </c>
      <c r="C210" s="15" t="s">
        <v>125</v>
      </c>
      <c r="D210" s="130" t="s">
        <v>79</v>
      </c>
      <c r="E210" s="130" t="s">
        <v>125</v>
      </c>
    </row>
    <row r="211" spans="1:8" ht="20.25" x14ac:dyDescent="0.3">
      <c r="A211" s="6"/>
      <c r="B211" s="131" t="s">
        <v>81</v>
      </c>
      <c r="C211" s="131" t="s">
        <v>55</v>
      </c>
      <c r="D211" s="92" t="s">
        <v>81</v>
      </c>
      <c r="F211" s="92" t="str">
        <f>IF(NOT(ISBLANK(D211)),D211,IF(NOT(ISBLANK(E211)),"     "&amp;E211,FALSE))</f>
        <v>Afectación Económica o presupuestal</v>
      </c>
      <c r="G211" s="92" t="s">
        <v>81</v>
      </c>
      <c r="H211" s="92" t="str">
        <f>IF(NOT(ISERROR(MATCH(G211,_xlfn.ANCHORARRAY(B222),0))),F224&amp;"Por favor no seleccionar los criterios de impacto",G211)</f>
        <v>❌Por favor no seleccionar los criterios de impacto</v>
      </c>
    </row>
    <row r="212" spans="1:8" ht="20.25" x14ac:dyDescent="0.3">
      <c r="A212" s="6"/>
      <c r="B212" s="131" t="s">
        <v>81</v>
      </c>
      <c r="C212" s="131" t="s">
        <v>84</v>
      </c>
      <c r="E212" s="92" t="s">
        <v>55</v>
      </c>
      <c r="F212" s="92" t="str">
        <f t="shared" ref="F212:F222" si="0">IF(NOT(ISBLANK(D212)),D212,IF(NOT(ISBLANK(E212)),"     "&amp;E212,FALSE))</f>
        <v xml:space="preserve">     Afectación menor a 10 SMLMV .</v>
      </c>
    </row>
    <row r="213" spans="1:8" ht="20.25" x14ac:dyDescent="0.3">
      <c r="A213" s="6"/>
      <c r="B213" s="131" t="s">
        <v>81</v>
      </c>
      <c r="C213" s="131" t="s">
        <v>85</v>
      </c>
      <c r="E213" s="92" t="s">
        <v>84</v>
      </c>
      <c r="F213" s="92" t="str">
        <f t="shared" si="0"/>
        <v xml:space="preserve">     Entre 10 y 50 SMLMV </v>
      </c>
    </row>
    <row r="214" spans="1:8" ht="20.25" x14ac:dyDescent="0.3">
      <c r="A214" s="6"/>
      <c r="B214" s="131" t="s">
        <v>81</v>
      </c>
      <c r="C214" s="131" t="s">
        <v>86</v>
      </c>
      <c r="E214" s="92" t="s">
        <v>85</v>
      </c>
      <c r="F214" s="92" t="str">
        <f t="shared" si="0"/>
        <v xml:space="preserve">     Entre 50 y 100 SMLMV </v>
      </c>
    </row>
    <row r="215" spans="1:8" ht="20.25" x14ac:dyDescent="0.3">
      <c r="A215" s="6"/>
      <c r="B215" s="131" t="s">
        <v>81</v>
      </c>
      <c r="C215" s="131" t="s">
        <v>87</v>
      </c>
      <c r="E215" s="92" t="s">
        <v>86</v>
      </c>
      <c r="F215" s="92" t="str">
        <f t="shared" si="0"/>
        <v xml:space="preserve">     Entre 100 y 500 SMLMV </v>
      </c>
    </row>
    <row r="216" spans="1:8" ht="20.25" x14ac:dyDescent="0.3">
      <c r="A216" s="6"/>
      <c r="B216" s="131" t="s">
        <v>54</v>
      </c>
      <c r="C216" s="131" t="s">
        <v>88</v>
      </c>
      <c r="E216" s="92" t="s">
        <v>87</v>
      </c>
      <c r="F216" s="92" t="str">
        <f t="shared" si="0"/>
        <v xml:space="preserve">     Mayor a 500 SMLMV </v>
      </c>
    </row>
    <row r="217" spans="1:8" ht="20.25" x14ac:dyDescent="0.3">
      <c r="A217" s="6"/>
      <c r="B217" s="131" t="s">
        <v>54</v>
      </c>
      <c r="C217" s="131" t="s">
        <v>89</v>
      </c>
      <c r="D217" s="92" t="s">
        <v>54</v>
      </c>
      <c r="F217" s="92" t="str">
        <f t="shared" si="0"/>
        <v>Pérdida Reputacional</v>
      </c>
    </row>
    <row r="218" spans="1:8" ht="20.25" x14ac:dyDescent="0.3">
      <c r="A218" s="6"/>
      <c r="B218" s="131" t="s">
        <v>54</v>
      </c>
      <c r="C218" s="131" t="s">
        <v>91</v>
      </c>
      <c r="E218" s="92" t="s">
        <v>88</v>
      </c>
      <c r="F218" s="92" t="str">
        <f t="shared" si="0"/>
        <v xml:space="preserve">     El riesgo afecta la imagen de alguna área de la organización</v>
      </c>
    </row>
    <row r="219" spans="1:8" ht="20.25" x14ac:dyDescent="0.3">
      <c r="A219" s="6"/>
      <c r="B219" s="131" t="s">
        <v>54</v>
      </c>
      <c r="C219" s="131" t="s">
        <v>90</v>
      </c>
      <c r="E219" s="92" t="s">
        <v>89</v>
      </c>
      <c r="F219" s="92" t="str">
        <f t="shared" si="0"/>
        <v xml:space="preserve">     El riesgo afecta la imagen de la entidad internamente, de conocimiento general, nivel interno, de junta dircetiva y accionistas y/o de provedores</v>
      </c>
    </row>
    <row r="220" spans="1:8" ht="20.25" x14ac:dyDescent="0.3">
      <c r="A220" s="6"/>
      <c r="B220" s="131" t="s">
        <v>54</v>
      </c>
      <c r="C220" s="131" t="s">
        <v>109</v>
      </c>
      <c r="E220" s="92" t="s">
        <v>91</v>
      </c>
      <c r="F220" s="92" t="str">
        <f t="shared" si="0"/>
        <v xml:space="preserve">     El riesgo afecta la imagen de la entidad con algunos usuarios de relevancia frente al logro de los objetivos</v>
      </c>
    </row>
    <row r="221" spans="1:8" x14ac:dyDescent="0.3">
      <c r="A221" s="6"/>
      <c r="B221" s="132"/>
      <c r="C221" s="132"/>
      <c r="E221" s="92" t="s">
        <v>90</v>
      </c>
      <c r="F221" s="92" t="str">
        <f t="shared" si="0"/>
        <v xml:space="preserve">     El riesgo afecta la imagen de de la entidad con efecto publicitario sostenido a nivel de sector administrativo, nivel departamental o municipal</v>
      </c>
    </row>
    <row r="222" spans="1:8" x14ac:dyDescent="0.3">
      <c r="A222" s="6"/>
      <c r="B222" s="132" t="str" cm="1">
        <f t="array" ref="B222:B224">_xlfn.UNIQUE(Tabla1[[#All],[Criterios]])</f>
        <v>Criterios</v>
      </c>
      <c r="C222" s="132"/>
      <c r="E222" s="92" t="s">
        <v>109</v>
      </c>
      <c r="F222" s="92" t="str">
        <f t="shared" si="0"/>
        <v xml:space="preserve">     El riesgo afecta la imagen de la entidad a nivel nacional, con efecto publicitarios sostenible a nivel país</v>
      </c>
    </row>
    <row r="223" spans="1:8" x14ac:dyDescent="0.3">
      <c r="A223" s="6"/>
      <c r="B223" s="132" t="str">
        <v>Afectación Económica o presupuestal</v>
      </c>
      <c r="C223" s="132"/>
    </row>
    <row r="224" spans="1:8" x14ac:dyDescent="0.3">
      <c r="B224" s="132" t="str">
        <v>Pérdida Reputacional</v>
      </c>
      <c r="C224" s="132"/>
      <c r="F224" s="133" t="s">
        <v>127</v>
      </c>
    </row>
    <row r="225" spans="2:6" x14ac:dyDescent="0.3">
      <c r="B225" s="134"/>
      <c r="C225" s="134"/>
      <c r="F225" s="133" t="s">
        <v>128</v>
      </c>
    </row>
    <row r="226" spans="2:6" x14ac:dyDescent="0.3">
      <c r="B226" s="134"/>
      <c r="C226" s="134"/>
    </row>
    <row r="227" spans="2:6" x14ac:dyDescent="0.3">
      <c r="B227" s="134"/>
      <c r="C227" s="134"/>
    </row>
    <row r="228" spans="2:6" x14ac:dyDescent="0.3">
      <c r="B228" s="134"/>
      <c r="C228" s="134"/>
      <c r="D228" s="134"/>
    </row>
    <row r="229" spans="2:6" x14ac:dyDescent="0.3">
      <c r="B229" s="134"/>
      <c r="C229" s="134"/>
      <c r="D229" s="134"/>
    </row>
    <row r="230" spans="2:6" x14ac:dyDescent="0.3">
      <c r="B230" s="134"/>
      <c r="C230" s="134"/>
      <c r="D230" s="134"/>
    </row>
    <row r="231" spans="2:6" x14ac:dyDescent="0.3">
      <c r="B231" s="134"/>
      <c r="C231" s="134"/>
      <c r="D231" s="134"/>
    </row>
    <row r="232" spans="2:6" x14ac:dyDescent="0.3">
      <c r="B232" s="134"/>
      <c r="C232" s="134"/>
      <c r="D232" s="134"/>
    </row>
    <row r="233" spans="2:6" x14ac:dyDescent="0.3">
      <c r="B233" s="134"/>
      <c r="C233" s="134"/>
      <c r="D233" s="134"/>
    </row>
  </sheetData>
  <mergeCells count="1">
    <mergeCell ref="B2:D2"/>
  </mergeCells>
  <dataValidations disablePrompts="1" count="1">
    <dataValidation type="list" allowBlank="1" showInputMessage="1" showErrorMessage="1" sqref="G211">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17"/>
  <sheetViews>
    <sheetView showRowColHeaders="0"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35"/>
      <c r="B2" s="511" t="s">
        <v>238</v>
      </c>
      <c r="C2" s="512"/>
      <c r="D2" s="512"/>
      <c r="E2" s="512"/>
      <c r="F2" s="513"/>
      <c r="G2" s="135"/>
    </row>
    <row r="3" spans="1:7" ht="16.5" thickBot="1" x14ac:dyDescent="0.3">
      <c r="A3" s="135"/>
      <c r="B3" s="136"/>
      <c r="C3" s="136"/>
      <c r="D3" s="136"/>
      <c r="E3" s="136"/>
      <c r="F3" s="136"/>
      <c r="G3" s="135"/>
    </row>
    <row r="4" spans="1:7" ht="16.5" thickBot="1" x14ac:dyDescent="0.25">
      <c r="A4" s="135"/>
      <c r="B4" s="517" t="s">
        <v>235</v>
      </c>
      <c r="C4" s="518"/>
      <c r="D4" s="518"/>
      <c r="E4" s="125" t="s">
        <v>236</v>
      </c>
      <c r="F4" s="126" t="s">
        <v>237</v>
      </c>
      <c r="G4" s="135"/>
    </row>
    <row r="5" spans="1:7" ht="31.5" x14ac:dyDescent="0.2">
      <c r="A5" s="135"/>
      <c r="B5" s="519" t="s">
        <v>60</v>
      </c>
      <c r="C5" s="521" t="s">
        <v>13</v>
      </c>
      <c r="D5" s="96" t="s">
        <v>14</v>
      </c>
      <c r="E5" s="61" t="s">
        <v>61</v>
      </c>
      <c r="F5" s="62">
        <v>0.25</v>
      </c>
      <c r="G5" s="135"/>
    </row>
    <row r="6" spans="1:7" ht="47.25" x14ac:dyDescent="0.2">
      <c r="A6" s="135"/>
      <c r="B6" s="520"/>
      <c r="C6" s="522"/>
      <c r="D6" s="97" t="s">
        <v>15</v>
      </c>
      <c r="E6" s="63" t="s">
        <v>62</v>
      </c>
      <c r="F6" s="64">
        <v>0.15</v>
      </c>
      <c r="G6" s="135"/>
    </row>
    <row r="7" spans="1:7" ht="47.25" x14ac:dyDescent="0.2">
      <c r="A7" s="135"/>
      <c r="B7" s="520"/>
      <c r="C7" s="522"/>
      <c r="D7" s="97" t="s">
        <v>16</v>
      </c>
      <c r="E7" s="63" t="s">
        <v>63</v>
      </c>
      <c r="F7" s="64">
        <v>0.1</v>
      </c>
      <c r="G7" s="135"/>
    </row>
    <row r="8" spans="1:7" ht="63" x14ac:dyDescent="0.2">
      <c r="A8" s="135"/>
      <c r="B8" s="520"/>
      <c r="C8" s="522" t="s">
        <v>17</v>
      </c>
      <c r="D8" s="97" t="s">
        <v>10</v>
      </c>
      <c r="E8" s="63" t="s">
        <v>64</v>
      </c>
      <c r="F8" s="64">
        <v>0.25</v>
      </c>
      <c r="G8" s="135"/>
    </row>
    <row r="9" spans="1:7" ht="31.5" x14ac:dyDescent="0.2">
      <c r="A9" s="135"/>
      <c r="B9" s="520"/>
      <c r="C9" s="522"/>
      <c r="D9" s="97" t="s">
        <v>9</v>
      </c>
      <c r="E9" s="63" t="s">
        <v>65</v>
      </c>
      <c r="F9" s="64">
        <v>0.15</v>
      </c>
      <c r="G9" s="135"/>
    </row>
    <row r="10" spans="1:7" ht="47.25" x14ac:dyDescent="0.2">
      <c r="A10" s="135"/>
      <c r="B10" s="520" t="s">
        <v>142</v>
      </c>
      <c r="C10" s="522" t="s">
        <v>18</v>
      </c>
      <c r="D10" s="97" t="s">
        <v>19</v>
      </c>
      <c r="E10" s="63" t="s">
        <v>66</v>
      </c>
      <c r="F10" s="65" t="s">
        <v>67</v>
      </c>
      <c r="G10" s="135"/>
    </row>
    <row r="11" spans="1:7" ht="63" x14ac:dyDescent="0.2">
      <c r="A11" s="135"/>
      <c r="B11" s="520"/>
      <c r="C11" s="522"/>
      <c r="D11" s="97" t="s">
        <v>20</v>
      </c>
      <c r="E11" s="63" t="s">
        <v>68</v>
      </c>
      <c r="F11" s="65" t="s">
        <v>67</v>
      </c>
      <c r="G11" s="135"/>
    </row>
    <row r="12" spans="1:7" ht="47.25" x14ac:dyDescent="0.2">
      <c r="A12" s="135"/>
      <c r="B12" s="520"/>
      <c r="C12" s="522" t="s">
        <v>21</v>
      </c>
      <c r="D12" s="97" t="s">
        <v>22</v>
      </c>
      <c r="E12" s="63" t="s">
        <v>69</v>
      </c>
      <c r="F12" s="65" t="s">
        <v>67</v>
      </c>
      <c r="G12" s="135"/>
    </row>
    <row r="13" spans="1:7" ht="47.25" x14ac:dyDescent="0.2">
      <c r="A13" s="135"/>
      <c r="B13" s="520"/>
      <c r="C13" s="522"/>
      <c r="D13" s="97" t="s">
        <v>23</v>
      </c>
      <c r="E13" s="63" t="s">
        <v>70</v>
      </c>
      <c r="F13" s="65" t="s">
        <v>67</v>
      </c>
      <c r="G13" s="135"/>
    </row>
    <row r="14" spans="1:7" ht="31.5" x14ac:dyDescent="0.2">
      <c r="A14" s="135"/>
      <c r="B14" s="520"/>
      <c r="C14" s="522" t="s">
        <v>24</v>
      </c>
      <c r="D14" s="97" t="s">
        <v>110</v>
      </c>
      <c r="E14" s="63" t="s">
        <v>113</v>
      </c>
      <c r="F14" s="65" t="s">
        <v>67</v>
      </c>
      <c r="G14" s="135"/>
    </row>
    <row r="15" spans="1:7" ht="32.25" thickBot="1" x14ac:dyDescent="0.25">
      <c r="A15" s="135"/>
      <c r="B15" s="523"/>
      <c r="C15" s="524"/>
      <c r="D15" s="98" t="s">
        <v>111</v>
      </c>
      <c r="E15" s="66" t="s">
        <v>112</v>
      </c>
      <c r="F15" s="67" t="s">
        <v>67</v>
      </c>
      <c r="G15" s="135"/>
    </row>
    <row r="16" spans="1:7" ht="49.5" customHeight="1" x14ac:dyDescent="0.2">
      <c r="A16" s="135"/>
      <c r="B16" s="516" t="s">
        <v>139</v>
      </c>
      <c r="C16" s="516"/>
      <c r="D16" s="516"/>
      <c r="E16" s="516"/>
      <c r="F16" s="516"/>
      <c r="G16" s="135"/>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15" sqref="E15"/>
    </sheetView>
  </sheetViews>
  <sheetFormatPr baseColWidth="10" defaultRowHeight="15" x14ac:dyDescent="0.25"/>
  <sheetData>
    <row r="2" spans="2:5" x14ac:dyDescent="0.25">
      <c r="B2" t="s">
        <v>31</v>
      </c>
      <c r="E2" t="s">
        <v>115</v>
      </c>
    </row>
    <row r="3" spans="2:5" x14ac:dyDescent="0.25">
      <c r="B3" t="s">
        <v>32</v>
      </c>
      <c r="E3" t="s">
        <v>114</v>
      </c>
    </row>
    <row r="4" spans="2:5" x14ac:dyDescent="0.25">
      <c r="B4" t="s">
        <v>118</v>
      </c>
      <c r="E4" t="s">
        <v>195</v>
      </c>
    </row>
    <row r="5" spans="2:5" x14ac:dyDescent="0.25">
      <c r="B5" t="s">
        <v>117</v>
      </c>
    </row>
    <row r="8" spans="2:5" x14ac:dyDescent="0.25">
      <c r="B8" t="s">
        <v>187</v>
      </c>
    </row>
    <row r="9" spans="2:5" x14ac:dyDescent="0.25">
      <c r="B9" t="s">
        <v>40</v>
      </c>
    </row>
    <row r="10" spans="2:5" x14ac:dyDescent="0.25">
      <c r="B10" t="s">
        <v>41</v>
      </c>
    </row>
    <row r="13" spans="2:5" x14ac:dyDescent="0.25">
      <c r="B13" t="s">
        <v>194</v>
      </c>
    </row>
    <row r="14" spans="2:5" x14ac:dyDescent="0.25">
      <c r="B14" t="s">
        <v>188</v>
      </c>
    </row>
    <row r="15" spans="2:5" x14ac:dyDescent="0.25">
      <c r="B15" t="s">
        <v>189</v>
      </c>
    </row>
    <row r="16" spans="2:5" x14ac:dyDescent="0.25">
      <c r="B16" t="s">
        <v>190</v>
      </c>
    </row>
    <row r="17" spans="2:2" x14ac:dyDescent="0.25">
      <c r="B17" t="s">
        <v>191</v>
      </c>
    </row>
    <row r="18" spans="2:2" x14ac:dyDescent="0.25">
      <c r="B18" t="s">
        <v>192</v>
      </c>
    </row>
    <row r="19" spans="2:2" x14ac:dyDescent="0.25">
      <c r="B19" t="s">
        <v>193</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Milena Mendoza Amado</cp:lastModifiedBy>
  <cp:lastPrinted>2020-05-13T01:12:22Z</cp:lastPrinted>
  <dcterms:created xsi:type="dcterms:W3CDTF">2020-03-24T23:12:47Z</dcterms:created>
  <dcterms:modified xsi:type="dcterms:W3CDTF">2022-03-25T04:33:15Z</dcterms:modified>
</cp:coreProperties>
</file>