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5B016E4A-7B55-4F59-A887-E86314C43A72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Acción'!$A$8:$AE$79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2" i="14" l="1"/>
  <c r="AA12" i="14"/>
  <c r="U12" i="14"/>
  <c r="AB10" i="14"/>
  <c r="AA10" i="14"/>
  <c r="U10" i="14"/>
  <c r="Q25" i="14" l="1"/>
  <c r="T13" i="14"/>
  <c r="P79" i="14"/>
  <c r="Q79" i="14"/>
  <c r="U78" i="14"/>
  <c r="U75" i="14"/>
  <c r="U74" i="14"/>
  <c r="U73" i="14"/>
  <c r="U71" i="14"/>
  <c r="U68" i="14"/>
  <c r="U67" i="14"/>
  <c r="U66" i="14"/>
  <c r="U65" i="14"/>
  <c r="U64" i="14"/>
  <c r="U63" i="14"/>
  <c r="U61" i="14"/>
  <c r="U60" i="14"/>
  <c r="U59" i="14"/>
  <c r="U58" i="14"/>
  <c r="U56" i="14"/>
  <c r="U52" i="14"/>
  <c r="U51" i="14"/>
  <c r="U50" i="14"/>
  <c r="U49" i="14"/>
  <c r="U48" i="14"/>
  <c r="U47" i="14"/>
  <c r="U44" i="14"/>
  <c r="U43" i="14"/>
  <c r="U42" i="14"/>
  <c r="U41" i="14"/>
  <c r="U40" i="14"/>
  <c r="U39" i="14"/>
  <c r="U38" i="14"/>
  <c r="U37" i="14"/>
  <c r="U36" i="14"/>
  <c r="U33" i="14"/>
  <c r="U32" i="14"/>
  <c r="U22" i="14"/>
  <c r="U19" i="14"/>
  <c r="U14" i="14"/>
  <c r="U9" i="14"/>
  <c r="N73" i="14"/>
  <c r="T18" i="14" l="1"/>
  <c r="U17" i="14" s="1"/>
  <c r="Z27" i="14" l="1"/>
  <c r="AA9" i="14"/>
  <c r="AA78" i="14"/>
  <c r="AA74" i="14"/>
  <c r="AA68" i="14"/>
  <c r="AA67" i="14"/>
  <c r="AA64" i="14"/>
  <c r="AA63" i="14"/>
  <c r="AA60" i="14"/>
  <c r="AA59" i="14"/>
  <c r="AA58" i="14"/>
  <c r="AA54" i="14"/>
  <c r="AA53" i="14"/>
  <c r="AA50" i="14"/>
  <c r="AA49" i="14"/>
  <c r="AA48" i="14"/>
  <c r="AA47" i="14"/>
  <c r="AA45" i="14"/>
  <c r="AA44" i="14"/>
  <c r="AA43" i="14"/>
  <c r="AA42" i="14"/>
  <c r="AA41" i="14"/>
  <c r="AA40" i="14"/>
  <c r="AA39" i="14"/>
  <c r="AA38" i="14"/>
  <c r="AA37" i="14"/>
  <c r="AA36" i="14"/>
  <c r="AA35" i="14"/>
  <c r="AA33" i="14"/>
  <c r="AA32" i="14"/>
  <c r="AA22" i="14"/>
  <c r="AA21" i="14"/>
  <c r="AA19" i="14"/>
  <c r="AA17" i="14"/>
  <c r="AA14" i="14"/>
  <c r="T25" i="14" l="1"/>
  <c r="P16" i="14"/>
  <c r="U16" i="14" s="1"/>
  <c r="P55" i="14"/>
  <c r="U54" i="14" s="1"/>
  <c r="P10" i="14"/>
  <c r="AB17" i="14"/>
  <c r="Q30" i="14"/>
  <c r="U30" i="14" s="1"/>
  <c r="AB22" i="14" l="1"/>
  <c r="AB19" i="14"/>
  <c r="AB14" i="14"/>
  <c r="AB9" i="14"/>
  <c r="N78" i="14" l="1"/>
  <c r="N75" i="14"/>
  <c r="N54" i="14"/>
  <c r="N53" i="14"/>
  <c r="N49" i="14"/>
  <c r="N48" i="14"/>
  <c r="N47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0" i="14"/>
  <c r="N23" i="14"/>
  <c r="N22" i="14"/>
  <c r="N21" i="14"/>
  <c r="N20" i="14"/>
  <c r="N19" i="14"/>
  <c r="N17" i="14"/>
  <c r="N16" i="14"/>
  <c r="N15" i="14"/>
  <c r="N14" i="14"/>
  <c r="M52" i="14" l="1"/>
  <c r="N52" i="14" s="1"/>
  <c r="M51" i="14"/>
  <c r="N51" i="14" s="1"/>
  <c r="M50" i="14"/>
  <c r="N50" i="14" s="1"/>
  <c r="P23" i="14" l="1"/>
  <c r="V23" i="14"/>
  <c r="W23" i="14"/>
  <c r="P21" i="14" l="1"/>
  <c r="V15" i="14"/>
  <c r="AA15" i="14" s="1"/>
  <c r="V10" i="14"/>
  <c r="N12" i="14"/>
  <c r="U21" i="14" l="1"/>
  <c r="AB21" i="14" s="1"/>
  <c r="P70" i="14"/>
  <c r="U70" i="14" s="1"/>
  <c r="W52" i="14"/>
  <c r="AA52" i="14" s="1"/>
  <c r="V65" i="14"/>
  <c r="AA65" i="14" s="1"/>
  <c r="W56" i="14"/>
  <c r="AA56" i="14" s="1"/>
  <c r="V57" i="14"/>
  <c r="AA57" i="14" s="1"/>
  <c r="W16" i="14"/>
  <c r="AA16" i="14" s="1"/>
  <c r="AB16" i="14" s="1"/>
  <c r="P28" i="14"/>
  <c r="U23" i="14" s="1"/>
  <c r="V73" i="14"/>
  <c r="AA73" i="14" s="1"/>
  <c r="V66" i="14"/>
  <c r="AA66" i="14" s="1"/>
  <c r="W30" i="14"/>
  <c r="AA30" i="14" s="1"/>
  <c r="AB30" i="14" s="1"/>
  <c r="V61" i="14"/>
  <c r="AA61" i="14" s="1"/>
  <c r="AB61" i="14" s="1"/>
  <c r="AB69" i="14"/>
  <c r="V75" i="14"/>
  <c r="AA75" i="14" s="1"/>
  <c r="N61" i="14"/>
  <c r="N63" i="14"/>
  <c r="AB63" i="14"/>
  <c r="Q35" i="14"/>
  <c r="U35" i="14" s="1"/>
  <c r="V20" i="14"/>
  <c r="AA20" i="14" s="1"/>
  <c r="V71" i="14"/>
  <c r="AA71" i="14" s="1"/>
  <c r="V51" i="14"/>
  <c r="AA51" i="14" s="1"/>
  <c r="P15" i="14"/>
  <c r="U15" i="14" s="1"/>
  <c r="Q15" i="14"/>
  <c r="Q34" i="14"/>
  <c r="W34" i="14"/>
  <c r="AA34" i="14" s="1"/>
  <c r="P34" i="14"/>
  <c r="U34" i="14" s="1"/>
  <c r="P20" i="14"/>
  <c r="U20" i="14" s="1"/>
  <c r="R79" i="14"/>
  <c r="S79" i="14"/>
  <c r="X79" i="14"/>
  <c r="Y79" i="14"/>
  <c r="AB58" i="14"/>
  <c r="V27" i="14"/>
  <c r="AA23" i="14" s="1"/>
  <c r="V70" i="14"/>
  <c r="AA70" i="14" s="1"/>
  <c r="N74" i="14"/>
  <c r="N71" i="14"/>
  <c r="N70" i="14"/>
  <c r="N68" i="14"/>
  <c r="N67" i="14"/>
  <c r="N66" i="14"/>
  <c r="N65" i="14"/>
  <c r="N64" i="14"/>
  <c r="N60" i="14"/>
  <c r="N59" i="14"/>
  <c r="N58" i="14"/>
  <c r="P57" i="14"/>
  <c r="U57" i="14" s="1"/>
  <c r="N57" i="14"/>
  <c r="N56" i="14"/>
  <c r="Q53" i="14"/>
  <c r="U53" i="14" s="1"/>
  <c r="Q45" i="14"/>
  <c r="N10" i="14"/>
  <c r="N9" i="14"/>
  <c r="A79" i="14"/>
  <c r="U45" i="14" l="1"/>
  <c r="U79" i="14" s="1"/>
  <c r="AB23" i="14"/>
  <c r="AB20" i="14"/>
  <c r="AA79" i="14"/>
  <c r="N79" i="14"/>
  <c r="T79" i="14"/>
  <c r="AB59" i="14"/>
  <c r="AB73" i="14"/>
  <c r="AB32" i="14"/>
  <c r="AB78" i="14"/>
  <c r="AB70" i="14"/>
  <c r="AB41" i="14"/>
  <c r="AB49" i="14"/>
  <c r="AB67" i="14"/>
  <c r="AB38" i="14"/>
  <c r="AB66" i="14"/>
  <c r="W79" i="14"/>
  <c r="AB54" i="14"/>
  <c r="AB35" i="14"/>
  <c r="AB34" i="14"/>
  <c r="AB40" i="14"/>
  <c r="AB44" i="14"/>
  <c r="AB74" i="14"/>
  <c r="AB57" i="14"/>
  <c r="AB39" i="14"/>
  <c r="AB51" i="14"/>
  <c r="Z79" i="14"/>
  <c r="AB75" i="14"/>
  <c r="AB33" i="14"/>
  <c r="AB37" i="14"/>
  <c r="AB50" i="14"/>
  <c r="AB60" i="14"/>
  <c r="AB36" i="14"/>
  <c r="AB56" i="14"/>
  <c r="AB42" i="14"/>
  <c r="AB47" i="14"/>
  <c r="AB68" i="14"/>
  <c r="AB71" i="14"/>
  <c r="AB65" i="14"/>
  <c r="AB43" i="14"/>
  <c r="AB48" i="14"/>
  <c r="AB64" i="14"/>
  <c r="AB52" i="14"/>
  <c r="V79" i="14"/>
  <c r="AB45" i="14" l="1"/>
  <c r="AB15" i="14"/>
  <c r="AB53" i="14"/>
  <c r="AB79" i="14" l="1"/>
</calcChain>
</file>

<file path=xl/sharedStrings.xml><?xml version="1.0" encoding="utf-8"?>
<sst xmlns="http://schemas.openxmlformats.org/spreadsheetml/2006/main" count="700" uniqueCount="304">
  <si>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</si>
  <si>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</si>
  <si>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</si>
  <si>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</si>
  <si>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</si>
  <si>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</si>
  <si>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</si>
  <si>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</si>
  <si>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</si>
  <si>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</si>
  <si>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</si>
  <si>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</si>
  <si>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</si>
  <si>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</si>
  <si>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</si>
  <si>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</si>
  <si>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</si>
  <si>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</si>
  <si>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</si>
  <si>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</si>
  <si>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</si>
  <si>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</si>
  <si>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</si>
  <si>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</si>
  <si>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</si>
  <si>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</si>
  <si>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</si>
  <si>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</si>
  <si>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</si>
  <si>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</si>
  <si>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</si>
  <si>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</si>
  <si>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</si>
  <si>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</si>
  <si>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</si>
  <si>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</si>
  <si>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</si>
  <si>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</si>
  <si>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</si>
  <si>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</si>
  <si>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BUCARAMANGA CIUDAD VITAL: LA VIDA ES SAGRADA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</si>
  <si>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</si>
  <si>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</si>
  <si>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</si>
  <si>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 xml:space="preserve"> PLAN DE ACCIÓN - PLAN DE DESARROLLO MUNICIPAL
SECRETARÍA DE SALUD Y AMBIENTE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</si>
  <si>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</si>
  <si>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</si>
  <si>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</si>
  <si>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</si>
  <si>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</si>
  <si>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</si>
  <si>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</si>
  <si>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</si>
  <si>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</si>
  <si>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POR DEFINIR</t>
  </si>
  <si>
    <t>2.3.2.02.02.009.1903011.275
2.3.2.02.02.009.1903011.271
2.3.2.02.02.009.1903011.575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</si>
  <si>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</si>
  <si>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</si>
  <si>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2.3.2.02.02.009.1903011.275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</si>
  <si>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</si>
  <si>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</si>
  <si>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</si>
  <si>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2.3.2.02.02.009.1905019.285
2.3.2.02.02.009.1905019.585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</si>
  <si>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</si>
  <si>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</si>
  <si>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>2.3.2.02.02.009.1905019.285
2.3.2.02.02.009.1905019.272 
2.3.2.02.02.009.1905019.585
2.3.2.02.02.009.1905019.501</t>
  </si>
  <si>
    <t>Implementar la política pública de participación social en salud.</t>
  </si>
  <si>
    <t>Número de políticas públicas de participación social en salud implementadas.</t>
  </si>
  <si>
    <t>Implementación de la política de participaación social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</si>
  <si>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</si>
  <si>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</si>
  <si>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</si>
  <si>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2.3.2.02.02.009.1903031.201
2.3.2.02.02.009.1903031.209
2.3.2.02.02.009.1903031.585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</si>
  <si>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</si>
  <si>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</si>
  <si>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</si>
  <si>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</si>
  <si>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Mantener la estrategia de atención primaria en salud.</t>
  </si>
  <si>
    <t>Número de estrategias de atención primaria en salud mantenidas.</t>
  </si>
  <si>
    <t>FORTALECIMIENTO EN EL MODELO DE ATENCIÓN PRIMARIA EN SALUD EN ELMUNICIPIO DE BUCARAMANGA</t>
  </si>
  <si>
    <t>Desarrollar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</si>
  <si>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</si>
  <si>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</si>
  <si>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</si>
  <si>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</si>
  <si>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</si>
  <si>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</si>
  <si>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</si>
  <si>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</si>
  <si>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</si>
  <si>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</si>
  <si>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</si>
  <si>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</si>
  <si>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</si>
  <si>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</si>
  <si>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</si>
  <si>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</si>
  <si>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</si>
  <si>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</si>
  <si>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</si>
  <si>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FORTALECIMIENTO A LA PRESTACIÓN DE SERVICIOS DE SALUD EN LA E.S.E ISABU, DESTINADOS A LA ATENCIÓN DE LOS PACIENTES CON COVID19 EN EL HOSPITAL DE CAMPAÑA DEL MUNICIPIO DE BUCARAMANGA</t>
  </si>
  <si>
    <t>Prestar atención médica al 100% en el servicio de urgencias y hospitalaria de baja y mediana complejidad a la población con sospecha o confirmación de Coronavirus COVID-19, en el Municipio de Bucaramanga.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</si>
  <si>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</si>
  <si>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</si>
  <si>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</si>
  <si>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</si>
  <si>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</si>
  <si>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</si>
  <si>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</si>
  <si>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</si>
  <si>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</si>
  <si>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</si>
  <si>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</si>
  <si>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</si>
  <si>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</si>
  <si>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</si>
  <si>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</si>
  <si>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</si>
  <si>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</si>
  <si>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</si>
  <si>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</si>
  <si>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</si>
  <si>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2.3.2.02.02.009.1905019.209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</si>
  <si>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</si>
  <si>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</si>
  <si>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</si>
  <si>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</si>
  <si>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</si>
  <si>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</si>
  <si>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</si>
  <si>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</si>
  <si>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</si>
  <si>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</si>
  <si>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</si>
  <si>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</si>
  <si>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</si>
  <si>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</si>
  <si>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</si>
  <si>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</si>
  <si>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</si>
  <si>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</si>
  <si>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</si>
  <si>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</si>
  <si>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</si>
  <si>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</si>
  <si>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</si>
  <si>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</si>
  <si>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</si>
  <si>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</si>
  <si>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</si>
  <si>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</si>
  <si>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</si>
  <si>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</si>
  <si>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</si>
  <si>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</si>
  <si>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</si>
  <si>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</si>
  <si>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</si>
  <si>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</si>
  <si>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</si>
  <si>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</si>
  <si>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</si>
  <si>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</si>
  <si>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</si>
  <si>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</si>
  <si>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Mantener la estrategia de entorno saludable en la zona urbana y rural.</t>
  </si>
  <si>
    <t>Número de estrategias de entorno saludable mantenidas en la zona urbana y rural.</t>
  </si>
  <si>
    <t xml:space="preserve"> 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</si>
  <si>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</si>
  <si>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</si>
  <si>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</si>
  <si>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</si>
  <si>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</si>
  <si>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</si>
  <si>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</si>
  <si>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</si>
  <si>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</si>
  <si>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</si>
  <si>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</si>
  <si>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</si>
  <si>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</si>
  <si>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</si>
  <si>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</si>
  <si>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</si>
  <si>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</si>
  <si>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</si>
  <si>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</si>
  <si>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</si>
  <si>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</si>
  <si>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</si>
  <si>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2.3.2.02.02.009.3208010.201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</si>
  <si>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</si>
  <si>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</si>
  <si>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</si>
  <si>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2.3.2.02.02.009.3208010.201
2.3.2.02.02.009.3208010.280
2.3.2.02.02.009.3208010.218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</si>
  <si>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</si>
  <si>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</si>
  <si>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</si>
  <si>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</si>
  <si>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</si>
  <si>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</si>
  <si>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</si>
  <si>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</si>
  <si>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</si>
  <si>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</si>
  <si>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</si>
  <si>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2.3.2.02.02.009.3204046.201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</si>
  <si>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</si>
  <si>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</si>
  <si>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</si>
  <si>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</si>
  <si>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</si>
  <si>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</si>
  <si>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</si>
  <si>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</si>
  <si>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</si>
  <si>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</si>
  <si>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2.3.2.02.02.009.3202006.201
2.3.2.02.02.009.3202005.201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</si>
  <si>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</si>
  <si>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</si>
  <si>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2.3.2.02.02.009.3202006.201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</si>
  <si>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</si>
  <si>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</si>
  <si>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</si>
  <si>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</si>
  <si>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</si>
  <si>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2.3.2.02.02.009.3202002.201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</si>
  <si>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</si>
  <si>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</si>
  <si>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</si>
  <si>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</si>
  <si>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</si>
  <si>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</si>
  <si>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</si>
  <si>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12/31/2021</t>
  </si>
  <si>
    <t>Espacio Público Vital</t>
  </si>
  <si>
    <t>Equipamiento Comunitario</t>
  </si>
  <si>
    <t>Construir y/o gestionar el Coso Municipal.</t>
  </si>
  <si>
    <t>Porcentaje de avance en la construcción y/o gestión del Coso Municipal</t>
  </si>
  <si>
    <t>-</t>
  </si>
  <si>
    <t>Juan Jose Rey Serrano</t>
  </si>
  <si>
    <t>PROYECTO GESTIONADO POR LA ESE ISABU CON LA ORGANIZACIÓN DE LAS NACIONES UNIDAS - ONU Y LA ORGANIZACIÓN PARA MIGRANTES - OIM</t>
  </si>
  <si>
    <t>Realizar adecuación y repotenciación de la Infraestructura Física del Centro de Salud de Morrorico</t>
  </si>
  <si>
    <t>2.3.2.02.02.005.1906023.274
2.3.2.02.02.005.1906023.574
2.3.2.02.02.005.1906023.269</t>
  </si>
  <si>
    <t>2.3.2.02.02.009.1905026.209
2.3.2.02.02.009.1905027.209
2.3.2.02.02.009.1905027.509</t>
  </si>
  <si>
    <t>2.3.2.02.02.009.1905026.209
2.3.2.02.02.009.1905026.501</t>
  </si>
  <si>
    <t xml:space="preserve">2.3.2.02.02.009.1906004.501 </t>
  </si>
  <si>
    <t>2.3.2.02.02.009.1905028.209 $65.595.238
2.3.2.02.02.009.1905019.501 $7.130.952</t>
  </si>
  <si>
    <t>2.3.2.02.02.009.1905019.209 $550.000.000
2.3.2.02.02.009.1905019.585 $590.000.000</t>
  </si>
  <si>
    <t>Recursos de Vigencias Expiradas que deben ser incluídos a la Fuente de Financiación a favor del Municipio. Lo anterior porque no fueron ejecutados en su totalidad.</t>
  </si>
  <si>
    <t>Fortalecimiento intersectorial para el control de la transmisión del COVID-19 en entornos educativos y comunitarios, promover la comunicación y acciones de atención primaria en salud mental.</t>
  </si>
  <si>
    <t>2.3.2.02.02.005.1905035.274 $1,315,500,000</t>
  </si>
  <si>
    <t xml:space="preserve">2.3.2.02.02.009.1905019.209
</t>
  </si>
  <si>
    <t>2.3.2.02.02.009.3208006.588</t>
  </si>
  <si>
    <t>2.3.2.02.02.009.4501010.201</t>
  </si>
  <si>
    <t>2.3.2.02.02.008.4599025.501</t>
  </si>
  <si>
    <t>2.3.2.02.02.009.3202005.201
2.3.2.02.02.009.3202005.501</t>
  </si>
  <si>
    <t xml:space="preserve">2.3.2.02.02.009.3202006.201
2.3.2.02.02.009.3202001.580 $3,500,000
</t>
  </si>
  <si>
    <t>2.3.2.02.02.009.1905019.201
2.3.2.02.02.009.1906031.501
2.3.2.02.02.009.1905019.501  $313053476</t>
  </si>
  <si>
    <t xml:space="preserve">2.3.2.02.02.009.1905025.209
2.3.2.02.02.009.1905025.501 </t>
  </si>
  <si>
    <t xml:space="preserve">2.3.2.02.02.009.1905030.201
2.3.2.02.02.009.1905030.501 </t>
  </si>
  <si>
    <t xml:space="preserve">2.3.2.02.02.009.1905030.209
2.3.2.02.02.009.1905030.501 </t>
  </si>
  <si>
    <t xml:space="preserve">2.3.2.02.02.009.1905019.209
2.3.2.02.02.009.1905019.501 </t>
  </si>
  <si>
    <t xml:space="preserve">2.3.2.02.02.009.1905019.209 $170.000.000
2.3.2.02.02.009.1905019.501 $8.000.000
</t>
  </si>
  <si>
    <t xml:space="preserve">2.3.2.02.02.009.1905028.209 $98.571.428
2.3.2.02.02.009.1905028.501  $2.285.714 
</t>
  </si>
  <si>
    <t xml:space="preserve">2.3.2.02.02.009.1905022.209
2.3.2.02.02.009.1905022.501 </t>
  </si>
  <si>
    <t xml:space="preserve">2.3.2.02.02.009.1905023.209
2.3.2.02.02.009.1905023.501 </t>
  </si>
  <si>
    <t xml:space="preserve">2.3.2.02.02.009.1905023.209
2.3.2.02.02.009.1905031.572 </t>
  </si>
  <si>
    <t>Adquisición de Insumos para el Centro de Acopio Plan Ampliado de Inmunizacion PAI del Municipio de Bucaramanga</t>
  </si>
  <si>
    <t>DESARROLLO DE ACCIONES PARA LA PREVENCIÓN DE LAS ENFERMEDADES TRANSMISIBLES EN EL MUNICIPIO DE BUCARAMANGA</t>
  </si>
  <si>
    <t>2.3.2.02.02.009.1905027.509
2.3.2.02.02.009.1905027.585</t>
  </si>
  <si>
    <t>2.3.2.02.02.009.1905026.509</t>
  </si>
  <si>
    <t>CONTROL, INSPECCIÓN Y VIGILANCIA A LA PRESTACIÓN DE SERVICIOS DE SALUD DE URGENCIAS Y A LOS PROCESOS DIRIGIDOS A REDUCIR LA MORBI-MORTALIDAD DE LAS ENFERMEDADES DE SALUD PÚBLICA EN EL MUNICIPIO DE BUCARAMANGA</t>
  </si>
  <si>
    <t>Construcción de Bienestar Animal</t>
  </si>
  <si>
    <t>FORTALECIMIENTO DE PROCESOS DE CULTURA AMBIENTAL PARA PROMOVER LA SEPARACION EN LA FUENTE, APROVECHAMIENTO DE RESIDUOS SÓLIDOS DOMICILIARIOS Y DE FUENTES RENOVABLES NO CONVENCIONALES DE ENERGÍA EN EL BARRIO LA JOYA DEL MUNICIPIO DE BUCARAMANGA</t>
  </si>
  <si>
    <t>Adquisición de insumos y materiales para promover la cultura ambiental del Barrio La Joya especifícamente en el manejo adecuado de residuos sólidos</t>
  </si>
  <si>
    <t>2.3.2.02.02.009.3208010.201
2.3.2.02.02.009.3208010.280
2.3.2.02.02.009.3208010.580</t>
  </si>
  <si>
    <t>2.3.2.02.02.009.1905024.201
2.3.2.02.02.009.1905024.270
2.3.2.02.02.009.1905024.209
2.3.2.02.02.009.1905024.501
2.3.2.02.02.009.1903031.501</t>
  </si>
  <si>
    <t>2.3.7.06.02.4599002.615</t>
  </si>
  <si>
    <t>PRESTACIÓN DE SERVICIOS DE SALUD EN LA E.S.E. ISABU, DESTINADOS A LA ATENCIÓN DE PACIENTES CON CORONAVIRUS SARS-COV-2 EN EL HOSPITAL DE CAMPAÑA DEL MUNICIPIO DE BUCARAMANGA</t>
  </si>
  <si>
    <t>Fortalecer el desarrollo de capacidades de los habitantes en respuesta a emergencias en primer respondiente, plan familiar de emergencias y DEA para mejorar la oportunidad en la prestación de servicios de salud del Municipio de Bucaramanga</t>
  </si>
  <si>
    <t xml:space="preserve">Seguimiento al Plan Territorial de Salud, formulación de proyectos, acciones de apoyo a la subsecretaría de Salud Pública, informes de calidad, planes de mejoramiento y calibración de equipos de la Secretaría de Salud. </t>
  </si>
  <si>
    <t>IMPLEMENTACIÓN DEL PROCESO DE VALORACIÓN Y EXPEDICIÓN DE LA CERTIFICACIÓN DE DISCAPACIDAD Y REGISTRO DE LA LOCALIZACIÓN Y CARACTERIZACIÓN DE LAS PERSONAS CON DISCAPACIDAD RLCPD EN EL MUNICIPIO DE BUCARAMANGA</t>
  </si>
  <si>
    <t>Realizar la valoración clínica multidisciplinaria, simultanea como el procedimiento requerido para la certificación de personas con discapacidad en el Municipio de Bucaramanga</t>
  </si>
  <si>
    <t>2.3.2.02.02.009.1905040.501</t>
  </si>
  <si>
    <t>FORTALECIMIENTO DE LAS COMUNICACIONES Y LOS MECANISMOS PARA LA PROMOCIÓN Y GARANTÍA DE LA TRANSPARENCIA, ACCESO A LA INFORMACIÓN PÚBLICA Y LUCHA CONTRA LA CORRUPCIÓN EN EL MUNICIPIO DE BUCARAMANGA</t>
  </si>
  <si>
    <t>Realizar actividades encaminadas a la protección y conservación de las cuencas abastecedoras de agua del municipio de bucaramanga como compra de predios, PSA, Corresponsabilidad y catedra de agua, a traves de los medios de comunicación masiva.</t>
  </si>
  <si>
    <t>2.3.2.02.02.009.4003022.501</t>
  </si>
  <si>
    <t>CONSTRUCCION DE LA UNIDAD DE BIENESTAR ANIMAL DEL MUNICIPIO DE BUCARAMANGA</t>
  </si>
  <si>
    <t>2.3.2.02.02.009.3208008.501</t>
  </si>
  <si>
    <t>2.3.2.02.02.009.3203003.201</t>
  </si>
  <si>
    <t>Meta no programada para la vigencia</t>
  </si>
  <si>
    <t>2.3.2.02.02.009.1905024.570
2.3.2.02.02.009.4501010.201</t>
  </si>
  <si>
    <t>DESARROLLO DE ACCIONES INTERSECTORIALES DE VIGILANCIA, PROMOCIÓN Y PREVENCIÓN PARA CONTRIBUIR AL CONTROL DE LA TRANSMISIÓN DEL VIRUS COVID-19 EN EL MARCO DEL RETORNO EDUCATIVO Y FORTALECIMIENTO DE LA ECONOMÍA EN LOS SECTORES PRODUCTIVOS DEL MUNICIPIO DE BUCARAMANGA</t>
  </si>
  <si>
    <t>Mantener en un 100% el servicio de atención y mitigación de la pandemia COVID-19 por SARS-Cov-2</t>
  </si>
  <si>
    <t>2.3.2.02.02.009.1906023.208 
2.3.2.02.02.009.1906023.279 
2.3.2.02.02.009.1906023.274 
2.3.2.02.02.009.1906023.292 
2.3.2.02.02.009.1906023.247 
2.3.2.02.02.009.1903011.279
2.3.2.02.02.005.1906023.574</t>
  </si>
  <si>
    <t>2.3.2.02.02.009.1905024.209
2.3.2.02.02.009.1903031.209 $174,600,000
2.3.2.02.02.009.1903031.585</t>
  </si>
  <si>
    <t>2.3.2.02.02.009.1905024.209
2.3.2.02.02.009.1903031.209
2.3.2.02.02.009.1903031.585</t>
  </si>
  <si>
    <t>2.3.2.02.02.009.1905019.209
2.3.2.02.02.009.1905019.585</t>
  </si>
  <si>
    <t>2.3.2.02.02.009.1905035.201
2.3.2.02.02.009.1905035.501
2.3.2.02.02.005.1905035.274</t>
  </si>
  <si>
    <t>2.3.2.02.02.009.1905024.501
2.3.2.02.02.009.1905024.509</t>
  </si>
  <si>
    <t>2.3.2.02.02.009.3201009.201
2.3.2.02.02.009.3201005.580
2.3.2.02.02.009.3201005.518
2.3.2.02.02.009.3201005.320
2.3.2.02.02.009.3202002.201
2.3.7.06.02.4599002.615</t>
  </si>
  <si>
    <t xml:space="preserve">2.3.2.02.02.005.1905035.274 
2.3.2.02.02.005.1905026.509
2.3.2.02.02.005.1905026.585
2.3.2.02.02.005.1905027.509
2.3.2.02.02.005.1905027.585 
2.3.2.02.02.005.1905027.572 
2.3.2.02.02,009.1905035.501
2.3.2.02.02.009.1905035.201
2.3.2.02.02.009.1906004.501 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</si>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</sst>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00"/>
    <numFmt numFmtId="167" formatCode="#,##0.0000"/>
    <numFmt numFmtId="168" formatCode="0.000"/>
    <numFmt numFmtId="169" formatCode="&quot;$&quot;\ #,##0"/>
    <numFmt numFmtId="170" formatCode="_-* #,##0_-;\-* #,##0_-;_-* &quot;-&quot;??_-;_-@_-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6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9" fontId="6" fillId="0" borderId="0" xfId="0" applyNumberFormat="1" applyFont="1" applyFill="1" applyAlignment="1">
      <alignment horizontal="right"/>
    </xf>
    <xf numFmtId="169" fontId="7" fillId="2" borderId="4" xfId="108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 wrapText="1"/>
    </xf>
    <xf numFmtId="169" fontId="6" fillId="0" borderId="2" xfId="108" applyNumberFormat="1" applyFont="1" applyFill="1" applyBorder="1" applyAlignment="1">
      <alignment horizontal="right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justify" vertical="center" wrapText="1"/>
    </xf>
    <xf numFmtId="169" fontId="7" fillId="0" borderId="2" xfId="108" applyNumberFormat="1" applyFont="1" applyFill="1" applyBorder="1" applyAlignment="1">
      <alignment horizontal="right" vertical="center" wrapText="1"/>
    </xf>
    <xf numFmtId="169" fontId="8" fillId="0" borderId="2" xfId="108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justify" vertical="center" wrapText="1"/>
    </xf>
    <xf numFmtId="5" fontId="6" fillId="0" borderId="2" xfId="108" applyNumberFormat="1" applyFont="1" applyFill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 wrapText="1"/>
    </xf>
    <xf numFmtId="169" fontId="10" fillId="0" borderId="2" xfId="108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9" fontId="9" fillId="2" borderId="2" xfId="107" applyFont="1" applyFill="1" applyBorder="1" applyAlignment="1">
      <alignment horizontal="center" vertical="center" wrapText="1"/>
    </xf>
    <xf numFmtId="169" fontId="6" fillId="0" borderId="2" xfId="111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9" fontId="3" fillId="0" borderId="2" xfId="108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1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9" fontId="3" fillId="5" borderId="2" xfId="0" applyNumberFormat="1" applyFont="1" applyFill="1" applyBorder="1" applyAlignment="1">
      <alignment horizontal="center" vertical="center"/>
    </xf>
    <xf numFmtId="169" fontId="3" fillId="0" borderId="0" xfId="0" applyNumberFormat="1" applyFont="1" applyFill="1" applyAlignment="1">
      <alignment horizontal="right"/>
    </xf>
    <xf numFmtId="164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164" fontId="4" fillId="0" borderId="2" xfId="0" applyNumberFormat="1" applyFont="1" applyFill="1" applyBorder="1" applyAlignment="1">
      <alignment vertical="center" wrapText="1"/>
    </xf>
    <xf numFmtId="169" fontId="3" fillId="0" borderId="2" xfId="108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2" fillId="0" borderId="2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justify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 applyAlignment="1">
      <alignment horizontal="right" vertical="center"/>
    </xf>
    <xf numFmtId="170" fontId="3" fillId="0" borderId="0" xfId="112" applyNumberFormat="1" applyFont="1"/>
    <xf numFmtId="169" fontId="3" fillId="0" borderId="0" xfId="0" applyNumberFormat="1" applyFont="1"/>
    <xf numFmtId="9" fontId="3" fillId="0" borderId="7" xfId="0" applyNumberFormat="1" applyFont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4" xfId="108" applyNumberFormat="1" applyFont="1" applyFill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6" fillId="0" borderId="9" xfId="10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5" fontId="6" fillId="0" borderId="9" xfId="108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7" fontId="6" fillId="0" borderId="1" xfId="108" applyNumberFormat="1" applyFont="1" applyFill="1" applyBorder="1" applyAlignment="1">
      <alignment horizontal="center" vertical="center" wrapText="1"/>
    </xf>
    <xf numFmtId="7" fontId="6" fillId="0" borderId="4" xfId="108" applyNumberFormat="1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4" borderId="4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169" fontId="7" fillId="2" borderId="9" xfId="108" applyNumberFormat="1" applyFont="1" applyFill="1" applyBorder="1" applyAlignment="1">
      <alignment horizontal="right" vertical="center" wrapText="1"/>
    </xf>
    <xf numFmtId="9" fontId="6" fillId="2" borderId="1" xfId="107" applyFont="1" applyFill="1" applyBorder="1" applyAlignment="1">
      <alignment horizontal="center" vertical="center" wrapText="1"/>
    </xf>
    <xf numFmtId="9" fontId="6" fillId="2" borderId="4" xfId="107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168" fontId="9" fillId="2" borderId="1" xfId="110" applyNumberFormat="1" applyFont="1" applyFill="1" applyBorder="1" applyAlignment="1">
      <alignment horizontal="center" vertical="center" wrapText="1"/>
    </xf>
    <xf numFmtId="168" fontId="9" fillId="2" borderId="9" xfId="110" applyNumberFormat="1" applyFont="1" applyFill="1" applyBorder="1" applyAlignment="1">
      <alignment horizontal="center" vertical="center" wrapText="1"/>
    </xf>
    <xf numFmtId="168" fontId="9" fillId="2" borderId="4" xfId="11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2" builtinId="3"/>
    <cellStyle name="Millares [0]" xfId="110" builtinId="6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topLeftCell="N1" zoomScale="70" zoomScaleNormal="70" workbookViewId="0">
      <selection activeCell="X42" sqref="X42"/>
    </sheetView>
  </sheetViews>
  <sheetFormatPr baseColWidth="10" defaultColWidth="11.19921875" defaultRowHeight="13.8" x14ac:dyDescent="0.25"/>
  <cols>
    <col min="1" max="1" width="9.69921875" style="15" customWidth="1"/>
    <col min="2" max="4" width="27.5" style="15" customWidth="1"/>
    <col min="5" max="5" width="59.09765625" style="15" customWidth="1"/>
    <col min="6" max="6" width="50.59765625" style="15" customWidth="1"/>
    <col min="7" max="7" width="19.09765625" style="90" customWidth="1"/>
    <col min="8" max="8" width="52.8984375" style="15" customWidth="1"/>
    <col min="9" max="9" width="57.8984375" style="15" customWidth="1"/>
    <col min="10" max="10" width="14.3984375" style="15" customWidth="1"/>
    <col min="11" max="11" width="16" style="15" customWidth="1"/>
    <col min="12" max="13" width="14.8984375" style="15" customWidth="1"/>
    <col min="14" max="14" width="11.19921875" style="15" bestFit="1" customWidth="1"/>
    <col min="15" max="15" width="33.09765625" style="15" customWidth="1"/>
    <col min="16" max="20" width="23.5" style="15" customWidth="1"/>
    <col min="21" max="21" width="21" style="15" customWidth="1"/>
    <col min="22" max="26" width="23.5" style="15" customWidth="1"/>
    <col min="27" max="27" width="21" style="15" customWidth="1"/>
    <col min="28" max="28" width="23.69921875" style="86" customWidth="1"/>
    <col min="29" max="29" width="21.19921875" style="15" customWidth="1"/>
    <col min="30" max="31" width="22" style="15" customWidth="1"/>
    <col min="32" max="16384" width="11.19921875" style="15"/>
  </cols>
  <sheetData>
    <row r="1" spans="1:31" x14ac:dyDescent="0.25">
      <c r="A1" s="121"/>
      <c r="B1" s="126" t="s">
        <v>44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41" t="s">
        <v>303</v>
      </c>
      <c r="AD1" s="141"/>
      <c r="AE1" s="141"/>
    </row>
    <row r="2" spans="1:31" x14ac:dyDescent="0.25">
      <c r="A2" s="121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42" t="s">
        <v>37</v>
      </c>
      <c r="AD2" s="142"/>
      <c r="AE2" s="142"/>
    </row>
    <row r="3" spans="1:31" x14ac:dyDescent="0.25">
      <c r="A3" s="121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42" t="s">
        <v>34</v>
      </c>
      <c r="AD3" s="142"/>
      <c r="AE3" s="142"/>
    </row>
    <row r="4" spans="1:31" x14ac:dyDescent="0.25">
      <c r="A4" s="12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42" t="s">
        <v>33</v>
      </c>
      <c r="AD4" s="142"/>
      <c r="AE4" s="142"/>
    </row>
    <row r="5" spans="1:31" x14ac:dyDescent="0.25">
      <c r="A5" s="122" t="s">
        <v>31</v>
      </c>
      <c r="B5" s="122"/>
      <c r="C5" s="122"/>
      <c r="D5" s="124">
        <v>44539</v>
      </c>
      <c r="E5" s="124"/>
      <c r="F5" s="124"/>
      <c r="G5" s="124"/>
      <c r="H5" s="124"/>
      <c r="I5" s="124"/>
      <c r="J5" s="124"/>
      <c r="K5" s="124"/>
      <c r="L5" s="124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/>
      <c r="AC5" s="16"/>
      <c r="AD5" s="16"/>
      <c r="AE5" s="18"/>
    </row>
    <row r="6" spans="1:31" x14ac:dyDescent="0.25">
      <c r="A6" s="123" t="s">
        <v>32</v>
      </c>
      <c r="B6" s="123"/>
      <c r="C6" s="123"/>
      <c r="D6" s="125">
        <v>44530</v>
      </c>
      <c r="E6" s="125"/>
      <c r="F6" s="125"/>
      <c r="G6" s="125"/>
      <c r="H6" s="125"/>
      <c r="I6" s="125"/>
      <c r="J6" s="125"/>
      <c r="K6" s="125"/>
      <c r="L6" s="12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7"/>
      <c r="AC6" s="16"/>
      <c r="AD6" s="19"/>
      <c r="AE6" s="20"/>
    </row>
    <row r="7" spans="1:31" x14ac:dyDescent="0.25">
      <c r="A7" s="21"/>
      <c r="B7" s="118" t="s">
        <v>10</v>
      </c>
      <c r="C7" s="119"/>
      <c r="D7" s="119"/>
      <c r="E7" s="119"/>
      <c r="F7" s="120"/>
      <c r="G7" s="118" t="s">
        <v>11</v>
      </c>
      <c r="H7" s="119"/>
      <c r="I7" s="119"/>
      <c r="J7" s="119"/>
      <c r="K7" s="120"/>
      <c r="L7" s="118" t="s">
        <v>26</v>
      </c>
      <c r="M7" s="119"/>
      <c r="N7" s="120"/>
      <c r="O7" s="118" t="s">
        <v>24</v>
      </c>
      <c r="P7" s="119"/>
      <c r="Q7" s="119"/>
      <c r="R7" s="119"/>
      <c r="S7" s="119"/>
      <c r="T7" s="119"/>
      <c r="U7" s="120"/>
      <c r="V7" s="118" t="s">
        <v>18</v>
      </c>
      <c r="W7" s="119"/>
      <c r="X7" s="119"/>
      <c r="Y7" s="119"/>
      <c r="Z7" s="119"/>
      <c r="AA7" s="120"/>
      <c r="AB7" s="128" t="s">
        <v>19</v>
      </c>
      <c r="AC7" s="128" t="s">
        <v>27</v>
      </c>
      <c r="AD7" s="143" t="s">
        <v>25</v>
      </c>
      <c r="AE7" s="144"/>
    </row>
    <row r="8" spans="1:31" ht="27.6" x14ac:dyDescent="0.25">
      <c r="A8" s="1" t="s">
        <v>30</v>
      </c>
      <c r="B8" s="12" t="s">
        <v>1</v>
      </c>
      <c r="C8" s="1" t="s">
        <v>6</v>
      </c>
      <c r="D8" s="1" t="s">
        <v>2</v>
      </c>
      <c r="E8" s="1" t="s">
        <v>7</v>
      </c>
      <c r="F8" s="12" t="s">
        <v>20</v>
      </c>
      <c r="G8" s="88" t="s">
        <v>15</v>
      </c>
      <c r="H8" s="12" t="s">
        <v>3</v>
      </c>
      <c r="I8" s="12" t="s">
        <v>16</v>
      </c>
      <c r="J8" s="12" t="s">
        <v>22</v>
      </c>
      <c r="K8" s="12" t="s">
        <v>23</v>
      </c>
      <c r="L8" s="12" t="s">
        <v>4</v>
      </c>
      <c r="M8" s="12" t="s">
        <v>5</v>
      </c>
      <c r="N8" s="12" t="s">
        <v>0</v>
      </c>
      <c r="O8" s="1" t="s">
        <v>9</v>
      </c>
      <c r="P8" s="12" t="s">
        <v>36</v>
      </c>
      <c r="Q8" s="12" t="s">
        <v>8</v>
      </c>
      <c r="R8" s="12" t="s">
        <v>28</v>
      </c>
      <c r="S8" s="12" t="s">
        <v>35</v>
      </c>
      <c r="T8" s="12" t="s">
        <v>12</v>
      </c>
      <c r="U8" s="12" t="s">
        <v>21</v>
      </c>
      <c r="V8" s="12" t="s">
        <v>36</v>
      </c>
      <c r="W8" s="12" t="s">
        <v>8</v>
      </c>
      <c r="X8" s="12" t="s">
        <v>28</v>
      </c>
      <c r="Y8" s="12" t="s">
        <v>35</v>
      </c>
      <c r="Z8" s="12" t="s">
        <v>12</v>
      </c>
      <c r="AA8" s="12" t="s">
        <v>29</v>
      </c>
      <c r="AB8" s="129"/>
      <c r="AC8" s="129"/>
      <c r="AD8" s="12" t="s">
        <v>13</v>
      </c>
      <c r="AE8" s="12" t="s">
        <v>14</v>
      </c>
    </row>
    <row r="9" spans="1:31" ht="95.4" customHeight="1" x14ac:dyDescent="0.25">
      <c r="A9" s="11">
        <v>27</v>
      </c>
      <c r="B9" s="22" t="s">
        <v>38</v>
      </c>
      <c r="C9" s="22" t="s">
        <v>45</v>
      </c>
      <c r="D9" s="22" t="s">
        <v>46</v>
      </c>
      <c r="E9" s="23" t="s">
        <v>47</v>
      </c>
      <c r="F9" s="24" t="s">
        <v>48</v>
      </c>
      <c r="G9" s="100">
        <v>20200680010036</v>
      </c>
      <c r="H9" s="25" t="s">
        <v>49</v>
      </c>
      <c r="I9" s="26" t="s">
        <v>50</v>
      </c>
      <c r="J9" s="27">
        <v>44197</v>
      </c>
      <c r="K9" s="27">
        <v>44561</v>
      </c>
      <c r="L9" s="28">
        <v>1</v>
      </c>
      <c r="M9" s="29">
        <v>0.91659999999999997</v>
      </c>
      <c r="N9" s="105">
        <f>IFERROR(IF(M9/L9&gt;100%,100%,M9/L9),"-")</f>
        <v>0.91659999999999997</v>
      </c>
      <c r="O9" s="31" t="s">
        <v>295</v>
      </c>
      <c r="P9" s="32"/>
      <c r="Q9" s="32">
        <v>79880515915</v>
      </c>
      <c r="R9" s="32"/>
      <c r="S9" s="32"/>
      <c r="T9" s="32">
        <v>164934716661</v>
      </c>
      <c r="U9" s="33">
        <f>SUM(P9:T9)</f>
        <v>244815232576</v>
      </c>
      <c r="V9" s="32"/>
      <c r="W9" s="32">
        <v>73169105831</v>
      </c>
      <c r="X9" s="32"/>
      <c r="Y9" s="32"/>
      <c r="Z9" s="32">
        <v>132144838043.78</v>
      </c>
      <c r="AA9" s="33">
        <f>SUM(V9:Z9)</f>
        <v>205313943874.78</v>
      </c>
      <c r="AB9" s="34">
        <f>IFERROR(AA9/U9,"-")</f>
        <v>0.83864856657170095</v>
      </c>
      <c r="AC9" s="35"/>
      <c r="AD9" s="36" t="s">
        <v>51</v>
      </c>
      <c r="AE9" s="36" t="s">
        <v>240</v>
      </c>
    </row>
    <row r="10" spans="1:31" ht="55.2" x14ac:dyDescent="0.25">
      <c r="A10" s="11">
        <v>28</v>
      </c>
      <c r="B10" s="37" t="s">
        <v>38</v>
      </c>
      <c r="C10" s="37" t="s">
        <v>45</v>
      </c>
      <c r="D10" s="37" t="s">
        <v>46</v>
      </c>
      <c r="E10" s="38" t="s">
        <v>59</v>
      </c>
      <c r="F10" s="39" t="s">
        <v>60</v>
      </c>
      <c r="G10" s="100">
        <v>20200680010032</v>
      </c>
      <c r="H10" s="40" t="s">
        <v>56</v>
      </c>
      <c r="I10" s="41" t="s">
        <v>61</v>
      </c>
      <c r="J10" s="27">
        <v>44228</v>
      </c>
      <c r="K10" s="27">
        <v>44561</v>
      </c>
      <c r="L10" s="149">
        <v>1</v>
      </c>
      <c r="M10" s="150">
        <v>0.91659999999999997</v>
      </c>
      <c r="N10" s="151">
        <f>IFERROR(IF(M10/L10&gt;100%,100%,M10/L10),"-")</f>
        <v>0.91659999999999997</v>
      </c>
      <c r="O10" s="31" t="s">
        <v>62</v>
      </c>
      <c r="P10" s="32">
        <f>169500000+418000000</f>
        <v>587500000</v>
      </c>
      <c r="Q10" s="32"/>
      <c r="R10" s="32"/>
      <c r="S10" s="32"/>
      <c r="T10" s="32"/>
      <c r="U10" s="108">
        <f>SUM(P10:T11)</f>
        <v>614500000</v>
      </c>
      <c r="V10" s="32">
        <f>487626667+9370000</f>
        <v>496996667</v>
      </c>
      <c r="W10" s="32"/>
      <c r="X10" s="42"/>
      <c r="Y10" s="32"/>
      <c r="Z10" s="32"/>
      <c r="AA10" s="108">
        <f>SUM(V10:Z11)</f>
        <v>501996667</v>
      </c>
      <c r="AB10" s="173">
        <f>IFERROR(AA10/U10,"-")</f>
        <v>0.81691890480065088</v>
      </c>
      <c r="AC10" s="174"/>
      <c r="AD10" s="175" t="s">
        <v>51</v>
      </c>
      <c r="AE10" s="175" t="s">
        <v>240</v>
      </c>
    </row>
    <row r="11" spans="1:31" ht="69" x14ac:dyDescent="0.25">
      <c r="A11" s="11">
        <v>28</v>
      </c>
      <c r="B11" s="37" t="s">
        <v>38</v>
      </c>
      <c r="C11" s="37" t="s">
        <v>45</v>
      </c>
      <c r="D11" s="37" t="s">
        <v>46</v>
      </c>
      <c r="E11" s="38" t="s">
        <v>59</v>
      </c>
      <c r="F11" s="39" t="s">
        <v>60</v>
      </c>
      <c r="G11" s="100">
        <v>20210680010144</v>
      </c>
      <c r="H11" s="40" t="s">
        <v>272</v>
      </c>
      <c r="I11" s="41" t="s">
        <v>280</v>
      </c>
      <c r="J11" s="27">
        <v>44503</v>
      </c>
      <c r="K11" s="27">
        <v>44561</v>
      </c>
      <c r="L11" s="149"/>
      <c r="M11" s="150"/>
      <c r="N11" s="152"/>
      <c r="O11" s="87" t="s">
        <v>58</v>
      </c>
      <c r="P11" s="32"/>
      <c r="Q11" s="32"/>
      <c r="R11" s="32"/>
      <c r="S11" s="32"/>
      <c r="T11" s="32">
        <v>27000000</v>
      </c>
      <c r="U11" s="109"/>
      <c r="V11" s="32"/>
      <c r="W11" s="32"/>
      <c r="X11" s="42"/>
      <c r="Y11" s="32"/>
      <c r="Z11" s="32">
        <v>5000000</v>
      </c>
      <c r="AA11" s="109"/>
      <c r="AB11" s="173"/>
      <c r="AC11" s="174"/>
      <c r="AD11" s="175"/>
      <c r="AE11" s="175"/>
    </row>
    <row r="12" spans="1:31" ht="55.2" x14ac:dyDescent="0.25">
      <c r="A12" s="11">
        <v>29</v>
      </c>
      <c r="B12" s="22" t="s">
        <v>38</v>
      </c>
      <c r="C12" s="22" t="s">
        <v>45</v>
      </c>
      <c r="D12" s="22" t="s">
        <v>46</v>
      </c>
      <c r="E12" s="23" t="s">
        <v>52</v>
      </c>
      <c r="F12" s="24" t="s">
        <v>53</v>
      </c>
      <c r="G12" s="100">
        <v>20200680010032</v>
      </c>
      <c r="H12" s="40" t="s">
        <v>56</v>
      </c>
      <c r="I12" s="41" t="s">
        <v>57</v>
      </c>
      <c r="J12" s="27">
        <v>44256</v>
      </c>
      <c r="K12" s="27">
        <v>44561</v>
      </c>
      <c r="L12" s="139">
        <v>1</v>
      </c>
      <c r="M12" s="137">
        <v>0.91659999999999997</v>
      </c>
      <c r="N12" s="110">
        <f>IFERROR(IF(M12/L12&gt;100%,100%,M12/L12),"-")</f>
        <v>0.91659999999999997</v>
      </c>
      <c r="O12" s="87" t="s">
        <v>58</v>
      </c>
      <c r="P12" s="32"/>
      <c r="Q12" s="32"/>
      <c r="R12" s="32"/>
      <c r="S12" s="32"/>
      <c r="T12" s="32">
        <v>302500000</v>
      </c>
      <c r="U12" s="108">
        <f>SUM(P12:T13)</f>
        <v>2508585114.46</v>
      </c>
      <c r="V12" s="32"/>
      <c r="W12" s="43"/>
      <c r="X12" s="43"/>
      <c r="Y12" s="32"/>
      <c r="Z12" s="32">
        <v>55000000</v>
      </c>
      <c r="AA12" s="108">
        <f>SUM(V12:Z13)</f>
        <v>55000000</v>
      </c>
      <c r="AB12" s="173">
        <f>IFERROR(AA12/U12,"-")</f>
        <v>2.1924709543626287E-2</v>
      </c>
      <c r="AC12" s="174"/>
      <c r="AD12" s="114" t="s">
        <v>51</v>
      </c>
      <c r="AE12" s="114" t="s">
        <v>240</v>
      </c>
    </row>
    <row r="13" spans="1:31" ht="55.2" x14ac:dyDescent="0.25">
      <c r="A13" s="11">
        <v>29</v>
      </c>
      <c r="B13" s="22" t="s">
        <v>38</v>
      </c>
      <c r="C13" s="22" t="s">
        <v>45</v>
      </c>
      <c r="D13" s="22" t="s">
        <v>46</v>
      </c>
      <c r="E13" s="23" t="s">
        <v>52</v>
      </c>
      <c r="F13" s="24" t="s">
        <v>53</v>
      </c>
      <c r="G13" s="100"/>
      <c r="H13" s="44" t="s">
        <v>54</v>
      </c>
      <c r="I13" s="41"/>
      <c r="J13" s="27"/>
      <c r="K13" s="27"/>
      <c r="L13" s="140"/>
      <c r="M13" s="138"/>
      <c r="N13" s="111"/>
      <c r="O13" s="31" t="s">
        <v>55</v>
      </c>
      <c r="P13" s="42"/>
      <c r="Q13" s="32"/>
      <c r="R13" s="42"/>
      <c r="S13" s="32"/>
      <c r="T13" s="32">
        <f>2148925656.19+57159458.27</f>
        <v>2206085114.46</v>
      </c>
      <c r="U13" s="109"/>
      <c r="V13" s="32"/>
      <c r="W13" s="43"/>
      <c r="X13" s="43"/>
      <c r="Y13" s="43"/>
      <c r="Z13" s="43"/>
      <c r="AA13" s="109"/>
      <c r="AB13" s="173"/>
      <c r="AC13" s="174"/>
      <c r="AD13" s="115"/>
      <c r="AE13" s="115"/>
    </row>
    <row r="14" spans="1:31" ht="55.2" x14ac:dyDescent="0.25">
      <c r="A14" s="11">
        <v>30</v>
      </c>
      <c r="B14" s="22" t="s">
        <v>38</v>
      </c>
      <c r="C14" s="22" t="s">
        <v>45</v>
      </c>
      <c r="D14" s="22" t="s">
        <v>46</v>
      </c>
      <c r="E14" s="23" t="s">
        <v>63</v>
      </c>
      <c r="F14" s="24" t="s">
        <v>64</v>
      </c>
      <c r="G14" s="100">
        <v>20200680010032</v>
      </c>
      <c r="H14" s="40" t="s">
        <v>56</v>
      </c>
      <c r="I14" s="41" t="s">
        <v>281</v>
      </c>
      <c r="J14" s="27">
        <v>44223</v>
      </c>
      <c r="K14" s="27">
        <v>44561</v>
      </c>
      <c r="L14" s="28">
        <v>1</v>
      </c>
      <c r="M14" s="29">
        <v>0.91659999999999997</v>
      </c>
      <c r="N14" s="30">
        <f>IFERROR(IF(M14/L14&gt;100%,100%,M14/L14),"-")</f>
        <v>0.91659999999999997</v>
      </c>
      <c r="O14" s="31" t="s">
        <v>65</v>
      </c>
      <c r="P14" s="32">
        <v>569300000</v>
      </c>
      <c r="Q14" s="32"/>
      <c r="R14" s="32"/>
      <c r="S14" s="32"/>
      <c r="T14" s="32"/>
      <c r="U14" s="33">
        <f>SUM(P14:T14)</f>
        <v>569300000</v>
      </c>
      <c r="V14" s="32">
        <v>460185328</v>
      </c>
      <c r="W14" s="43"/>
      <c r="X14" s="43"/>
      <c r="Y14" s="32"/>
      <c r="Z14" s="32"/>
      <c r="AA14" s="33">
        <f>SUM(V14:Z14)</f>
        <v>460185328</v>
      </c>
      <c r="AB14" s="34">
        <f>IFERROR(AA14/U14,"-")</f>
        <v>0.80833537326541371</v>
      </c>
      <c r="AC14" s="45"/>
      <c r="AD14" s="36" t="s">
        <v>51</v>
      </c>
      <c r="AE14" s="36" t="s">
        <v>240</v>
      </c>
    </row>
    <row r="15" spans="1:31" ht="41.4" x14ac:dyDescent="0.25">
      <c r="A15" s="11">
        <v>31</v>
      </c>
      <c r="B15" s="37" t="s">
        <v>38</v>
      </c>
      <c r="C15" s="37" t="s">
        <v>45</v>
      </c>
      <c r="D15" s="37" t="s">
        <v>46</v>
      </c>
      <c r="E15" s="38" t="s">
        <v>66</v>
      </c>
      <c r="F15" s="39" t="s">
        <v>67</v>
      </c>
      <c r="G15" s="100">
        <v>20200680010032</v>
      </c>
      <c r="H15" s="40" t="s">
        <v>56</v>
      </c>
      <c r="I15" s="41" t="s">
        <v>68</v>
      </c>
      <c r="J15" s="27">
        <v>44228</v>
      </c>
      <c r="K15" s="27">
        <v>44561</v>
      </c>
      <c r="L15" s="46">
        <v>1</v>
      </c>
      <c r="M15" s="47">
        <v>1</v>
      </c>
      <c r="N15" s="30">
        <f>IFERROR(IF(M15/L15&gt;100%,100%,M15/L15),"-")</f>
        <v>1</v>
      </c>
      <c r="O15" s="31" t="s">
        <v>298</v>
      </c>
      <c r="P15" s="32">
        <f>5700000+41300000+4700000</f>
        <v>51700000</v>
      </c>
      <c r="Q15" s="32">
        <f>42300000</f>
        <v>42300000</v>
      </c>
      <c r="R15" s="32"/>
      <c r="S15" s="32"/>
      <c r="T15" s="32"/>
      <c r="U15" s="33">
        <f>SUM(P15:T15)</f>
        <v>94000000</v>
      </c>
      <c r="V15" s="32">
        <f>5700000+7600000+12800000+16500000+4700000</f>
        <v>47300000</v>
      </c>
      <c r="W15" s="32">
        <v>42300000</v>
      </c>
      <c r="X15" s="43"/>
      <c r="Y15" s="43"/>
      <c r="Z15" s="43"/>
      <c r="AA15" s="33">
        <f>SUM(V15:Z15)</f>
        <v>89600000</v>
      </c>
      <c r="AB15" s="34">
        <f>IFERROR(AA15/U15,"-")</f>
        <v>0.95319148936170217</v>
      </c>
      <c r="AC15" s="35"/>
      <c r="AD15" s="36" t="s">
        <v>51</v>
      </c>
      <c r="AE15" s="36" t="s">
        <v>240</v>
      </c>
    </row>
    <row r="16" spans="1:31" ht="41.4" x14ac:dyDescent="0.25">
      <c r="A16" s="11">
        <v>32</v>
      </c>
      <c r="B16" s="37" t="s">
        <v>38</v>
      </c>
      <c r="C16" s="37" t="s">
        <v>45</v>
      </c>
      <c r="D16" s="37" t="s">
        <v>46</v>
      </c>
      <c r="E16" s="38" t="s">
        <v>69</v>
      </c>
      <c r="F16" s="39" t="s">
        <v>70</v>
      </c>
      <c r="G16" s="100">
        <v>20200680010032</v>
      </c>
      <c r="H16" s="40" t="s">
        <v>56</v>
      </c>
      <c r="I16" s="41" t="s">
        <v>71</v>
      </c>
      <c r="J16" s="27">
        <v>44228</v>
      </c>
      <c r="K16" s="27">
        <v>44561</v>
      </c>
      <c r="L16" s="28">
        <v>1</v>
      </c>
      <c r="M16" s="29">
        <v>1</v>
      </c>
      <c r="N16" s="30">
        <f>IFERROR(IF(M16/L16&gt;100%,100%,M16/L16),"-")</f>
        <v>1</v>
      </c>
      <c r="O16" s="31" t="s">
        <v>72</v>
      </c>
      <c r="P16" s="32">
        <f>300000000</f>
        <v>300000000</v>
      </c>
      <c r="Q16" s="32">
        <v>490000000</v>
      </c>
      <c r="R16" s="32"/>
      <c r="S16" s="32"/>
      <c r="T16" s="32">
        <v>23900000</v>
      </c>
      <c r="U16" s="33">
        <f>SUM(P16:T16)</f>
        <v>813900000</v>
      </c>
      <c r="V16" s="32">
        <v>315700000</v>
      </c>
      <c r="W16" s="48">
        <f>490000000</f>
        <v>490000000</v>
      </c>
      <c r="X16" s="42"/>
      <c r="Y16" s="42"/>
      <c r="Z16" s="42"/>
      <c r="AA16" s="33">
        <f>SUM(V16:Z16)</f>
        <v>805700000</v>
      </c>
      <c r="AB16" s="34">
        <f>IFERROR(AA16/U16,"-")</f>
        <v>0.98992505221771721</v>
      </c>
      <c r="AC16" s="35"/>
      <c r="AD16" s="36" t="s">
        <v>51</v>
      </c>
      <c r="AE16" s="36" t="s">
        <v>240</v>
      </c>
    </row>
    <row r="17" spans="1:31" ht="41.4" x14ac:dyDescent="0.25">
      <c r="A17" s="11">
        <v>33</v>
      </c>
      <c r="B17" s="37" t="s">
        <v>38</v>
      </c>
      <c r="C17" s="37" t="s">
        <v>45</v>
      </c>
      <c r="D17" s="37" t="s">
        <v>46</v>
      </c>
      <c r="E17" s="38" t="s">
        <v>73</v>
      </c>
      <c r="F17" s="39" t="s">
        <v>74</v>
      </c>
      <c r="G17" s="101"/>
      <c r="H17" s="25" t="s">
        <v>241</v>
      </c>
      <c r="I17" s="49" t="s">
        <v>242</v>
      </c>
      <c r="J17" s="27">
        <v>44256</v>
      </c>
      <c r="K17" s="27">
        <v>44377</v>
      </c>
      <c r="L17" s="139">
        <v>0.3</v>
      </c>
      <c r="M17" s="137">
        <v>0.25</v>
      </c>
      <c r="N17" s="153">
        <f>IFERROR(IF(M17/L17&gt;100%,100%,M17/L17),"-")</f>
        <v>0.83333333333333337</v>
      </c>
      <c r="O17" s="31"/>
      <c r="P17" s="32"/>
      <c r="Q17" s="32"/>
      <c r="R17" s="32"/>
      <c r="S17" s="32"/>
      <c r="T17" s="32"/>
      <c r="U17" s="108">
        <f>SUM(P17:T18)</f>
        <v>20166551737.459999</v>
      </c>
      <c r="V17" s="32"/>
      <c r="W17" s="43"/>
      <c r="X17" s="43"/>
      <c r="Y17" s="43"/>
      <c r="Z17" s="43"/>
      <c r="AA17" s="108">
        <f>SUM(V17:Z18)</f>
        <v>0</v>
      </c>
      <c r="AB17" s="106">
        <f>IFERROR(AA17:AA18/U17:U18,"-")</f>
        <v>0</v>
      </c>
      <c r="AC17" s="147">
        <v>32939737.5</v>
      </c>
      <c r="AD17" s="114" t="s">
        <v>51</v>
      </c>
      <c r="AE17" s="114" t="s">
        <v>240</v>
      </c>
    </row>
    <row r="18" spans="1:31" ht="41.4" x14ac:dyDescent="0.25">
      <c r="A18" s="11">
        <v>33</v>
      </c>
      <c r="B18" s="37" t="s">
        <v>38</v>
      </c>
      <c r="C18" s="37" t="s">
        <v>45</v>
      </c>
      <c r="D18" s="37" t="s">
        <v>46</v>
      </c>
      <c r="E18" s="38" t="s">
        <v>73</v>
      </c>
      <c r="F18" s="39" t="s">
        <v>74</v>
      </c>
      <c r="G18" s="101"/>
      <c r="H18" s="44" t="s">
        <v>54</v>
      </c>
      <c r="I18" s="41"/>
      <c r="J18" s="27"/>
      <c r="K18" s="27"/>
      <c r="L18" s="140"/>
      <c r="M18" s="138"/>
      <c r="N18" s="154"/>
      <c r="O18" s="31" t="s">
        <v>243</v>
      </c>
      <c r="P18" s="32"/>
      <c r="Q18" s="32"/>
      <c r="R18" s="32"/>
      <c r="S18" s="32"/>
      <c r="T18" s="32">
        <f>18276781565+969348211.46+920421961</f>
        <v>20166551737.459999</v>
      </c>
      <c r="U18" s="109"/>
      <c r="V18" s="32"/>
      <c r="W18" s="43"/>
      <c r="X18" s="43"/>
      <c r="Y18" s="43"/>
      <c r="Z18" s="43"/>
      <c r="AA18" s="109"/>
      <c r="AB18" s="107"/>
      <c r="AC18" s="148"/>
      <c r="AD18" s="115"/>
      <c r="AE18" s="115"/>
    </row>
    <row r="19" spans="1:31" ht="41.4" x14ac:dyDescent="0.25">
      <c r="A19" s="11">
        <v>34</v>
      </c>
      <c r="B19" s="37" t="s">
        <v>38</v>
      </c>
      <c r="C19" s="37" t="s">
        <v>45</v>
      </c>
      <c r="D19" s="37" t="s">
        <v>46</v>
      </c>
      <c r="E19" s="38" t="s">
        <v>75</v>
      </c>
      <c r="F19" s="39" t="s">
        <v>76</v>
      </c>
      <c r="G19" s="101"/>
      <c r="H19" s="41" t="s">
        <v>291</v>
      </c>
      <c r="I19" s="41" t="s">
        <v>291</v>
      </c>
      <c r="J19" s="27"/>
      <c r="K19" s="27"/>
      <c r="L19" s="46">
        <v>0</v>
      </c>
      <c r="M19" s="47">
        <v>0</v>
      </c>
      <c r="N19" s="30" t="str">
        <f>IFERROR(IF(M19/L19&gt;100%,100%,M19/L19),"-")</f>
        <v>-</v>
      </c>
      <c r="O19" s="50"/>
      <c r="P19" s="32"/>
      <c r="Q19" s="32"/>
      <c r="R19" s="32"/>
      <c r="S19" s="32"/>
      <c r="T19" s="32"/>
      <c r="U19" s="33">
        <f>SUM(P19:T19)</f>
        <v>0</v>
      </c>
      <c r="V19" s="32"/>
      <c r="W19" s="43"/>
      <c r="X19" s="43"/>
      <c r="Y19" s="43"/>
      <c r="Z19" s="43"/>
      <c r="AA19" s="33">
        <f>SUM(V19:Z19)</f>
        <v>0</v>
      </c>
      <c r="AB19" s="34" t="str">
        <f>IFERROR(AA19/U19,"-")</f>
        <v>-</v>
      </c>
      <c r="AC19" s="35"/>
      <c r="AD19" s="36" t="s">
        <v>51</v>
      </c>
      <c r="AE19" s="36" t="s">
        <v>240</v>
      </c>
    </row>
    <row r="20" spans="1:31" ht="55.2" x14ac:dyDescent="0.25">
      <c r="A20" s="11">
        <v>35</v>
      </c>
      <c r="B20" s="37" t="s">
        <v>38</v>
      </c>
      <c r="C20" s="37" t="s">
        <v>45</v>
      </c>
      <c r="D20" s="37" t="s">
        <v>46</v>
      </c>
      <c r="E20" s="38" t="s">
        <v>77</v>
      </c>
      <c r="F20" s="39" t="s">
        <v>78</v>
      </c>
      <c r="G20" s="100">
        <v>20200680010130</v>
      </c>
      <c r="H20" s="25" t="s">
        <v>79</v>
      </c>
      <c r="I20" s="41" t="s">
        <v>80</v>
      </c>
      <c r="J20" s="27">
        <v>44377</v>
      </c>
      <c r="K20" s="27">
        <v>44561</v>
      </c>
      <c r="L20" s="46">
        <v>1</v>
      </c>
      <c r="M20" s="51">
        <v>0.83330000000000004</v>
      </c>
      <c r="N20" s="30">
        <f>IFERROR(IF(M20/L20&gt;100%,100%,M20/L20),"-")</f>
        <v>0.83330000000000004</v>
      </c>
      <c r="O20" s="31" t="s">
        <v>258</v>
      </c>
      <c r="P20" s="32">
        <f>242950000+136946524+313053476</f>
        <v>692950000</v>
      </c>
      <c r="Q20" s="32"/>
      <c r="R20" s="32"/>
      <c r="S20" s="32"/>
      <c r="T20" s="32"/>
      <c r="U20" s="33">
        <f>SUM(P20:T20)</f>
        <v>692950000</v>
      </c>
      <c r="V20" s="32">
        <f>136946524+242950000+313053476</f>
        <v>692950000</v>
      </c>
      <c r="W20" s="43"/>
      <c r="X20" s="43"/>
      <c r="Y20" s="43"/>
      <c r="Z20" s="43"/>
      <c r="AA20" s="33">
        <f>SUM(V20:Z20)</f>
        <v>692950000</v>
      </c>
      <c r="AB20" s="34">
        <f>IFERROR(AA20/U20,"-")</f>
        <v>1</v>
      </c>
      <c r="AC20" s="35"/>
      <c r="AD20" s="36" t="s">
        <v>51</v>
      </c>
      <c r="AE20" s="36" t="s">
        <v>240</v>
      </c>
    </row>
    <row r="21" spans="1:31" ht="41.4" x14ac:dyDescent="0.25">
      <c r="A21" s="11">
        <v>38</v>
      </c>
      <c r="B21" s="37" t="s">
        <v>38</v>
      </c>
      <c r="C21" s="37" t="s">
        <v>81</v>
      </c>
      <c r="D21" s="37" t="s">
        <v>82</v>
      </c>
      <c r="E21" s="38" t="s">
        <v>83</v>
      </c>
      <c r="F21" s="39" t="s">
        <v>84</v>
      </c>
      <c r="G21" s="100">
        <v>20200680010101</v>
      </c>
      <c r="H21" s="40" t="s">
        <v>85</v>
      </c>
      <c r="I21" s="41" t="s">
        <v>86</v>
      </c>
      <c r="J21" s="27">
        <v>44290</v>
      </c>
      <c r="K21" s="27">
        <v>44561</v>
      </c>
      <c r="L21" s="46">
        <v>15</v>
      </c>
      <c r="M21" s="47">
        <v>86</v>
      </c>
      <c r="N21" s="30">
        <f>IFERROR(IF(M21/L21&gt;100%,100%,M21/L21),"-")</f>
        <v>1</v>
      </c>
      <c r="O21" s="31" t="s">
        <v>267</v>
      </c>
      <c r="P21" s="32">
        <f>135118963.86</f>
        <v>135118963.86000001</v>
      </c>
      <c r="Q21" s="32">
        <v>139000000</v>
      </c>
      <c r="R21" s="32"/>
      <c r="S21" s="32"/>
      <c r="T21" s="32"/>
      <c r="U21" s="33">
        <f>SUM(P21:T21)</f>
        <v>274118963.86000001</v>
      </c>
      <c r="V21" s="32"/>
      <c r="W21" s="32">
        <v>139000000</v>
      </c>
      <c r="X21" s="43"/>
      <c r="Y21" s="43"/>
      <c r="Z21" s="43"/>
      <c r="AA21" s="33">
        <f>SUM(V21:Z21)</f>
        <v>139000000</v>
      </c>
      <c r="AB21" s="34">
        <f>IFERROR(AA21/U21,"-")</f>
        <v>0.50707910916732879</v>
      </c>
      <c r="AC21" s="35"/>
      <c r="AD21" s="36" t="s">
        <v>51</v>
      </c>
      <c r="AE21" s="36" t="s">
        <v>240</v>
      </c>
    </row>
    <row r="22" spans="1:31" ht="41.4" x14ac:dyDescent="0.25">
      <c r="A22" s="11">
        <v>39</v>
      </c>
      <c r="B22" s="37" t="s">
        <v>38</v>
      </c>
      <c r="C22" s="37" t="s">
        <v>81</v>
      </c>
      <c r="D22" s="37" t="s">
        <v>82</v>
      </c>
      <c r="E22" s="38" t="s">
        <v>87</v>
      </c>
      <c r="F22" s="39" t="s">
        <v>88</v>
      </c>
      <c r="G22" s="100">
        <v>20200680010101</v>
      </c>
      <c r="H22" s="40" t="s">
        <v>85</v>
      </c>
      <c r="I22" s="49" t="s">
        <v>89</v>
      </c>
      <c r="J22" s="27">
        <v>44251</v>
      </c>
      <c r="K22" s="27">
        <v>44196</v>
      </c>
      <c r="L22" s="46">
        <v>4</v>
      </c>
      <c r="M22" s="47">
        <v>4</v>
      </c>
      <c r="N22" s="30">
        <f>IFERROR(IF(M22/L22&gt;100%,100%,M22/L22),"-")</f>
        <v>1</v>
      </c>
      <c r="O22" s="31" t="s">
        <v>266</v>
      </c>
      <c r="P22" s="32">
        <v>12000000</v>
      </c>
      <c r="Q22" s="32">
        <v>263000000</v>
      </c>
      <c r="R22" s="32"/>
      <c r="S22" s="32"/>
      <c r="T22" s="32"/>
      <c r="U22" s="33">
        <f>SUM(P22:T22)</f>
        <v>275000000</v>
      </c>
      <c r="V22" s="32">
        <v>4000000</v>
      </c>
      <c r="W22" s="32">
        <v>227000000</v>
      </c>
      <c r="X22" s="32"/>
      <c r="Y22" s="43"/>
      <c r="Z22" s="43"/>
      <c r="AA22" s="33">
        <f>SUM(V22:Z22)</f>
        <v>231000000</v>
      </c>
      <c r="AB22" s="34">
        <f>IFERROR(AA22/U22,"-")</f>
        <v>0.84</v>
      </c>
      <c r="AC22" s="35"/>
      <c r="AD22" s="36" t="s">
        <v>51</v>
      </c>
      <c r="AE22" s="36" t="s">
        <v>240</v>
      </c>
    </row>
    <row r="23" spans="1:31" ht="41.4" x14ac:dyDescent="0.25">
      <c r="A23" s="11">
        <v>40</v>
      </c>
      <c r="B23" s="24" t="s">
        <v>38</v>
      </c>
      <c r="C23" s="24" t="s">
        <v>81</v>
      </c>
      <c r="D23" s="24" t="s">
        <v>90</v>
      </c>
      <c r="E23" s="23" t="s">
        <v>95</v>
      </c>
      <c r="F23" s="24" t="s">
        <v>96</v>
      </c>
      <c r="G23" s="100">
        <v>20200680010047</v>
      </c>
      <c r="H23" s="40" t="s">
        <v>93</v>
      </c>
      <c r="I23" s="52" t="s">
        <v>97</v>
      </c>
      <c r="J23" s="134">
        <v>44228</v>
      </c>
      <c r="K23" s="134">
        <v>44196</v>
      </c>
      <c r="L23" s="132">
        <v>2</v>
      </c>
      <c r="M23" s="130">
        <v>2</v>
      </c>
      <c r="N23" s="110">
        <f>IFERROR(IF(M23/L23&gt;100%,100%,M23/L23),"-")</f>
        <v>1</v>
      </c>
      <c r="O23" s="31" t="s">
        <v>245</v>
      </c>
      <c r="P23" s="32">
        <f>35300000+9000000</f>
        <v>44300000</v>
      </c>
      <c r="Q23" s="32">
        <v>400513482</v>
      </c>
      <c r="R23" s="32"/>
      <c r="S23" s="32"/>
      <c r="T23" s="32"/>
      <c r="U23" s="108">
        <f>SUM(P23:T29)</f>
        <v>8318837379.7700005</v>
      </c>
      <c r="V23" s="32">
        <f>13470000+7500000</f>
        <v>20970000</v>
      </c>
      <c r="W23" s="32">
        <f>333100000+67413482</f>
        <v>400513482</v>
      </c>
      <c r="X23" s="32"/>
      <c r="Y23" s="32"/>
      <c r="Z23" s="32"/>
      <c r="AA23" s="108">
        <f>SUM(V23:Z29)</f>
        <v>4462412389.6499805</v>
      </c>
      <c r="AB23" s="106">
        <f>IFERROR(AA23/U23,"-")</f>
        <v>0.53642260161279387</v>
      </c>
      <c r="AC23" s="116"/>
      <c r="AD23" s="114" t="s">
        <v>51</v>
      </c>
      <c r="AE23" s="114" t="s">
        <v>240</v>
      </c>
    </row>
    <row r="24" spans="1:31" ht="41.4" x14ac:dyDescent="0.25">
      <c r="A24" s="11">
        <v>40</v>
      </c>
      <c r="B24" s="24" t="s">
        <v>38</v>
      </c>
      <c r="C24" s="37" t="s">
        <v>81</v>
      </c>
      <c r="D24" s="37" t="s">
        <v>90</v>
      </c>
      <c r="E24" s="38" t="s">
        <v>95</v>
      </c>
      <c r="F24" s="39" t="s">
        <v>96</v>
      </c>
      <c r="G24" s="100">
        <v>20210680010188</v>
      </c>
      <c r="H24" s="53" t="s">
        <v>269</v>
      </c>
      <c r="I24" s="52" t="s">
        <v>97</v>
      </c>
      <c r="J24" s="135"/>
      <c r="K24" s="135"/>
      <c r="L24" s="166"/>
      <c r="M24" s="136"/>
      <c r="N24" s="112"/>
      <c r="O24" s="31" t="s">
        <v>271</v>
      </c>
      <c r="P24" s="32"/>
      <c r="Q24" s="32">
        <v>988348355</v>
      </c>
      <c r="R24" s="32"/>
      <c r="S24" s="32"/>
      <c r="T24" s="32"/>
      <c r="U24" s="163"/>
      <c r="V24" s="32"/>
      <c r="W24" s="32">
        <v>329545583.33999997</v>
      </c>
      <c r="X24" s="32"/>
      <c r="Y24" s="43"/>
      <c r="Z24" s="43"/>
      <c r="AA24" s="163"/>
      <c r="AB24" s="113"/>
      <c r="AC24" s="145"/>
      <c r="AD24" s="146"/>
      <c r="AE24" s="146"/>
    </row>
    <row r="25" spans="1:31" ht="182.4" customHeight="1" x14ac:dyDescent="0.25">
      <c r="A25" s="11">
        <v>40</v>
      </c>
      <c r="B25" s="24" t="s">
        <v>38</v>
      </c>
      <c r="C25" s="24" t="s">
        <v>81</v>
      </c>
      <c r="D25" s="24" t="s">
        <v>90</v>
      </c>
      <c r="E25" s="23" t="s">
        <v>95</v>
      </c>
      <c r="F25" s="24" t="s">
        <v>96</v>
      </c>
      <c r="G25" s="100"/>
      <c r="H25" s="44" t="s">
        <v>54</v>
      </c>
      <c r="I25" s="41"/>
      <c r="J25" s="27"/>
      <c r="K25" s="27"/>
      <c r="L25" s="166"/>
      <c r="M25" s="136"/>
      <c r="N25" s="112"/>
      <c r="O25" s="31" t="s">
        <v>302</v>
      </c>
      <c r="P25" s="32">
        <v>386944509.48000002</v>
      </c>
      <c r="Q25" s="32">
        <f>284259509.71+85215797</f>
        <v>369475306.70999998</v>
      </c>
      <c r="R25" s="32"/>
      <c r="S25" s="32"/>
      <c r="T25" s="32">
        <f>329154793</f>
        <v>329154793</v>
      </c>
      <c r="U25" s="163"/>
      <c r="V25" s="32"/>
      <c r="W25" s="32"/>
      <c r="X25" s="32"/>
      <c r="Y25" s="32"/>
      <c r="Z25" s="32"/>
      <c r="AA25" s="163"/>
      <c r="AB25" s="113"/>
      <c r="AC25" s="145"/>
      <c r="AD25" s="146"/>
      <c r="AE25" s="146"/>
    </row>
    <row r="26" spans="1:31" ht="92.4" customHeight="1" x14ac:dyDescent="0.25">
      <c r="A26" s="11">
        <v>40</v>
      </c>
      <c r="B26" s="24" t="s">
        <v>38</v>
      </c>
      <c r="C26" s="24" t="s">
        <v>81</v>
      </c>
      <c r="D26" s="24" t="s">
        <v>90</v>
      </c>
      <c r="E26" s="23" t="s">
        <v>95</v>
      </c>
      <c r="F26" s="24" t="s">
        <v>96</v>
      </c>
      <c r="G26" s="100">
        <v>20210680010071</v>
      </c>
      <c r="H26" s="54" t="s">
        <v>293</v>
      </c>
      <c r="I26" s="41" t="s">
        <v>250</v>
      </c>
      <c r="J26" s="27">
        <v>44448</v>
      </c>
      <c r="K26" s="27">
        <v>44561</v>
      </c>
      <c r="L26" s="166"/>
      <c r="M26" s="136"/>
      <c r="N26" s="112"/>
      <c r="O26" s="31" t="s">
        <v>251</v>
      </c>
      <c r="P26" s="32"/>
      <c r="Q26" s="32"/>
      <c r="R26" s="32"/>
      <c r="S26" s="32"/>
      <c r="T26" s="32">
        <v>1315500000</v>
      </c>
      <c r="U26" s="163"/>
      <c r="V26" s="32"/>
      <c r="W26" s="32"/>
      <c r="X26" s="32"/>
      <c r="Y26" s="32"/>
      <c r="Z26" s="32">
        <v>914500000</v>
      </c>
      <c r="AA26" s="163"/>
      <c r="AB26" s="113"/>
      <c r="AC26" s="145"/>
      <c r="AD26" s="146"/>
      <c r="AE26" s="146"/>
    </row>
    <row r="27" spans="1:31" ht="55.2" x14ac:dyDescent="0.25">
      <c r="A27" s="11">
        <v>40</v>
      </c>
      <c r="B27" s="24" t="s">
        <v>38</v>
      </c>
      <c r="C27" s="24" t="s">
        <v>81</v>
      </c>
      <c r="D27" s="24" t="s">
        <v>90</v>
      </c>
      <c r="E27" s="23" t="s">
        <v>95</v>
      </c>
      <c r="F27" s="24" t="s">
        <v>96</v>
      </c>
      <c r="G27" s="100">
        <v>20210680010005</v>
      </c>
      <c r="H27" s="54" t="s">
        <v>98</v>
      </c>
      <c r="I27" s="41" t="s">
        <v>99</v>
      </c>
      <c r="J27" s="27">
        <v>44225</v>
      </c>
      <c r="K27" s="27">
        <v>44561</v>
      </c>
      <c r="L27" s="166"/>
      <c r="M27" s="136"/>
      <c r="N27" s="112"/>
      <c r="O27" s="50" t="s">
        <v>299</v>
      </c>
      <c r="P27" s="32">
        <v>94724710</v>
      </c>
      <c r="Q27" s="32"/>
      <c r="R27" s="32"/>
      <c r="S27" s="32"/>
      <c r="T27" s="32">
        <v>3891915447</v>
      </c>
      <c r="U27" s="163"/>
      <c r="V27" s="32">
        <f>77224710+17500000</f>
        <v>94724710</v>
      </c>
      <c r="W27" s="32"/>
      <c r="X27" s="32"/>
      <c r="Y27" s="32"/>
      <c r="Z27" s="32">
        <f>2263305750+43559514.6499939-102667426.920013</f>
        <v>2204197837.7299809</v>
      </c>
      <c r="AA27" s="163"/>
      <c r="AB27" s="113"/>
      <c r="AC27" s="145"/>
      <c r="AD27" s="146"/>
      <c r="AE27" s="146"/>
    </row>
    <row r="28" spans="1:31" s="60" customFormat="1" ht="55.2" x14ac:dyDescent="0.25">
      <c r="A28" s="11">
        <v>40</v>
      </c>
      <c r="B28" s="24" t="s">
        <v>38</v>
      </c>
      <c r="C28" s="55" t="s">
        <v>81</v>
      </c>
      <c r="D28" s="55" t="s">
        <v>90</v>
      </c>
      <c r="E28" s="23" t="s">
        <v>95</v>
      </c>
      <c r="F28" s="55" t="s">
        <v>96</v>
      </c>
      <c r="G28" s="100">
        <v>20210680010046</v>
      </c>
      <c r="H28" s="56" t="s">
        <v>100</v>
      </c>
      <c r="I28" s="41" t="s">
        <v>101</v>
      </c>
      <c r="J28" s="57">
        <v>44342</v>
      </c>
      <c r="K28" s="57">
        <v>44561</v>
      </c>
      <c r="L28" s="166"/>
      <c r="M28" s="136"/>
      <c r="N28" s="112"/>
      <c r="O28" s="58" t="s">
        <v>246</v>
      </c>
      <c r="P28" s="32">
        <f>397986999.58</f>
        <v>397986999.57999998</v>
      </c>
      <c r="Q28" s="32"/>
      <c r="R28" s="32"/>
      <c r="S28" s="32"/>
      <c r="T28" s="32"/>
      <c r="U28" s="163"/>
      <c r="V28" s="32">
        <v>397986999.57999998</v>
      </c>
      <c r="W28" s="59"/>
      <c r="X28" s="32"/>
      <c r="Y28" s="32"/>
      <c r="Z28" s="32"/>
      <c r="AA28" s="163"/>
      <c r="AB28" s="113"/>
      <c r="AC28" s="145"/>
      <c r="AD28" s="146"/>
      <c r="AE28" s="146"/>
    </row>
    <row r="29" spans="1:31" s="60" customFormat="1" ht="55.2" x14ac:dyDescent="0.25">
      <c r="A29" s="11">
        <v>40</v>
      </c>
      <c r="B29" s="24" t="s">
        <v>38</v>
      </c>
      <c r="C29" s="55" t="s">
        <v>81</v>
      </c>
      <c r="D29" s="55" t="s">
        <v>90</v>
      </c>
      <c r="E29" s="23" t="s">
        <v>95</v>
      </c>
      <c r="F29" s="55" t="s">
        <v>96</v>
      </c>
      <c r="G29" s="100">
        <v>20210680010104</v>
      </c>
      <c r="H29" s="56" t="s">
        <v>279</v>
      </c>
      <c r="I29" s="41" t="s">
        <v>101</v>
      </c>
      <c r="J29" s="57">
        <v>44482</v>
      </c>
      <c r="K29" s="57">
        <v>44561</v>
      </c>
      <c r="L29" s="133"/>
      <c r="M29" s="131"/>
      <c r="N29" s="111"/>
      <c r="O29" s="58" t="s">
        <v>246</v>
      </c>
      <c r="P29" s="32">
        <v>99973777</v>
      </c>
      <c r="Q29" s="32"/>
      <c r="R29" s="32"/>
      <c r="S29" s="32"/>
      <c r="T29" s="32"/>
      <c r="U29" s="109"/>
      <c r="V29" s="32">
        <v>99973777</v>
      </c>
      <c r="W29" s="59"/>
      <c r="X29" s="32"/>
      <c r="Y29" s="32"/>
      <c r="Z29" s="32"/>
      <c r="AA29" s="109"/>
      <c r="AB29" s="107"/>
      <c r="AC29" s="117"/>
      <c r="AD29" s="115"/>
      <c r="AE29" s="115"/>
    </row>
    <row r="30" spans="1:31" ht="41.4" x14ac:dyDescent="0.25">
      <c r="A30" s="11">
        <v>41</v>
      </c>
      <c r="B30" s="22" t="s">
        <v>38</v>
      </c>
      <c r="C30" s="22" t="s">
        <v>81</v>
      </c>
      <c r="D30" s="22" t="s">
        <v>90</v>
      </c>
      <c r="E30" s="23" t="s">
        <v>91</v>
      </c>
      <c r="F30" s="24" t="s">
        <v>92</v>
      </c>
      <c r="G30" s="100">
        <v>20200680010047</v>
      </c>
      <c r="H30" s="53" t="s">
        <v>93</v>
      </c>
      <c r="I30" s="41" t="s">
        <v>94</v>
      </c>
      <c r="J30" s="27">
        <v>44224</v>
      </c>
      <c r="K30" s="27">
        <v>44196</v>
      </c>
      <c r="L30" s="161">
        <v>0.95</v>
      </c>
      <c r="M30" s="164">
        <v>0.81</v>
      </c>
      <c r="N30" s="110">
        <f>IFERROR(IF(M30/L30&gt;100%,100%,M30/L30),"-")</f>
        <v>0.85263157894736852</v>
      </c>
      <c r="O30" s="50" t="s">
        <v>244</v>
      </c>
      <c r="P30" s="32"/>
      <c r="Q30" s="32">
        <f>20000000+76500000+21250000</f>
        <v>117750000</v>
      </c>
      <c r="R30" s="32"/>
      <c r="S30" s="32"/>
      <c r="T30" s="32"/>
      <c r="U30" s="108">
        <f>SUM(P30:T31)</f>
        <v>239216593</v>
      </c>
      <c r="V30" s="32"/>
      <c r="W30" s="32">
        <f>17000000+76500000+20000000</f>
        <v>113500000</v>
      </c>
      <c r="X30" s="43"/>
      <c r="Y30" s="43"/>
      <c r="Z30" s="43"/>
      <c r="AA30" s="108">
        <f>SUM(V30:Z31)</f>
        <v>113500000</v>
      </c>
      <c r="AB30" s="106">
        <f>IFERROR(AA30/U30,"-")</f>
        <v>0.47446541469637937</v>
      </c>
      <c r="AC30" s="116"/>
      <c r="AD30" s="114" t="s">
        <v>51</v>
      </c>
      <c r="AE30" s="114" t="s">
        <v>240</v>
      </c>
    </row>
    <row r="31" spans="1:31" ht="41.4" x14ac:dyDescent="0.25">
      <c r="A31" s="11"/>
      <c r="B31" s="22"/>
      <c r="C31" s="22" t="s">
        <v>81</v>
      </c>
      <c r="D31" s="22" t="s">
        <v>90</v>
      </c>
      <c r="E31" s="23" t="s">
        <v>91</v>
      </c>
      <c r="F31" s="24" t="s">
        <v>92</v>
      </c>
      <c r="G31" s="100">
        <v>20210680010188</v>
      </c>
      <c r="H31" s="53" t="s">
        <v>269</v>
      </c>
      <c r="I31" s="41" t="s">
        <v>268</v>
      </c>
      <c r="J31" s="27">
        <v>44483</v>
      </c>
      <c r="K31" s="27">
        <v>44561</v>
      </c>
      <c r="L31" s="162"/>
      <c r="M31" s="165"/>
      <c r="N31" s="111"/>
      <c r="O31" s="50" t="s">
        <v>270</v>
      </c>
      <c r="P31" s="32">
        <v>12682390</v>
      </c>
      <c r="Q31" s="32">
        <v>108784203</v>
      </c>
      <c r="R31" s="32"/>
      <c r="S31" s="32"/>
      <c r="T31" s="32"/>
      <c r="U31" s="109"/>
      <c r="V31" s="32"/>
      <c r="W31" s="32"/>
      <c r="X31" s="43"/>
      <c r="Y31" s="43"/>
      <c r="Z31" s="43"/>
      <c r="AA31" s="109"/>
      <c r="AB31" s="107"/>
      <c r="AC31" s="117"/>
      <c r="AD31" s="115"/>
      <c r="AE31" s="115"/>
    </row>
    <row r="32" spans="1:31" ht="41.4" x14ac:dyDescent="0.25">
      <c r="A32" s="11">
        <v>42</v>
      </c>
      <c r="B32" s="37" t="s">
        <v>38</v>
      </c>
      <c r="C32" s="37" t="s">
        <v>81</v>
      </c>
      <c r="D32" s="37" t="s">
        <v>102</v>
      </c>
      <c r="E32" s="38" t="s">
        <v>103</v>
      </c>
      <c r="F32" s="39" t="s">
        <v>104</v>
      </c>
      <c r="G32" s="100">
        <v>20200680010111</v>
      </c>
      <c r="H32" s="54" t="s">
        <v>105</v>
      </c>
      <c r="I32" s="41" t="s">
        <v>106</v>
      </c>
      <c r="J32" s="27">
        <v>44275</v>
      </c>
      <c r="K32" s="27">
        <v>44561</v>
      </c>
      <c r="L32" s="46">
        <v>1</v>
      </c>
      <c r="M32" s="51">
        <v>0.91659999999999997</v>
      </c>
      <c r="N32" s="30">
        <f t="shared" ref="N32:N54" si="0">IFERROR(IF(M32/L32&gt;100%,100%,M32/L32),"-")</f>
        <v>0.91659999999999997</v>
      </c>
      <c r="O32" s="50" t="s">
        <v>265</v>
      </c>
      <c r="P32" s="32">
        <v>7600000</v>
      </c>
      <c r="Q32" s="32">
        <v>485467000</v>
      </c>
      <c r="R32" s="32"/>
      <c r="S32" s="32"/>
      <c r="T32" s="32"/>
      <c r="U32" s="33">
        <f t="shared" ref="U32:U44" si="1">SUM(P32:T32)</f>
        <v>493067000</v>
      </c>
      <c r="V32" s="32"/>
      <c r="W32" s="32">
        <v>485467000</v>
      </c>
      <c r="X32" s="43"/>
      <c r="Y32" s="43"/>
      <c r="Z32" s="43"/>
      <c r="AA32" s="33">
        <f t="shared" ref="AA32:AA44" si="2">SUM(V32:Z32)</f>
        <v>485467000</v>
      </c>
      <c r="AB32" s="34">
        <f>IFERROR(AA32/U32,"-")</f>
        <v>0.98458627326509374</v>
      </c>
      <c r="AC32" s="35"/>
      <c r="AD32" s="36" t="s">
        <v>51</v>
      </c>
      <c r="AE32" s="36" t="s">
        <v>240</v>
      </c>
    </row>
    <row r="33" spans="1:31" ht="55.2" x14ac:dyDescent="0.25">
      <c r="A33" s="11">
        <v>43</v>
      </c>
      <c r="B33" s="37" t="s">
        <v>38</v>
      </c>
      <c r="C33" s="37" t="s">
        <v>81</v>
      </c>
      <c r="D33" s="37" t="s">
        <v>107</v>
      </c>
      <c r="E33" s="38" t="s">
        <v>108</v>
      </c>
      <c r="F33" s="39" t="s">
        <v>109</v>
      </c>
      <c r="G33" s="100">
        <v>20200680010109</v>
      </c>
      <c r="H33" s="53" t="s">
        <v>110</v>
      </c>
      <c r="I33" s="92"/>
      <c r="J33" s="27">
        <v>44259</v>
      </c>
      <c r="K33" s="27">
        <v>44561</v>
      </c>
      <c r="L33" s="46">
        <v>1</v>
      </c>
      <c r="M33" s="51">
        <v>0.91659999999999997</v>
      </c>
      <c r="N33" s="30">
        <f t="shared" si="0"/>
        <v>0.91659999999999997</v>
      </c>
      <c r="O33" s="50" t="s">
        <v>264</v>
      </c>
      <c r="P33" s="32">
        <v>2285714</v>
      </c>
      <c r="Q33" s="32">
        <v>98571428</v>
      </c>
      <c r="R33" s="32"/>
      <c r="S33" s="32"/>
      <c r="T33" s="32"/>
      <c r="U33" s="33">
        <f t="shared" si="1"/>
        <v>100857142</v>
      </c>
      <c r="V33" s="32"/>
      <c r="W33" s="32">
        <v>95942856</v>
      </c>
      <c r="X33" s="59"/>
      <c r="Y33" s="43"/>
      <c r="Z33" s="43"/>
      <c r="AA33" s="33">
        <f t="shared" si="2"/>
        <v>95942856</v>
      </c>
      <c r="AB33" s="34">
        <f>IFERROR(AA33/U33,"-")</f>
        <v>0.95127478428845424</v>
      </c>
      <c r="AC33" s="35"/>
      <c r="AD33" s="36" t="s">
        <v>51</v>
      </c>
      <c r="AE33" s="36" t="s">
        <v>240</v>
      </c>
    </row>
    <row r="34" spans="1:31" ht="55.2" x14ac:dyDescent="0.25">
      <c r="A34" s="11">
        <v>44</v>
      </c>
      <c r="B34" s="22" t="s">
        <v>38</v>
      </c>
      <c r="C34" s="22" t="s">
        <v>81</v>
      </c>
      <c r="D34" s="22" t="s">
        <v>107</v>
      </c>
      <c r="E34" s="23" t="s">
        <v>111</v>
      </c>
      <c r="F34" s="24" t="s">
        <v>112</v>
      </c>
      <c r="G34" s="100">
        <v>20200680010109</v>
      </c>
      <c r="H34" s="53" t="s">
        <v>110</v>
      </c>
      <c r="I34" s="41" t="s">
        <v>113</v>
      </c>
      <c r="J34" s="27">
        <v>44259</v>
      </c>
      <c r="K34" s="27">
        <v>44561</v>
      </c>
      <c r="L34" s="46">
        <v>1</v>
      </c>
      <c r="M34" s="51">
        <v>0.91659999999999997</v>
      </c>
      <c r="N34" s="30">
        <f t="shared" si="0"/>
        <v>0.91659999999999997</v>
      </c>
      <c r="O34" s="50" t="s">
        <v>247</v>
      </c>
      <c r="P34" s="32">
        <f>5714286+1416666</f>
        <v>7130952</v>
      </c>
      <c r="Q34" s="32">
        <f>51428572+12750000</f>
        <v>64178572</v>
      </c>
      <c r="R34" s="32"/>
      <c r="S34" s="32"/>
      <c r="T34" s="32"/>
      <c r="U34" s="33">
        <f t="shared" si="1"/>
        <v>71309524</v>
      </c>
      <c r="V34" s="32"/>
      <c r="W34" s="32">
        <f>44857144+6750000</f>
        <v>51607144</v>
      </c>
      <c r="X34" s="43"/>
      <c r="Y34" s="43"/>
      <c r="Z34" s="43"/>
      <c r="AA34" s="33">
        <f t="shared" si="2"/>
        <v>51607144</v>
      </c>
      <c r="AB34" s="34">
        <f>IFERROR(AA34/U34,"-")</f>
        <v>0.72370619105520884</v>
      </c>
      <c r="AC34" s="45"/>
      <c r="AD34" s="22" t="s">
        <v>51</v>
      </c>
      <c r="AE34" s="22" t="s">
        <v>240</v>
      </c>
    </row>
    <row r="35" spans="1:31" ht="96.6" x14ac:dyDescent="0.25">
      <c r="A35" s="11">
        <v>45</v>
      </c>
      <c r="B35" s="37" t="s">
        <v>38</v>
      </c>
      <c r="C35" s="37" t="s">
        <v>81</v>
      </c>
      <c r="D35" s="37" t="s">
        <v>114</v>
      </c>
      <c r="E35" s="38" t="s">
        <v>115</v>
      </c>
      <c r="F35" s="39" t="s">
        <v>116</v>
      </c>
      <c r="G35" s="100">
        <v>20200680010102</v>
      </c>
      <c r="H35" s="53" t="s">
        <v>117</v>
      </c>
      <c r="I35" s="41" t="s">
        <v>118</v>
      </c>
      <c r="J35" s="27">
        <v>44274</v>
      </c>
      <c r="K35" s="27">
        <v>44561</v>
      </c>
      <c r="L35" s="46">
        <v>1</v>
      </c>
      <c r="M35" s="51">
        <v>0.91659999999999997</v>
      </c>
      <c r="N35" s="30">
        <f t="shared" si="0"/>
        <v>0.91659999999999997</v>
      </c>
      <c r="O35" s="50" t="s">
        <v>252</v>
      </c>
      <c r="P35" s="32">
        <v>1450000</v>
      </c>
      <c r="Q35" s="32">
        <f>100000000+13050000</f>
        <v>113050000</v>
      </c>
      <c r="R35" s="32"/>
      <c r="S35" s="32"/>
      <c r="T35" s="32"/>
      <c r="U35" s="33">
        <f t="shared" si="1"/>
        <v>114500000</v>
      </c>
      <c r="V35" s="32"/>
      <c r="W35" s="32">
        <v>112916666</v>
      </c>
      <c r="X35" s="43"/>
      <c r="Y35" s="43"/>
      <c r="Z35" s="43"/>
      <c r="AA35" s="33">
        <f t="shared" si="2"/>
        <v>112916666</v>
      </c>
      <c r="AB35" s="34">
        <f t="shared" ref="AB35:AB49" si="3">IFERROR(AA35/U35,"-")</f>
        <v>0.98617175545851532</v>
      </c>
      <c r="AC35" s="35"/>
      <c r="AD35" s="36" t="s">
        <v>51</v>
      </c>
      <c r="AE35" s="36" t="s">
        <v>240</v>
      </c>
    </row>
    <row r="36" spans="1:31" ht="41.4" x14ac:dyDescent="0.25">
      <c r="A36" s="11">
        <v>46</v>
      </c>
      <c r="B36" s="37" t="s">
        <v>38</v>
      </c>
      <c r="C36" s="37" t="s">
        <v>81</v>
      </c>
      <c r="D36" s="37" t="s">
        <v>114</v>
      </c>
      <c r="E36" s="38" t="s">
        <v>119</v>
      </c>
      <c r="F36" s="39" t="s">
        <v>120</v>
      </c>
      <c r="G36" s="100">
        <v>20200680010102</v>
      </c>
      <c r="H36" s="53" t="s">
        <v>117</v>
      </c>
      <c r="I36" s="41" t="s">
        <v>121</v>
      </c>
      <c r="J36" s="27"/>
      <c r="K36" s="27"/>
      <c r="L36" s="46">
        <v>1</v>
      </c>
      <c r="M36" s="51">
        <v>0.91659999999999997</v>
      </c>
      <c r="N36" s="30">
        <f t="shared" si="0"/>
        <v>0.91659999999999997</v>
      </c>
      <c r="O36" s="50" t="s">
        <v>122</v>
      </c>
      <c r="P36" s="32"/>
      <c r="Q36" s="32">
        <v>49000000</v>
      </c>
      <c r="R36" s="32"/>
      <c r="S36" s="32"/>
      <c r="T36" s="32"/>
      <c r="U36" s="33">
        <f t="shared" si="1"/>
        <v>49000000</v>
      </c>
      <c r="V36" s="32"/>
      <c r="W36" s="32">
        <v>49000000</v>
      </c>
      <c r="X36" s="43"/>
      <c r="Y36" s="43"/>
      <c r="Z36" s="43"/>
      <c r="AA36" s="33">
        <f t="shared" si="2"/>
        <v>49000000</v>
      </c>
      <c r="AB36" s="34">
        <f t="shared" si="3"/>
        <v>1</v>
      </c>
      <c r="AC36" s="35"/>
      <c r="AD36" s="36" t="s">
        <v>51</v>
      </c>
      <c r="AE36" s="36" t="s">
        <v>240</v>
      </c>
    </row>
    <row r="37" spans="1:31" ht="41.4" x14ac:dyDescent="0.25">
      <c r="A37" s="11">
        <v>47</v>
      </c>
      <c r="B37" s="37" t="s">
        <v>38</v>
      </c>
      <c r="C37" s="37" t="s">
        <v>81</v>
      </c>
      <c r="D37" s="37" t="s">
        <v>114</v>
      </c>
      <c r="E37" s="38" t="s">
        <v>123</v>
      </c>
      <c r="F37" s="39" t="s">
        <v>124</v>
      </c>
      <c r="G37" s="100">
        <v>20200680010102</v>
      </c>
      <c r="H37" s="53" t="s">
        <v>117</v>
      </c>
      <c r="I37" s="41" t="s">
        <v>125</v>
      </c>
      <c r="J37" s="27">
        <v>44274</v>
      </c>
      <c r="K37" s="27">
        <v>44561</v>
      </c>
      <c r="L37" s="46">
        <v>1</v>
      </c>
      <c r="M37" s="51">
        <v>0.91659999999999997</v>
      </c>
      <c r="N37" s="30">
        <f t="shared" si="0"/>
        <v>0.91659999999999997</v>
      </c>
      <c r="O37" s="50" t="s">
        <v>262</v>
      </c>
      <c r="P37" s="32">
        <v>4350000</v>
      </c>
      <c r="Q37" s="32">
        <v>178200000</v>
      </c>
      <c r="R37" s="32"/>
      <c r="S37" s="32"/>
      <c r="T37" s="32"/>
      <c r="U37" s="33">
        <f t="shared" si="1"/>
        <v>182550000</v>
      </c>
      <c r="V37" s="32"/>
      <c r="W37" s="32">
        <v>177800002</v>
      </c>
      <c r="X37" s="43"/>
      <c r="Y37" s="43"/>
      <c r="Z37" s="43"/>
      <c r="AA37" s="33">
        <f t="shared" si="2"/>
        <v>177800002</v>
      </c>
      <c r="AB37" s="34">
        <f t="shared" si="3"/>
        <v>0.97397974253629138</v>
      </c>
      <c r="AC37" s="35"/>
      <c r="AD37" s="36" t="s">
        <v>51</v>
      </c>
      <c r="AE37" s="36" t="s">
        <v>240</v>
      </c>
    </row>
    <row r="38" spans="1:31" ht="41.4" x14ac:dyDescent="0.25">
      <c r="A38" s="11">
        <v>48</v>
      </c>
      <c r="B38" s="37" t="s">
        <v>38</v>
      </c>
      <c r="C38" s="37" t="s">
        <v>81</v>
      </c>
      <c r="D38" s="37" t="s">
        <v>114</v>
      </c>
      <c r="E38" s="38" t="s">
        <v>126</v>
      </c>
      <c r="F38" s="39" t="s">
        <v>127</v>
      </c>
      <c r="G38" s="100">
        <v>20200680010102</v>
      </c>
      <c r="H38" s="53" t="s">
        <v>117</v>
      </c>
      <c r="I38" s="41" t="s">
        <v>128</v>
      </c>
      <c r="J38" s="27">
        <v>44274</v>
      </c>
      <c r="K38" s="27">
        <v>44561</v>
      </c>
      <c r="L38" s="46">
        <v>1</v>
      </c>
      <c r="M38" s="51">
        <v>0.91659999999999997</v>
      </c>
      <c r="N38" s="30">
        <f t="shared" si="0"/>
        <v>0.91659999999999997</v>
      </c>
      <c r="O38" s="50" t="s">
        <v>262</v>
      </c>
      <c r="P38" s="32">
        <v>1450000</v>
      </c>
      <c r="Q38" s="32">
        <v>13050000</v>
      </c>
      <c r="R38" s="32"/>
      <c r="S38" s="32"/>
      <c r="T38" s="32"/>
      <c r="U38" s="33">
        <f t="shared" si="1"/>
        <v>14500000</v>
      </c>
      <c r="V38" s="32"/>
      <c r="W38" s="32">
        <v>12916666</v>
      </c>
      <c r="X38" s="43"/>
      <c r="Y38" s="43"/>
      <c r="Z38" s="43"/>
      <c r="AA38" s="33">
        <f t="shared" si="2"/>
        <v>12916666</v>
      </c>
      <c r="AB38" s="34">
        <f t="shared" si="3"/>
        <v>0.89080455172413797</v>
      </c>
      <c r="AC38" s="35"/>
      <c r="AD38" s="36" t="s">
        <v>51</v>
      </c>
      <c r="AE38" s="36" t="s">
        <v>240</v>
      </c>
    </row>
    <row r="39" spans="1:31" ht="41.4" x14ac:dyDescent="0.25">
      <c r="A39" s="11">
        <v>49</v>
      </c>
      <c r="B39" s="37" t="s">
        <v>38</v>
      </c>
      <c r="C39" s="37" t="s">
        <v>81</v>
      </c>
      <c r="D39" s="37" t="s">
        <v>114</v>
      </c>
      <c r="E39" s="38" t="s">
        <v>129</v>
      </c>
      <c r="F39" s="39" t="s">
        <v>130</v>
      </c>
      <c r="G39" s="100">
        <v>20200680010102</v>
      </c>
      <c r="H39" s="53" t="s">
        <v>117</v>
      </c>
      <c r="I39" s="41" t="s">
        <v>129</v>
      </c>
      <c r="J39" s="27">
        <v>44274</v>
      </c>
      <c r="K39" s="27">
        <v>44561</v>
      </c>
      <c r="L39" s="28">
        <v>1</v>
      </c>
      <c r="M39" s="61">
        <v>1</v>
      </c>
      <c r="N39" s="30">
        <f t="shared" si="0"/>
        <v>1</v>
      </c>
      <c r="O39" s="50" t="s">
        <v>262</v>
      </c>
      <c r="P39" s="32">
        <v>1450000</v>
      </c>
      <c r="Q39" s="32">
        <v>59050000</v>
      </c>
      <c r="R39" s="32"/>
      <c r="S39" s="32"/>
      <c r="T39" s="32"/>
      <c r="U39" s="33">
        <f t="shared" si="1"/>
        <v>60500000</v>
      </c>
      <c r="V39" s="32"/>
      <c r="W39" s="32">
        <v>58916666</v>
      </c>
      <c r="X39" s="43"/>
      <c r="Y39" s="43"/>
      <c r="Z39" s="43"/>
      <c r="AA39" s="33">
        <f t="shared" si="2"/>
        <v>58916666</v>
      </c>
      <c r="AB39" s="34">
        <f t="shared" si="3"/>
        <v>0.97382919008264468</v>
      </c>
      <c r="AC39" s="35"/>
      <c r="AD39" s="36" t="s">
        <v>51</v>
      </c>
      <c r="AE39" s="36" t="s">
        <v>240</v>
      </c>
    </row>
    <row r="40" spans="1:31" ht="55.2" x14ac:dyDescent="0.25">
      <c r="A40" s="11">
        <v>50</v>
      </c>
      <c r="B40" s="37" t="s">
        <v>38</v>
      </c>
      <c r="C40" s="37" t="s">
        <v>81</v>
      </c>
      <c r="D40" s="37" t="s">
        <v>131</v>
      </c>
      <c r="E40" s="38" t="s">
        <v>132</v>
      </c>
      <c r="F40" s="39" t="s">
        <v>133</v>
      </c>
      <c r="G40" s="102">
        <v>20210680010044</v>
      </c>
      <c r="H40" s="54" t="s">
        <v>134</v>
      </c>
      <c r="I40" s="41" t="s">
        <v>135</v>
      </c>
      <c r="J40" s="27">
        <v>44335</v>
      </c>
      <c r="K40" s="27">
        <v>44561</v>
      </c>
      <c r="L40" s="46">
        <v>1</v>
      </c>
      <c r="M40" s="51">
        <v>0.83330000000000004</v>
      </c>
      <c r="N40" s="30">
        <f t="shared" si="0"/>
        <v>0.83330000000000004</v>
      </c>
      <c r="O40" s="50" t="s">
        <v>248</v>
      </c>
      <c r="P40" s="32">
        <v>590000000</v>
      </c>
      <c r="Q40" s="32">
        <v>550000000</v>
      </c>
      <c r="R40" s="32"/>
      <c r="S40" s="32"/>
      <c r="T40" s="32"/>
      <c r="U40" s="33">
        <f t="shared" si="1"/>
        <v>1140000000</v>
      </c>
      <c r="V40" s="32">
        <v>273613198</v>
      </c>
      <c r="W40" s="32">
        <v>354658665.66000003</v>
      </c>
      <c r="X40" s="43"/>
      <c r="Y40" s="43"/>
      <c r="Z40" s="43"/>
      <c r="AA40" s="33">
        <f t="shared" si="2"/>
        <v>628271863.66000009</v>
      </c>
      <c r="AB40" s="34">
        <f t="shared" si="3"/>
        <v>0.55111566987719307</v>
      </c>
      <c r="AC40" s="35"/>
      <c r="AD40" s="36" t="s">
        <v>51</v>
      </c>
      <c r="AE40" s="36" t="s">
        <v>240</v>
      </c>
    </row>
    <row r="41" spans="1:31" ht="41.4" x14ac:dyDescent="0.25">
      <c r="A41" s="11">
        <v>51</v>
      </c>
      <c r="B41" s="37" t="s">
        <v>38</v>
      </c>
      <c r="C41" s="37" t="s">
        <v>81</v>
      </c>
      <c r="D41" s="37" t="s">
        <v>131</v>
      </c>
      <c r="E41" s="38" t="s">
        <v>136</v>
      </c>
      <c r="F41" s="39" t="s">
        <v>137</v>
      </c>
      <c r="G41" s="100">
        <v>20200680010091</v>
      </c>
      <c r="H41" s="53" t="s">
        <v>138</v>
      </c>
      <c r="I41" s="58" t="s">
        <v>139</v>
      </c>
      <c r="J41" s="27">
        <v>44259</v>
      </c>
      <c r="K41" s="27">
        <v>44561</v>
      </c>
      <c r="L41" s="46">
        <v>1</v>
      </c>
      <c r="M41" s="47">
        <v>1</v>
      </c>
      <c r="N41" s="30">
        <f t="shared" si="0"/>
        <v>1</v>
      </c>
      <c r="O41" s="50" t="s">
        <v>122</v>
      </c>
      <c r="P41" s="32"/>
      <c r="Q41" s="32">
        <v>320000000</v>
      </c>
      <c r="R41" s="32"/>
      <c r="S41" s="32"/>
      <c r="T41" s="32"/>
      <c r="U41" s="33">
        <f t="shared" si="1"/>
        <v>320000000</v>
      </c>
      <c r="V41" s="32"/>
      <c r="W41" s="32">
        <v>300000000</v>
      </c>
      <c r="X41" s="43"/>
      <c r="Y41" s="43"/>
      <c r="Z41" s="43"/>
      <c r="AA41" s="33">
        <f t="shared" si="2"/>
        <v>300000000</v>
      </c>
      <c r="AB41" s="34">
        <f t="shared" si="3"/>
        <v>0.9375</v>
      </c>
      <c r="AC41" s="35"/>
      <c r="AD41" s="36" t="s">
        <v>51</v>
      </c>
      <c r="AE41" s="36" t="s">
        <v>240</v>
      </c>
    </row>
    <row r="42" spans="1:31" ht="69" x14ac:dyDescent="0.25">
      <c r="A42" s="11">
        <v>52</v>
      </c>
      <c r="B42" s="37" t="s">
        <v>38</v>
      </c>
      <c r="C42" s="37" t="s">
        <v>81</v>
      </c>
      <c r="D42" s="37" t="s">
        <v>131</v>
      </c>
      <c r="E42" s="38" t="s">
        <v>140</v>
      </c>
      <c r="F42" s="39" t="s">
        <v>141</v>
      </c>
      <c r="G42" s="100">
        <v>20200680010091</v>
      </c>
      <c r="H42" s="53" t="s">
        <v>138</v>
      </c>
      <c r="I42" s="58" t="s">
        <v>139</v>
      </c>
      <c r="J42" s="27">
        <v>44259</v>
      </c>
      <c r="K42" s="27">
        <v>44561</v>
      </c>
      <c r="L42" s="28">
        <v>1</v>
      </c>
      <c r="M42" s="29">
        <v>0.91659999999999997</v>
      </c>
      <c r="N42" s="30">
        <f t="shared" si="0"/>
        <v>0.91659999999999997</v>
      </c>
      <c r="O42" s="50" t="s">
        <v>263</v>
      </c>
      <c r="P42" s="32">
        <v>6400000</v>
      </c>
      <c r="Q42" s="32">
        <v>96800000</v>
      </c>
      <c r="R42" s="32"/>
      <c r="S42" s="32"/>
      <c r="T42" s="32"/>
      <c r="U42" s="33">
        <f t="shared" si="1"/>
        <v>103200000</v>
      </c>
      <c r="V42" s="32"/>
      <c r="W42" s="32">
        <v>96800000</v>
      </c>
      <c r="X42" s="43"/>
      <c r="Y42" s="43"/>
      <c r="Z42" s="43"/>
      <c r="AA42" s="33">
        <f t="shared" si="2"/>
        <v>96800000</v>
      </c>
      <c r="AB42" s="34">
        <f t="shared" si="3"/>
        <v>0.93798449612403101</v>
      </c>
      <c r="AC42" s="35"/>
      <c r="AD42" s="36" t="s">
        <v>51</v>
      </c>
      <c r="AE42" s="36" t="s">
        <v>240</v>
      </c>
    </row>
    <row r="43" spans="1:31" ht="41.4" x14ac:dyDescent="0.25">
      <c r="A43" s="11">
        <v>53</v>
      </c>
      <c r="B43" s="37" t="s">
        <v>38</v>
      </c>
      <c r="C43" s="37" t="s">
        <v>81</v>
      </c>
      <c r="D43" s="37" t="s">
        <v>131</v>
      </c>
      <c r="E43" s="38" t="s">
        <v>142</v>
      </c>
      <c r="F43" s="39" t="s">
        <v>143</v>
      </c>
      <c r="G43" s="100">
        <v>20200680010091</v>
      </c>
      <c r="H43" s="53" t="s">
        <v>138</v>
      </c>
      <c r="I43" s="58" t="s">
        <v>139</v>
      </c>
      <c r="J43" s="27">
        <v>44259</v>
      </c>
      <c r="K43" s="27">
        <v>44561</v>
      </c>
      <c r="L43" s="46">
        <v>1</v>
      </c>
      <c r="M43" s="47">
        <v>1</v>
      </c>
      <c r="N43" s="30">
        <f t="shared" si="0"/>
        <v>1</v>
      </c>
      <c r="O43" s="50" t="s">
        <v>262</v>
      </c>
      <c r="P43" s="32">
        <v>5666668</v>
      </c>
      <c r="Q43" s="32">
        <v>120100000</v>
      </c>
      <c r="R43" s="32"/>
      <c r="S43" s="32"/>
      <c r="T43" s="32"/>
      <c r="U43" s="33">
        <f t="shared" si="1"/>
        <v>125766668</v>
      </c>
      <c r="V43" s="32"/>
      <c r="W43" s="62">
        <v>116900000</v>
      </c>
      <c r="X43" s="43"/>
      <c r="Y43" s="43"/>
      <c r="Z43" s="43"/>
      <c r="AA43" s="33">
        <f t="shared" si="2"/>
        <v>116900000</v>
      </c>
      <c r="AB43" s="34">
        <f t="shared" si="3"/>
        <v>0.92949906250199776</v>
      </c>
      <c r="AC43" s="35"/>
      <c r="AD43" s="36" t="s">
        <v>51</v>
      </c>
      <c r="AE43" s="36" t="s">
        <v>240</v>
      </c>
    </row>
    <row r="44" spans="1:31" ht="41.4" x14ac:dyDescent="0.25">
      <c r="A44" s="11">
        <v>54</v>
      </c>
      <c r="B44" s="37" t="s">
        <v>38</v>
      </c>
      <c r="C44" s="37" t="s">
        <v>81</v>
      </c>
      <c r="D44" s="37" t="s">
        <v>131</v>
      </c>
      <c r="E44" s="63" t="s">
        <v>144</v>
      </c>
      <c r="F44" s="39" t="s">
        <v>145</v>
      </c>
      <c r="G44" s="100">
        <v>20200680010091</v>
      </c>
      <c r="H44" s="53" t="s">
        <v>138</v>
      </c>
      <c r="I44" s="58" t="s">
        <v>139</v>
      </c>
      <c r="J44" s="27">
        <v>44259</v>
      </c>
      <c r="K44" s="27">
        <v>44561</v>
      </c>
      <c r="L44" s="46">
        <v>5</v>
      </c>
      <c r="M44" s="47">
        <v>5</v>
      </c>
      <c r="N44" s="30">
        <f t="shared" si="0"/>
        <v>1</v>
      </c>
      <c r="O44" s="50" t="s">
        <v>262</v>
      </c>
      <c r="P44" s="32">
        <v>1416666</v>
      </c>
      <c r="Q44" s="32">
        <v>12750000</v>
      </c>
      <c r="R44" s="32"/>
      <c r="S44" s="32"/>
      <c r="T44" s="32"/>
      <c r="U44" s="33">
        <f t="shared" si="1"/>
        <v>14166666</v>
      </c>
      <c r="V44" s="32"/>
      <c r="W44" s="62">
        <v>11950000</v>
      </c>
      <c r="X44" s="64"/>
      <c r="Y44" s="64"/>
      <c r="Z44" s="64"/>
      <c r="AA44" s="33">
        <f t="shared" si="2"/>
        <v>11950000</v>
      </c>
      <c r="AB44" s="34">
        <f t="shared" si="3"/>
        <v>0.84352945146020952</v>
      </c>
      <c r="AC44" s="35"/>
      <c r="AD44" s="36" t="s">
        <v>51</v>
      </c>
      <c r="AE44" s="36" t="s">
        <v>240</v>
      </c>
    </row>
    <row r="45" spans="1:31" ht="41.4" x14ac:dyDescent="0.25">
      <c r="A45" s="11">
        <v>55</v>
      </c>
      <c r="B45" s="37" t="s">
        <v>38</v>
      </c>
      <c r="C45" s="37" t="s">
        <v>81</v>
      </c>
      <c r="D45" s="37" t="s">
        <v>131</v>
      </c>
      <c r="E45" s="65" t="s">
        <v>146</v>
      </c>
      <c r="F45" s="66" t="s">
        <v>147</v>
      </c>
      <c r="G45" s="100">
        <v>20200680010091</v>
      </c>
      <c r="H45" s="53" t="s">
        <v>138</v>
      </c>
      <c r="I45" s="58" t="s">
        <v>139</v>
      </c>
      <c r="J45" s="27">
        <v>44251</v>
      </c>
      <c r="K45" s="27">
        <v>44561</v>
      </c>
      <c r="L45" s="132">
        <v>1</v>
      </c>
      <c r="M45" s="130">
        <v>1</v>
      </c>
      <c r="N45" s="110">
        <f t="shared" si="0"/>
        <v>1</v>
      </c>
      <c r="O45" s="50" t="s">
        <v>262</v>
      </c>
      <c r="P45" s="32">
        <v>1513475</v>
      </c>
      <c r="Q45" s="32">
        <f>126000000+2486525</f>
        <v>128486525</v>
      </c>
      <c r="R45" s="32"/>
      <c r="S45" s="32"/>
      <c r="T45" s="32"/>
      <c r="U45" s="108">
        <f>SUM(P45:T46)</f>
        <v>191474000</v>
      </c>
      <c r="V45" s="32"/>
      <c r="W45" s="32">
        <v>126000000</v>
      </c>
      <c r="X45" s="64"/>
      <c r="Y45" s="64"/>
      <c r="Z45" s="64"/>
      <c r="AA45" s="108">
        <f>SUM(V45:Z46)</f>
        <v>126000000</v>
      </c>
      <c r="AB45" s="106">
        <f>IFERROR(AA45/U45,"-")</f>
        <v>0.65805279045719001</v>
      </c>
      <c r="AC45" s="116"/>
      <c r="AD45" s="114" t="s">
        <v>51</v>
      </c>
      <c r="AE45" s="114" t="s">
        <v>240</v>
      </c>
    </row>
    <row r="46" spans="1:31" ht="69" x14ac:dyDescent="0.25">
      <c r="A46" s="11">
        <v>55</v>
      </c>
      <c r="B46" s="37" t="s">
        <v>38</v>
      </c>
      <c r="C46" s="37" t="s">
        <v>81</v>
      </c>
      <c r="D46" s="37" t="s">
        <v>131</v>
      </c>
      <c r="E46" s="65" t="s">
        <v>146</v>
      </c>
      <c r="F46" s="66" t="s">
        <v>147</v>
      </c>
      <c r="G46" s="100">
        <v>20210680010200</v>
      </c>
      <c r="H46" s="53" t="s">
        <v>282</v>
      </c>
      <c r="I46" s="58" t="s">
        <v>283</v>
      </c>
      <c r="J46" s="27">
        <v>44523</v>
      </c>
      <c r="K46" s="27">
        <v>44561</v>
      </c>
      <c r="L46" s="133"/>
      <c r="M46" s="131"/>
      <c r="N46" s="111"/>
      <c r="O46" s="50" t="s">
        <v>284</v>
      </c>
      <c r="P46" s="32">
        <v>61474000</v>
      </c>
      <c r="Q46" s="32"/>
      <c r="R46" s="32"/>
      <c r="S46" s="32"/>
      <c r="T46" s="32"/>
      <c r="U46" s="109"/>
      <c r="V46" s="32"/>
      <c r="W46" s="32"/>
      <c r="X46" s="64"/>
      <c r="Y46" s="64"/>
      <c r="Z46" s="64"/>
      <c r="AA46" s="109"/>
      <c r="AB46" s="107"/>
      <c r="AC46" s="117"/>
      <c r="AD46" s="115"/>
      <c r="AE46" s="115"/>
    </row>
    <row r="47" spans="1:31" ht="82.8" x14ac:dyDescent="0.25">
      <c r="A47" s="11">
        <v>56</v>
      </c>
      <c r="B47" s="37" t="s">
        <v>38</v>
      </c>
      <c r="C47" s="37" t="s">
        <v>81</v>
      </c>
      <c r="D47" s="37" t="s">
        <v>131</v>
      </c>
      <c r="E47" s="65" t="s">
        <v>148</v>
      </c>
      <c r="F47" s="66" t="s">
        <v>149</v>
      </c>
      <c r="G47" s="100">
        <v>20200680010091</v>
      </c>
      <c r="H47" s="53" t="s">
        <v>138</v>
      </c>
      <c r="I47" s="58" t="s">
        <v>139</v>
      </c>
      <c r="J47" s="27">
        <v>44290</v>
      </c>
      <c r="K47" s="27">
        <v>44561</v>
      </c>
      <c r="L47" s="46">
        <v>1</v>
      </c>
      <c r="M47" s="51">
        <v>0.91659999999999997</v>
      </c>
      <c r="N47" s="30">
        <f t="shared" si="0"/>
        <v>0.91659999999999997</v>
      </c>
      <c r="O47" s="50" t="s">
        <v>122</v>
      </c>
      <c r="P47" s="32"/>
      <c r="Q47" s="32">
        <v>39200000</v>
      </c>
      <c r="R47" s="32"/>
      <c r="S47" s="32"/>
      <c r="T47" s="32"/>
      <c r="U47" s="33">
        <f t="shared" ref="U47:U53" si="4">SUM(P47:T47)</f>
        <v>39200000</v>
      </c>
      <c r="V47" s="32"/>
      <c r="W47" s="32">
        <v>39200000</v>
      </c>
      <c r="X47" s="64"/>
      <c r="Y47" s="64"/>
      <c r="Z47" s="64"/>
      <c r="AA47" s="33">
        <f t="shared" ref="AA47:AA53" si="5">SUM(V47:Z47)</f>
        <v>39200000</v>
      </c>
      <c r="AB47" s="34">
        <f t="shared" si="3"/>
        <v>1</v>
      </c>
      <c r="AC47" s="35"/>
      <c r="AD47" s="36" t="s">
        <v>51</v>
      </c>
      <c r="AE47" s="36" t="s">
        <v>240</v>
      </c>
    </row>
    <row r="48" spans="1:31" ht="41.4" x14ac:dyDescent="0.25">
      <c r="A48" s="11">
        <v>57</v>
      </c>
      <c r="B48" s="37" t="s">
        <v>38</v>
      </c>
      <c r="C48" s="37" t="s">
        <v>81</v>
      </c>
      <c r="D48" s="37" t="s">
        <v>131</v>
      </c>
      <c r="E48" s="65" t="s">
        <v>150</v>
      </c>
      <c r="F48" s="66" t="s">
        <v>151</v>
      </c>
      <c r="G48" s="100">
        <v>20200680010091</v>
      </c>
      <c r="H48" s="53" t="s">
        <v>138</v>
      </c>
      <c r="I48" s="58" t="s">
        <v>139</v>
      </c>
      <c r="J48" s="27">
        <v>44259</v>
      </c>
      <c r="K48" s="27">
        <v>44561</v>
      </c>
      <c r="L48" s="46">
        <v>1</v>
      </c>
      <c r="M48" s="51">
        <v>0.91659999999999997</v>
      </c>
      <c r="N48" s="30">
        <f t="shared" si="0"/>
        <v>0.91659999999999997</v>
      </c>
      <c r="O48" s="50" t="s">
        <v>262</v>
      </c>
      <c r="P48" s="32">
        <v>1600000</v>
      </c>
      <c r="Q48" s="32">
        <v>34000000</v>
      </c>
      <c r="R48" s="32"/>
      <c r="S48" s="32"/>
      <c r="T48" s="32"/>
      <c r="U48" s="33">
        <f t="shared" si="4"/>
        <v>35600000</v>
      </c>
      <c r="V48" s="32"/>
      <c r="W48" s="32">
        <v>34000000</v>
      </c>
      <c r="X48" s="64"/>
      <c r="Y48" s="64"/>
      <c r="Z48" s="64"/>
      <c r="AA48" s="33">
        <f t="shared" si="5"/>
        <v>34000000</v>
      </c>
      <c r="AB48" s="34">
        <f t="shared" si="3"/>
        <v>0.9550561797752809</v>
      </c>
      <c r="AC48" s="35"/>
      <c r="AD48" s="36" t="s">
        <v>51</v>
      </c>
      <c r="AE48" s="36" t="s">
        <v>240</v>
      </c>
    </row>
    <row r="49" spans="1:31" ht="41.4" x14ac:dyDescent="0.25">
      <c r="A49" s="11">
        <v>58</v>
      </c>
      <c r="B49" s="37" t="s">
        <v>38</v>
      </c>
      <c r="C49" s="37" t="s">
        <v>81</v>
      </c>
      <c r="D49" s="37" t="s">
        <v>152</v>
      </c>
      <c r="E49" s="65" t="s">
        <v>153</v>
      </c>
      <c r="F49" s="66" t="s">
        <v>154</v>
      </c>
      <c r="G49" s="100"/>
      <c r="H49" s="24" t="s">
        <v>291</v>
      </c>
      <c r="I49" s="24" t="s">
        <v>291</v>
      </c>
      <c r="J49" s="27"/>
      <c r="K49" s="27"/>
      <c r="L49" s="46">
        <v>0</v>
      </c>
      <c r="M49" s="47"/>
      <c r="N49" s="30" t="str">
        <f t="shared" si="0"/>
        <v>-</v>
      </c>
      <c r="O49" s="50"/>
      <c r="P49" s="32"/>
      <c r="Q49" s="32"/>
      <c r="R49" s="32"/>
      <c r="S49" s="32"/>
      <c r="T49" s="32"/>
      <c r="U49" s="33">
        <f t="shared" si="4"/>
        <v>0</v>
      </c>
      <c r="V49" s="32"/>
      <c r="W49" s="32"/>
      <c r="X49" s="64"/>
      <c r="Y49" s="64"/>
      <c r="Z49" s="64"/>
      <c r="AA49" s="33">
        <f t="shared" si="5"/>
        <v>0</v>
      </c>
      <c r="AB49" s="34" t="str">
        <f t="shared" si="3"/>
        <v>-</v>
      </c>
      <c r="AC49" s="35"/>
      <c r="AD49" s="36" t="s">
        <v>51</v>
      </c>
      <c r="AE49" s="36" t="s">
        <v>240</v>
      </c>
    </row>
    <row r="50" spans="1:31" ht="96.6" x14ac:dyDescent="0.25">
      <c r="A50" s="11">
        <v>59</v>
      </c>
      <c r="B50" s="22" t="s">
        <v>38</v>
      </c>
      <c r="C50" s="22" t="s">
        <v>81</v>
      </c>
      <c r="D50" s="22" t="s">
        <v>152</v>
      </c>
      <c r="E50" s="67" t="s">
        <v>155</v>
      </c>
      <c r="F50" s="68" t="s">
        <v>156</v>
      </c>
      <c r="G50" s="100">
        <v>20200680010138</v>
      </c>
      <c r="H50" s="69" t="s">
        <v>157</v>
      </c>
      <c r="I50" s="41" t="s">
        <v>158</v>
      </c>
      <c r="J50" s="27">
        <v>44238</v>
      </c>
      <c r="K50" s="27">
        <v>44561</v>
      </c>
      <c r="L50" s="46">
        <v>32000</v>
      </c>
      <c r="M50" s="47">
        <f>65+4470+3026+489+2874+5312+4891+3397+1886+1617</f>
        <v>28027</v>
      </c>
      <c r="N50" s="70">
        <f t="shared" si="0"/>
        <v>0.87584375000000003</v>
      </c>
      <c r="O50" s="50" t="s">
        <v>277</v>
      </c>
      <c r="P50" s="32">
        <v>116041818.75</v>
      </c>
      <c r="Q50" s="32">
        <v>156800000</v>
      </c>
      <c r="R50" s="32"/>
      <c r="S50" s="32"/>
      <c r="T50" s="32"/>
      <c r="U50" s="33">
        <f t="shared" si="4"/>
        <v>272841818.75</v>
      </c>
      <c r="V50" s="32">
        <v>134600000</v>
      </c>
      <c r="W50" s="32">
        <v>66800000</v>
      </c>
      <c r="X50" s="64"/>
      <c r="Y50" s="64"/>
      <c r="Z50" s="64"/>
      <c r="AA50" s="33">
        <f t="shared" si="5"/>
        <v>201400000</v>
      </c>
      <c r="AB50" s="34">
        <f>IFERROR(AA50/U50,"-")</f>
        <v>0.73815663934031739</v>
      </c>
      <c r="AC50" s="45"/>
      <c r="AD50" s="22" t="s">
        <v>51</v>
      </c>
      <c r="AE50" s="22" t="s">
        <v>240</v>
      </c>
    </row>
    <row r="51" spans="1:31" ht="41.4" x14ac:dyDescent="0.25">
      <c r="A51" s="11">
        <v>60</v>
      </c>
      <c r="B51" s="22" t="s">
        <v>38</v>
      </c>
      <c r="C51" s="22" t="s">
        <v>81</v>
      </c>
      <c r="D51" s="22" t="s">
        <v>152</v>
      </c>
      <c r="E51" s="67" t="s">
        <v>159</v>
      </c>
      <c r="F51" s="68" t="s">
        <v>160</v>
      </c>
      <c r="G51" s="100">
        <v>20200680010138</v>
      </c>
      <c r="H51" s="69" t="s">
        <v>157</v>
      </c>
      <c r="I51" s="41" t="s">
        <v>161</v>
      </c>
      <c r="J51" s="27">
        <v>44250</v>
      </c>
      <c r="K51" s="27">
        <v>44561</v>
      </c>
      <c r="L51" s="46">
        <v>5000</v>
      </c>
      <c r="M51" s="47">
        <f>81+452+402+239+693+15+408+895+825</f>
        <v>4010</v>
      </c>
      <c r="N51" s="30">
        <f t="shared" si="0"/>
        <v>0.80200000000000005</v>
      </c>
      <c r="O51" s="50" t="s">
        <v>300</v>
      </c>
      <c r="P51" s="32">
        <v>277250000.80000001</v>
      </c>
      <c r="Q51" s="32"/>
      <c r="R51" s="32"/>
      <c r="S51" s="32"/>
      <c r="T51" s="32"/>
      <c r="U51" s="33">
        <f t="shared" si="4"/>
        <v>277250000.80000001</v>
      </c>
      <c r="V51" s="32">
        <f>127300000+133194900</f>
        <v>260494900</v>
      </c>
      <c r="W51" s="32"/>
      <c r="X51" s="64"/>
      <c r="Y51" s="64"/>
      <c r="Z51" s="64"/>
      <c r="AA51" s="33">
        <f t="shared" si="5"/>
        <v>260494900</v>
      </c>
      <c r="AB51" s="34">
        <f>IFERROR(AA51/U51,"-")</f>
        <v>0.93956681424110566</v>
      </c>
      <c r="AC51" s="45"/>
      <c r="AD51" s="22" t="s">
        <v>51</v>
      </c>
      <c r="AE51" s="36" t="s">
        <v>240</v>
      </c>
    </row>
    <row r="52" spans="1:31" ht="55.2" x14ac:dyDescent="0.25">
      <c r="A52" s="11">
        <v>61</v>
      </c>
      <c r="B52" s="37" t="s">
        <v>38</v>
      </c>
      <c r="C52" s="37" t="s">
        <v>81</v>
      </c>
      <c r="D52" s="37" t="s">
        <v>152</v>
      </c>
      <c r="E52" s="65" t="s">
        <v>162</v>
      </c>
      <c r="F52" s="66" t="s">
        <v>163</v>
      </c>
      <c r="G52" s="100">
        <v>20200680010138</v>
      </c>
      <c r="H52" s="69" t="s">
        <v>157</v>
      </c>
      <c r="I52" s="41" t="s">
        <v>164</v>
      </c>
      <c r="J52" s="27">
        <v>44241</v>
      </c>
      <c r="K52" s="27">
        <v>44561</v>
      </c>
      <c r="L52" s="46">
        <v>12000</v>
      </c>
      <c r="M52" s="47">
        <f>2666+9319+250+513+159+2250+660+523+1201</f>
        <v>17541</v>
      </c>
      <c r="N52" s="30">
        <f t="shared" si="0"/>
        <v>1</v>
      </c>
      <c r="O52" s="50" t="s">
        <v>296</v>
      </c>
      <c r="P52" s="13"/>
      <c r="Q52" s="32">
        <v>306413000</v>
      </c>
      <c r="R52" s="32"/>
      <c r="S52" s="32"/>
      <c r="T52" s="32">
        <v>45558182</v>
      </c>
      <c r="U52" s="33">
        <f t="shared" si="4"/>
        <v>351971182</v>
      </c>
      <c r="V52" s="32"/>
      <c r="W52" s="62">
        <f>174510000+54000000</f>
        <v>228510000</v>
      </c>
      <c r="X52" s="64"/>
      <c r="Y52" s="64"/>
      <c r="Z52" s="64"/>
      <c r="AA52" s="33">
        <f t="shared" si="5"/>
        <v>228510000</v>
      </c>
      <c r="AB52" s="34">
        <f>IFERROR(AA52/U52,"-")</f>
        <v>0.64922928832281501</v>
      </c>
      <c r="AC52" s="35"/>
      <c r="AD52" s="36" t="s">
        <v>51</v>
      </c>
      <c r="AE52" s="36" t="s">
        <v>240</v>
      </c>
    </row>
    <row r="53" spans="1:31" ht="69" x14ac:dyDescent="0.25">
      <c r="A53" s="11">
        <v>62</v>
      </c>
      <c r="B53" s="22" t="s">
        <v>38</v>
      </c>
      <c r="C53" s="22" t="s">
        <v>81</v>
      </c>
      <c r="D53" s="22" t="s">
        <v>152</v>
      </c>
      <c r="E53" s="67" t="s">
        <v>165</v>
      </c>
      <c r="F53" s="68" t="s">
        <v>166</v>
      </c>
      <c r="G53" s="100">
        <v>20200680010138</v>
      </c>
      <c r="H53" s="69" t="s">
        <v>157</v>
      </c>
      <c r="I53" s="41" t="s">
        <v>167</v>
      </c>
      <c r="J53" s="27">
        <v>44231</v>
      </c>
      <c r="K53" s="27">
        <v>44561</v>
      </c>
      <c r="L53" s="46">
        <v>1</v>
      </c>
      <c r="M53" s="47">
        <v>1</v>
      </c>
      <c r="N53" s="30">
        <f t="shared" si="0"/>
        <v>1</v>
      </c>
      <c r="O53" s="58" t="s">
        <v>297</v>
      </c>
      <c r="P53" s="32"/>
      <c r="Q53" s="32">
        <f>48700000+87300000</f>
        <v>136000000</v>
      </c>
      <c r="R53" s="32"/>
      <c r="S53" s="32"/>
      <c r="T53" s="32">
        <v>8000000</v>
      </c>
      <c r="U53" s="33">
        <f t="shared" si="4"/>
        <v>144000000</v>
      </c>
      <c r="V53" s="71"/>
      <c r="W53" s="32">
        <v>136000000</v>
      </c>
      <c r="X53" s="64"/>
      <c r="Y53" s="64"/>
      <c r="Z53" s="32">
        <v>5733333</v>
      </c>
      <c r="AA53" s="33">
        <f t="shared" si="5"/>
        <v>141733333</v>
      </c>
      <c r="AB53" s="34">
        <f>IFERROR(AA53/U53,"-")</f>
        <v>0.98425925694444449</v>
      </c>
      <c r="AC53" s="45"/>
      <c r="AD53" s="22" t="s">
        <v>51</v>
      </c>
      <c r="AE53" s="22" t="s">
        <v>240</v>
      </c>
    </row>
    <row r="54" spans="1:31" ht="41.4" x14ac:dyDescent="0.25">
      <c r="A54" s="11">
        <v>63</v>
      </c>
      <c r="B54" s="37" t="s">
        <v>38</v>
      </c>
      <c r="C54" s="37" t="s">
        <v>81</v>
      </c>
      <c r="D54" s="37" t="s">
        <v>152</v>
      </c>
      <c r="E54" s="65" t="s">
        <v>168</v>
      </c>
      <c r="F54" s="66" t="s">
        <v>169</v>
      </c>
      <c r="G54" s="100">
        <v>20210680010186</v>
      </c>
      <c r="H54" s="72" t="s">
        <v>288</v>
      </c>
      <c r="I54" s="41"/>
      <c r="J54" s="27"/>
      <c r="K54" s="27"/>
      <c r="L54" s="161">
        <v>1</v>
      </c>
      <c r="M54" s="137">
        <v>0.8</v>
      </c>
      <c r="N54" s="110">
        <f t="shared" si="0"/>
        <v>0.8</v>
      </c>
      <c r="O54" s="58" t="s">
        <v>254</v>
      </c>
      <c r="P54" s="32">
        <v>154430107.03</v>
      </c>
      <c r="Q54" s="32"/>
      <c r="R54" s="32"/>
      <c r="S54" s="32"/>
      <c r="T54" s="32"/>
      <c r="U54" s="108">
        <f>SUM(P54:T55)</f>
        <v>225430555.41</v>
      </c>
      <c r="V54" s="32">
        <v>149157619.20000002</v>
      </c>
      <c r="W54" s="32"/>
      <c r="X54" s="64"/>
      <c r="Y54" s="64"/>
      <c r="Z54" s="64"/>
      <c r="AA54" s="108">
        <f>SUM(V54:Z55)</f>
        <v>149157619.20000002</v>
      </c>
      <c r="AB54" s="106">
        <f t="shared" ref="AB54:AB65" si="6">IFERROR(AA54/U54,"-")</f>
        <v>0.66165661939092868</v>
      </c>
      <c r="AC54" s="116"/>
      <c r="AD54" s="114" t="s">
        <v>51</v>
      </c>
      <c r="AE54" s="114" t="s">
        <v>240</v>
      </c>
    </row>
    <row r="55" spans="1:31" ht="41.4" x14ac:dyDescent="0.25">
      <c r="A55" s="11">
        <v>63</v>
      </c>
      <c r="B55" s="73" t="s">
        <v>38</v>
      </c>
      <c r="C55" s="73" t="s">
        <v>81</v>
      </c>
      <c r="D55" s="73" t="s">
        <v>152</v>
      </c>
      <c r="E55" s="65" t="s">
        <v>168</v>
      </c>
      <c r="F55" s="66" t="s">
        <v>169</v>
      </c>
      <c r="G55" s="101"/>
      <c r="H55" s="74" t="s">
        <v>54</v>
      </c>
      <c r="I55" s="41"/>
      <c r="J55" s="27"/>
      <c r="K55" s="27"/>
      <c r="L55" s="162"/>
      <c r="M55" s="138"/>
      <c r="N55" s="111"/>
      <c r="O55" s="58" t="s">
        <v>292</v>
      </c>
      <c r="P55" s="32">
        <f>43150983.53+27849464.85</f>
        <v>71000448.379999995</v>
      </c>
      <c r="Q55" s="32"/>
      <c r="R55" s="32"/>
      <c r="S55" s="32"/>
      <c r="T55" s="32"/>
      <c r="U55" s="109"/>
      <c r="V55" s="32"/>
      <c r="W55" s="32"/>
      <c r="X55" s="64"/>
      <c r="Y55" s="64"/>
      <c r="Z55" s="64"/>
      <c r="AA55" s="109"/>
      <c r="AB55" s="107"/>
      <c r="AC55" s="117"/>
      <c r="AD55" s="115"/>
      <c r="AE55" s="115"/>
    </row>
    <row r="56" spans="1:31" ht="41.4" x14ac:dyDescent="0.25">
      <c r="A56" s="11">
        <v>64</v>
      </c>
      <c r="B56" s="37" t="s">
        <v>38</v>
      </c>
      <c r="C56" s="37" t="s">
        <v>81</v>
      </c>
      <c r="D56" s="37" t="s">
        <v>170</v>
      </c>
      <c r="E56" s="65" t="s">
        <v>171</v>
      </c>
      <c r="F56" s="66" t="s">
        <v>172</v>
      </c>
      <c r="G56" s="100">
        <v>20200680010103</v>
      </c>
      <c r="H56" s="69" t="s">
        <v>173</v>
      </c>
      <c r="I56" s="41" t="s">
        <v>174</v>
      </c>
      <c r="J56" s="27">
        <v>44228</v>
      </c>
      <c r="K56" s="27">
        <v>44561</v>
      </c>
      <c r="L56" s="46">
        <v>2</v>
      </c>
      <c r="M56" s="47">
        <v>2</v>
      </c>
      <c r="N56" s="30">
        <f t="shared" ref="N56:N70" si="7">IFERROR(IF(M56/L56&gt;100%,100%,M56/L56),"-")</f>
        <v>1</v>
      </c>
      <c r="O56" s="58" t="s">
        <v>261</v>
      </c>
      <c r="P56" s="32">
        <v>23500000</v>
      </c>
      <c r="Q56" s="32">
        <v>72000000</v>
      </c>
      <c r="R56" s="32"/>
      <c r="S56" s="32"/>
      <c r="T56" s="32"/>
      <c r="U56" s="33">
        <f>SUM(P56:T56)</f>
        <v>95500000</v>
      </c>
      <c r="V56" s="32">
        <v>9850000</v>
      </c>
      <c r="W56" s="32">
        <f>40500000+28000000+3500000</f>
        <v>72000000</v>
      </c>
      <c r="X56" s="64"/>
      <c r="Y56" s="64"/>
      <c r="Z56" s="64"/>
      <c r="AA56" s="33">
        <f>SUM(V56:Z56)</f>
        <v>81850000</v>
      </c>
      <c r="AB56" s="34">
        <f t="shared" si="6"/>
        <v>0.85706806282722514</v>
      </c>
      <c r="AC56" s="35"/>
      <c r="AD56" s="36" t="s">
        <v>51</v>
      </c>
      <c r="AE56" s="36" t="s">
        <v>240</v>
      </c>
    </row>
    <row r="57" spans="1:31" ht="41.4" x14ac:dyDescent="0.25">
      <c r="A57" s="11">
        <v>65</v>
      </c>
      <c r="B57" s="37" t="s">
        <v>38</v>
      </c>
      <c r="C57" s="37" t="s">
        <v>81</v>
      </c>
      <c r="D57" s="37" t="s">
        <v>170</v>
      </c>
      <c r="E57" s="65" t="s">
        <v>175</v>
      </c>
      <c r="F57" s="66" t="s">
        <v>176</v>
      </c>
      <c r="G57" s="100">
        <v>20200680010103</v>
      </c>
      <c r="H57" s="69" t="s">
        <v>173</v>
      </c>
      <c r="I57" s="41" t="s">
        <v>177</v>
      </c>
      <c r="J57" s="27">
        <v>44228</v>
      </c>
      <c r="K57" s="27">
        <v>44561</v>
      </c>
      <c r="L57" s="46">
        <v>1</v>
      </c>
      <c r="M57" s="47">
        <v>1</v>
      </c>
      <c r="N57" s="30">
        <f t="shared" si="7"/>
        <v>1</v>
      </c>
      <c r="O57" s="58" t="s">
        <v>260</v>
      </c>
      <c r="P57" s="32">
        <f>144000000+56000000</f>
        <v>200000000</v>
      </c>
      <c r="Q57" s="32"/>
      <c r="R57" s="32"/>
      <c r="S57" s="32"/>
      <c r="T57" s="32"/>
      <c r="U57" s="33">
        <f>SUM(P57:T57)</f>
        <v>200000000</v>
      </c>
      <c r="V57" s="32">
        <f>144000000+5600000</f>
        <v>149600000</v>
      </c>
      <c r="W57" s="32"/>
      <c r="X57" s="64"/>
      <c r="Y57" s="64"/>
      <c r="Z57" s="64"/>
      <c r="AA57" s="33">
        <f>SUM(V57:Z57)</f>
        <v>149600000</v>
      </c>
      <c r="AB57" s="34">
        <f t="shared" si="6"/>
        <v>0.748</v>
      </c>
      <c r="AC57" s="35"/>
      <c r="AD57" s="36" t="s">
        <v>51</v>
      </c>
      <c r="AE57" s="36" t="s">
        <v>240</v>
      </c>
    </row>
    <row r="58" spans="1:31" ht="41.4" x14ac:dyDescent="0.25">
      <c r="A58" s="11">
        <v>66</v>
      </c>
      <c r="B58" s="37" t="s">
        <v>38</v>
      </c>
      <c r="C58" s="37" t="s">
        <v>81</v>
      </c>
      <c r="D58" s="37" t="s">
        <v>178</v>
      </c>
      <c r="E58" s="65" t="s">
        <v>179</v>
      </c>
      <c r="F58" s="66" t="s">
        <v>180</v>
      </c>
      <c r="G58" s="102">
        <v>20200680010142</v>
      </c>
      <c r="H58" s="56" t="s">
        <v>181</v>
      </c>
      <c r="I58" s="41" t="s">
        <v>182</v>
      </c>
      <c r="J58" s="27">
        <v>44300</v>
      </c>
      <c r="K58" s="27">
        <v>44561</v>
      </c>
      <c r="L58" s="28">
        <v>1</v>
      </c>
      <c r="M58" s="29">
        <v>0.91659999999999997</v>
      </c>
      <c r="N58" s="30">
        <f t="shared" si="7"/>
        <v>0.91659999999999997</v>
      </c>
      <c r="O58" s="58" t="s">
        <v>259</v>
      </c>
      <c r="P58" s="32">
        <v>6400000</v>
      </c>
      <c r="Q58" s="32">
        <v>57600000</v>
      </c>
      <c r="R58" s="32"/>
      <c r="S58" s="32"/>
      <c r="T58" s="32"/>
      <c r="U58" s="33">
        <f>SUM(P58:T58)</f>
        <v>64000000</v>
      </c>
      <c r="V58" s="32"/>
      <c r="W58" s="32">
        <v>49750000</v>
      </c>
      <c r="X58" s="64"/>
      <c r="Y58" s="64"/>
      <c r="Z58" s="64"/>
      <c r="AA58" s="33">
        <f>SUM(V58:Z58)</f>
        <v>49750000</v>
      </c>
      <c r="AB58" s="34">
        <f t="shared" si="6"/>
        <v>0.77734375</v>
      </c>
      <c r="AC58" s="35"/>
      <c r="AD58" s="36" t="s">
        <v>51</v>
      </c>
      <c r="AE58" s="36" t="s">
        <v>240</v>
      </c>
    </row>
    <row r="59" spans="1:31" ht="133.80000000000001" customHeight="1" x14ac:dyDescent="0.25">
      <c r="A59" s="11">
        <v>99</v>
      </c>
      <c r="B59" s="22" t="s">
        <v>38</v>
      </c>
      <c r="C59" s="22" t="s">
        <v>39</v>
      </c>
      <c r="D59" s="24" t="s">
        <v>41</v>
      </c>
      <c r="E59" s="75" t="s">
        <v>42</v>
      </c>
      <c r="F59" s="66" t="s">
        <v>43</v>
      </c>
      <c r="G59" s="102">
        <v>20210680010071</v>
      </c>
      <c r="H59" s="91" t="s">
        <v>293</v>
      </c>
      <c r="I59" s="92" t="s">
        <v>294</v>
      </c>
      <c r="J59" s="27"/>
      <c r="K59" s="27"/>
      <c r="L59" s="76">
        <v>1</v>
      </c>
      <c r="M59" s="77">
        <v>1</v>
      </c>
      <c r="N59" s="30">
        <f>IFERROR(IF(M59/L59&gt;100%,100%,M59/L59),"-")</f>
        <v>1</v>
      </c>
      <c r="O59" s="58"/>
      <c r="P59" s="32"/>
      <c r="Q59" s="42"/>
      <c r="R59" s="42"/>
      <c r="S59" s="42"/>
      <c r="T59" s="42"/>
      <c r="U59" s="33">
        <f>SUM(P59:T59)</f>
        <v>0</v>
      </c>
      <c r="V59" s="32"/>
      <c r="W59" s="32"/>
      <c r="X59" s="43"/>
      <c r="Y59" s="43"/>
      <c r="Z59" s="43"/>
      <c r="AA59" s="33">
        <f>SUM(V59:Z59)</f>
        <v>0</v>
      </c>
      <c r="AB59" s="34" t="str">
        <f t="shared" si="6"/>
        <v>-</v>
      </c>
      <c r="AC59" s="35"/>
      <c r="AD59" s="36" t="s">
        <v>51</v>
      </c>
      <c r="AE59" s="36" t="s">
        <v>240</v>
      </c>
    </row>
    <row r="60" spans="1:31" ht="55.2" x14ac:dyDescent="0.25">
      <c r="A60" s="11">
        <v>151</v>
      </c>
      <c r="B60" s="37" t="s">
        <v>183</v>
      </c>
      <c r="C60" s="37" t="s">
        <v>184</v>
      </c>
      <c r="D60" s="73" t="s">
        <v>185</v>
      </c>
      <c r="E60" s="65" t="s">
        <v>186</v>
      </c>
      <c r="F60" s="66" t="s">
        <v>187</v>
      </c>
      <c r="G60" s="100">
        <v>20200680010112</v>
      </c>
      <c r="H60" s="69" t="s">
        <v>188</v>
      </c>
      <c r="I60" s="41" t="s">
        <v>189</v>
      </c>
      <c r="J60" s="27">
        <v>44229</v>
      </c>
      <c r="K60" s="27">
        <v>44561</v>
      </c>
      <c r="L60" s="46">
        <v>1</v>
      </c>
      <c r="M60" s="51">
        <v>0.88319999999999999</v>
      </c>
      <c r="N60" s="30">
        <f t="shared" si="7"/>
        <v>0.88319999999999999</v>
      </c>
      <c r="O60" s="50" t="s">
        <v>190</v>
      </c>
      <c r="P60" s="32">
        <v>147650000</v>
      </c>
      <c r="Q60" s="32"/>
      <c r="R60" s="32"/>
      <c r="S60" s="32"/>
      <c r="T60" s="32"/>
      <c r="U60" s="33">
        <f>SUM(P60:T60)</f>
        <v>147650000</v>
      </c>
      <c r="V60" s="32">
        <v>147650000</v>
      </c>
      <c r="W60" s="32"/>
      <c r="X60" s="64"/>
      <c r="Y60" s="64"/>
      <c r="Z60" s="64"/>
      <c r="AA60" s="33">
        <f>SUM(V60:Z60)</f>
        <v>147650000</v>
      </c>
      <c r="AB60" s="34">
        <f t="shared" si="6"/>
        <v>1</v>
      </c>
      <c r="AC60" s="35"/>
      <c r="AD60" s="36" t="s">
        <v>51</v>
      </c>
      <c r="AE60" s="36" t="s">
        <v>240</v>
      </c>
    </row>
    <row r="61" spans="1:31" ht="55.2" x14ac:dyDescent="0.25">
      <c r="A61" s="11">
        <v>152</v>
      </c>
      <c r="B61" s="37" t="s">
        <v>183</v>
      </c>
      <c r="C61" s="37" t="s">
        <v>184</v>
      </c>
      <c r="D61" s="73" t="s">
        <v>185</v>
      </c>
      <c r="E61" s="65" t="s">
        <v>191</v>
      </c>
      <c r="F61" s="66" t="s">
        <v>192</v>
      </c>
      <c r="G61" s="100">
        <v>20200680010112</v>
      </c>
      <c r="H61" s="69" t="s">
        <v>188</v>
      </c>
      <c r="I61" s="41" t="s">
        <v>193</v>
      </c>
      <c r="J61" s="27">
        <v>44231</v>
      </c>
      <c r="K61" s="27">
        <v>44561</v>
      </c>
      <c r="L61" s="132">
        <v>1</v>
      </c>
      <c r="M61" s="159">
        <v>0.93669999999999998</v>
      </c>
      <c r="N61" s="110">
        <f t="shared" si="7"/>
        <v>0.93669999999999998</v>
      </c>
      <c r="O61" s="50" t="s">
        <v>194</v>
      </c>
      <c r="P61" s="32">
        <v>303344890.85000002</v>
      </c>
      <c r="Q61" s="32"/>
      <c r="R61" s="32"/>
      <c r="S61" s="32"/>
      <c r="T61" s="32"/>
      <c r="U61" s="108">
        <f>SUM(P61:T62)</f>
        <v>399292775.94000006</v>
      </c>
      <c r="V61" s="32">
        <f>54000000+29500000+40800000+26550000+12300000</f>
        <v>163150000</v>
      </c>
      <c r="W61" s="78"/>
      <c r="X61" s="64"/>
      <c r="Y61" s="64"/>
      <c r="Z61" s="64"/>
      <c r="AA61" s="108">
        <f>SUM(V61:Z62)</f>
        <v>163150000</v>
      </c>
      <c r="AB61" s="106">
        <f>IFERROR(AA61/U61,"-")</f>
        <v>0.40859742482422429</v>
      </c>
      <c r="AC61" s="116"/>
      <c r="AD61" s="114" t="s">
        <v>51</v>
      </c>
      <c r="AE61" s="114" t="s">
        <v>240</v>
      </c>
    </row>
    <row r="62" spans="1:31" ht="55.2" x14ac:dyDescent="0.25">
      <c r="A62" s="11">
        <v>152</v>
      </c>
      <c r="B62" s="37" t="s">
        <v>183</v>
      </c>
      <c r="C62" s="37" t="s">
        <v>184</v>
      </c>
      <c r="D62" s="73" t="s">
        <v>185</v>
      </c>
      <c r="E62" s="65" t="s">
        <v>191</v>
      </c>
      <c r="F62" s="66" t="s">
        <v>192</v>
      </c>
      <c r="G62" s="100"/>
      <c r="H62" s="55" t="s">
        <v>54</v>
      </c>
      <c r="I62" s="41"/>
      <c r="J62" s="27"/>
      <c r="K62" s="27"/>
      <c r="L62" s="133"/>
      <c r="M62" s="160"/>
      <c r="N62" s="111"/>
      <c r="O62" s="50" t="s">
        <v>289</v>
      </c>
      <c r="P62" s="32">
        <v>95947885.090000004</v>
      </c>
      <c r="Q62" s="32"/>
      <c r="R62" s="32"/>
      <c r="S62" s="32"/>
      <c r="T62" s="32"/>
      <c r="U62" s="109"/>
      <c r="V62" s="32"/>
      <c r="W62" s="71"/>
      <c r="X62" s="64"/>
      <c r="Y62" s="64"/>
      <c r="Z62" s="64"/>
      <c r="AA62" s="109"/>
      <c r="AB62" s="107"/>
      <c r="AC62" s="117"/>
      <c r="AD62" s="115"/>
      <c r="AE62" s="115"/>
    </row>
    <row r="63" spans="1:31" ht="82.8" x14ac:dyDescent="0.25">
      <c r="A63" s="11">
        <v>152</v>
      </c>
      <c r="B63" s="37" t="s">
        <v>183</v>
      </c>
      <c r="C63" s="37" t="s">
        <v>184</v>
      </c>
      <c r="D63" s="73" t="s">
        <v>185</v>
      </c>
      <c r="E63" s="65" t="s">
        <v>191</v>
      </c>
      <c r="F63" s="66" t="s">
        <v>192</v>
      </c>
      <c r="G63" s="100">
        <v>20210680010189</v>
      </c>
      <c r="H63" s="69" t="s">
        <v>274</v>
      </c>
      <c r="I63" s="41" t="s">
        <v>275</v>
      </c>
      <c r="J63" s="27">
        <v>44483</v>
      </c>
      <c r="K63" s="27">
        <v>44561</v>
      </c>
      <c r="L63" s="46">
        <v>1</v>
      </c>
      <c r="M63" s="51">
        <v>0.7</v>
      </c>
      <c r="N63" s="30">
        <f t="shared" si="7"/>
        <v>0.7</v>
      </c>
      <c r="O63" s="50" t="s">
        <v>253</v>
      </c>
      <c r="P63" s="32">
        <v>128000000</v>
      </c>
      <c r="Q63" s="32"/>
      <c r="R63" s="32"/>
      <c r="S63" s="32"/>
      <c r="T63" s="32"/>
      <c r="U63" s="33">
        <f>SUM(P63:T63)</f>
        <v>128000000</v>
      </c>
      <c r="V63" s="32">
        <v>114225434</v>
      </c>
      <c r="W63" s="32"/>
      <c r="X63" s="64"/>
      <c r="Y63" s="64"/>
      <c r="Z63" s="64"/>
      <c r="AA63" s="33">
        <f>SUM(V63:Z63)</f>
        <v>114225434</v>
      </c>
      <c r="AB63" s="34">
        <f t="shared" si="6"/>
        <v>0.89238620312500005</v>
      </c>
      <c r="AC63" s="35"/>
      <c r="AD63" s="36" t="s">
        <v>51</v>
      </c>
      <c r="AE63" s="36" t="s">
        <v>240</v>
      </c>
    </row>
    <row r="64" spans="1:31" ht="55.2" x14ac:dyDescent="0.25">
      <c r="A64" s="11">
        <v>153</v>
      </c>
      <c r="B64" s="37" t="s">
        <v>183</v>
      </c>
      <c r="C64" s="37" t="s">
        <v>184</v>
      </c>
      <c r="D64" s="73" t="s">
        <v>185</v>
      </c>
      <c r="E64" s="65" t="s">
        <v>195</v>
      </c>
      <c r="F64" s="66" t="s">
        <v>196</v>
      </c>
      <c r="G64" s="100">
        <v>20200680010112</v>
      </c>
      <c r="H64" s="69" t="s">
        <v>188</v>
      </c>
      <c r="I64" s="41" t="s">
        <v>197</v>
      </c>
      <c r="J64" s="27">
        <v>44231</v>
      </c>
      <c r="K64" s="27">
        <v>44561</v>
      </c>
      <c r="L64" s="79">
        <v>1</v>
      </c>
      <c r="M64" s="80">
        <v>0.9284</v>
      </c>
      <c r="N64" s="30">
        <f t="shared" si="7"/>
        <v>0.9284</v>
      </c>
      <c r="O64" s="50" t="s">
        <v>190</v>
      </c>
      <c r="P64" s="32">
        <v>105000000</v>
      </c>
      <c r="Q64" s="32"/>
      <c r="R64" s="32"/>
      <c r="S64" s="32"/>
      <c r="T64" s="32"/>
      <c r="U64" s="33">
        <f>SUM(P64:T64)</f>
        <v>105000000</v>
      </c>
      <c r="V64" s="32">
        <v>105000000</v>
      </c>
      <c r="W64" s="32"/>
      <c r="X64" s="64"/>
      <c r="Y64" s="64"/>
      <c r="Z64" s="64"/>
      <c r="AA64" s="33">
        <f>SUM(V64:Z64)</f>
        <v>105000000</v>
      </c>
      <c r="AB64" s="34">
        <f t="shared" si="6"/>
        <v>1</v>
      </c>
      <c r="AC64" s="35"/>
      <c r="AD64" s="36" t="s">
        <v>51</v>
      </c>
      <c r="AE64" s="36" t="s">
        <v>240</v>
      </c>
    </row>
    <row r="65" spans="1:31" ht="55.2" x14ac:dyDescent="0.25">
      <c r="A65" s="11">
        <v>154</v>
      </c>
      <c r="B65" s="22" t="s">
        <v>183</v>
      </c>
      <c r="C65" s="22" t="s">
        <v>184</v>
      </c>
      <c r="D65" s="81" t="s">
        <v>185</v>
      </c>
      <c r="E65" s="67" t="s">
        <v>198</v>
      </c>
      <c r="F65" s="68" t="s">
        <v>199</v>
      </c>
      <c r="G65" s="100">
        <v>20200680010112</v>
      </c>
      <c r="H65" s="69" t="s">
        <v>188</v>
      </c>
      <c r="I65" s="41" t="s">
        <v>200</v>
      </c>
      <c r="J65" s="27">
        <v>44232</v>
      </c>
      <c r="K65" s="27">
        <v>44561</v>
      </c>
      <c r="L65" s="79">
        <v>1</v>
      </c>
      <c r="M65" s="51">
        <v>0.94</v>
      </c>
      <c r="N65" s="30">
        <f t="shared" si="7"/>
        <v>0.94</v>
      </c>
      <c r="O65" s="50" t="s">
        <v>276</v>
      </c>
      <c r="P65" s="32">
        <v>146500000</v>
      </c>
      <c r="Q65" s="32"/>
      <c r="R65" s="32"/>
      <c r="S65" s="32"/>
      <c r="T65" s="32"/>
      <c r="U65" s="33">
        <f>SUM(P65:T65)</f>
        <v>146500000</v>
      </c>
      <c r="V65" s="32">
        <f>132500000+11000000</f>
        <v>143500000</v>
      </c>
      <c r="W65" s="32"/>
      <c r="X65" s="64"/>
      <c r="Y65" s="64"/>
      <c r="Z65" s="64"/>
      <c r="AA65" s="33">
        <f>SUM(V65:Z65)</f>
        <v>143500000</v>
      </c>
      <c r="AB65" s="34">
        <f t="shared" si="6"/>
        <v>0.97952218430034133</v>
      </c>
      <c r="AC65" s="35"/>
      <c r="AD65" s="36" t="s">
        <v>51</v>
      </c>
      <c r="AE65" s="36" t="s">
        <v>240</v>
      </c>
    </row>
    <row r="66" spans="1:31" ht="82.8" x14ac:dyDescent="0.25">
      <c r="A66" s="11">
        <v>155</v>
      </c>
      <c r="B66" s="22" t="s">
        <v>183</v>
      </c>
      <c r="C66" s="22" t="s">
        <v>184</v>
      </c>
      <c r="D66" s="22" t="s">
        <v>201</v>
      </c>
      <c r="E66" s="67" t="s">
        <v>202</v>
      </c>
      <c r="F66" s="68" t="s">
        <v>203</v>
      </c>
      <c r="G66" s="102">
        <v>20210680010014</v>
      </c>
      <c r="H66" s="82" t="s">
        <v>204</v>
      </c>
      <c r="I66" s="73" t="s">
        <v>205</v>
      </c>
      <c r="J66" s="27">
        <v>44292</v>
      </c>
      <c r="K66" s="27">
        <v>44561</v>
      </c>
      <c r="L66" s="79">
        <v>1</v>
      </c>
      <c r="M66" s="51">
        <v>0.96050000000000002</v>
      </c>
      <c r="N66" s="30">
        <f t="shared" si="7"/>
        <v>0.96050000000000002</v>
      </c>
      <c r="O66" s="58" t="s">
        <v>206</v>
      </c>
      <c r="P66" s="32">
        <v>221000000</v>
      </c>
      <c r="Q66" s="32"/>
      <c r="R66" s="32"/>
      <c r="S66" s="32"/>
      <c r="T66" s="32"/>
      <c r="U66" s="33">
        <f>SUM(P66:T66)</f>
        <v>221000000</v>
      </c>
      <c r="V66" s="32">
        <f>187240410+15487248</f>
        <v>202727658</v>
      </c>
      <c r="W66" s="32"/>
      <c r="X66" s="64"/>
      <c r="Y66" s="64"/>
      <c r="Z66" s="64"/>
      <c r="AA66" s="33">
        <f>SUM(V66:Z66)</f>
        <v>202727658</v>
      </c>
      <c r="AB66" s="34">
        <f t="shared" ref="AB66:AB71" si="8">IFERROR(AA66/U66,"-")</f>
        <v>0.91731971945701363</v>
      </c>
      <c r="AC66" s="35"/>
      <c r="AD66" s="36" t="s">
        <v>51</v>
      </c>
      <c r="AE66" s="36" t="s">
        <v>240</v>
      </c>
    </row>
    <row r="67" spans="1:31" ht="55.2" x14ac:dyDescent="0.25">
      <c r="A67" s="11">
        <v>156</v>
      </c>
      <c r="B67" s="37" t="s">
        <v>183</v>
      </c>
      <c r="C67" s="37" t="s">
        <v>207</v>
      </c>
      <c r="D67" s="37" t="s">
        <v>208</v>
      </c>
      <c r="E67" s="65" t="s">
        <v>209</v>
      </c>
      <c r="F67" s="66" t="s">
        <v>210</v>
      </c>
      <c r="G67" s="100">
        <v>20210680010007</v>
      </c>
      <c r="H67" s="83" t="s">
        <v>211</v>
      </c>
      <c r="I67" s="58" t="s">
        <v>212</v>
      </c>
      <c r="J67" s="27">
        <v>44238</v>
      </c>
      <c r="K67" s="27">
        <v>44561</v>
      </c>
      <c r="L67" s="79">
        <v>1</v>
      </c>
      <c r="M67" s="51">
        <v>0.90500000000000003</v>
      </c>
      <c r="N67" s="30">
        <f t="shared" si="7"/>
        <v>0.90500000000000003</v>
      </c>
      <c r="O67" s="58" t="s">
        <v>256</v>
      </c>
      <c r="P67" s="32">
        <v>5381994519</v>
      </c>
      <c r="Q67" s="32"/>
      <c r="R67" s="32"/>
      <c r="S67" s="32"/>
      <c r="T67" s="32"/>
      <c r="U67" s="33">
        <f>SUM(P67:T67)</f>
        <v>5381994519</v>
      </c>
      <c r="V67" s="32">
        <v>2423857706.98</v>
      </c>
      <c r="W67" s="64"/>
      <c r="X67" s="64"/>
      <c r="Y67" s="64"/>
      <c r="Z67" s="64"/>
      <c r="AA67" s="33">
        <f>SUM(V67:Z67)</f>
        <v>2423857706.98</v>
      </c>
      <c r="AB67" s="34">
        <f t="shared" si="8"/>
        <v>0.45036420948090528</v>
      </c>
      <c r="AC67" s="35"/>
      <c r="AD67" s="36" t="s">
        <v>51</v>
      </c>
      <c r="AE67" s="36" t="s">
        <v>240</v>
      </c>
    </row>
    <row r="68" spans="1:31" ht="124.2" x14ac:dyDescent="0.25">
      <c r="A68" s="11">
        <v>157</v>
      </c>
      <c r="B68" s="37" t="s">
        <v>183</v>
      </c>
      <c r="C68" s="37" t="s">
        <v>207</v>
      </c>
      <c r="D68" s="37" t="s">
        <v>208</v>
      </c>
      <c r="E68" s="65" t="s">
        <v>213</v>
      </c>
      <c r="F68" s="66" t="s">
        <v>214</v>
      </c>
      <c r="G68" s="100">
        <v>20210680010007</v>
      </c>
      <c r="H68" s="83" t="s">
        <v>211</v>
      </c>
      <c r="I68" s="58" t="s">
        <v>212</v>
      </c>
      <c r="J68" s="27">
        <v>44229</v>
      </c>
      <c r="K68" s="27">
        <v>44561</v>
      </c>
      <c r="L68" s="155">
        <v>1</v>
      </c>
      <c r="M68" s="157">
        <v>0.87460000000000004</v>
      </c>
      <c r="N68" s="110">
        <f t="shared" si="7"/>
        <v>0.87460000000000004</v>
      </c>
      <c r="O68" s="58" t="s">
        <v>257</v>
      </c>
      <c r="P68" s="32">
        <v>145200000</v>
      </c>
      <c r="Q68" s="32"/>
      <c r="R68" s="32"/>
      <c r="S68" s="32"/>
      <c r="T68" s="32"/>
      <c r="U68" s="108">
        <f>SUM(P68:T69)</f>
        <v>247867426.91</v>
      </c>
      <c r="V68" s="32">
        <v>130650000</v>
      </c>
      <c r="W68" s="64"/>
      <c r="X68" s="64"/>
      <c r="Y68" s="64"/>
      <c r="Z68" s="64"/>
      <c r="AA68" s="108">
        <f>SUM(V68:Z69)</f>
        <v>233317426.91</v>
      </c>
      <c r="AB68" s="34">
        <f t="shared" si="8"/>
        <v>0.94129926557359611</v>
      </c>
      <c r="AC68" s="35"/>
      <c r="AD68" s="36" t="s">
        <v>51</v>
      </c>
      <c r="AE68" s="36" t="s">
        <v>240</v>
      </c>
    </row>
    <row r="69" spans="1:31" ht="124.2" x14ac:dyDescent="0.25">
      <c r="A69" s="11">
        <v>157</v>
      </c>
      <c r="B69" s="37" t="s">
        <v>183</v>
      </c>
      <c r="C69" s="37" t="s">
        <v>207</v>
      </c>
      <c r="D69" s="37" t="s">
        <v>208</v>
      </c>
      <c r="E69" s="65" t="s">
        <v>213</v>
      </c>
      <c r="F69" s="66" t="s">
        <v>214</v>
      </c>
      <c r="G69" s="100">
        <v>20210680010190</v>
      </c>
      <c r="H69" s="83" t="s">
        <v>285</v>
      </c>
      <c r="I69" s="58" t="s">
        <v>286</v>
      </c>
      <c r="J69" s="27">
        <v>44489</v>
      </c>
      <c r="K69" s="27">
        <v>44561</v>
      </c>
      <c r="L69" s="156"/>
      <c r="M69" s="158"/>
      <c r="N69" s="111"/>
      <c r="O69" s="58" t="s">
        <v>255</v>
      </c>
      <c r="P69" s="32">
        <v>102667426.91</v>
      </c>
      <c r="Q69" s="32"/>
      <c r="R69" s="32"/>
      <c r="S69" s="32"/>
      <c r="T69" s="32"/>
      <c r="U69" s="109"/>
      <c r="V69" s="32">
        <v>102667426.91</v>
      </c>
      <c r="W69" s="64"/>
      <c r="X69" s="64"/>
      <c r="Y69" s="64"/>
      <c r="Z69" s="64"/>
      <c r="AA69" s="109"/>
      <c r="AB69" s="34" t="str">
        <f t="shared" si="8"/>
        <v>-</v>
      </c>
      <c r="AC69" s="35"/>
      <c r="AD69" s="36" t="s">
        <v>51</v>
      </c>
      <c r="AE69" s="36" t="s">
        <v>240</v>
      </c>
    </row>
    <row r="70" spans="1:31" ht="55.2" x14ac:dyDescent="0.25">
      <c r="A70" s="11">
        <v>158</v>
      </c>
      <c r="B70" s="37" t="s">
        <v>183</v>
      </c>
      <c r="C70" s="37" t="s">
        <v>207</v>
      </c>
      <c r="D70" s="37" t="s">
        <v>208</v>
      </c>
      <c r="E70" s="65" t="s">
        <v>215</v>
      </c>
      <c r="F70" s="66" t="s">
        <v>216</v>
      </c>
      <c r="G70" s="100">
        <v>20210680010007</v>
      </c>
      <c r="H70" s="83" t="s">
        <v>211</v>
      </c>
      <c r="I70" s="58" t="s">
        <v>212</v>
      </c>
      <c r="J70" s="27">
        <v>44229</v>
      </c>
      <c r="K70" s="27">
        <v>44561</v>
      </c>
      <c r="L70" s="79">
        <v>1</v>
      </c>
      <c r="M70" s="51">
        <v>0.88</v>
      </c>
      <c r="N70" s="30">
        <f t="shared" si="7"/>
        <v>0.88</v>
      </c>
      <c r="O70" s="58" t="s">
        <v>217</v>
      </c>
      <c r="P70" s="32">
        <f>654464070+119400000</f>
        <v>773864070</v>
      </c>
      <c r="Q70" s="32"/>
      <c r="R70" s="32"/>
      <c r="S70" s="32"/>
      <c r="T70" s="32"/>
      <c r="U70" s="33">
        <f>SUM(P70:T70)</f>
        <v>773864070</v>
      </c>
      <c r="V70" s="32">
        <f>119400000</f>
        <v>119400000</v>
      </c>
      <c r="W70" s="64"/>
      <c r="X70" s="64"/>
      <c r="Y70" s="64"/>
      <c r="Z70" s="64"/>
      <c r="AA70" s="33">
        <f>SUM(V70:Z70)</f>
        <v>119400000</v>
      </c>
      <c r="AB70" s="34">
        <f t="shared" si="8"/>
        <v>0.15429066244153189</v>
      </c>
      <c r="AC70" s="35"/>
      <c r="AD70" s="36" t="s">
        <v>51</v>
      </c>
      <c r="AE70" s="36" t="s">
        <v>240</v>
      </c>
    </row>
    <row r="71" spans="1:31" ht="55.2" x14ac:dyDescent="0.25">
      <c r="A71" s="11">
        <v>159</v>
      </c>
      <c r="B71" s="22" t="s">
        <v>183</v>
      </c>
      <c r="C71" s="22" t="s">
        <v>207</v>
      </c>
      <c r="D71" s="22" t="s">
        <v>208</v>
      </c>
      <c r="E71" s="67" t="s">
        <v>218</v>
      </c>
      <c r="F71" s="68" t="s">
        <v>219</v>
      </c>
      <c r="G71" s="100">
        <v>20210680010007</v>
      </c>
      <c r="H71" s="83" t="s">
        <v>211</v>
      </c>
      <c r="I71" s="58" t="s">
        <v>212</v>
      </c>
      <c r="J71" s="27">
        <v>44229</v>
      </c>
      <c r="K71" s="27">
        <v>44561</v>
      </c>
      <c r="L71" s="155">
        <v>1</v>
      </c>
      <c r="M71" s="159">
        <v>0.89</v>
      </c>
      <c r="N71" s="110">
        <f>IFERROR(IF(M71/L71&gt;100%,100%,M71/L71),"-")</f>
        <v>0.89</v>
      </c>
      <c r="O71" s="58" t="s">
        <v>220</v>
      </c>
      <c r="P71" s="32">
        <v>35900000</v>
      </c>
      <c r="Q71" s="32"/>
      <c r="R71" s="32"/>
      <c r="S71" s="32"/>
      <c r="T71" s="32"/>
      <c r="U71" s="108">
        <f>SUM(P71:T72)</f>
        <v>376169365.43000001</v>
      </c>
      <c r="V71" s="32">
        <f>9450000+17000000</f>
        <v>26450000</v>
      </c>
      <c r="W71" s="64"/>
      <c r="X71" s="64"/>
      <c r="Y71" s="64"/>
      <c r="Z71" s="64"/>
      <c r="AA71" s="108">
        <f>SUM(V71:Z72)</f>
        <v>26450000</v>
      </c>
      <c r="AB71" s="106">
        <f t="shared" si="8"/>
        <v>7.0314072411943887E-2</v>
      </c>
      <c r="AC71" s="116"/>
      <c r="AD71" s="114" t="s">
        <v>51</v>
      </c>
      <c r="AE71" s="114" t="s">
        <v>240</v>
      </c>
    </row>
    <row r="72" spans="1:31" ht="55.2" x14ac:dyDescent="0.25">
      <c r="A72" s="11">
        <v>159</v>
      </c>
      <c r="B72" s="22" t="s">
        <v>183</v>
      </c>
      <c r="C72" s="22" t="s">
        <v>207</v>
      </c>
      <c r="D72" s="22" t="s">
        <v>208</v>
      </c>
      <c r="E72" s="67" t="s">
        <v>218</v>
      </c>
      <c r="F72" s="68" t="s">
        <v>219</v>
      </c>
      <c r="G72" s="100"/>
      <c r="H72" s="58" t="s">
        <v>54</v>
      </c>
      <c r="I72" s="58"/>
      <c r="J72" s="27"/>
      <c r="K72" s="27"/>
      <c r="L72" s="156"/>
      <c r="M72" s="160"/>
      <c r="N72" s="111"/>
      <c r="O72" s="58" t="s">
        <v>290</v>
      </c>
      <c r="P72" s="32">
        <v>340269365.43000001</v>
      </c>
      <c r="Q72" s="32"/>
      <c r="R72" s="32"/>
      <c r="S72" s="32"/>
      <c r="T72" s="32"/>
      <c r="U72" s="109"/>
      <c r="V72" s="32"/>
      <c r="W72" s="64"/>
      <c r="X72" s="64"/>
      <c r="Y72" s="64"/>
      <c r="Z72" s="64"/>
      <c r="AA72" s="109"/>
      <c r="AB72" s="107"/>
      <c r="AC72" s="117"/>
      <c r="AD72" s="115"/>
      <c r="AE72" s="115"/>
    </row>
    <row r="73" spans="1:31" ht="96.6" x14ac:dyDescent="0.25">
      <c r="A73" s="11">
        <v>162</v>
      </c>
      <c r="B73" s="66" t="s">
        <v>183</v>
      </c>
      <c r="C73" s="66" t="s">
        <v>207</v>
      </c>
      <c r="D73" s="66" t="s">
        <v>221</v>
      </c>
      <c r="E73" s="65" t="s">
        <v>222</v>
      </c>
      <c r="F73" s="66" t="s">
        <v>223</v>
      </c>
      <c r="G73" s="102">
        <v>20210680010019</v>
      </c>
      <c r="H73" s="69" t="s">
        <v>224</v>
      </c>
      <c r="I73" s="41" t="s">
        <v>225</v>
      </c>
      <c r="J73" s="27">
        <v>44264</v>
      </c>
      <c r="K73" s="27">
        <v>44561</v>
      </c>
      <c r="L73" s="97">
        <v>1</v>
      </c>
      <c r="M73" s="99">
        <v>0.96199999999999997</v>
      </c>
      <c r="N73" s="98">
        <f>IFERROR(IF(M73/L73&gt;100%,100%,M73/L73),"-")</f>
        <v>0.96199999999999997</v>
      </c>
      <c r="O73" s="58" t="s">
        <v>226</v>
      </c>
      <c r="P73" s="32">
        <v>204500000</v>
      </c>
      <c r="Q73" s="32"/>
      <c r="R73" s="32"/>
      <c r="S73" s="32"/>
      <c r="T73" s="32"/>
      <c r="U73" s="95">
        <f>SUM(P73:T73)</f>
        <v>204500000</v>
      </c>
      <c r="V73" s="32">
        <f>192393333+8250000</f>
        <v>200643333</v>
      </c>
      <c r="W73" s="64"/>
      <c r="X73" s="64"/>
      <c r="Y73" s="64"/>
      <c r="Z73" s="64"/>
      <c r="AA73" s="95">
        <f>SUM(V73:Z73)</f>
        <v>200643333</v>
      </c>
      <c r="AB73" s="96">
        <f>IFERROR(AA73/U73,"-")</f>
        <v>0.98114099266503663</v>
      </c>
      <c r="AC73" s="93"/>
      <c r="AD73" s="94" t="s">
        <v>51</v>
      </c>
      <c r="AE73" s="94" t="s">
        <v>240</v>
      </c>
    </row>
    <row r="74" spans="1:31" ht="41.4" x14ac:dyDescent="0.25">
      <c r="A74" s="11">
        <v>163</v>
      </c>
      <c r="B74" s="37" t="s">
        <v>183</v>
      </c>
      <c r="C74" s="37" t="s">
        <v>207</v>
      </c>
      <c r="D74" s="37" t="s">
        <v>221</v>
      </c>
      <c r="E74" s="65" t="s">
        <v>227</v>
      </c>
      <c r="F74" s="66" t="s">
        <v>228</v>
      </c>
      <c r="G74" s="102">
        <v>20210680010019</v>
      </c>
      <c r="H74" s="69" t="s">
        <v>224</v>
      </c>
      <c r="I74" s="41" t="s">
        <v>291</v>
      </c>
      <c r="J74" s="27"/>
      <c r="K74" s="27"/>
      <c r="L74" s="46">
        <v>0</v>
      </c>
      <c r="M74" s="47" t="s">
        <v>239</v>
      </c>
      <c r="N74" s="30" t="str">
        <f>IFERROR(IF(M74/L74&gt;100%,100%,M74/L74),"-")</f>
        <v>-</v>
      </c>
      <c r="O74" s="58"/>
      <c r="P74" s="32"/>
      <c r="Q74" s="32"/>
      <c r="R74" s="32"/>
      <c r="S74" s="32"/>
      <c r="T74" s="32"/>
      <c r="U74" s="33">
        <f>SUM(P74:T74)</f>
        <v>0</v>
      </c>
      <c r="V74" s="32"/>
      <c r="W74" s="64"/>
      <c r="X74" s="64"/>
      <c r="Y74" s="64"/>
      <c r="Z74" s="64"/>
      <c r="AA74" s="33">
        <f>SUM(V74:Z74)</f>
        <v>0</v>
      </c>
      <c r="AB74" s="34" t="str">
        <f>IFERROR(AA74/U74,"-")</f>
        <v>-</v>
      </c>
      <c r="AC74" s="35"/>
      <c r="AD74" s="36" t="s">
        <v>51</v>
      </c>
      <c r="AE74" s="36" t="s">
        <v>240</v>
      </c>
    </row>
    <row r="75" spans="1:31" ht="87.6" customHeight="1" x14ac:dyDescent="0.25">
      <c r="A75" s="11">
        <v>168</v>
      </c>
      <c r="B75" s="22" t="s">
        <v>183</v>
      </c>
      <c r="C75" s="22" t="s">
        <v>207</v>
      </c>
      <c r="D75" s="22" t="s">
        <v>229</v>
      </c>
      <c r="E75" s="65" t="s">
        <v>230</v>
      </c>
      <c r="F75" s="68" t="s">
        <v>231</v>
      </c>
      <c r="G75" s="100">
        <v>20210680010001</v>
      </c>
      <c r="H75" s="54" t="s">
        <v>232</v>
      </c>
      <c r="I75" s="41" t="s">
        <v>233</v>
      </c>
      <c r="J75" s="27">
        <v>44228</v>
      </c>
      <c r="K75" s="27" t="s">
        <v>234</v>
      </c>
      <c r="L75" s="132">
        <v>1</v>
      </c>
      <c r="M75" s="167">
        <v>0.96</v>
      </c>
      <c r="N75" s="170">
        <f>IFERROR(IF(M75/L75&gt;100%,100%,M75/L75),"-")</f>
        <v>0.96</v>
      </c>
      <c r="O75" s="58" t="s">
        <v>301</v>
      </c>
      <c r="P75" s="32">
        <v>828307628</v>
      </c>
      <c r="Q75" s="32"/>
      <c r="R75" s="32"/>
      <c r="S75" s="32"/>
      <c r="T75" s="32"/>
      <c r="U75" s="108">
        <f>SUM(P75:T77)</f>
        <v>966640748</v>
      </c>
      <c r="V75" s="32">
        <f>352500000+23400000+250000000+15889400+6600000+6600000+72769376</f>
        <v>727758776</v>
      </c>
      <c r="W75" s="32"/>
      <c r="X75" s="84"/>
      <c r="Y75" s="84"/>
      <c r="Z75" s="84"/>
      <c r="AA75" s="108">
        <f>SUM(V75:Z77)</f>
        <v>727758776</v>
      </c>
      <c r="AB75" s="106">
        <f>IFERROR(AA75/U75,"-")</f>
        <v>0.75287409257860083</v>
      </c>
      <c r="AC75" s="116"/>
      <c r="AD75" s="114" t="s">
        <v>51</v>
      </c>
      <c r="AE75" s="114" t="s">
        <v>240</v>
      </c>
    </row>
    <row r="76" spans="1:31" ht="41.4" x14ac:dyDescent="0.25">
      <c r="A76" s="11">
        <v>168</v>
      </c>
      <c r="B76" s="22" t="s">
        <v>183</v>
      </c>
      <c r="C76" s="22" t="s">
        <v>207</v>
      </c>
      <c r="D76" s="22" t="s">
        <v>229</v>
      </c>
      <c r="E76" s="65" t="s">
        <v>230</v>
      </c>
      <c r="F76" s="68" t="s">
        <v>231</v>
      </c>
      <c r="G76" s="100"/>
      <c r="H76" s="85" t="s">
        <v>54</v>
      </c>
      <c r="I76" s="41" t="s">
        <v>249</v>
      </c>
      <c r="J76" s="27"/>
      <c r="K76" s="27"/>
      <c r="L76" s="166"/>
      <c r="M76" s="168"/>
      <c r="N76" s="171"/>
      <c r="O76" s="58" t="s">
        <v>278</v>
      </c>
      <c r="P76" s="32">
        <v>101948432</v>
      </c>
      <c r="Q76" s="32"/>
      <c r="R76" s="32"/>
      <c r="S76" s="32"/>
      <c r="T76" s="32"/>
      <c r="U76" s="163"/>
      <c r="V76" s="32"/>
      <c r="W76" s="32"/>
      <c r="X76" s="84"/>
      <c r="Y76" s="84"/>
      <c r="Z76" s="84"/>
      <c r="AA76" s="163"/>
      <c r="AB76" s="113"/>
      <c r="AC76" s="145"/>
      <c r="AD76" s="146"/>
      <c r="AE76" s="146"/>
    </row>
    <row r="77" spans="1:31" ht="41.4" x14ac:dyDescent="0.25">
      <c r="A77" s="11">
        <v>168</v>
      </c>
      <c r="B77" s="22" t="s">
        <v>183</v>
      </c>
      <c r="C77" s="22" t="s">
        <v>207</v>
      </c>
      <c r="D77" s="22" t="s">
        <v>229</v>
      </c>
      <c r="E77" s="65" t="s">
        <v>230</v>
      </c>
      <c r="F77" s="68" t="s">
        <v>231</v>
      </c>
      <c r="G77" s="100"/>
      <c r="H77" s="85" t="s">
        <v>54</v>
      </c>
      <c r="I77" s="41"/>
      <c r="J77" s="27"/>
      <c r="K77" s="27"/>
      <c r="L77" s="133"/>
      <c r="M77" s="169"/>
      <c r="N77" s="172"/>
      <c r="O77" s="58" t="s">
        <v>287</v>
      </c>
      <c r="P77" s="32">
        <v>36384688</v>
      </c>
      <c r="Q77" s="32"/>
      <c r="R77" s="32"/>
      <c r="S77" s="32"/>
      <c r="T77" s="32"/>
      <c r="U77" s="109"/>
      <c r="V77" s="32"/>
      <c r="W77" s="32"/>
      <c r="X77" s="84"/>
      <c r="Y77" s="84"/>
      <c r="Z77" s="84"/>
      <c r="AA77" s="109"/>
      <c r="AB77" s="107"/>
      <c r="AC77" s="117"/>
      <c r="AD77" s="115"/>
      <c r="AE77" s="115"/>
    </row>
    <row r="78" spans="1:31" ht="27.6" x14ac:dyDescent="0.25">
      <c r="A78" s="11">
        <v>218</v>
      </c>
      <c r="B78" s="37" t="s">
        <v>40</v>
      </c>
      <c r="C78" s="37" t="s">
        <v>235</v>
      </c>
      <c r="D78" s="37" t="s">
        <v>236</v>
      </c>
      <c r="E78" s="65" t="s">
        <v>237</v>
      </c>
      <c r="F78" s="66" t="s">
        <v>238</v>
      </c>
      <c r="G78" s="100">
        <v>20210680010186</v>
      </c>
      <c r="H78" s="72" t="s">
        <v>288</v>
      </c>
      <c r="I78" s="41" t="s">
        <v>273</v>
      </c>
      <c r="J78" s="27"/>
      <c r="K78" s="27"/>
      <c r="L78" s="28">
        <v>1</v>
      </c>
      <c r="M78" s="29">
        <v>0.8</v>
      </c>
      <c r="N78" s="30">
        <f>IFERROR(IF(M78/L78&gt;100%,100%,M78/L78),"-")</f>
        <v>0.8</v>
      </c>
      <c r="O78" s="50" t="s">
        <v>254</v>
      </c>
      <c r="P78" s="32">
        <v>617720428.12</v>
      </c>
      <c r="Q78" s="32"/>
      <c r="R78" s="32"/>
      <c r="S78" s="32"/>
      <c r="T78" s="32"/>
      <c r="U78" s="33">
        <f>SUM(P78:T78)</f>
        <v>617720428.12</v>
      </c>
      <c r="V78" s="32">
        <v>596630476.79999995</v>
      </c>
      <c r="W78" s="64"/>
      <c r="X78" s="64"/>
      <c r="Y78" s="84"/>
      <c r="Z78" s="84"/>
      <c r="AA78" s="33">
        <f>SUM(V78:Z78)</f>
        <v>596630476.79999995</v>
      </c>
      <c r="AB78" s="34">
        <f>IFERROR(AA78/U78,"-")</f>
        <v>0.965858420152647</v>
      </c>
      <c r="AC78" s="35"/>
      <c r="AD78" s="36" t="s">
        <v>51</v>
      </c>
      <c r="AE78" s="36" t="s">
        <v>240</v>
      </c>
    </row>
    <row r="79" spans="1:31" x14ac:dyDescent="0.25">
      <c r="A79" s="2">
        <f>SUM(--(FREQUENCY(A9:A78,A9:A78)&gt;0))</f>
        <v>52</v>
      </c>
      <c r="B79" s="3"/>
      <c r="C79" s="4"/>
      <c r="D79" s="4"/>
      <c r="E79" s="4"/>
      <c r="F79" s="4"/>
      <c r="G79" s="89"/>
      <c r="H79" s="4"/>
      <c r="I79" s="4"/>
      <c r="J79" s="4"/>
      <c r="K79" s="5"/>
      <c r="L79" s="5"/>
      <c r="M79" s="6" t="s">
        <v>17</v>
      </c>
      <c r="N79" s="5">
        <f>IFERROR(AVERAGE(N9:N78),"-")</f>
        <v>0.92399617324561445</v>
      </c>
      <c r="O79" s="7"/>
      <c r="P79" s="8">
        <f>SUM(P9:P78)</f>
        <v>14643790533.280001</v>
      </c>
      <c r="Q79" s="8">
        <f>SUM(Q9:Q78)</f>
        <v>85890403786.710007</v>
      </c>
      <c r="R79" s="8">
        <f t="shared" ref="R79:AA79" si="9">SUM(R9:R78)</f>
        <v>0</v>
      </c>
      <c r="S79" s="8">
        <f t="shared" si="9"/>
        <v>0</v>
      </c>
      <c r="T79" s="8">
        <f t="shared" si="9"/>
        <v>193250881934.91998</v>
      </c>
      <c r="U79" s="14">
        <f t="shared" si="9"/>
        <v>293785076254.90991</v>
      </c>
      <c r="V79" s="8">
        <f t="shared" si="9"/>
        <v>8812414010.4699993</v>
      </c>
      <c r="W79" s="8">
        <f t="shared" si="9"/>
        <v>77588100562</v>
      </c>
      <c r="X79" s="8">
        <f t="shared" si="9"/>
        <v>0</v>
      </c>
      <c r="Y79" s="8">
        <f t="shared" si="9"/>
        <v>0</v>
      </c>
      <c r="Z79" s="8">
        <f t="shared" si="9"/>
        <v>135329269214.50998</v>
      </c>
      <c r="AA79" s="14">
        <f t="shared" si="9"/>
        <v>221729783786.98001</v>
      </c>
      <c r="AB79" s="9">
        <f>IFERROR(AA79/U79,"-")</f>
        <v>0.75473467411459205</v>
      </c>
      <c r="AC79" s="10"/>
      <c r="AD79" s="7"/>
      <c r="AE79" s="7"/>
    </row>
    <row r="81" spans="21:21" x14ac:dyDescent="0.25">
      <c r="U81" s="103"/>
    </row>
    <row r="83" spans="21:21" x14ac:dyDescent="0.25">
      <c r="U83" s="104"/>
    </row>
  </sheetData>
  <mergeCells count="115">
    <mergeCell ref="AB10:AB11"/>
    <mergeCell ref="AC10:AC11"/>
    <mergeCell ref="AD10:AD11"/>
    <mergeCell ref="AE10:AE11"/>
    <mergeCell ref="AD12:AD13"/>
    <mergeCell ref="AE12:AE13"/>
    <mergeCell ref="AB12:AB13"/>
    <mergeCell ref="AA12:AA13"/>
    <mergeCell ref="U12:U13"/>
    <mergeCell ref="AC12:AC13"/>
    <mergeCell ref="AE71:AE72"/>
    <mergeCell ref="U68:U69"/>
    <mergeCell ref="N75:N77"/>
    <mergeCell ref="U71:U72"/>
    <mergeCell ref="U75:U77"/>
    <mergeCell ref="AE75:AE77"/>
    <mergeCell ref="AC75:AC77"/>
    <mergeCell ref="AC30:AC31"/>
    <mergeCell ref="AD30:AD31"/>
    <mergeCell ref="AA61:AA62"/>
    <mergeCell ref="AE30:AE31"/>
    <mergeCell ref="AB61:AB62"/>
    <mergeCell ref="AC61:AC62"/>
    <mergeCell ref="AD61:AD62"/>
    <mergeCell ref="AE61:AE62"/>
    <mergeCell ref="AC45:AC46"/>
    <mergeCell ref="AD45:AD46"/>
    <mergeCell ref="AE45:AE46"/>
    <mergeCell ref="AA45:AA46"/>
    <mergeCell ref="AA75:AA77"/>
    <mergeCell ref="AE54:AE55"/>
    <mergeCell ref="M30:M31"/>
    <mergeCell ref="L23:L29"/>
    <mergeCell ref="M75:M77"/>
    <mergeCell ref="L75:L77"/>
    <mergeCell ref="N71:N72"/>
    <mergeCell ref="M71:M72"/>
    <mergeCell ref="L71:L72"/>
    <mergeCell ref="AC71:AC72"/>
    <mergeCell ref="AD71:AD72"/>
    <mergeCell ref="AD75:AD77"/>
    <mergeCell ref="AB75:AB77"/>
    <mergeCell ref="AA71:AA72"/>
    <mergeCell ref="AB71:AB72"/>
    <mergeCell ref="M10:M11"/>
    <mergeCell ref="N10:N11"/>
    <mergeCell ref="U10:U11"/>
    <mergeCell ref="AA10:AA11"/>
    <mergeCell ref="U17:U18"/>
    <mergeCell ref="N17:N18"/>
    <mergeCell ref="L68:L69"/>
    <mergeCell ref="M68:M69"/>
    <mergeCell ref="N68:N69"/>
    <mergeCell ref="M61:M62"/>
    <mergeCell ref="L61:L62"/>
    <mergeCell ref="N54:N55"/>
    <mergeCell ref="M54:M55"/>
    <mergeCell ref="L54:L55"/>
    <mergeCell ref="AA23:AA29"/>
    <mergeCell ref="AA54:AA55"/>
    <mergeCell ref="N61:N62"/>
    <mergeCell ref="U61:U62"/>
    <mergeCell ref="AA68:AA69"/>
    <mergeCell ref="U23:U29"/>
    <mergeCell ref="U54:U55"/>
    <mergeCell ref="U45:U46"/>
    <mergeCell ref="U30:U31"/>
    <mergeCell ref="L30:L31"/>
    <mergeCell ref="M45:M46"/>
    <mergeCell ref="L45:L46"/>
    <mergeCell ref="J23:J24"/>
    <mergeCell ref="K23:K24"/>
    <mergeCell ref="M23:M29"/>
    <mergeCell ref="M17:M18"/>
    <mergeCell ref="L17:L18"/>
    <mergeCell ref="AC1:AE1"/>
    <mergeCell ref="AC2:AE2"/>
    <mergeCell ref="AC3:AE3"/>
    <mergeCell ref="AC4:AE4"/>
    <mergeCell ref="AC7:AC8"/>
    <mergeCell ref="AD7:AE7"/>
    <mergeCell ref="AE17:AE18"/>
    <mergeCell ref="AC23:AC29"/>
    <mergeCell ref="AD23:AD29"/>
    <mergeCell ref="AE23:AE29"/>
    <mergeCell ref="AC17:AC18"/>
    <mergeCell ref="AD17:AD18"/>
    <mergeCell ref="AA17:AA18"/>
    <mergeCell ref="N12:N13"/>
    <mergeCell ref="M12:M13"/>
    <mergeCell ref="L12:L13"/>
    <mergeCell ref="L10:L11"/>
    <mergeCell ref="B7:F7"/>
    <mergeCell ref="G7:K7"/>
    <mergeCell ref="L7:N7"/>
    <mergeCell ref="A1:A4"/>
    <mergeCell ref="A5:C5"/>
    <mergeCell ref="A6:C6"/>
    <mergeCell ref="D5:L5"/>
    <mergeCell ref="D6:L6"/>
    <mergeCell ref="B1:AB4"/>
    <mergeCell ref="O7:U7"/>
    <mergeCell ref="V7:AA7"/>
    <mergeCell ref="AB7:AB8"/>
    <mergeCell ref="AB17:AB18"/>
    <mergeCell ref="AA30:AA31"/>
    <mergeCell ref="AB30:AB31"/>
    <mergeCell ref="N45:N46"/>
    <mergeCell ref="N30:N31"/>
    <mergeCell ref="N23:N29"/>
    <mergeCell ref="AB23:AB29"/>
    <mergeCell ref="AB54:AB55"/>
    <mergeCell ref="AD54:AD55"/>
    <mergeCell ref="AC54:AC55"/>
    <mergeCell ref="AB45:AB46"/>
  </mergeCells>
  <conditionalFormatting sqref="N19:N24 N14:N17 N32:N45 N70:N71 N63:N68 N56:N61 N78 N47:N54 N73:N75 N9:N10 N12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3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2022-02-03T16:18:29Z</dcterms:modified>
</cp:coreProperties>
</file>