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79265BBC-8DEC-4F6C-9A59-2706578DA032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9" r:id="rId1"/>
  </sheets>
  <definedNames>
    <definedName name="_xlnm._FilterDatabase" localSheetId="0" hidden="1">'Plan de acción'!$A$8:$AJ$113</definedName>
  </definedNames>
  <calcPr calcId="181029"/>
</workbook>
</file>

<file path=xl/calcChain.xml><?xml version="1.0" encoding="utf-8"?>
<calcChain xmlns="http://schemas.openxmlformats.org/spreadsheetml/2006/main">
  <c r="AB87" i="19" l="1"/>
  <c r="P60" i="19"/>
  <c r="U39" i="19"/>
  <c r="T60" i="19"/>
  <c r="T59" i="19"/>
  <c r="Z42" i="19"/>
  <c r="T42" i="19"/>
  <c r="T35" i="19"/>
  <c r="V25" i="19"/>
  <c r="P25" i="19"/>
  <c r="P24" i="19"/>
  <c r="AC16" i="19"/>
  <c r="Z63" i="19"/>
  <c r="T63" i="19"/>
  <c r="P11" i="19"/>
  <c r="AA17" i="19"/>
  <c r="U17" i="19"/>
  <c r="P20" i="19"/>
  <c r="V90" i="19"/>
  <c r="P90" i="19"/>
  <c r="T46" i="19"/>
  <c r="Z68" i="19"/>
  <c r="T68" i="19"/>
  <c r="Z32" i="19"/>
  <c r="T32" i="19"/>
  <c r="Z51" i="19"/>
  <c r="T51" i="19"/>
  <c r="T76" i="19"/>
  <c r="Z76" i="19"/>
  <c r="T77" i="19"/>
  <c r="T52" i="19"/>
  <c r="Z78" i="19"/>
  <c r="T78" i="19"/>
  <c r="P22" i="19"/>
  <c r="V21" i="19"/>
  <c r="P21" i="19"/>
  <c r="T48" i="19"/>
  <c r="Z50" i="19"/>
  <c r="T50" i="19"/>
  <c r="P109" i="19"/>
  <c r="U108" i="19" s="1"/>
  <c r="V108" i="19"/>
  <c r="U110" i="19"/>
  <c r="V49" i="19"/>
  <c r="P49" i="19"/>
  <c r="P31" i="19"/>
  <c r="T33" i="19"/>
  <c r="V23" i="19"/>
  <c r="P23" i="19"/>
  <c r="P104" i="19"/>
  <c r="P102" i="19"/>
  <c r="V102" i="19"/>
  <c r="U32" i="19" l="1"/>
  <c r="V72" i="19"/>
  <c r="AA87" i="19" l="1"/>
  <c r="U87" i="19"/>
  <c r="Z110" i="19"/>
  <c r="Z81" i="19"/>
  <c r="AA85" i="19" l="1"/>
  <c r="U85" i="19"/>
  <c r="AA10" i="19"/>
  <c r="AA90" i="19"/>
  <c r="AA23" i="19"/>
  <c r="AA102" i="19"/>
  <c r="AA96" i="19"/>
  <c r="AC12" i="19"/>
  <c r="AC113" i="19" s="1"/>
  <c r="AA111" i="19"/>
  <c r="AA104" i="19"/>
  <c r="AA99" i="19"/>
  <c r="AA93" i="19"/>
  <c r="AA82" i="19"/>
  <c r="AA78" i="19"/>
  <c r="AA71" i="19"/>
  <c r="U66" i="19"/>
  <c r="AA36" i="19"/>
  <c r="AA32" i="19"/>
  <c r="AA30" i="19"/>
  <c r="AA25" i="19"/>
  <c r="AA21" i="19"/>
  <c r="AA19" i="19"/>
  <c r="U93" i="19"/>
  <c r="U82" i="19"/>
  <c r="U79" i="19"/>
  <c r="U78" i="19"/>
  <c r="U71" i="19"/>
  <c r="U61" i="19"/>
  <c r="U36" i="19"/>
  <c r="U30" i="19"/>
  <c r="U23" i="19"/>
  <c r="U19" i="19"/>
  <c r="U10" i="19"/>
  <c r="U9" i="19"/>
  <c r="U12" i="19"/>
  <c r="U13" i="19"/>
  <c r="U14" i="19"/>
  <c r="U15" i="19"/>
  <c r="U16" i="19"/>
  <c r="U29" i="19"/>
  <c r="U64" i="19"/>
  <c r="U65" i="19"/>
  <c r="U81" i="19"/>
  <c r="U89" i="19"/>
  <c r="U92" i="19"/>
  <c r="U95" i="19"/>
  <c r="U96" i="19"/>
  <c r="U97" i="19"/>
  <c r="U98" i="19"/>
  <c r="U107" i="19"/>
  <c r="AA9" i="19"/>
  <c r="AA12" i="19"/>
  <c r="AA13" i="19"/>
  <c r="AA14" i="19"/>
  <c r="AA15" i="19"/>
  <c r="AA16" i="19"/>
  <c r="AA29" i="19"/>
  <c r="AA65" i="19"/>
  <c r="AA89" i="19"/>
  <c r="AA92" i="19"/>
  <c r="AA95" i="19"/>
  <c r="AA97" i="19"/>
  <c r="AA98" i="19"/>
  <c r="AA107" i="19"/>
  <c r="AA110" i="19"/>
  <c r="N78" i="19"/>
  <c r="N79" i="19"/>
  <c r="AA81" i="19"/>
  <c r="AA108" i="19"/>
  <c r="P111" i="19"/>
  <c r="U111" i="19" s="1"/>
  <c r="T40" i="19"/>
  <c r="Z45" i="19"/>
  <c r="Z62" i="19"/>
  <c r="AA61" i="19" s="1"/>
  <c r="Z64" i="19"/>
  <c r="AA64" i="19" s="1"/>
  <c r="AA66" i="19"/>
  <c r="AA79" i="19"/>
  <c r="P91" i="19"/>
  <c r="U90" i="19" s="1"/>
  <c r="T101" i="19"/>
  <c r="U99" i="19" s="1"/>
  <c r="P103" i="19"/>
  <c r="N25" i="19"/>
  <c r="N104" i="19"/>
  <c r="N19" i="19"/>
  <c r="N111" i="19"/>
  <c r="N66" i="19"/>
  <c r="Y113" i="19"/>
  <c r="X113" i="19"/>
  <c r="W113" i="19"/>
  <c r="S113" i="19"/>
  <c r="R113" i="19"/>
  <c r="Q113" i="19"/>
  <c r="N9" i="19"/>
  <c r="N10" i="19"/>
  <c r="N12" i="19"/>
  <c r="N13" i="19"/>
  <c r="N14" i="19"/>
  <c r="N15" i="19"/>
  <c r="N16" i="19"/>
  <c r="N17" i="19"/>
  <c r="N21" i="19"/>
  <c r="N23" i="19"/>
  <c r="N29" i="19"/>
  <c r="N30" i="19"/>
  <c r="N32" i="19"/>
  <c r="N36" i="19"/>
  <c r="N39" i="19"/>
  <c r="N61" i="19"/>
  <c r="N64" i="19"/>
  <c r="N65" i="19"/>
  <c r="N71" i="19"/>
  <c r="N81" i="19"/>
  <c r="N82" i="19"/>
  <c r="N85" i="19"/>
  <c r="N87" i="19"/>
  <c r="N89" i="19"/>
  <c r="N90" i="19"/>
  <c r="N92" i="19"/>
  <c r="N93" i="19"/>
  <c r="N95" i="19"/>
  <c r="N96" i="19"/>
  <c r="N97" i="19"/>
  <c r="N98" i="19"/>
  <c r="N99" i="19"/>
  <c r="N102" i="19"/>
  <c r="N107" i="19"/>
  <c r="N108" i="19"/>
  <c r="N110" i="19"/>
  <c r="A113" i="19"/>
  <c r="U104" i="19" l="1"/>
  <c r="AB104" i="19" s="1"/>
  <c r="AB85" i="19"/>
  <c r="AA39" i="19"/>
  <c r="AA113" i="19" s="1"/>
  <c r="U25" i="19"/>
  <c r="AB25" i="19" s="1"/>
  <c r="U102" i="19"/>
  <c r="AB102" i="19" s="1"/>
  <c r="Z113" i="19"/>
  <c r="V113" i="19"/>
  <c r="AB32" i="19"/>
  <c r="AB65" i="19"/>
  <c r="AB99" i="19"/>
  <c r="AB14" i="19"/>
  <c r="AB98" i="19"/>
  <c r="AB78" i="19"/>
  <c r="AB93" i="19"/>
  <c r="AB71" i="19"/>
  <c r="AB23" i="19"/>
  <c r="AB111" i="19"/>
  <c r="AB81" i="19"/>
  <c r="AB110" i="19"/>
  <c r="AB90" i="19"/>
  <c r="AB66" i="19"/>
  <c r="AB10" i="19"/>
  <c r="AB61" i="19"/>
  <c r="AB97" i="19"/>
  <c r="AB79" i="19"/>
  <c r="AB96" i="19"/>
  <c r="AB89" i="19"/>
  <c r="AB15" i="19"/>
  <c r="AB30" i="19"/>
  <c r="AB36" i="19"/>
  <c r="AB108" i="19"/>
  <c r="AB95" i="19"/>
  <c r="AB29" i="19"/>
  <c r="AB92" i="19"/>
  <c r="AB13" i="19"/>
  <c r="N113" i="19"/>
  <c r="AB16" i="19"/>
  <c r="AB12" i="19"/>
  <c r="AB82" i="19"/>
  <c r="AB64" i="19"/>
  <c r="AB107" i="19"/>
  <c r="U21" i="19"/>
  <c r="AB21" i="19" s="1"/>
  <c r="AB19" i="19"/>
  <c r="AB17" i="19"/>
  <c r="T113" i="19"/>
  <c r="AB9" i="19"/>
  <c r="P113" i="19"/>
  <c r="AB39" i="19" l="1"/>
  <c r="U113" i="19"/>
  <c r="AB113" i="19" s="1"/>
</calcChain>
</file>

<file path=xl/sharedStrings.xml><?xml version="1.0" encoding="utf-8"?>
<sst xmlns="http://schemas.openxmlformats.org/spreadsheetml/2006/main" count="966" uniqueCount="332">
  <si>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</si>
  <si>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</si>
  <si>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</si>
  <si>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</si>
  <si>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</si>
  <si>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</si>
  <si>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</si>
  <si>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</si>
  <si>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</si>
  <si>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</si>
  <si>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</si>
  <si>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</si>
  <si>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</si>
  <si>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</si>
  <si>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</si>
  <si>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</si>
  <si>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</si>
  <si>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</si>
  <si>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</si>
  <si>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</si>
  <si>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</si>
  <si>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</si>
  <si>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</si>
  <si>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</si>
  <si>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</si>
  <si>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</si>
  <si>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</si>
  <si>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</si>
  <si>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</si>
  <si>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</si>
  <si>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</si>
  <si>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</si>
  <si>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</si>
  <si>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</si>
  <si>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</si>
  <si>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</si>
  <si>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</si>
  <si>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</si>
  <si>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</si>
  <si>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</si>
  <si>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</si>
  <si>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</si>
  <si>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</si>
  <si>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</si>
  <si>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</si>
  <si>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</si>
  <si>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</si>
  <si>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</si>
  <si>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</si>
  <si>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</si>
  <si>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</si>
  <si>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</si>
  <si>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</si>
  <si>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</si>
  <si>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</si>
  <si>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</si>
  <si>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</si>
  <si>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APOYO AL CONOCIMIENTO OPERATIVO DE LA UNIDAD DE GESTIÓN DEL RIESGO. EMERGENCIAS Y DESASTRES PARA RESPUESTA A LOS EFECTOS DEL CAMBIO CLIMÁTICO EN EL MUNICIPIO DE BUCARAMANGA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</si>
  <si>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</si>
  <si>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</si>
  <si>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</si>
  <si>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</si>
  <si>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</si>
  <si>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2.3.2.02.02.008.4503019.588 - $90.000.000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</si>
  <si>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</si>
  <si>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</si>
  <si>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</si>
  <si>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</si>
  <si>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</si>
  <si>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</si>
  <si>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</si>
  <si>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</si>
  <si>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</si>
  <si>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</si>
  <si>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</si>
  <si>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</si>
  <si>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</si>
  <si>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</si>
  <si>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</si>
  <si>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</si>
  <si>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</si>
  <si>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</si>
  <si>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</si>
  <si>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</si>
  <si>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</si>
  <si>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</si>
  <si>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</si>
  <si>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APOYO A LA RECUPERACIÓN, CONTROL Y PRESERVACIÓN DEL ESPACIO PÚBLICO EN EL MUNICIPIO DE BUCARAMANGA</t>
  </si>
  <si>
    <t>Reducir la invasión y el uso inadecuado del espacio público en la ciudad de Bucaramanga.</t>
  </si>
  <si>
    <t>IMPLEMENTACIÓN DE ACCIONES E INICIATIVAS SOCIALES PARA RESOLUCIÓN PACÍFICA DE CONFLICTOS Y LA SANA CONVIVENCIA EN LA CIUDAD DE BUCARAMANGA</t>
  </si>
  <si>
    <t xml:space="preserve">Promover la resolución pacífica de conflictos sociales  a través de acciones para la sana convivencia de las diferentes comunas y corregimientos de la ciudad de Bucaramanga. </t>
  </si>
  <si>
    <t>IMPLEMENTACIÓN DE ACCIONES SOCIALES Y CULTURALES PARA LA GESTIÓN DE LA CONVIVENCIA EN EL MUNICIPIO DE BUCARAMANGA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</si>
  <si>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</si>
  <si>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</si>
  <si>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</si>
  <si>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</si>
  <si>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</si>
  <si>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</si>
  <si>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2.3.2.02.02.008.4501004.204 - $ 35.200.000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</si>
  <si>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</si>
  <si>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</si>
  <si>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</si>
  <si>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>ADECUACIÓN DE SALAS DE PASO, ATENCIÓN AL USUARIO Y UNIDAD DE REACCIÓN INMEDIATA DE LA SEDE PRINCIPAL DE LA FISCALÍA GENERAL DE LA NACIÓN EN BUCARAMANGA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</si>
  <si>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</si>
  <si>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</t>
  </si>
  <si>
    <t>ADECUACIÓN DE SALA TRANSITORIA, ANTEJARDÍN Y OFICINAS ADMINISTRATIVAS DEL CENTRO FACILITADOR DE SERVICIOS MIGRATORIOS – CFSM DE MIGRACIÓN COLOMBIA – REGIONAL ORIENTE EN EL MUNICIPIO DE BUCARAMANGA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</si>
  <si>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</si>
  <si>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>IMPLEMENTACIÓN DE ACCIONES PARA SALVAGUARDAR LA INTEGRIDAD Y SEGURIDAD DE LA OPERATIVIDAD DEL PERSONAL DE LA POLICÍA METROPOLITANA DE BUCARAMANGA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</si>
  <si>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</si>
  <si>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</si>
  <si>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las condiciones de seguridad y convivencia ciudadana en el municipio de Bucaramanga.</t>
  </si>
  <si>
    <t>IMPLEMENTACIÓN DE ACCIONES PARA EL MEJORAMIENTO DE LA OPERATIVIDAD SISTEMAS DE INFORMACIÓN Y TECNOLOGIA DE LOS CENTROS DE INFORMACIÓN ESTRATEGICA POLICIA SECCIONAL CIEPS DEL MUNICIPIO DE BUCARAMANGA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</si>
  <si>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</si>
  <si>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</si>
  <si>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</si>
  <si>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FORTALECIMIENTO DEL PROGRAMA “TOLERANCIA EN MOVIMIENTO", COMO PARTE DE LA POLÍTICA PÚBLICA DE SEGURIDAD Y CONVIVENCIA CIUDADANA DEL MUNICIPIO DE BUCARAMANGA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</si>
  <si>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</si>
  <si>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</si>
  <si>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</si>
  <si>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</si>
  <si>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</si>
  <si>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</si>
  <si>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>2.3.7.06.02.4599002.601 - $ 220.000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</si>
  <si>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</si>
  <si>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</si>
  <si>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</si>
  <si>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</si>
  <si>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</si>
  <si>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</si>
  <si>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</si>
  <si>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</si>
  <si>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</si>
  <si>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</si>
  <si>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</si>
  <si>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</si>
  <si>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</si>
  <si>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</si>
  <si>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</si>
  <si>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</si>
  <si>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</si>
  <si>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</si>
  <si>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2.3.7.06.02.4599002.601 - $ 1.133.333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</si>
  <si>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</si>
  <si>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</si>
  <si>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</si>
  <si>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</si>
  <si>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</si>
  <si>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</si>
  <si>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</si>
  <si>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</si>
  <si>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</si>
  <si>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</si>
  <si>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</si>
  <si>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</si>
  <si>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</si>
  <si>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</si>
  <si>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</si>
  <si>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</si>
  <si>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</si>
  <si>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</si>
  <si>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</si>
  <si>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</si>
  <si>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</si>
  <si>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</si>
  <si>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</si>
  <si>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</si>
  <si>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</si>
  <si>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</si>
  <si>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</si>
  <si>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2.3.2.02.02.009.4101031.201 - $280.000.000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</si>
  <si>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</si>
  <si>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</si>
  <si>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2.3.2.02.02.009.4101031.201 - $70.000.000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</si>
  <si>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</si>
  <si>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</si>
  <si>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2.3.2.02.02.009.4101031.201 - $10.000.000</t>
  </si>
  <si>
    <t>Mantener el Centro de Atención Integral a Víctimas del conflicto interno - CAIV.</t>
  </si>
  <si>
    <t>Número de Centros de Atención Integral para las Víctimas del conflicto interno mantenidos.</t>
  </si>
  <si>
    <t>2.3.7.06.02.4599002.601 - $ 5.633.333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</si>
  <si>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</si>
  <si>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</si>
  <si>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</si>
  <si>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</si>
  <si>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</si>
  <si>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</si>
  <si>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</si>
  <si>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</si>
  <si>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</si>
  <si>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</si>
  <si>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</si>
  <si>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</si>
  <si>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</si>
  <si>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</si>
  <si>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</si>
  <si>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</si>
  <si>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2.3.2.02.02.008.4501004.504</t>
  </si>
  <si>
    <t>2.3.2.02.02.008.1202002.201</t>
  </si>
  <si>
    <t>Melissa Franco Garcia</t>
  </si>
  <si>
    <t>IMPLEMENTACIÓN DE ACCIONES PARA EL MEJORAMIENTO DE LA OPERATIVIDAD Y EL TRANSPORTE DE PERSONAL EN LOS ORGANISMOS DE SEGURIDAD DEL MUNICIPIO DE BUCARAMANGA.</t>
  </si>
  <si>
    <t>2.3.2.02.01.003.4501004.504</t>
  </si>
  <si>
    <t>2.3.2.02.02.008.4501029.201 - $ 20.000.000</t>
  </si>
  <si>
    <t>DESARROLLO DE ESTRATEGIAS PARA LA PREVENCIÓN DE DELITOS EN NIÑO, NIÑAS, ADOLESCENTES Y JOVENES EN LA CIUDAD DE BUCARAMANGA</t>
  </si>
  <si>
    <t>Promoveer programas de prevención en incurrencia de delitos como hurtos, riñas, trafico de estupefacientes, lesiones personales, violencia intrafamiliar para niños, niñas, adolescentes y jovenes en el Municipio de Bucaramanga.</t>
  </si>
  <si>
    <t>2.3.2.02.02.008.4501056.537 - $10.000.000</t>
  </si>
  <si>
    <t>2.3.2.02.01.003.4501056.536 - $21.678.600</t>
  </si>
  <si>
    <t>Brindar la respuesta oportuna en el manejo, atención de eventos de emergencias y desastres naturales en la ciudad de bucaramanga</t>
  </si>
  <si>
    <t>IMPLEMENTACIÓN DE ACCIONES DE SEGURIDAD PARA AUMENTAR LA CAPACIDAD OPERATIVA DE LA POLICIA METROPOLITANA DE BUCARAMANGA</t>
  </si>
  <si>
    <t>Articular las acciones de seguridad ciudadana ejecutadas por el MEBUC</t>
  </si>
  <si>
    <t>Mejorar la eficiencia en la atención y prestación de los servicios de las comisarias de familia e inspecciones de policia en la ciudadania de Bucaramanga</t>
  </si>
  <si>
    <t xml:space="preserve">MEJORAMIENTO Y OBRAS COMPLEMENTARIAS A LAS INTALACIONES DEL CENTRO DE INTERNAMIENTO PREVENTIVO CIP LA JOYA PARA EL FUNCIONAMIENTO DEL SISTEMA DE RESPONSABILIDAD PENAL ADOLESCENTE EN EL MUNICIPIO DE BUCARAMANGA </t>
  </si>
  <si>
    <t xml:space="preserve">Mejorar la infraestructura fisica de algunas instalaciones donde opera y presta servicio el Centro de Internamiento Preventivo CIP La Joya para el Sistema de Responsabilidad Penal Adolescente para el municipio de Bucaramanga </t>
  </si>
  <si>
    <t xml:space="preserve">FORTALECIMIENTO A LA GESTIÓN OPERATIVA PARA LA EFICIENCIA DE LA PRESTACIÓN DE SERVICIOS DE LA SECRETARIA DEL INTERIOR DIRIGIDOS A LA CIUDADANÍA DEL MUNICIPIO DE BUCARAMANGA. </t>
  </si>
  <si>
    <t>IMPLEMENTACIÓN DE ACCIONES DE  ASISTENCIA, PROTRECCIÓN Y PREVENCIÓN A VICTIMAS DEL DELITO DE TRATA DE PERSONAS DEL MUNICIPIO DE BUCARAMANGA.</t>
  </si>
  <si>
    <t>Aumentar la oferta de programas para la previción y protección del delito de trata de personas en la ciudad de Bucaramanga.</t>
  </si>
  <si>
    <t>MEJORAMIENTO DE LAS ESTRATEGIAS ORIENTADAS A LA PROTECCIÓN, PREVENCIÓN Y MITIGACIÓN DE LA VIOLENCIA INTRAFAMILIAR Y DE GÉNERO PARA POBLACIÓN VULNERABLE EN EL MUNICIPIO DE BUCARAMANGA.</t>
  </si>
  <si>
    <t>Aumentar las estrategias orientadas a la población, prevención y mitigación de la violencia intrafamiliar  se genero para población vulnerable en el municipio de Bucarmanga.</t>
  </si>
  <si>
    <t>2.3.2.02.02.008.1202034.201 - $6.250.000</t>
  </si>
  <si>
    <t>2.3.2.02.02.008.1202034.201 - $25.000.000</t>
  </si>
  <si>
    <t>FORTALECIMIENTO A LOS ORGANISMOS DE SEGURIDAD CON LOS ELEMENTOS NECESARIOS PARA LA REALIZACIÓN DE LAS FUNCIONES DEL MUNICIPIO DE BUCARAMANGA</t>
  </si>
  <si>
    <t>Mejorar la eficiencia en atención a susecos delictivos y/o de criminalidad en general por parte de los organismos de seguridad en la ciudad de Bucaramanga.</t>
  </si>
  <si>
    <t>2.3.2.02.02.008.4501004.504 - $17.750.000</t>
  </si>
  <si>
    <t>2.3.2.02.02.008.4501004.504 - $28.250.000</t>
  </si>
  <si>
    <t>2.3.2.02.02.008.4501004.504 - $52.000.000</t>
  </si>
  <si>
    <t>2.3.2.02.02.008.4501004.504 - $324.816..667</t>
  </si>
  <si>
    <t>2.3.2.02.02.008.4501004.504 -$99.850.000</t>
  </si>
  <si>
    <t>2.3.2.02.02.008.4501004.504 -$636.600.000</t>
  </si>
  <si>
    <t xml:space="preserve">IMPLEMENTACIÓN DE ACCIONES DE FORTALECIMIENTO A LA GESTIÓN DEL RIESGOS DE DESASTRES EN EL MUNICIPIO DE BUCARAMANGA </t>
  </si>
  <si>
    <t>Aumentar la eficacia en la respuesta a la atención de personas en caso de riesgos de desastres.</t>
  </si>
  <si>
    <t>2.3.2.02.01.003.4503004.201 - $572.298.800</t>
  </si>
  <si>
    <t>2.3.2.02.02.008.4503004.201 - $ 354.701.511</t>
  </si>
  <si>
    <t xml:space="preserve">MEJORAMIENTO A LAS ACCIONES DE INVESTIGACIÓN CRIMINAL Y DEL SISTEMA INTEGRAL DE SEGURIDAD RURAL DE LA POLICIA METROPOLITANA DE BUCARAMANGA </t>
  </si>
  <si>
    <t>Mejorar la operatividad de los sistemas de información para el desarrollo operaciones de inteligencia de la seccional de investigación criminal sijin, del laboratorio de policia cientifica criminalistica y del sistema integrado de seguridad rural del la Policia Metropolitana de Bucaamanga.</t>
  </si>
  <si>
    <t xml:space="preserve">2.3.2.01.01.003.03.02.4599007.504  - $ 1.664.925.590 </t>
  </si>
  <si>
    <t>Mejorar la seguridad en el área de influencia del distrito 1 de la Policia Metropolitana de Bucaramanga.</t>
  </si>
  <si>
    <t xml:space="preserve">2.3.2.01.01.003.03.02.4501056.204 - $ 1.549.407.553 </t>
  </si>
  <si>
    <t xml:space="preserve">MEJORAMIENTO Y OBRAS COMPLEMENTARIAS A LAS INSTALACCIONES DE LAS SEDE FUERTE NORTE PERTENECIMIENTO AL DISTRITO 1 DE LA POLICIA METROPOLITANA DE BUCARAMANGA </t>
  </si>
  <si>
    <t xml:space="preserve">MEJORAMIENTO Y OBRAS COMPLEMENTARIAS PARA ALOJAMIENTO DEL BATALLÓN DE INGENIEROS NO. 5 CORONEL FRANCISCO JOSÉ DE CALDAS DEL MUNICIPIO DE BUCARAMANGA. </t>
  </si>
  <si>
    <t>Mejorar la indraestructura fisica del alojamiento del batallon de ingenieros No. 5 Coronel Francisco José de Caldas del Municipio de Bucaramanga.</t>
  </si>
  <si>
    <t>2.3.2.02.02.008.4101023.201 - $24.300.000</t>
  </si>
  <si>
    <t>2.3.2.02.02.008.4101023.201 - $13.500.000</t>
  </si>
  <si>
    <t>2.3.2.01.01.003.01.06.4101018.201 - $ 4.400.000</t>
  </si>
  <si>
    <t>2.3.2.02.02.008.4502022.201 - $ 379.500.000</t>
  </si>
  <si>
    <t>2.3.2.02.02.006.4102037.201 - $355.773.880</t>
  </si>
  <si>
    <t>2.3.2.02.02.006.4102037.201 - $4.226.120</t>
  </si>
  <si>
    <t xml:space="preserve">IMPLEMENTACIÓN DE ACCIONES PARA LA RENOVACIÓN DE LOS EQUIPOS TECNOLÓGICOS Y SISTEMAS DE INFORMACIÓN PARA LAS DIFERENTES ÁREAS DE INVESTIGACIÓN DE LA FISCALÍA GENERAL DE LA NACIÓN SEDE BUCARAMANGA. </t>
  </si>
  <si>
    <t>Mejorar la eficiencia en el análisis y procesamiento de la información de los procesos de investigación judicial y en el manejo de los Elementos Materiales Probatorios (EMP) y evidencia física (EF) que adelanta la Fiscalía General de la Nación sede Bucaramanga. </t>
  </si>
  <si>
    <t xml:space="preserve">2.3.2.01.01.003.02.08.4501004.504 - $ 1.058.783.380 </t>
  </si>
  <si>
    <t>2.3.2.02.02.008.4501056.204 - $685.500.000</t>
  </si>
  <si>
    <t xml:space="preserve">FORTALECIMIENTO DE LAS COMUNICACIONES Y LOS MECANISMOS PARA LA PROMOCIÓN Y GARANTIA DE LA TRANSPARENCIA ACCESO A LA INFORMACIÓN PÚBLICA Y LUCHA CONTRA LA CORRUPCIÓN EN EL MUNICIPIO DE BUCARAMANGA </t>
  </si>
  <si>
    <t>2.3.2.02.02.008.4599025.201 - $ 85.000.000</t>
  </si>
  <si>
    <t xml:space="preserve">APOYO FINANCIERO PARA LA ENTREGA DE REECOMPENZAS A INFORMANTE DE LA POLICIA METROPOLITANA DE BUCARAMANGA </t>
  </si>
  <si>
    <t>FORTALECIMIENTO DEL PLAN DE BIENESTAR DE LA POLICIA METROPOLITANA DE BUCARAMANGA</t>
  </si>
  <si>
    <t>Mejoar la capacidad de respuesta a traves de la prestación del servicio de transporte de la tropa del batallón servicios n° 5 “Mercedes Abrego” del municipio de Bucaramanga.</t>
  </si>
  <si>
    <t>Mejorar la operatividad de los organismos encargados del orden publico mediante la actualización del parque automotor y equipos para tareas especiales en la atención de eventos delictivos o de criminalidad.</t>
  </si>
  <si>
    <t>Implementar acciones para la disminución de factores de riesgo psicosocial o retiros en la Policia Nacional de Municipio de Bucaramanga.</t>
  </si>
  <si>
    <t>Promover la disminución del accionar de las organizaciónes de la ley a través del pago de recompensas de el Municipio de Bucaramanga.</t>
  </si>
  <si>
    <t>2.3.2.02.01.003.4503004.201 - $8.000.000</t>
  </si>
  <si>
    <t>2.3.2.02.01.003.4503004.201- $8.000.000</t>
  </si>
  <si>
    <t>2.3.2.02.02.008.4599025.201 - $100.000.000</t>
  </si>
  <si>
    <t>PASIVOS EXIGIBLES</t>
  </si>
  <si>
    <t>2.3.2.02.01.003.4501029.201 - $30.000.000</t>
  </si>
  <si>
    <t>2.3.2.02.02.008.1202002.262 - $1.440.156</t>
  </si>
  <si>
    <t>2.3.2.02.02.008.1202034.201 - $38.750.000</t>
  </si>
  <si>
    <t>2.3.2.02.01.003.4501030.201 - $800.000.000</t>
  </si>
  <si>
    <t>2.3.2.01.01.003.07.01.4501056.204 - $347.157.800</t>
  </si>
  <si>
    <t xml:space="preserve">2.3.2.01.01.003.05.02.4599007.504 - $ 100.861.425 </t>
  </si>
  <si>
    <t>2.3.2.02.02.008.4501056.204 - $1.026.502.282.51</t>
  </si>
  <si>
    <t xml:space="preserve">2.3.2.02.02.008.4599016.504 - $644.732.830.95 </t>
  </si>
  <si>
    <t>2.3.2.02.02.008.4599016.504 - $ 632.326.520.46</t>
  </si>
  <si>
    <t>2.3.2.02.02.009.4501056.264 - $70.000.000</t>
  </si>
  <si>
    <t>2.3.2.01.01.003.03.02.4501056.536 - $10.012.145</t>
  </si>
  <si>
    <t>2.3.2.02.02.006.4102046.201 - $ 1.849.121.351.05</t>
  </si>
  <si>
    <t>2.3.2.02.01.003.4501004.504 -$505.578850</t>
  </si>
  <si>
    <t>2.3.2.02.01.003.4501004.536</t>
  </si>
  <si>
    <t>DESARROLLO DE ACCIONES PARA LA IDENTIFICACIÓN Y PREVENCIÓN DE CASOS DE NIÑOS, NIÑAS Y ADOLESCENTES VINCULADOS A DELITOS Y CONTRAVENCIONES DENTRO Y FUERA DE LAS INSTITUCIONES EDUCATIVAS DEL MUNICIPIO DE BUCARAMANGA</t>
  </si>
  <si>
    <t>Disminuir los casos de niños, niñas y adolescentes vicnulados a delitos y contravenciones dentro y fuera de las instituciones educativas oficiales del Municipio de Buaramanga.</t>
  </si>
  <si>
    <t>2.3.2.02.02.008.4501056.236 - $32.200.000</t>
  </si>
  <si>
    <t>2.3.2.02.02.008.4501056.236 - $7.500.000</t>
  </si>
  <si>
    <t>MEJORAMIENTO EN LA PRESTACIÓN DEL SERVICIO PARA LA ATENCIÓN AL CIUDADANO EN LAS COMISARIAS E INSPECCIONES DEL MUNICIPIO DE BUCARAMANGA</t>
  </si>
  <si>
    <t>2.3.2.02.02.008.4502017.201 - $21.400.000</t>
  </si>
  <si>
    <t>2.3.2.02.01.003.4503004.201  - $251.901.200</t>
  </si>
  <si>
    <t>2.3.2.02.02.008.4501004.204 - $ 455.183.334</t>
  </si>
  <si>
    <t>2.3.2.02.02.008.4501004.204 - $ 43.666.666</t>
  </si>
  <si>
    <t>2.3.2.02.02.008.4501004.504 - $65.000.860</t>
  </si>
  <si>
    <t>2.3.2.02.02.008.4501004.204 - $ 83.000.000</t>
  </si>
  <si>
    <t>2.3.2.02.02.008.4502017.201 - $243.112.964</t>
  </si>
  <si>
    <t>2.3.2.02.02.008.4502017.201 - $ 273.550.000</t>
  </si>
  <si>
    <t>2.3.2.02.02.008.4502017.201 - $120.316.469</t>
  </si>
  <si>
    <t>2.3.2.02.02.008.4502017.201 -  $ 510.250.000</t>
  </si>
  <si>
    <t>Mejorar la prevención y manejo de emergencias por desastres naturales en el Muncipio de Bucaramanga.</t>
  </si>
  <si>
    <t xml:space="preserve">MANTENIMIENTO Y MEJORAMIENTO DE LA INFRAESTRUCTURA EXISTENTE DE LA COMISARIA DE FAMILIA LA JOYA EN EL MUNICIPIO DE BUCARAMANGA </t>
  </si>
  <si>
    <t>Eficiente prestación integral del servicio en la comisaria la joya del Municiío de Bucaramanga.</t>
  </si>
  <si>
    <t>2.3.2.02.02.008.4501013.504 - $484.793.739,37</t>
  </si>
  <si>
    <t>APOYO PARA LA EJECUCIÓN DE LA ESTRATEGIA DENOMINADA "AGUANTE LA BARRA: BARRISMO TOLERANTE, APORTAR, CONVIVIR Y ALENTAR" EN EL MUNICIPIO DE BUCARAMANGA.</t>
  </si>
  <si>
    <t>Disminuir los indices de intolerancia de los barristas en eventos futbolísticos en el municiío de Bucaramanga.</t>
  </si>
  <si>
    <r>
      <t xml:space="preserve">Código:  </t>
    </r>
    <r>
      <rPr>
        <sz val="11"/>
        <rFont val="Arial"/>
        <family val="2"/>
      </rPr>
      <t>F-DPM-1210-238,37-030</t>
    </r>
  </si>
  <si>
    <t>2.3.2.02.02.008.1202002.262 - $1.739.249
2.3.2.02.02.008.1202002.201 - $251.140.751
2.3.2.02.02.008.1202034.201 - $536 283 334</t>
  </si>
  <si>
    <t>2.3.2.02.02.008.1202002.201 - $326.000.000</t>
  </si>
  <si>
    <t>2.3.2.02.02.008.4101023.201 - $23.280.000
2.3.2.02.02.009.4502017.501 - $12.000.000
2.3.2.02.02.009.4101031.201 - $55.700.000</t>
  </si>
  <si>
    <t>2.3.2.02.02.008.4502017.201 - $53.272.730</t>
  </si>
  <si>
    <t>2.3.2.02.02.009.4101031.201 - $50.000.000
2.3.2.02.02.008.4502017.201 - $447.837,01</t>
  </si>
  <si>
    <t>2.3.2.02.02.008.4002012.201 - $244.786.666
2.3.2.02.02.008.4002031.201 - $259.148.478.65
2.3.2.02.01.003.4002031.201 -  $52.982.100</t>
  </si>
  <si>
    <t>2.3.2.02.02.008.4501056.236 - $216.600.000
2.3.2.02.02.008.4501056.237 - $182.600.000
2.3.2.01.01.003.03.02.4501056.204 - $24.323.426
2.3.2.01.01.004.01.01.02.4501056.204 - $10.397.502
2.3.2.02.02.008.4501056.204 - $49.960.950</t>
  </si>
  <si>
    <t>2.3.2.02.02.006.4501056.201 - $399.075.264
2.3.2.02.02.006.4501056.597 - $501.792.912
2.3.2.02.02.008.4501004.504 - $38.124.302
2.3.2.02.02.008.4501056.201 - $72.000.000</t>
  </si>
  <si>
    <t>2.3.2.02.01.003.1206007.201 - $ 119.670.950,12
2.3.2.02.02.008.1206007.201 - $ 54.000.000
2.3.2.01.01.004.01.01.02.1206007.201 - $ 2.512.965</t>
  </si>
  <si>
    <t>2.3.2.02.01.003.1206007.201
2.3.2.01.01.004.01.01.02.1206007.201
2.3.2.02.02.008.1206007.201 - $49.082</t>
  </si>
  <si>
    <t>2.3.2.01.01.004.01.01.02.4501056.204 - $ 7.410.000
2.3.2.02.02.008.4501056.204 - $ 35.118.000
2.3.2.01.01.003.03.02.4501056.504 $228.836.000
2.3.2.01.01.004.01.01.02.4501056.504 $316.960.893
2.3.2.02.02.008.4501056.504 $249.946.503</t>
  </si>
  <si>
    <t>2.3.2.02.02.008.4501056.204 - $92.032.005,21
2.3.2.01.01.004.01.01.02.4501056.204 $26.922.635,56</t>
  </si>
  <si>
    <t>2.3.2.01.01.003.03.02.4503004.201 - $51097293
2.3.2.01.01.003.07.01.4503004.201 - $ 134.254.307
2.3.2.02.01.003.4503004.201 - $368.151.999
2.3.2.02.02.009.4503004.201 - $109.200.000
2.3.2.02.02.008.4503004.315 - $71954166</t>
  </si>
  <si>
    <t>2.3.2.02.02.008.4503004.315 - $44.064.469
2.3.2.02.02.009.4503004.201 - $12.600.000
2.3.2.02.01.003.4503004.201 - $9.664
2.3.2.01.01.003.03.02.4503004.201 - $3.638.611
2.3.2.02.01.002.4503004.201 - $44.284.8126</t>
  </si>
  <si>
    <t>2.3.2.02.01.003.4501056.204 - $835.067.752,5</t>
  </si>
  <si>
    <t>2.3.2.02.02.008.4501004.504 - 102.000.000
2.3.2.01.01.003.03.02.4501004.504 - $14189560</t>
  </si>
  <si>
    <t>2.3.2.01.01.003.07.01.4501004.504 - $2.835.212.724.67
2.3.2.01.01.003.07.07.02.4501004.504 - $316.891.538.46
2.3.2.02.01.003.4501004.504 -$77.000.000</t>
  </si>
  <si>
    <t>2.3.2.01.01.003.07.01.4501004.504 - $165.000.000
2.3.2.02.02.008.4501004.504 - $13.975.0000
2.3.2.01.01.003.03.02.4501004.504 - $19.058.263
2.3.2.01.01.004.01.01.02.4501004.504 - $2.240.582</t>
  </si>
  <si>
    <t>2.3.2.02.02.008.4501004.504 -$79.850.000
2.3.2.01.01.003.03.02.4501004.504 - $112.251.455
2.3.2.01.01.004.01.01.02.4501004.504 - $10.939.315</t>
  </si>
  <si>
    <t xml:space="preserve">2.3.2.01.01.003.07.02.4501004.504  - $ 64.982.607  
2.3.2.01.01.005.02.03.01.01.4501004.504 - $ 102.623.815 
2.3.2.01.01.003.03.02.4501004.504  - $ 287.689.542 </t>
  </si>
  <si>
    <t>2.3.2.02.02.008.4501056.537 - $381.264.073
2.3.2.02.01.003.4501004.504 - $599.649.695 
2.3.2.02.02.008.4501004.504 - $103.415.340</t>
  </si>
  <si>
    <t>2.3.2.01.01.003.03.02.4501056.536 - $232.202.898
2.3.2.02.01.003.4501056.536 - $56.149.623
2.3.2.01.01.003.03.02.4501004.504 - $158.861.968</t>
  </si>
  <si>
    <t>2.3.2.02.02.008.4501004.504 - $286185600
2.3.2.02.01.002.4501004.504 - $ 440.517.900</t>
  </si>
  <si>
    <t>2.3.2.02.02.008.4102046.201 - $ 715.470.647.21
2.3.2.02.02.008.4102046.501 - $40.000.000</t>
  </si>
  <si>
    <t>2.3.2.02.02.008.4501056.201 - $8.000.001.50
2.3.2.02.02.008.4501056.261 - $18.035.728.50</t>
  </si>
  <si>
    <t>2.3.2.02.01.003.4503004.201 - $4.000.000</t>
  </si>
  <si>
    <t>2.3.2.02.02.008.4503004.201 - $4.000.000</t>
  </si>
  <si>
    <t>2.3.2.01.01.005.02.03.01.01.4503004.201 - $ 22.000.000
2.3.2.02.02.008.4503004.201 - $145.298.489</t>
  </si>
  <si>
    <t>IMPLEMENTACIÓN DE SISTEMAS DE ALERTAS TEMPRANAS PARA LA PREVENCIÓN OPORTUNA DE LOS EVENTOS NATURALES EN EL MUNICIPIO DE BUCARAMANGA</t>
  </si>
  <si>
    <t>2.3.2.02.02.008.4002012.201 - $ 13.500.000
2.3.2.02.01.003.4002031.201 -  $ 1.161.298.35</t>
  </si>
  <si>
    <t>2.3.2.02.02.006.4002014.201 - $ 142.500.000
2.3.2.02.02.008.4002017.201 -$ 410.500.000</t>
  </si>
  <si>
    <t>2.3.2.01.01.004.01.01.02.4501056.204 - $7.260.616
2.3.2.02.02.008.4501056.236 - $47.910.000</t>
  </si>
  <si>
    <t>2.3.2.02.02.008.4501056.236 - $100.000.000
2.3.2.02.02.008.4501056.204 - $273.923.586</t>
  </si>
  <si>
    <t>2.3.2.01.01.003.02.08.4501004.504 - $8.216.620
2.3.2.01.01.003.03.02.4501004.504 - $1.449.212
2.3.2.01.01.003.03.02.4501056.204 - $803.322
2.3.2.01.01.003.03.02.4501056.536 - $18.1930.957
2.3.2.01.01.003.07.01.4501004.504 - $1.166.421.383,33
2.3.2.01.01.003.07.01.4501056.204 - $2.842.200 
2.3.2.01.01.003.07.02.4501004.504 - $17.393
2.3.2.01.01.003.07.07.01.4501004.504 - $69.400.000
2.3.2.01.01.003.07.07.02.4501004.504 - $33.108.461,54
2.3.2.01.01.004.01.01.02.4501004.504 - $71.820.103
2.3.2.01.01.004.01.01.02.4501056.204 - $205.798.405,44
2.3.2.01.01.005.02.03.01.01.4501004.504 - $45.376.185
2.3.2.01.01.005.02.03.01.01.4501056.204 - $34.158.449
2.3.2.02.01.002.4501004.504 - $277.638.500
2.3.2.02.01.003.4501004.504 - $454.487.389
2.3.2.02.01.003.4501056.204 - $7.787.825,5</t>
  </si>
  <si>
    <t>2.3.2.02.01.003.4501056.236 - $20.790.000
2.3.2.02.01.003.4501056.536 - $25.777
2.3.2.02.02.006.4501056.201 - $924736+
2.3.2.02.02.006.4501056.597 - $984.496,160000026
2.3.2.02.02.008.1202002.598 - $58.361.947,52
2.3.2.02.02.008.4501004.204 - $1.800.000
2.3.2.02.02.008.4501004.504 - $41.807.321,26
2.3.2.02.02.008.4501056.204 - $182.284.640,28
2.3.2.02.02.008.4501056.237 - $242.400.000
2.3.2.02.02.008.4501056.261 - $29.070
2.3.2.02.02.008.4501056.536 - $295.743.934,5
2.3.2.02.02.008.4501056.537 - $606.479.861,5
2.3.2.02.02.008.4599016.504 - $138.147.827,73
2.3.2.02.02.009.4501056.264 - $89.146.685,48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</si>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</sst>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164" formatCode="_(&quot;$&quot;* #,##0.00_);_(&quot;$&quot;* \(#,##0.00\);_(&quot;$&quot;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</cellStyleXfs>
  <cellXfs count="132">
    <xf numFmtId="0" fontId="0" fillId="0" borderId="0" xfId="0"/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justify"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justify" vertical="center" wrapText="1"/>
    </xf>
    <xf numFmtId="165" fontId="6" fillId="0" borderId="2" xfId="0" applyNumberFormat="1" applyFont="1" applyFill="1" applyBorder="1" applyAlignment="1">
      <alignment horizontal="justify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6" fillId="2" borderId="2" xfId="108" applyNumberFormat="1" applyFont="1" applyFill="1" applyBorder="1" applyAlignment="1">
      <alignment vertical="center"/>
    </xf>
    <xf numFmtId="166" fontId="7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" fontId="8" fillId="0" borderId="2" xfId="0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justify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/>
    <xf numFmtId="168" fontId="7" fillId="2" borderId="2" xfId="108" applyNumberFormat="1" applyFont="1" applyFill="1" applyBorder="1" applyAlignment="1">
      <alignment horizontal="right" vertical="center" wrapText="1"/>
    </xf>
    <xf numFmtId="168" fontId="3" fillId="0" borderId="2" xfId="108" applyNumberFormat="1" applyFont="1" applyFill="1" applyBorder="1" applyAlignment="1">
      <alignment horizontal="right" vertical="center" wrapText="1"/>
    </xf>
    <xf numFmtId="168" fontId="6" fillId="0" borderId="2" xfId="108" applyNumberFormat="1" applyFont="1" applyFill="1" applyBorder="1" applyAlignment="1">
      <alignment horizontal="right" vertical="center" wrapText="1"/>
    </xf>
    <xf numFmtId="168" fontId="3" fillId="0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168" fontId="7" fillId="2" borderId="1" xfId="108" applyNumberFormat="1" applyFont="1" applyFill="1" applyBorder="1" applyAlignment="1">
      <alignment horizontal="right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68" fontId="7" fillId="2" borderId="1" xfId="108" applyNumberFormat="1" applyFont="1" applyFill="1" applyBorder="1" applyAlignment="1">
      <alignment horizontal="right" vertical="center" wrapText="1"/>
    </xf>
    <xf numFmtId="168" fontId="7" fillId="2" borderId="3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168" fontId="7" fillId="2" borderId="5" xfId="108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9" fontId="9" fillId="2" borderId="2" xfId="107" applyFont="1" applyFill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1" xfId="109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14" fontId="3" fillId="0" borderId="8" xfId="0" applyNumberFormat="1" applyFont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2" fontId="6" fillId="0" borderId="5" xfId="109" applyNumberFormat="1" applyFont="1" applyBorder="1" applyAlignment="1">
      <alignment horizontal="center" vertical="center" wrapText="1"/>
    </xf>
    <xf numFmtId="2" fontId="6" fillId="0" borderId="3" xfId="109" applyNumberFormat="1" applyFont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2" fontId="7" fillId="0" borderId="15" xfId="109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256489</xdr:colOff>
      <xdr:row>0</xdr:row>
      <xdr:rowOff>40277</xdr:rowOff>
    </xdr:from>
    <xdr:to>
      <xdr:col>1</xdr:col>
      <xdr:colOff>342554</xdr:colOff>
      <xdr:row>3</xdr:row>
      <xdr:rowOff>134621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3CF1BA-5EBE-44F5-9B48-AFD549C41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489" y="127363"/>
          <a:ext cx="632165" cy="616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50"/>
  <sheetViews>
    <sheetView tabSelected="1" zoomScale="60" zoomScaleNormal="60" workbookViewId="0">
      <selection activeCell="P13" sqref="P13"/>
    </sheetView>
  </sheetViews>
  <sheetFormatPr baseColWidth="10" defaultColWidth="15" defaultRowHeight="13.8" x14ac:dyDescent="0.25"/>
  <cols>
    <col min="1" max="1" width="7.19921875" style="47" customWidth="1"/>
    <col min="2" max="4" width="22.19921875" style="47" customWidth="1"/>
    <col min="5" max="5" width="55.8984375" style="59" customWidth="1"/>
    <col min="6" max="6" width="42.3984375" style="59" customWidth="1"/>
    <col min="7" max="7" width="20.19921875" style="47" customWidth="1"/>
    <col min="8" max="8" width="62.09765625" style="60" customWidth="1"/>
    <col min="9" max="9" width="56" style="47" customWidth="1"/>
    <col min="10" max="11" width="15" style="61" customWidth="1"/>
    <col min="12" max="12" width="15" style="47" customWidth="1"/>
    <col min="13" max="13" width="11.19921875" style="47" customWidth="1"/>
    <col min="14" max="14" width="13" style="47" customWidth="1"/>
    <col min="15" max="15" width="45" style="47" customWidth="1"/>
    <col min="16" max="16" width="18" style="47" customWidth="1"/>
    <col min="17" max="19" width="15" style="47" customWidth="1"/>
    <col min="20" max="20" width="20.19921875" style="47" customWidth="1"/>
    <col min="21" max="21" width="22.3984375" style="47" customWidth="1"/>
    <col min="22" max="22" width="33.5" style="47" customWidth="1"/>
    <col min="23" max="24" width="15.09765625" style="47" bestFit="1" customWidth="1"/>
    <col min="25" max="25" width="17.8984375" style="47" bestFit="1" customWidth="1"/>
    <col min="26" max="26" width="19.69921875" style="47" customWidth="1"/>
    <col min="27" max="27" width="23.3984375" style="47" customWidth="1"/>
    <col min="28" max="28" width="15.09765625" style="47" bestFit="1" customWidth="1"/>
    <col min="29" max="29" width="24.3984375" style="47" customWidth="1"/>
    <col min="30" max="30" width="15" style="47"/>
    <col min="31" max="31" width="20" style="47" customWidth="1"/>
    <col min="32" max="35" width="15" style="47"/>
    <col min="36" max="36" width="18.5" style="47" bestFit="1" customWidth="1"/>
    <col min="37" max="16384" width="15" style="47"/>
  </cols>
  <sheetData>
    <row r="1" spans="1:31" x14ac:dyDescent="0.25">
      <c r="A1" s="108"/>
      <c r="B1" s="111" t="s">
        <v>194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  <c r="AC1" s="94" t="s">
        <v>295</v>
      </c>
      <c r="AD1" s="94"/>
      <c r="AE1" s="94"/>
    </row>
    <row r="2" spans="1:31" x14ac:dyDescent="0.25">
      <c r="A2" s="109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  <c r="AC2" s="94" t="s">
        <v>37</v>
      </c>
      <c r="AD2" s="94"/>
      <c r="AE2" s="94"/>
    </row>
    <row r="3" spans="1:31" x14ac:dyDescent="0.25">
      <c r="A3" s="109"/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94" t="s">
        <v>34</v>
      </c>
      <c r="AD3" s="94"/>
      <c r="AE3" s="94"/>
    </row>
    <row r="4" spans="1:31" x14ac:dyDescent="0.25">
      <c r="A4" s="110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95" t="s">
        <v>33</v>
      </c>
      <c r="AD4" s="95"/>
      <c r="AE4" s="95"/>
    </row>
    <row r="5" spans="1:31" x14ac:dyDescent="0.25">
      <c r="A5" s="96" t="s">
        <v>31</v>
      </c>
      <c r="B5" s="97"/>
      <c r="C5" s="98"/>
      <c r="D5" s="99">
        <v>44578</v>
      </c>
      <c r="E5" s="100"/>
      <c r="F5" s="100"/>
      <c r="G5" s="100"/>
      <c r="H5" s="100"/>
      <c r="I5" s="100"/>
      <c r="J5" s="100"/>
      <c r="K5" s="100"/>
      <c r="L5" s="101"/>
      <c r="M5" s="120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2"/>
    </row>
    <row r="6" spans="1:31" x14ac:dyDescent="0.25">
      <c r="A6" s="96" t="s">
        <v>32</v>
      </c>
      <c r="B6" s="97"/>
      <c r="C6" s="98"/>
      <c r="D6" s="99">
        <v>44561</v>
      </c>
      <c r="E6" s="100"/>
      <c r="F6" s="100"/>
      <c r="G6" s="100"/>
      <c r="H6" s="100"/>
      <c r="I6" s="100"/>
      <c r="J6" s="100"/>
      <c r="K6" s="100"/>
      <c r="L6" s="101"/>
      <c r="M6" s="123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5"/>
    </row>
    <row r="7" spans="1:31" x14ac:dyDescent="0.25">
      <c r="A7" s="67"/>
      <c r="B7" s="102" t="s">
        <v>10</v>
      </c>
      <c r="C7" s="103"/>
      <c r="D7" s="103"/>
      <c r="E7" s="103"/>
      <c r="F7" s="104"/>
      <c r="G7" s="102" t="s">
        <v>11</v>
      </c>
      <c r="H7" s="103"/>
      <c r="I7" s="103"/>
      <c r="J7" s="103"/>
      <c r="K7" s="104"/>
      <c r="L7" s="102" t="s">
        <v>26</v>
      </c>
      <c r="M7" s="103"/>
      <c r="N7" s="104"/>
      <c r="O7" s="102" t="s">
        <v>24</v>
      </c>
      <c r="P7" s="103"/>
      <c r="Q7" s="103"/>
      <c r="R7" s="103"/>
      <c r="S7" s="103"/>
      <c r="T7" s="103"/>
      <c r="U7" s="104"/>
      <c r="V7" s="102" t="s">
        <v>18</v>
      </c>
      <c r="W7" s="103"/>
      <c r="X7" s="103"/>
      <c r="Y7" s="103"/>
      <c r="Z7" s="103"/>
      <c r="AA7" s="104"/>
      <c r="AB7" s="105" t="s">
        <v>19</v>
      </c>
      <c r="AC7" s="107" t="s">
        <v>27</v>
      </c>
      <c r="AD7" s="107" t="s">
        <v>25</v>
      </c>
      <c r="AE7" s="107"/>
    </row>
    <row r="8" spans="1:31" ht="41.4" x14ac:dyDescent="0.25">
      <c r="A8" s="10" t="s">
        <v>30</v>
      </c>
      <c r="B8" s="10" t="s">
        <v>1</v>
      </c>
      <c r="C8" s="10" t="s">
        <v>6</v>
      </c>
      <c r="D8" s="10" t="s">
        <v>2</v>
      </c>
      <c r="E8" s="8" t="s">
        <v>7</v>
      </c>
      <c r="F8" s="13" t="s">
        <v>20</v>
      </c>
      <c r="G8" s="19" t="s">
        <v>15</v>
      </c>
      <c r="H8" s="19" t="s">
        <v>3</v>
      </c>
      <c r="I8" s="19" t="s">
        <v>16</v>
      </c>
      <c r="J8" s="19" t="s">
        <v>22</v>
      </c>
      <c r="K8" s="19" t="s">
        <v>23</v>
      </c>
      <c r="L8" s="19" t="s">
        <v>4</v>
      </c>
      <c r="M8" s="19" t="s">
        <v>5</v>
      </c>
      <c r="N8" s="19" t="s">
        <v>0</v>
      </c>
      <c r="O8" s="10" t="s">
        <v>9</v>
      </c>
      <c r="P8" s="19" t="s">
        <v>36</v>
      </c>
      <c r="Q8" s="19" t="s">
        <v>8</v>
      </c>
      <c r="R8" s="19" t="s">
        <v>28</v>
      </c>
      <c r="S8" s="19" t="s">
        <v>35</v>
      </c>
      <c r="T8" s="19" t="s">
        <v>12</v>
      </c>
      <c r="U8" s="19" t="s">
        <v>21</v>
      </c>
      <c r="V8" s="19" t="s">
        <v>36</v>
      </c>
      <c r="W8" s="19" t="s">
        <v>8</v>
      </c>
      <c r="X8" s="19" t="s">
        <v>28</v>
      </c>
      <c r="Y8" s="19" t="s">
        <v>35</v>
      </c>
      <c r="Z8" s="19" t="s">
        <v>12</v>
      </c>
      <c r="AA8" s="19" t="s">
        <v>29</v>
      </c>
      <c r="AB8" s="106"/>
      <c r="AC8" s="107"/>
      <c r="AD8" s="19" t="s">
        <v>13</v>
      </c>
      <c r="AE8" s="19" t="s">
        <v>14</v>
      </c>
    </row>
    <row r="9" spans="1:31" ht="55.2" x14ac:dyDescent="0.25">
      <c r="A9" s="10">
        <v>99</v>
      </c>
      <c r="B9" s="48" t="s">
        <v>41</v>
      </c>
      <c r="C9" s="48" t="s">
        <v>42</v>
      </c>
      <c r="D9" s="20" t="s">
        <v>46</v>
      </c>
      <c r="E9" s="21" t="s">
        <v>47</v>
      </c>
      <c r="F9" s="22" t="s">
        <v>48</v>
      </c>
      <c r="G9" s="23">
        <v>20210680010086</v>
      </c>
      <c r="H9" s="46" t="s">
        <v>201</v>
      </c>
      <c r="I9" s="36" t="s">
        <v>202</v>
      </c>
      <c r="J9" s="49">
        <v>44438</v>
      </c>
      <c r="K9" s="49">
        <v>44561</v>
      </c>
      <c r="L9" s="24">
        <v>1</v>
      </c>
      <c r="M9" s="69">
        <v>1</v>
      </c>
      <c r="N9" s="50">
        <f>IFERROR(IF(M9/L9&gt;100%,100%,M9/L9),"-")</f>
        <v>1</v>
      </c>
      <c r="O9" s="14" t="s">
        <v>203</v>
      </c>
      <c r="P9" s="64"/>
      <c r="Q9" s="64"/>
      <c r="R9" s="64"/>
      <c r="S9" s="64"/>
      <c r="T9" s="65">
        <v>10000000</v>
      </c>
      <c r="U9" s="63">
        <f>SUM(P9:T9)</f>
        <v>10000000</v>
      </c>
      <c r="V9" s="65"/>
      <c r="W9" s="65"/>
      <c r="X9" s="65"/>
      <c r="Y9" s="65"/>
      <c r="Z9" s="65">
        <v>8333333</v>
      </c>
      <c r="AA9" s="63">
        <f>SUM(V9:Z9)</f>
        <v>8333333</v>
      </c>
      <c r="AB9" s="25">
        <f>IFERROR(AA9/U9,"-")</f>
        <v>0.83333330000000005</v>
      </c>
      <c r="AC9" s="26"/>
      <c r="AD9" s="51" t="s">
        <v>51</v>
      </c>
      <c r="AE9" s="51" t="s">
        <v>197</v>
      </c>
    </row>
    <row r="10" spans="1:31" ht="69" x14ac:dyDescent="0.25">
      <c r="A10" s="10">
        <v>169</v>
      </c>
      <c r="B10" s="52" t="s">
        <v>52</v>
      </c>
      <c r="C10" s="52" t="s">
        <v>53</v>
      </c>
      <c r="D10" s="27" t="s">
        <v>54</v>
      </c>
      <c r="E10" s="21" t="s">
        <v>55</v>
      </c>
      <c r="F10" s="22" t="s">
        <v>56</v>
      </c>
      <c r="G10" s="23">
        <v>20200680010038</v>
      </c>
      <c r="H10" s="46" t="s">
        <v>57</v>
      </c>
      <c r="I10" s="36" t="s">
        <v>58</v>
      </c>
      <c r="J10" s="49">
        <v>44202</v>
      </c>
      <c r="K10" s="49">
        <v>44561</v>
      </c>
      <c r="L10" s="80">
        <v>1</v>
      </c>
      <c r="M10" s="91">
        <v>1</v>
      </c>
      <c r="N10" s="75">
        <f>IFERROR(IF(M10/L10&gt;100%,100%,M10/L10),"-")</f>
        <v>1</v>
      </c>
      <c r="O10" s="53" t="s">
        <v>229</v>
      </c>
      <c r="P10" s="64">
        <v>354701511</v>
      </c>
      <c r="Q10" s="64"/>
      <c r="R10" s="64"/>
      <c r="S10" s="64"/>
      <c r="T10" s="65"/>
      <c r="U10" s="70">
        <f>SUM(P10:T11)</f>
        <v>522000000</v>
      </c>
      <c r="V10" s="65">
        <v>297697576.33999997</v>
      </c>
      <c r="W10" s="65"/>
      <c r="X10" s="65"/>
      <c r="Y10" s="65"/>
      <c r="Z10" s="65"/>
      <c r="AA10" s="70">
        <f>SUM(V10:Z11)</f>
        <v>297697576.33999997</v>
      </c>
      <c r="AB10" s="72">
        <f t="shared" ref="AB10:AB39" si="0">IFERROR(AA10/U10,"-")</f>
        <v>0.57030187038314173</v>
      </c>
      <c r="AC10" s="126"/>
      <c r="AD10" s="126" t="s">
        <v>51</v>
      </c>
      <c r="AE10" s="126" t="s">
        <v>197</v>
      </c>
    </row>
    <row r="11" spans="1:31" ht="69" x14ac:dyDescent="0.25">
      <c r="A11" s="10">
        <v>169</v>
      </c>
      <c r="B11" s="52" t="s">
        <v>52</v>
      </c>
      <c r="C11" s="52" t="s">
        <v>53</v>
      </c>
      <c r="D11" s="27" t="s">
        <v>54</v>
      </c>
      <c r="E11" s="21" t="s">
        <v>55</v>
      </c>
      <c r="F11" s="22" t="s">
        <v>56</v>
      </c>
      <c r="G11" s="23"/>
      <c r="H11" s="30" t="s">
        <v>331</v>
      </c>
      <c r="I11" s="36"/>
      <c r="J11" s="49"/>
      <c r="K11" s="49"/>
      <c r="L11" s="80"/>
      <c r="M11" s="91"/>
      <c r="N11" s="75"/>
      <c r="O11" s="53" t="s">
        <v>323</v>
      </c>
      <c r="P11" s="64">
        <f>22000000+145298489</f>
        <v>167298489</v>
      </c>
      <c r="Q11" s="64"/>
      <c r="R11" s="64"/>
      <c r="S11" s="64"/>
      <c r="T11" s="65"/>
      <c r="U11" s="74"/>
      <c r="V11" s="65"/>
      <c r="W11" s="65"/>
      <c r="X11" s="65"/>
      <c r="Y11" s="65"/>
      <c r="Z11" s="65"/>
      <c r="AA11" s="74"/>
      <c r="AB11" s="78"/>
      <c r="AC11" s="127"/>
      <c r="AD11" s="127" t="s">
        <v>51</v>
      </c>
      <c r="AE11" s="127" t="s">
        <v>197</v>
      </c>
    </row>
    <row r="12" spans="1:31" ht="55.2" x14ac:dyDescent="0.25">
      <c r="A12" s="10">
        <v>170</v>
      </c>
      <c r="B12" s="48" t="s">
        <v>52</v>
      </c>
      <c r="C12" s="48" t="s">
        <v>53</v>
      </c>
      <c r="D12" s="20" t="s">
        <v>54</v>
      </c>
      <c r="E12" s="21" t="s">
        <v>59</v>
      </c>
      <c r="F12" s="22" t="s">
        <v>60</v>
      </c>
      <c r="G12" s="54"/>
      <c r="H12" s="30" t="s">
        <v>331</v>
      </c>
      <c r="I12" s="55"/>
      <c r="J12" s="49"/>
      <c r="K12" s="49"/>
      <c r="L12" s="31">
        <v>3</v>
      </c>
      <c r="M12" s="42">
        <v>3</v>
      </c>
      <c r="N12" s="50">
        <f t="shared" ref="N12:N23" si="1">IFERROR(IF(M12/L12&gt;100%,100%,M12/L12),"-")</f>
        <v>1</v>
      </c>
      <c r="O12" s="56"/>
      <c r="P12" s="64"/>
      <c r="Q12" s="64"/>
      <c r="R12" s="64"/>
      <c r="S12" s="64"/>
      <c r="T12" s="65"/>
      <c r="U12" s="63">
        <f t="shared" ref="U12:U29" si="2">SUM(P12:T12)</f>
        <v>0</v>
      </c>
      <c r="V12" s="65"/>
      <c r="W12" s="65"/>
      <c r="X12" s="65"/>
      <c r="Y12" s="65"/>
      <c r="Z12" s="65"/>
      <c r="AA12" s="63">
        <f t="shared" ref="AA12:AA29" si="3">SUM(V12:Z12)</f>
        <v>0</v>
      </c>
      <c r="AB12" s="25" t="str">
        <f t="shared" si="0"/>
        <v>-</v>
      </c>
      <c r="AC12" s="26">
        <f>3*120000000</f>
        <v>360000000</v>
      </c>
      <c r="AD12" s="51" t="s">
        <v>51</v>
      </c>
      <c r="AE12" s="51" t="s">
        <v>197</v>
      </c>
    </row>
    <row r="13" spans="1:31" ht="55.2" x14ac:dyDescent="0.25">
      <c r="A13" s="10">
        <v>171</v>
      </c>
      <c r="B13" s="48" t="s">
        <v>52</v>
      </c>
      <c r="C13" s="48" t="s">
        <v>53</v>
      </c>
      <c r="D13" s="20" t="s">
        <v>54</v>
      </c>
      <c r="E13" s="21" t="s">
        <v>61</v>
      </c>
      <c r="F13" s="22" t="s">
        <v>62</v>
      </c>
      <c r="G13" s="23">
        <v>20210680010156</v>
      </c>
      <c r="H13" s="46" t="s">
        <v>324</v>
      </c>
      <c r="I13" s="36" t="s">
        <v>289</v>
      </c>
      <c r="J13" s="49"/>
      <c r="K13" s="49"/>
      <c r="L13" s="31">
        <v>1</v>
      </c>
      <c r="M13" s="42">
        <v>1</v>
      </c>
      <c r="N13" s="50">
        <f t="shared" si="1"/>
        <v>1</v>
      </c>
      <c r="O13" s="53" t="s">
        <v>63</v>
      </c>
      <c r="P13" s="64">
        <v>90000000</v>
      </c>
      <c r="Q13" s="64"/>
      <c r="R13" s="64"/>
      <c r="S13" s="64"/>
      <c r="T13" s="65"/>
      <c r="U13" s="63">
        <f t="shared" si="2"/>
        <v>90000000</v>
      </c>
      <c r="V13" s="65">
        <v>87000000</v>
      </c>
      <c r="W13" s="65"/>
      <c r="X13" s="65"/>
      <c r="Y13" s="65"/>
      <c r="Z13" s="65"/>
      <c r="AA13" s="63">
        <f t="shared" si="3"/>
        <v>87000000</v>
      </c>
      <c r="AB13" s="25">
        <f t="shared" si="0"/>
        <v>0.96666666666666667</v>
      </c>
      <c r="AC13" s="26"/>
      <c r="AD13" s="51" t="s">
        <v>51</v>
      </c>
      <c r="AE13" s="51" t="s">
        <v>197</v>
      </c>
    </row>
    <row r="14" spans="1:31" ht="55.2" x14ac:dyDescent="0.25">
      <c r="A14" s="10">
        <v>172</v>
      </c>
      <c r="B14" s="48" t="s">
        <v>52</v>
      </c>
      <c r="C14" s="48" t="s">
        <v>53</v>
      </c>
      <c r="D14" s="20" t="s">
        <v>64</v>
      </c>
      <c r="E14" s="21" t="s">
        <v>65</v>
      </c>
      <c r="F14" s="22" t="s">
        <v>66</v>
      </c>
      <c r="G14" s="23"/>
      <c r="H14" s="30" t="s">
        <v>331</v>
      </c>
      <c r="I14" s="36" t="s">
        <v>227</v>
      </c>
      <c r="J14" s="49"/>
      <c r="K14" s="49"/>
      <c r="L14" s="31">
        <v>1</v>
      </c>
      <c r="M14" s="43">
        <v>1</v>
      </c>
      <c r="N14" s="50">
        <f t="shared" si="1"/>
        <v>1</v>
      </c>
      <c r="O14" s="53" t="s">
        <v>256</v>
      </c>
      <c r="P14" s="64">
        <v>8000000</v>
      </c>
      <c r="Q14" s="64"/>
      <c r="R14" s="64"/>
      <c r="S14" s="64"/>
      <c r="T14" s="65"/>
      <c r="U14" s="63">
        <f t="shared" si="2"/>
        <v>8000000</v>
      </c>
      <c r="V14" s="65"/>
      <c r="W14" s="65"/>
      <c r="X14" s="65"/>
      <c r="Y14" s="65"/>
      <c r="Z14" s="65"/>
      <c r="AA14" s="63">
        <f t="shared" si="3"/>
        <v>0</v>
      </c>
      <c r="AB14" s="25">
        <f t="shared" si="0"/>
        <v>0</v>
      </c>
      <c r="AC14" s="26"/>
      <c r="AD14" s="51" t="s">
        <v>51</v>
      </c>
      <c r="AE14" s="51" t="s">
        <v>197</v>
      </c>
    </row>
    <row r="15" spans="1:31" ht="55.2" x14ac:dyDescent="0.25">
      <c r="A15" s="10">
        <v>173</v>
      </c>
      <c r="B15" s="48" t="s">
        <v>52</v>
      </c>
      <c r="C15" s="48" t="s">
        <v>53</v>
      </c>
      <c r="D15" s="20" t="s">
        <v>64</v>
      </c>
      <c r="E15" s="21" t="s">
        <v>67</v>
      </c>
      <c r="F15" s="22" t="s">
        <v>68</v>
      </c>
      <c r="G15" s="23"/>
      <c r="H15" s="30" t="s">
        <v>331</v>
      </c>
      <c r="I15" s="36" t="s">
        <v>227</v>
      </c>
      <c r="J15" s="49"/>
      <c r="K15" s="49"/>
      <c r="L15" s="31">
        <v>10</v>
      </c>
      <c r="M15" s="42">
        <v>10</v>
      </c>
      <c r="N15" s="50">
        <f t="shared" si="1"/>
        <v>1</v>
      </c>
      <c r="O15" s="53" t="s">
        <v>257</v>
      </c>
      <c r="P15" s="64">
        <v>8000000</v>
      </c>
      <c r="Q15" s="64"/>
      <c r="R15" s="64"/>
      <c r="S15" s="64"/>
      <c r="T15" s="65"/>
      <c r="U15" s="63">
        <f t="shared" si="2"/>
        <v>8000000</v>
      </c>
      <c r="V15" s="65"/>
      <c r="W15" s="65"/>
      <c r="X15" s="65"/>
      <c r="Y15" s="65"/>
      <c r="Z15" s="65"/>
      <c r="AA15" s="63">
        <f t="shared" si="3"/>
        <v>0</v>
      </c>
      <c r="AB15" s="25">
        <f t="shared" si="0"/>
        <v>0</v>
      </c>
      <c r="AC15" s="26"/>
      <c r="AD15" s="51" t="s">
        <v>51</v>
      </c>
      <c r="AE15" s="51" t="s">
        <v>197</v>
      </c>
    </row>
    <row r="16" spans="1:31" ht="55.2" x14ac:dyDescent="0.25">
      <c r="A16" s="10">
        <v>174</v>
      </c>
      <c r="B16" s="48" t="s">
        <v>52</v>
      </c>
      <c r="C16" s="48" t="s">
        <v>53</v>
      </c>
      <c r="D16" s="20" t="s">
        <v>64</v>
      </c>
      <c r="E16" s="21" t="s">
        <v>69</v>
      </c>
      <c r="F16" s="22" t="s">
        <v>70</v>
      </c>
      <c r="G16" s="23"/>
      <c r="H16" s="30" t="s">
        <v>331</v>
      </c>
      <c r="I16" s="36" t="s">
        <v>227</v>
      </c>
      <c r="J16" s="49"/>
      <c r="K16" s="49"/>
      <c r="L16" s="31">
        <v>4</v>
      </c>
      <c r="M16" s="42">
        <v>4</v>
      </c>
      <c r="N16" s="50">
        <f t="shared" si="1"/>
        <v>1</v>
      </c>
      <c r="O16" s="53" t="s">
        <v>256</v>
      </c>
      <c r="P16" s="64">
        <v>8000000</v>
      </c>
      <c r="Q16" s="64"/>
      <c r="R16" s="64"/>
      <c r="S16" s="64"/>
      <c r="T16" s="65"/>
      <c r="U16" s="63">
        <f t="shared" si="2"/>
        <v>8000000</v>
      </c>
      <c r="V16" s="65"/>
      <c r="W16" s="65"/>
      <c r="X16" s="65"/>
      <c r="Y16" s="65"/>
      <c r="Z16" s="65"/>
      <c r="AA16" s="63">
        <f t="shared" si="3"/>
        <v>0</v>
      </c>
      <c r="AB16" s="25">
        <f t="shared" si="0"/>
        <v>0</v>
      </c>
      <c r="AC16" s="26">
        <f>17230795743+46830428703+14553552351</f>
        <v>78614776797</v>
      </c>
      <c r="AD16" s="51" t="s">
        <v>51</v>
      </c>
      <c r="AE16" s="51" t="s">
        <v>197</v>
      </c>
    </row>
    <row r="17" spans="1:31" ht="55.2" x14ac:dyDescent="0.25">
      <c r="A17" s="10">
        <v>175</v>
      </c>
      <c r="B17" s="48" t="s">
        <v>52</v>
      </c>
      <c r="C17" s="48" t="s">
        <v>53</v>
      </c>
      <c r="D17" s="20" t="s">
        <v>64</v>
      </c>
      <c r="E17" s="21" t="s">
        <v>71</v>
      </c>
      <c r="F17" s="22" t="s">
        <v>72</v>
      </c>
      <c r="G17" s="23">
        <v>20210680010159</v>
      </c>
      <c r="H17" s="46" t="s">
        <v>226</v>
      </c>
      <c r="I17" s="36" t="s">
        <v>227</v>
      </c>
      <c r="J17" s="49">
        <v>44488</v>
      </c>
      <c r="K17" s="49">
        <v>44561</v>
      </c>
      <c r="L17" s="86">
        <v>1</v>
      </c>
      <c r="M17" s="84">
        <v>1</v>
      </c>
      <c r="N17" s="81">
        <f t="shared" si="1"/>
        <v>1</v>
      </c>
      <c r="O17" s="53" t="s">
        <v>322</v>
      </c>
      <c r="P17" s="64">
        <v>4000000</v>
      </c>
      <c r="Q17" s="64"/>
      <c r="R17" s="64"/>
      <c r="S17" s="64"/>
      <c r="T17" s="65"/>
      <c r="U17" s="70">
        <f>SUM(P17:T18)</f>
        <v>8000000</v>
      </c>
      <c r="V17" s="65"/>
      <c r="W17" s="65"/>
      <c r="X17" s="65"/>
      <c r="Y17" s="65"/>
      <c r="Z17" s="65"/>
      <c r="AA17" s="70">
        <f>SUM(V17:Z18)</f>
        <v>0</v>
      </c>
      <c r="AB17" s="72">
        <f t="shared" si="0"/>
        <v>0</v>
      </c>
      <c r="AC17" s="126"/>
      <c r="AD17" s="128" t="s">
        <v>51</v>
      </c>
      <c r="AE17" s="128" t="s">
        <v>197</v>
      </c>
    </row>
    <row r="18" spans="1:31" ht="55.2" x14ac:dyDescent="0.25">
      <c r="A18" s="10">
        <v>175</v>
      </c>
      <c r="B18" s="48" t="s">
        <v>52</v>
      </c>
      <c r="C18" s="48" t="s">
        <v>53</v>
      </c>
      <c r="D18" s="20" t="s">
        <v>64</v>
      </c>
      <c r="E18" s="21" t="s">
        <v>71</v>
      </c>
      <c r="F18" s="22" t="s">
        <v>72</v>
      </c>
      <c r="G18" s="23"/>
      <c r="H18" s="30" t="s">
        <v>331</v>
      </c>
      <c r="I18" s="36"/>
      <c r="J18" s="49"/>
      <c r="K18" s="49"/>
      <c r="L18" s="87"/>
      <c r="M18" s="85"/>
      <c r="N18" s="82"/>
      <c r="O18" s="53" t="s">
        <v>321</v>
      </c>
      <c r="P18" s="64">
        <v>4000000</v>
      </c>
      <c r="Q18" s="64"/>
      <c r="R18" s="64"/>
      <c r="S18" s="64"/>
      <c r="T18" s="65"/>
      <c r="U18" s="71"/>
      <c r="V18" s="65"/>
      <c r="W18" s="65"/>
      <c r="X18" s="65"/>
      <c r="Y18" s="65"/>
      <c r="Z18" s="65"/>
      <c r="AA18" s="71"/>
      <c r="AB18" s="73"/>
      <c r="AC18" s="127"/>
      <c r="AD18" s="129"/>
      <c r="AE18" s="129"/>
    </row>
    <row r="19" spans="1:31" ht="55.2" x14ac:dyDescent="0.25">
      <c r="A19" s="10">
        <v>176</v>
      </c>
      <c r="B19" s="48" t="s">
        <v>52</v>
      </c>
      <c r="C19" s="48" t="s">
        <v>53</v>
      </c>
      <c r="D19" s="20" t="s">
        <v>64</v>
      </c>
      <c r="E19" s="21" t="s">
        <v>73</v>
      </c>
      <c r="F19" s="22" t="s">
        <v>74</v>
      </c>
      <c r="G19" s="23">
        <v>20210680010159</v>
      </c>
      <c r="H19" s="46" t="s">
        <v>226</v>
      </c>
      <c r="I19" s="36" t="s">
        <v>227</v>
      </c>
      <c r="J19" s="49">
        <v>44488</v>
      </c>
      <c r="K19" s="49">
        <v>44561</v>
      </c>
      <c r="L19" s="77">
        <v>1</v>
      </c>
      <c r="M19" s="76">
        <v>1</v>
      </c>
      <c r="N19" s="75">
        <f t="shared" ref="N19" si="4">IFERROR(IF(M19/L19&gt;100%,100%,M19/L19),"-")</f>
        <v>1</v>
      </c>
      <c r="O19" s="53" t="s">
        <v>228</v>
      </c>
      <c r="P19" s="65">
        <v>487000000</v>
      </c>
      <c r="Q19" s="64"/>
      <c r="R19" s="64"/>
      <c r="S19" s="64"/>
      <c r="T19" s="65"/>
      <c r="U19" s="70">
        <f>SUM(P19:T20)</f>
        <v>824200000</v>
      </c>
      <c r="V19" s="65">
        <v>487000000</v>
      </c>
      <c r="W19" s="65"/>
      <c r="X19" s="65"/>
      <c r="Y19" s="65"/>
      <c r="Z19" s="65"/>
      <c r="AA19" s="70">
        <f>SUM(V19:Z20)</f>
        <v>487000000</v>
      </c>
      <c r="AB19" s="72">
        <f t="shared" si="0"/>
        <v>0.59087600097063819</v>
      </c>
      <c r="AC19" s="126"/>
      <c r="AD19" s="126" t="s">
        <v>51</v>
      </c>
      <c r="AE19" s="126" t="s">
        <v>197</v>
      </c>
    </row>
    <row r="20" spans="1:31" ht="55.2" x14ac:dyDescent="0.25">
      <c r="A20" s="10">
        <v>176</v>
      </c>
      <c r="B20" s="48" t="s">
        <v>52</v>
      </c>
      <c r="C20" s="48" t="s">
        <v>53</v>
      </c>
      <c r="D20" s="20" t="s">
        <v>64</v>
      </c>
      <c r="E20" s="21" t="s">
        <v>73</v>
      </c>
      <c r="F20" s="22" t="s">
        <v>74</v>
      </c>
      <c r="G20" s="23"/>
      <c r="H20" s="30" t="s">
        <v>331</v>
      </c>
      <c r="I20" s="36"/>
      <c r="J20" s="49"/>
      <c r="K20" s="49"/>
      <c r="L20" s="77"/>
      <c r="M20" s="76"/>
      <c r="N20" s="75"/>
      <c r="O20" s="53" t="s">
        <v>280</v>
      </c>
      <c r="P20" s="64">
        <f>251901200+85298800</f>
        <v>337200000</v>
      </c>
      <c r="Q20" s="64"/>
      <c r="R20" s="64"/>
      <c r="S20" s="64"/>
      <c r="T20" s="65"/>
      <c r="U20" s="71"/>
      <c r="V20" s="65"/>
      <c r="W20" s="65"/>
      <c r="X20" s="65"/>
      <c r="Y20" s="65"/>
      <c r="Z20" s="65"/>
      <c r="AA20" s="71"/>
      <c r="AB20" s="73"/>
      <c r="AC20" s="127"/>
      <c r="AD20" s="127" t="s">
        <v>51</v>
      </c>
      <c r="AE20" s="127" t="s">
        <v>197</v>
      </c>
    </row>
    <row r="21" spans="1:31" ht="76.8" customHeight="1" x14ac:dyDescent="0.25">
      <c r="A21" s="10">
        <v>177</v>
      </c>
      <c r="B21" s="52" t="s">
        <v>52</v>
      </c>
      <c r="C21" s="52" t="s">
        <v>53</v>
      </c>
      <c r="D21" s="27" t="s">
        <v>75</v>
      </c>
      <c r="E21" s="32" t="s">
        <v>76</v>
      </c>
      <c r="F21" s="33" t="s">
        <v>77</v>
      </c>
      <c r="G21" s="23">
        <v>20200680010079</v>
      </c>
      <c r="H21" s="46" t="s">
        <v>78</v>
      </c>
      <c r="I21" s="36" t="s">
        <v>205</v>
      </c>
      <c r="J21" s="49">
        <v>44390</v>
      </c>
      <c r="K21" s="49">
        <v>44561</v>
      </c>
      <c r="L21" s="93">
        <v>1</v>
      </c>
      <c r="M21" s="92">
        <v>1</v>
      </c>
      <c r="N21" s="75">
        <f t="shared" si="1"/>
        <v>1</v>
      </c>
      <c r="O21" s="53" t="s">
        <v>308</v>
      </c>
      <c r="P21" s="64">
        <f>51097293+134254307+368151999+109200000+71954166</f>
        <v>734657765</v>
      </c>
      <c r="Q21" s="64"/>
      <c r="R21" s="64"/>
      <c r="S21" s="64"/>
      <c r="T21" s="65"/>
      <c r="U21" s="70">
        <f>SUM(P21:T22)</f>
        <v>1237818634.52</v>
      </c>
      <c r="V21" s="65">
        <f>42349844+130495581+169993537.69+36750000+69755420</f>
        <v>449344382.69</v>
      </c>
      <c r="W21" s="65"/>
      <c r="X21" s="65"/>
      <c r="Y21" s="65"/>
      <c r="Z21" s="65"/>
      <c r="AA21" s="70">
        <f>SUM(V21:Z22)</f>
        <v>449344382.69</v>
      </c>
      <c r="AB21" s="72">
        <f t="shared" si="0"/>
        <v>0.36301310237120987</v>
      </c>
      <c r="AC21" s="126"/>
      <c r="AD21" s="126" t="s">
        <v>51</v>
      </c>
      <c r="AE21" s="126" t="s">
        <v>197</v>
      </c>
    </row>
    <row r="22" spans="1:31" ht="82.8" customHeight="1" x14ac:dyDescent="0.25">
      <c r="A22" s="10">
        <v>177</v>
      </c>
      <c r="B22" s="52" t="s">
        <v>52</v>
      </c>
      <c r="C22" s="52" t="s">
        <v>53</v>
      </c>
      <c r="D22" s="27" t="s">
        <v>75</v>
      </c>
      <c r="E22" s="32" t="s">
        <v>76</v>
      </c>
      <c r="F22" s="33" t="s">
        <v>77</v>
      </c>
      <c r="G22" s="23"/>
      <c r="H22" s="30" t="s">
        <v>331</v>
      </c>
      <c r="I22" s="36"/>
      <c r="J22" s="49"/>
      <c r="K22" s="49"/>
      <c r="L22" s="93"/>
      <c r="M22" s="92"/>
      <c r="N22" s="75"/>
      <c r="O22" s="53" t="s">
        <v>309</v>
      </c>
      <c r="P22" s="64">
        <f>44064468.52+12600000+9664+3638611+442848126</f>
        <v>503160869.51999998</v>
      </c>
      <c r="Q22" s="64"/>
      <c r="R22" s="64"/>
      <c r="S22" s="64"/>
      <c r="T22" s="65"/>
      <c r="U22" s="74"/>
      <c r="V22" s="65"/>
      <c r="W22" s="65"/>
      <c r="X22" s="65"/>
      <c r="Y22" s="65"/>
      <c r="Z22" s="65"/>
      <c r="AA22" s="74"/>
      <c r="AB22" s="78"/>
      <c r="AC22" s="127"/>
      <c r="AD22" s="127" t="s">
        <v>51</v>
      </c>
      <c r="AE22" s="127" t="s">
        <v>197</v>
      </c>
    </row>
    <row r="23" spans="1:31" ht="69.599999999999994" customHeight="1" x14ac:dyDescent="0.25">
      <c r="A23" s="10">
        <v>217</v>
      </c>
      <c r="B23" s="52" t="s">
        <v>43</v>
      </c>
      <c r="C23" s="52" t="s">
        <v>79</v>
      </c>
      <c r="D23" s="27" t="s">
        <v>80</v>
      </c>
      <c r="E23" s="32" t="s">
        <v>81</v>
      </c>
      <c r="F23" s="33" t="s">
        <v>82</v>
      </c>
      <c r="G23" s="35">
        <v>20200680010110</v>
      </c>
      <c r="H23" s="46" t="s">
        <v>83</v>
      </c>
      <c r="I23" s="36" t="s">
        <v>84</v>
      </c>
      <c r="J23" s="83">
        <v>44222</v>
      </c>
      <c r="K23" s="83">
        <v>44561</v>
      </c>
      <c r="L23" s="80">
        <v>4</v>
      </c>
      <c r="M23" s="79">
        <v>4</v>
      </c>
      <c r="N23" s="75">
        <f t="shared" si="1"/>
        <v>1</v>
      </c>
      <c r="O23" s="53" t="s">
        <v>301</v>
      </c>
      <c r="P23" s="65">
        <f>244786666+259148478.65+52982100</f>
        <v>556917244.64999998</v>
      </c>
      <c r="Q23" s="64"/>
      <c r="R23" s="64"/>
      <c r="S23" s="64"/>
      <c r="T23" s="65"/>
      <c r="U23" s="70">
        <f>SUM(P23:T24)</f>
        <v>617000000</v>
      </c>
      <c r="V23" s="65">
        <f>244786666.67+259148478.65+52982100</f>
        <v>556917245.31999993</v>
      </c>
      <c r="W23" s="65"/>
      <c r="X23" s="65"/>
      <c r="Y23" s="65"/>
      <c r="Z23" s="65"/>
      <c r="AA23" s="70">
        <f>SUM(V23:Z24)</f>
        <v>556917245.31999993</v>
      </c>
      <c r="AB23" s="72">
        <f t="shared" si="0"/>
        <v>0.90262114314424624</v>
      </c>
      <c r="AC23" s="126"/>
      <c r="AD23" s="128" t="s">
        <v>51</v>
      </c>
      <c r="AE23" s="128" t="s">
        <v>197</v>
      </c>
    </row>
    <row r="24" spans="1:31" ht="41.4" x14ac:dyDescent="0.25">
      <c r="A24" s="10">
        <v>217</v>
      </c>
      <c r="B24" s="52" t="s">
        <v>43</v>
      </c>
      <c r="C24" s="52" t="s">
        <v>79</v>
      </c>
      <c r="D24" s="27" t="s">
        <v>80</v>
      </c>
      <c r="E24" s="32" t="s">
        <v>81</v>
      </c>
      <c r="F24" s="33" t="s">
        <v>82</v>
      </c>
      <c r="G24" s="35"/>
      <c r="H24" s="30" t="s">
        <v>331</v>
      </c>
      <c r="I24" s="36" t="s">
        <v>84</v>
      </c>
      <c r="J24" s="83"/>
      <c r="K24" s="83"/>
      <c r="L24" s="80"/>
      <c r="M24" s="79"/>
      <c r="N24" s="75"/>
      <c r="O24" s="53" t="s">
        <v>325</v>
      </c>
      <c r="P24" s="64">
        <f>45421457+13500000+1161298.35</f>
        <v>60082755.350000001</v>
      </c>
      <c r="Q24" s="64"/>
      <c r="R24" s="64"/>
      <c r="S24" s="64"/>
      <c r="T24" s="65"/>
      <c r="U24" s="71"/>
      <c r="V24" s="65"/>
      <c r="W24" s="65"/>
      <c r="X24" s="65"/>
      <c r="Y24" s="65"/>
      <c r="Z24" s="65"/>
      <c r="AA24" s="74"/>
      <c r="AB24" s="78"/>
      <c r="AC24" s="127"/>
      <c r="AD24" s="129"/>
      <c r="AE24" s="129" t="s">
        <v>197</v>
      </c>
    </row>
    <row r="25" spans="1:31" ht="41.4" x14ac:dyDescent="0.25">
      <c r="A25" s="10">
        <v>229</v>
      </c>
      <c r="B25" s="33" t="s">
        <v>43</v>
      </c>
      <c r="C25" s="33" t="s">
        <v>44</v>
      </c>
      <c r="D25" s="33" t="s">
        <v>45</v>
      </c>
      <c r="E25" s="32" t="s">
        <v>85</v>
      </c>
      <c r="F25" s="37" t="s">
        <v>86</v>
      </c>
      <c r="G25" s="35">
        <v>20200680010062</v>
      </c>
      <c r="H25" s="46" t="s">
        <v>87</v>
      </c>
      <c r="I25" s="36" t="s">
        <v>88</v>
      </c>
      <c r="J25" s="49">
        <v>44209</v>
      </c>
      <c r="K25" s="49">
        <v>44561</v>
      </c>
      <c r="L25" s="80">
        <v>1</v>
      </c>
      <c r="M25" s="79">
        <v>1</v>
      </c>
      <c r="N25" s="75">
        <f t="shared" ref="N25" si="5">IFERROR(IF(M25/L25&gt;100%,100%,M25/L25),"-")</f>
        <v>1</v>
      </c>
      <c r="O25" s="53" t="s">
        <v>326</v>
      </c>
      <c r="P25" s="64">
        <f>142500000+405000000+5500000</f>
        <v>553000000</v>
      </c>
      <c r="Q25" s="64"/>
      <c r="R25" s="64"/>
      <c r="S25" s="64"/>
      <c r="T25" s="65"/>
      <c r="U25" s="70">
        <f>SUM(P25:T28)</f>
        <v>1674783334</v>
      </c>
      <c r="V25" s="65">
        <f>142500000+409500000</f>
        <v>552000000</v>
      </c>
      <c r="W25" s="65"/>
      <c r="X25" s="65"/>
      <c r="Y25" s="65"/>
      <c r="Z25" s="65"/>
      <c r="AA25" s="70">
        <f>SUM(V25:Z28)</f>
        <v>1622849997.7</v>
      </c>
      <c r="AB25" s="72">
        <f>IFERROR(AA25/U25,"-")</f>
        <v>0.96899101200394444</v>
      </c>
      <c r="AC25" s="126"/>
      <c r="AD25" s="126" t="s">
        <v>51</v>
      </c>
      <c r="AE25" s="126" t="s">
        <v>197</v>
      </c>
    </row>
    <row r="26" spans="1:31" ht="41.4" x14ac:dyDescent="0.25">
      <c r="A26" s="10">
        <v>229</v>
      </c>
      <c r="B26" s="33" t="s">
        <v>43</v>
      </c>
      <c r="C26" s="33" t="s">
        <v>44</v>
      </c>
      <c r="D26" s="33" t="s">
        <v>45</v>
      </c>
      <c r="E26" s="32" t="s">
        <v>85</v>
      </c>
      <c r="F26" s="37" t="s">
        <v>86</v>
      </c>
      <c r="G26" s="35"/>
      <c r="H26" s="30" t="s">
        <v>331</v>
      </c>
      <c r="I26" s="36"/>
      <c r="J26" s="49"/>
      <c r="K26" s="49"/>
      <c r="L26" s="80"/>
      <c r="M26" s="79"/>
      <c r="N26" s="75"/>
      <c r="O26" s="53" t="s">
        <v>260</v>
      </c>
      <c r="P26" s="64">
        <v>30000000</v>
      </c>
      <c r="Q26" s="64"/>
      <c r="R26" s="64"/>
      <c r="S26" s="64"/>
      <c r="T26" s="65"/>
      <c r="U26" s="74"/>
      <c r="V26" s="65"/>
      <c r="W26" s="65"/>
      <c r="X26" s="65"/>
      <c r="Y26" s="65"/>
      <c r="Z26" s="65"/>
      <c r="AA26" s="74"/>
      <c r="AB26" s="78"/>
      <c r="AC26" s="130"/>
      <c r="AD26" s="130" t="s">
        <v>51</v>
      </c>
      <c r="AE26" s="130" t="s">
        <v>197</v>
      </c>
    </row>
    <row r="27" spans="1:31" ht="41.4" x14ac:dyDescent="0.25">
      <c r="A27" s="10">
        <v>229</v>
      </c>
      <c r="B27" s="33" t="s">
        <v>43</v>
      </c>
      <c r="C27" s="33" t="s">
        <v>44</v>
      </c>
      <c r="D27" s="33" t="s">
        <v>45</v>
      </c>
      <c r="E27" s="32" t="s">
        <v>85</v>
      </c>
      <c r="F27" s="37" t="s">
        <v>86</v>
      </c>
      <c r="G27" s="35">
        <v>20210680010041</v>
      </c>
      <c r="H27" s="46" t="s">
        <v>89</v>
      </c>
      <c r="I27" s="36" t="s">
        <v>90</v>
      </c>
      <c r="J27" s="49">
        <v>44328</v>
      </c>
      <c r="K27" s="49">
        <v>44561</v>
      </c>
      <c r="L27" s="80"/>
      <c r="M27" s="79"/>
      <c r="N27" s="75"/>
      <c r="O27" s="14" t="s">
        <v>225</v>
      </c>
      <c r="P27" s="64"/>
      <c r="Q27" s="64"/>
      <c r="R27" s="64"/>
      <c r="S27" s="64"/>
      <c r="T27" s="65">
        <v>636600000</v>
      </c>
      <c r="U27" s="74"/>
      <c r="V27" s="65"/>
      <c r="W27" s="65"/>
      <c r="X27" s="65"/>
      <c r="Y27" s="65"/>
      <c r="Z27" s="65">
        <v>634333333.39999998</v>
      </c>
      <c r="AA27" s="74"/>
      <c r="AB27" s="78"/>
      <c r="AC27" s="130"/>
      <c r="AD27" s="130" t="s">
        <v>51</v>
      </c>
      <c r="AE27" s="130" t="s">
        <v>197</v>
      </c>
    </row>
    <row r="28" spans="1:31" ht="41.4" x14ac:dyDescent="0.25">
      <c r="A28" s="10">
        <v>229</v>
      </c>
      <c r="B28" s="33" t="s">
        <v>43</v>
      </c>
      <c r="C28" s="33" t="s">
        <v>44</v>
      </c>
      <c r="D28" s="33" t="s">
        <v>45</v>
      </c>
      <c r="E28" s="32" t="s">
        <v>85</v>
      </c>
      <c r="F28" s="37" t="s">
        <v>86</v>
      </c>
      <c r="G28" s="35">
        <v>20200680010156</v>
      </c>
      <c r="H28" s="46" t="s">
        <v>91</v>
      </c>
      <c r="I28" s="36" t="s">
        <v>92</v>
      </c>
      <c r="J28" s="49">
        <v>44202</v>
      </c>
      <c r="K28" s="49">
        <v>44561</v>
      </c>
      <c r="L28" s="80"/>
      <c r="M28" s="79"/>
      <c r="N28" s="75"/>
      <c r="O28" s="53" t="s">
        <v>281</v>
      </c>
      <c r="P28" s="64"/>
      <c r="Q28" s="64"/>
      <c r="R28" s="64"/>
      <c r="S28" s="66"/>
      <c r="T28" s="64">
        <v>455183334</v>
      </c>
      <c r="U28" s="71"/>
      <c r="V28" s="65"/>
      <c r="W28" s="65"/>
      <c r="X28" s="65"/>
      <c r="Y28" s="65"/>
      <c r="Z28" s="65">
        <v>436516664.30000001</v>
      </c>
      <c r="AA28" s="71"/>
      <c r="AB28" s="73"/>
      <c r="AC28" s="127"/>
      <c r="AD28" s="127" t="s">
        <v>51</v>
      </c>
      <c r="AE28" s="127" t="s">
        <v>197</v>
      </c>
    </row>
    <row r="29" spans="1:31" ht="69" x14ac:dyDescent="0.25">
      <c r="A29" s="10">
        <v>230</v>
      </c>
      <c r="B29" s="48" t="s">
        <v>43</v>
      </c>
      <c r="C29" s="48" t="s">
        <v>44</v>
      </c>
      <c r="D29" s="20" t="s">
        <v>45</v>
      </c>
      <c r="E29" s="21" t="s">
        <v>125</v>
      </c>
      <c r="F29" s="22" t="s">
        <v>126</v>
      </c>
      <c r="G29" s="35">
        <v>20210680010166</v>
      </c>
      <c r="H29" s="46" t="s">
        <v>214</v>
      </c>
      <c r="I29" s="36" t="s">
        <v>215</v>
      </c>
      <c r="J29" s="49">
        <v>44477</v>
      </c>
      <c r="K29" s="49">
        <v>44561</v>
      </c>
      <c r="L29" s="31">
        <v>1</v>
      </c>
      <c r="M29" s="42">
        <v>1</v>
      </c>
      <c r="N29" s="50">
        <f>IFERROR(IF(M29/L29&gt;100%,100%,M29/L29),"-")</f>
        <v>1</v>
      </c>
      <c r="O29" s="53" t="s">
        <v>217</v>
      </c>
      <c r="P29" s="64">
        <v>25000000</v>
      </c>
      <c r="Q29" s="64"/>
      <c r="R29" s="64"/>
      <c r="S29" s="66"/>
      <c r="T29" s="64"/>
      <c r="U29" s="63">
        <f t="shared" si="2"/>
        <v>25000000</v>
      </c>
      <c r="V29" s="65"/>
      <c r="W29" s="65"/>
      <c r="X29" s="65"/>
      <c r="Y29" s="65"/>
      <c r="Z29" s="65"/>
      <c r="AA29" s="63">
        <f t="shared" si="3"/>
        <v>0</v>
      </c>
      <c r="AB29" s="25">
        <f t="shared" si="0"/>
        <v>0</v>
      </c>
      <c r="AC29" s="26"/>
      <c r="AD29" s="51" t="s">
        <v>51</v>
      </c>
      <c r="AE29" s="51" t="s">
        <v>197</v>
      </c>
    </row>
    <row r="30" spans="1:31" ht="55.2" x14ac:dyDescent="0.25">
      <c r="A30" s="10">
        <v>231</v>
      </c>
      <c r="B30" s="52" t="s">
        <v>43</v>
      </c>
      <c r="C30" s="52" t="s">
        <v>44</v>
      </c>
      <c r="D30" s="27" t="s">
        <v>45</v>
      </c>
      <c r="E30" s="32" t="s">
        <v>127</v>
      </c>
      <c r="F30" s="33" t="s">
        <v>128</v>
      </c>
      <c r="G30" s="35">
        <v>20210680010009</v>
      </c>
      <c r="H30" s="46" t="s">
        <v>129</v>
      </c>
      <c r="I30" s="36" t="s">
        <v>130</v>
      </c>
      <c r="J30" s="49">
        <v>44232</v>
      </c>
      <c r="K30" s="49">
        <v>44561</v>
      </c>
      <c r="L30" s="80">
        <v>1</v>
      </c>
      <c r="M30" s="79">
        <v>1</v>
      </c>
      <c r="N30" s="75">
        <f>IFERROR(IF(M30/L30&gt;100%,100%,M30/L30),"-")</f>
        <v>1</v>
      </c>
      <c r="O30" s="53" t="s">
        <v>242</v>
      </c>
      <c r="P30" s="64">
        <v>345817830</v>
      </c>
      <c r="Q30" s="64"/>
      <c r="R30" s="64"/>
      <c r="S30" s="66"/>
      <c r="T30" s="64"/>
      <c r="U30" s="70">
        <f>SUM(P30:T31)</f>
        <v>360000000</v>
      </c>
      <c r="V30" s="65">
        <v>345817830</v>
      </c>
      <c r="W30" s="65"/>
      <c r="X30" s="65"/>
      <c r="Y30" s="65"/>
      <c r="Z30" s="65"/>
      <c r="AA30" s="70">
        <f>SUM(V30:Z31)</f>
        <v>345817830</v>
      </c>
      <c r="AB30" s="72">
        <f t="shared" si="0"/>
        <v>0.96060508333333339</v>
      </c>
      <c r="AC30" s="126"/>
      <c r="AD30" s="126" t="s">
        <v>51</v>
      </c>
      <c r="AE30" s="126" t="s">
        <v>197</v>
      </c>
    </row>
    <row r="31" spans="1:31" ht="41.4" x14ac:dyDescent="0.25">
      <c r="A31" s="10">
        <v>231</v>
      </c>
      <c r="B31" s="52" t="s">
        <v>43</v>
      </c>
      <c r="C31" s="52" t="s">
        <v>44</v>
      </c>
      <c r="D31" s="27" t="s">
        <v>45</v>
      </c>
      <c r="E31" s="32" t="s">
        <v>127</v>
      </c>
      <c r="F31" s="33" t="s">
        <v>128</v>
      </c>
      <c r="G31" s="38"/>
      <c r="H31" s="30" t="s">
        <v>331</v>
      </c>
      <c r="I31" s="36"/>
      <c r="J31" s="49"/>
      <c r="K31" s="49"/>
      <c r="L31" s="80"/>
      <c r="M31" s="79"/>
      <c r="N31" s="75"/>
      <c r="O31" s="53" t="s">
        <v>243</v>
      </c>
      <c r="P31" s="64">
        <f>4226120+9956050</f>
        <v>14182170</v>
      </c>
      <c r="Q31" s="64"/>
      <c r="R31" s="64"/>
      <c r="S31" s="66"/>
      <c r="T31" s="64"/>
      <c r="U31" s="71"/>
      <c r="V31" s="65"/>
      <c r="W31" s="65"/>
      <c r="X31" s="65"/>
      <c r="Y31" s="65"/>
      <c r="Z31" s="65"/>
      <c r="AA31" s="71"/>
      <c r="AB31" s="73"/>
      <c r="AC31" s="127"/>
      <c r="AD31" s="127" t="s">
        <v>51</v>
      </c>
      <c r="AE31" s="127" t="s">
        <v>197</v>
      </c>
    </row>
    <row r="32" spans="1:31" ht="55.2" x14ac:dyDescent="0.25">
      <c r="A32" s="10">
        <v>232</v>
      </c>
      <c r="B32" s="52" t="s">
        <v>43</v>
      </c>
      <c r="C32" s="52" t="s">
        <v>44</v>
      </c>
      <c r="D32" s="27" t="s">
        <v>45</v>
      </c>
      <c r="E32" s="32" t="s">
        <v>117</v>
      </c>
      <c r="F32" s="33" t="s">
        <v>118</v>
      </c>
      <c r="G32" s="23">
        <v>20210680010086</v>
      </c>
      <c r="H32" s="46" t="s">
        <v>201</v>
      </c>
      <c r="I32" s="36" t="s">
        <v>202</v>
      </c>
      <c r="J32" s="49">
        <v>44438</v>
      </c>
      <c r="K32" s="49">
        <v>44561</v>
      </c>
      <c r="L32" s="80">
        <v>1</v>
      </c>
      <c r="M32" s="79">
        <v>1</v>
      </c>
      <c r="N32" s="75">
        <f t="shared" ref="N32:N71" si="6">IFERROR(IF(M32/L32&gt;100%,100%,M32/L32),"-")</f>
        <v>1</v>
      </c>
      <c r="O32" s="14" t="s">
        <v>316</v>
      </c>
      <c r="P32" s="64"/>
      <c r="Q32" s="64"/>
      <c r="R32" s="64"/>
      <c r="S32" s="64"/>
      <c r="T32" s="65">
        <f>381264073+599426673+103415340</f>
        <v>1084106086</v>
      </c>
      <c r="U32" s="70">
        <f>SUM(P32:T35)</f>
        <v>1689838580.0000076</v>
      </c>
      <c r="V32" s="65"/>
      <c r="W32" s="65"/>
      <c r="X32" s="65"/>
      <c r="Y32" s="65"/>
      <c r="Z32" s="65">
        <f>381264073+443148356.85+114615340</f>
        <v>939027769.85000002</v>
      </c>
      <c r="AA32" s="70">
        <f>SUM(V32:Z35)</f>
        <v>1357880593.53</v>
      </c>
      <c r="AB32" s="72">
        <f t="shared" si="0"/>
        <v>0.80355639266443657</v>
      </c>
      <c r="AC32" s="126">
        <v>109400000</v>
      </c>
      <c r="AD32" s="126" t="s">
        <v>51</v>
      </c>
      <c r="AE32" s="126" t="s">
        <v>197</v>
      </c>
    </row>
    <row r="33" spans="1:31" ht="69" x14ac:dyDescent="0.25">
      <c r="A33" s="10">
        <v>232</v>
      </c>
      <c r="B33" s="52" t="s">
        <v>43</v>
      </c>
      <c r="C33" s="52" t="s">
        <v>44</v>
      </c>
      <c r="D33" s="27" t="s">
        <v>45</v>
      </c>
      <c r="E33" s="32" t="s">
        <v>117</v>
      </c>
      <c r="F33" s="33" t="s">
        <v>118</v>
      </c>
      <c r="G33" s="35">
        <v>20200680010162</v>
      </c>
      <c r="H33" s="46" t="s">
        <v>115</v>
      </c>
      <c r="I33" s="36" t="s">
        <v>116</v>
      </c>
      <c r="J33" s="49">
        <v>44225</v>
      </c>
      <c r="K33" s="49">
        <v>44561</v>
      </c>
      <c r="L33" s="80"/>
      <c r="M33" s="79"/>
      <c r="N33" s="75"/>
      <c r="O33" s="53" t="s">
        <v>302</v>
      </c>
      <c r="P33" s="64"/>
      <c r="Q33" s="64"/>
      <c r="R33" s="64"/>
      <c r="S33" s="64"/>
      <c r="T33" s="64">
        <f>399200000+24323426+10397502+49960950</f>
        <v>483881878</v>
      </c>
      <c r="U33" s="74"/>
      <c r="V33" s="65"/>
      <c r="W33" s="65"/>
      <c r="X33" s="65"/>
      <c r="Y33" s="65"/>
      <c r="Z33" s="65">
        <v>418852823.68000001</v>
      </c>
      <c r="AA33" s="74"/>
      <c r="AB33" s="78"/>
      <c r="AC33" s="130"/>
      <c r="AD33" s="130" t="s">
        <v>51</v>
      </c>
      <c r="AE33" s="130" t="s">
        <v>197</v>
      </c>
    </row>
    <row r="34" spans="1:31" ht="41.4" x14ac:dyDescent="0.25">
      <c r="A34" s="10">
        <v>232</v>
      </c>
      <c r="B34" s="52" t="s">
        <v>43</v>
      </c>
      <c r="C34" s="52" t="s">
        <v>44</v>
      </c>
      <c r="D34" s="27" t="s">
        <v>45</v>
      </c>
      <c r="E34" s="32" t="s">
        <v>117</v>
      </c>
      <c r="F34" s="33" t="s">
        <v>118</v>
      </c>
      <c r="G34" s="35">
        <v>20210680010197</v>
      </c>
      <c r="H34" s="46" t="s">
        <v>293</v>
      </c>
      <c r="I34" s="36" t="s">
        <v>294</v>
      </c>
      <c r="J34" s="49">
        <v>44518</v>
      </c>
      <c r="K34" s="49">
        <v>44561</v>
      </c>
      <c r="L34" s="80"/>
      <c r="M34" s="79"/>
      <c r="N34" s="75"/>
      <c r="O34" s="53" t="s">
        <v>195</v>
      </c>
      <c r="P34" s="64"/>
      <c r="Q34" s="64"/>
      <c r="R34" s="64"/>
      <c r="S34" s="64"/>
      <c r="T34" s="64">
        <v>66680000</v>
      </c>
      <c r="U34" s="74"/>
      <c r="V34" s="65"/>
      <c r="W34" s="65"/>
      <c r="X34" s="65"/>
      <c r="Y34" s="65"/>
      <c r="Z34" s="65"/>
      <c r="AA34" s="74"/>
      <c r="AB34" s="78"/>
      <c r="AC34" s="130"/>
      <c r="AD34" s="130" t="s">
        <v>51</v>
      </c>
      <c r="AE34" s="130" t="s">
        <v>197</v>
      </c>
    </row>
    <row r="35" spans="1:31" ht="41.4" x14ac:dyDescent="0.25">
      <c r="A35" s="10">
        <v>232</v>
      </c>
      <c r="B35" s="52" t="s">
        <v>43</v>
      </c>
      <c r="C35" s="52" t="s">
        <v>44</v>
      </c>
      <c r="D35" s="27" t="s">
        <v>45</v>
      </c>
      <c r="E35" s="32" t="s">
        <v>117</v>
      </c>
      <c r="F35" s="33" t="s">
        <v>118</v>
      </c>
      <c r="G35" s="35"/>
      <c r="H35" s="30" t="s">
        <v>331</v>
      </c>
      <c r="I35" s="36"/>
      <c r="J35" s="49"/>
      <c r="K35" s="49"/>
      <c r="L35" s="80"/>
      <c r="M35" s="79"/>
      <c r="N35" s="75"/>
      <c r="O35" s="53" t="s">
        <v>327</v>
      </c>
      <c r="P35" s="64"/>
      <c r="Q35" s="64"/>
      <c r="R35" s="64"/>
      <c r="S35" s="64"/>
      <c r="T35" s="64">
        <f>7260616.0000076+47910000</f>
        <v>55170616.0000076</v>
      </c>
      <c r="U35" s="74"/>
      <c r="V35" s="65"/>
      <c r="W35" s="65"/>
      <c r="X35" s="65"/>
      <c r="Y35" s="65"/>
      <c r="Z35" s="65"/>
      <c r="AA35" s="74"/>
      <c r="AB35" s="78"/>
      <c r="AC35" s="127"/>
      <c r="AD35" s="127" t="s">
        <v>51</v>
      </c>
      <c r="AE35" s="127" t="s">
        <v>197</v>
      </c>
    </row>
    <row r="36" spans="1:31" ht="41.4" x14ac:dyDescent="0.25">
      <c r="A36" s="10">
        <v>233</v>
      </c>
      <c r="B36" s="52" t="s">
        <v>43</v>
      </c>
      <c r="C36" s="52" t="s">
        <v>44</v>
      </c>
      <c r="D36" s="27" t="s">
        <v>45</v>
      </c>
      <c r="E36" s="32" t="s">
        <v>93</v>
      </c>
      <c r="F36" s="33" t="s">
        <v>94</v>
      </c>
      <c r="G36" s="35">
        <v>20210680010041</v>
      </c>
      <c r="H36" s="46" t="s">
        <v>89</v>
      </c>
      <c r="I36" s="36" t="s">
        <v>90</v>
      </c>
      <c r="J36" s="49">
        <v>44328</v>
      </c>
      <c r="K36" s="49">
        <v>44561</v>
      </c>
      <c r="L36" s="80">
        <v>3</v>
      </c>
      <c r="M36" s="79">
        <v>3</v>
      </c>
      <c r="N36" s="75">
        <f t="shared" si="6"/>
        <v>1</v>
      </c>
      <c r="O36" s="14" t="s">
        <v>224</v>
      </c>
      <c r="P36" s="64"/>
      <c r="Q36" s="64"/>
      <c r="R36" s="64"/>
      <c r="S36" s="64"/>
      <c r="T36" s="65">
        <v>99850000</v>
      </c>
      <c r="U36" s="70">
        <f>SUM(P36:T38)</f>
        <v>208517526</v>
      </c>
      <c r="V36" s="65"/>
      <c r="W36" s="65"/>
      <c r="X36" s="65"/>
      <c r="Y36" s="65"/>
      <c r="Z36" s="65">
        <v>84583333.329999998</v>
      </c>
      <c r="AA36" s="70">
        <f>SUM(V36:Z38)</f>
        <v>193250859.32999998</v>
      </c>
      <c r="AB36" s="72">
        <f t="shared" si="0"/>
        <v>0.92678473141869133</v>
      </c>
      <c r="AC36" s="126">
        <v>88470823</v>
      </c>
      <c r="AD36" s="126" t="s">
        <v>51</v>
      </c>
      <c r="AE36" s="126" t="s">
        <v>197</v>
      </c>
    </row>
    <row r="37" spans="1:31" ht="41.4" x14ac:dyDescent="0.25">
      <c r="A37" s="10">
        <v>233</v>
      </c>
      <c r="B37" s="52" t="s">
        <v>43</v>
      </c>
      <c r="C37" s="52" t="s">
        <v>44</v>
      </c>
      <c r="D37" s="27" t="s">
        <v>45</v>
      </c>
      <c r="E37" s="32" t="s">
        <v>93</v>
      </c>
      <c r="F37" s="33" t="s">
        <v>94</v>
      </c>
      <c r="G37" s="35">
        <v>20200680010156</v>
      </c>
      <c r="H37" s="46" t="s">
        <v>91</v>
      </c>
      <c r="I37" s="36" t="s">
        <v>92</v>
      </c>
      <c r="J37" s="49">
        <v>44202</v>
      </c>
      <c r="K37" s="49">
        <v>44561</v>
      </c>
      <c r="L37" s="80"/>
      <c r="M37" s="79"/>
      <c r="N37" s="75"/>
      <c r="O37" s="11" t="s">
        <v>282</v>
      </c>
      <c r="P37" s="64"/>
      <c r="Q37" s="64"/>
      <c r="R37" s="64"/>
      <c r="S37" s="66"/>
      <c r="T37" s="64">
        <v>43666666</v>
      </c>
      <c r="U37" s="74"/>
      <c r="V37" s="65"/>
      <c r="W37" s="65"/>
      <c r="X37" s="65"/>
      <c r="Y37" s="65"/>
      <c r="Z37" s="65">
        <v>43666666</v>
      </c>
      <c r="AA37" s="74"/>
      <c r="AB37" s="78"/>
      <c r="AC37" s="130"/>
      <c r="AD37" s="130" t="s">
        <v>51</v>
      </c>
      <c r="AE37" s="130" t="s">
        <v>197</v>
      </c>
    </row>
    <row r="38" spans="1:31" ht="69" x14ac:dyDescent="0.25">
      <c r="A38" s="10">
        <v>233</v>
      </c>
      <c r="B38" s="52" t="s">
        <v>43</v>
      </c>
      <c r="C38" s="52" t="s">
        <v>44</v>
      </c>
      <c r="D38" s="27" t="s">
        <v>45</v>
      </c>
      <c r="E38" s="32" t="s">
        <v>93</v>
      </c>
      <c r="F38" s="33" t="s">
        <v>94</v>
      </c>
      <c r="G38" s="35">
        <v>20210680010126</v>
      </c>
      <c r="H38" s="46" t="s">
        <v>274</v>
      </c>
      <c r="I38" s="36" t="s">
        <v>275</v>
      </c>
      <c r="J38" s="49">
        <v>44460</v>
      </c>
      <c r="K38" s="49">
        <v>44561</v>
      </c>
      <c r="L38" s="80"/>
      <c r="M38" s="79"/>
      <c r="N38" s="75"/>
      <c r="O38" s="11" t="s">
        <v>283</v>
      </c>
      <c r="P38" s="64"/>
      <c r="Q38" s="64"/>
      <c r="R38" s="64"/>
      <c r="S38" s="66"/>
      <c r="T38" s="64">
        <v>65000860</v>
      </c>
      <c r="U38" s="71"/>
      <c r="V38" s="65"/>
      <c r="W38" s="65"/>
      <c r="X38" s="65"/>
      <c r="Y38" s="65"/>
      <c r="Z38" s="65">
        <v>65000860</v>
      </c>
      <c r="AA38" s="71"/>
      <c r="AB38" s="73"/>
      <c r="AC38" s="127"/>
      <c r="AD38" s="127" t="s">
        <v>51</v>
      </c>
      <c r="AE38" s="127" t="s">
        <v>197</v>
      </c>
    </row>
    <row r="39" spans="1:31" ht="55.2" x14ac:dyDescent="0.25">
      <c r="A39" s="10">
        <v>235</v>
      </c>
      <c r="B39" s="33" t="s">
        <v>43</v>
      </c>
      <c r="C39" s="33" t="s">
        <v>44</v>
      </c>
      <c r="D39" s="33" t="s">
        <v>99</v>
      </c>
      <c r="E39" s="32" t="s">
        <v>100</v>
      </c>
      <c r="F39" s="33" t="s">
        <v>101</v>
      </c>
      <c r="G39" s="23">
        <v>20210680010086</v>
      </c>
      <c r="H39" s="46" t="s">
        <v>201</v>
      </c>
      <c r="I39" s="36" t="s">
        <v>202</v>
      </c>
      <c r="J39" s="49">
        <v>44438</v>
      </c>
      <c r="K39" s="49">
        <v>44561</v>
      </c>
      <c r="L39" s="80">
        <v>1</v>
      </c>
      <c r="M39" s="79">
        <v>1</v>
      </c>
      <c r="N39" s="75">
        <f t="shared" si="6"/>
        <v>1</v>
      </c>
      <c r="O39" s="14" t="s">
        <v>204</v>
      </c>
      <c r="P39" s="64"/>
      <c r="Q39" s="64"/>
      <c r="R39" s="64"/>
      <c r="S39" s="64"/>
      <c r="T39" s="65">
        <v>21678600</v>
      </c>
      <c r="U39" s="70">
        <f>SUM(P39:T60)</f>
        <v>18002251149.559998</v>
      </c>
      <c r="V39" s="65"/>
      <c r="W39" s="65"/>
      <c r="X39" s="65"/>
      <c r="Y39" s="65"/>
      <c r="Z39" s="65">
        <v>10089772</v>
      </c>
      <c r="AA39" s="70">
        <f>SUM(V39:Z60)</f>
        <v>11597260604.209999</v>
      </c>
      <c r="AB39" s="72">
        <f t="shared" si="0"/>
        <v>0.64421168818619967</v>
      </c>
      <c r="AC39" s="126"/>
      <c r="AD39" s="128" t="s">
        <v>51</v>
      </c>
      <c r="AE39" s="128" t="s">
        <v>197</v>
      </c>
    </row>
    <row r="40" spans="1:31" ht="55.2" x14ac:dyDescent="0.25">
      <c r="A40" s="10">
        <v>235</v>
      </c>
      <c r="B40" s="33" t="s">
        <v>43</v>
      </c>
      <c r="C40" s="33" t="s">
        <v>44</v>
      </c>
      <c r="D40" s="33" t="s">
        <v>99</v>
      </c>
      <c r="E40" s="32" t="s">
        <v>100</v>
      </c>
      <c r="F40" s="33" t="s">
        <v>101</v>
      </c>
      <c r="G40" s="35">
        <v>20210680010041</v>
      </c>
      <c r="H40" s="46" t="s">
        <v>89</v>
      </c>
      <c r="I40" s="36" t="s">
        <v>90</v>
      </c>
      <c r="J40" s="49">
        <v>44328</v>
      </c>
      <c r="K40" s="49">
        <v>44561</v>
      </c>
      <c r="L40" s="80"/>
      <c r="M40" s="79"/>
      <c r="N40" s="75"/>
      <c r="O40" s="14" t="s">
        <v>223</v>
      </c>
      <c r="P40" s="64"/>
      <c r="Q40" s="64"/>
      <c r="R40" s="64"/>
      <c r="S40" s="64"/>
      <c r="T40" s="65">
        <f>295916667+28900000</f>
        <v>324816667</v>
      </c>
      <c r="U40" s="74"/>
      <c r="V40" s="65"/>
      <c r="W40" s="65"/>
      <c r="X40" s="65"/>
      <c r="Y40" s="65"/>
      <c r="Z40" s="65">
        <v>317066667</v>
      </c>
      <c r="AA40" s="74"/>
      <c r="AB40" s="78"/>
      <c r="AC40" s="130"/>
      <c r="AD40" s="131"/>
      <c r="AE40" s="131"/>
    </row>
    <row r="41" spans="1:31" ht="55.2" x14ac:dyDescent="0.25">
      <c r="A41" s="10">
        <v>235</v>
      </c>
      <c r="B41" s="33" t="s">
        <v>43</v>
      </c>
      <c r="C41" s="33" t="s">
        <v>44</v>
      </c>
      <c r="D41" s="33" t="s">
        <v>99</v>
      </c>
      <c r="E41" s="32" t="s">
        <v>100</v>
      </c>
      <c r="F41" s="33" t="s">
        <v>101</v>
      </c>
      <c r="G41" s="35">
        <v>20200680010156</v>
      </c>
      <c r="H41" s="46" t="s">
        <v>91</v>
      </c>
      <c r="I41" s="36" t="s">
        <v>92</v>
      </c>
      <c r="J41" s="49">
        <v>44202</v>
      </c>
      <c r="K41" s="49">
        <v>44561</v>
      </c>
      <c r="L41" s="80"/>
      <c r="M41" s="79"/>
      <c r="N41" s="75"/>
      <c r="O41" s="53" t="s">
        <v>284</v>
      </c>
      <c r="P41" s="64"/>
      <c r="Q41" s="64"/>
      <c r="R41" s="64"/>
      <c r="S41" s="66"/>
      <c r="T41" s="64">
        <v>83000000</v>
      </c>
      <c r="U41" s="74"/>
      <c r="V41" s="65"/>
      <c r="W41" s="65"/>
      <c r="X41" s="65"/>
      <c r="Y41" s="65"/>
      <c r="Z41" s="65">
        <v>83000000</v>
      </c>
      <c r="AA41" s="74"/>
      <c r="AB41" s="78"/>
      <c r="AC41" s="130"/>
      <c r="AD41" s="131"/>
      <c r="AE41" s="131"/>
    </row>
    <row r="42" spans="1:31" ht="55.2" x14ac:dyDescent="0.25">
      <c r="A42" s="10">
        <v>235</v>
      </c>
      <c r="B42" s="33" t="s">
        <v>43</v>
      </c>
      <c r="C42" s="33" t="s">
        <v>44</v>
      </c>
      <c r="D42" s="33" t="s">
        <v>99</v>
      </c>
      <c r="E42" s="32" t="s">
        <v>100</v>
      </c>
      <c r="F42" s="33" t="s">
        <v>101</v>
      </c>
      <c r="G42" s="35">
        <v>20200680010162</v>
      </c>
      <c r="H42" s="46" t="s">
        <v>115</v>
      </c>
      <c r="I42" s="36" t="s">
        <v>116</v>
      </c>
      <c r="J42" s="49">
        <v>44225</v>
      </c>
      <c r="K42" s="49">
        <v>44561</v>
      </c>
      <c r="L42" s="80"/>
      <c r="M42" s="79"/>
      <c r="N42" s="75"/>
      <c r="O42" s="53" t="s">
        <v>328</v>
      </c>
      <c r="P42" s="64"/>
      <c r="Q42" s="64"/>
      <c r="R42" s="64"/>
      <c r="S42" s="66"/>
      <c r="T42" s="64">
        <f>100000000+150000000+90000000+923586+33000000</f>
        <v>373923586</v>
      </c>
      <c r="U42" s="74"/>
      <c r="V42" s="65"/>
      <c r="W42" s="65"/>
      <c r="X42" s="65"/>
      <c r="Y42" s="65"/>
      <c r="Z42" s="65">
        <f>100000000+149999956+123890899</f>
        <v>373890855</v>
      </c>
      <c r="AA42" s="74"/>
      <c r="AB42" s="78"/>
      <c r="AC42" s="130"/>
      <c r="AD42" s="131"/>
      <c r="AE42" s="131"/>
    </row>
    <row r="43" spans="1:31" ht="55.2" x14ac:dyDescent="0.25">
      <c r="A43" s="10">
        <v>235</v>
      </c>
      <c r="B43" s="33" t="s">
        <v>43</v>
      </c>
      <c r="C43" s="33" t="s">
        <v>44</v>
      </c>
      <c r="D43" s="33" t="s">
        <v>99</v>
      </c>
      <c r="E43" s="32" t="s">
        <v>100</v>
      </c>
      <c r="F43" s="33" t="s">
        <v>101</v>
      </c>
      <c r="G43" s="35">
        <v>20210680010045</v>
      </c>
      <c r="H43" s="46" t="s">
        <v>107</v>
      </c>
      <c r="I43" s="36" t="s">
        <v>108</v>
      </c>
      <c r="J43" s="49">
        <v>44340</v>
      </c>
      <c r="K43" s="49">
        <v>44533</v>
      </c>
      <c r="L43" s="80"/>
      <c r="M43" s="79"/>
      <c r="N43" s="75"/>
      <c r="O43" s="53" t="s">
        <v>310</v>
      </c>
      <c r="P43" s="64"/>
      <c r="Q43" s="64"/>
      <c r="R43" s="64"/>
      <c r="S43" s="66"/>
      <c r="T43" s="64">
        <v>835067752.5</v>
      </c>
      <c r="U43" s="74"/>
      <c r="V43" s="65"/>
      <c r="W43" s="65"/>
      <c r="X43" s="65"/>
      <c r="Y43" s="65">
        <v>278067752.5</v>
      </c>
      <c r="Z43" s="65">
        <v>557000000</v>
      </c>
      <c r="AA43" s="74"/>
      <c r="AB43" s="78"/>
      <c r="AC43" s="130"/>
      <c r="AD43" s="131"/>
      <c r="AE43" s="131"/>
    </row>
    <row r="44" spans="1:31" ht="55.2" x14ac:dyDescent="0.25">
      <c r="A44" s="10">
        <v>235</v>
      </c>
      <c r="B44" s="33" t="s">
        <v>43</v>
      </c>
      <c r="C44" s="33" t="s">
        <v>44</v>
      </c>
      <c r="D44" s="33" t="s">
        <v>99</v>
      </c>
      <c r="E44" s="32" t="s">
        <v>100</v>
      </c>
      <c r="F44" s="33" t="s">
        <v>101</v>
      </c>
      <c r="G44" s="35"/>
      <c r="H44" s="30" t="s">
        <v>331</v>
      </c>
      <c r="I44" s="36" t="s">
        <v>108</v>
      </c>
      <c r="J44" s="49"/>
      <c r="K44" s="49"/>
      <c r="L44" s="80"/>
      <c r="M44" s="79"/>
      <c r="N44" s="75"/>
      <c r="O44" s="53" t="s">
        <v>263</v>
      </c>
      <c r="P44" s="64">
        <v>800000000</v>
      </c>
      <c r="Q44" s="64"/>
      <c r="R44" s="64"/>
      <c r="S44" s="66"/>
      <c r="T44" s="66"/>
      <c r="U44" s="74"/>
      <c r="V44" s="65"/>
      <c r="W44" s="65"/>
      <c r="X44" s="65"/>
      <c r="Y44" s="65"/>
      <c r="Z44" s="65"/>
      <c r="AA44" s="74"/>
      <c r="AB44" s="78"/>
      <c r="AC44" s="130"/>
      <c r="AD44" s="131"/>
      <c r="AE44" s="131"/>
    </row>
    <row r="45" spans="1:31" ht="55.2" x14ac:dyDescent="0.25">
      <c r="A45" s="10">
        <v>235</v>
      </c>
      <c r="B45" s="33" t="s">
        <v>43</v>
      </c>
      <c r="C45" s="33" t="s">
        <v>44</v>
      </c>
      <c r="D45" s="33" t="s">
        <v>99</v>
      </c>
      <c r="E45" s="32" t="s">
        <v>100</v>
      </c>
      <c r="F45" s="33" t="s">
        <v>101</v>
      </c>
      <c r="G45" s="35">
        <v>20200680010131</v>
      </c>
      <c r="H45" s="46" t="s">
        <v>102</v>
      </c>
      <c r="I45" s="36" t="s">
        <v>103</v>
      </c>
      <c r="J45" s="49">
        <v>44426</v>
      </c>
      <c r="K45" s="49">
        <v>44560</v>
      </c>
      <c r="L45" s="80"/>
      <c r="M45" s="79"/>
      <c r="N45" s="75"/>
      <c r="O45" s="53" t="s">
        <v>266</v>
      </c>
      <c r="P45" s="64"/>
      <c r="Q45" s="64"/>
      <c r="R45" s="64"/>
      <c r="S45" s="66"/>
      <c r="T45" s="64">
        <v>1026502282.51</v>
      </c>
      <c r="U45" s="74"/>
      <c r="V45" s="65"/>
      <c r="W45" s="65"/>
      <c r="X45" s="65"/>
      <c r="Y45" s="65"/>
      <c r="Z45" s="65">
        <f>636173700+87100355</f>
        <v>723274055</v>
      </c>
      <c r="AA45" s="74"/>
      <c r="AB45" s="78"/>
      <c r="AC45" s="130"/>
      <c r="AD45" s="131"/>
      <c r="AE45" s="131"/>
    </row>
    <row r="46" spans="1:31" ht="55.2" x14ac:dyDescent="0.25">
      <c r="A46" s="10">
        <v>235</v>
      </c>
      <c r="B46" s="33" t="s">
        <v>43</v>
      </c>
      <c r="C46" s="33" t="s">
        <v>44</v>
      </c>
      <c r="D46" s="33" t="s">
        <v>99</v>
      </c>
      <c r="E46" s="32" t="s">
        <v>100</v>
      </c>
      <c r="F46" s="33" t="s">
        <v>101</v>
      </c>
      <c r="G46" s="35">
        <v>20210680010088</v>
      </c>
      <c r="H46" s="46" t="s">
        <v>206</v>
      </c>
      <c r="I46" s="36" t="s">
        <v>207</v>
      </c>
      <c r="J46" s="49">
        <v>44439</v>
      </c>
      <c r="K46" s="49">
        <v>44533</v>
      </c>
      <c r="L46" s="80"/>
      <c r="M46" s="79"/>
      <c r="N46" s="75"/>
      <c r="O46" s="53" t="s">
        <v>318</v>
      </c>
      <c r="P46" s="64"/>
      <c r="Q46" s="64"/>
      <c r="R46" s="64"/>
      <c r="S46" s="66"/>
      <c r="T46" s="64">
        <f>286185600+440517900</f>
        <v>726703500</v>
      </c>
      <c r="U46" s="74"/>
      <c r="V46" s="65"/>
      <c r="W46" s="65"/>
      <c r="X46" s="65"/>
      <c r="Y46" s="65"/>
      <c r="Z46" s="65"/>
      <c r="AA46" s="74"/>
      <c r="AB46" s="78"/>
      <c r="AC46" s="130"/>
      <c r="AD46" s="131"/>
      <c r="AE46" s="131"/>
    </row>
    <row r="47" spans="1:31" ht="55.2" x14ac:dyDescent="0.25">
      <c r="A47" s="10">
        <v>235</v>
      </c>
      <c r="B47" s="33" t="s">
        <v>43</v>
      </c>
      <c r="C47" s="33" t="s">
        <v>44</v>
      </c>
      <c r="D47" s="33" t="s">
        <v>99</v>
      </c>
      <c r="E47" s="32" t="s">
        <v>100</v>
      </c>
      <c r="F47" s="33" t="s">
        <v>101</v>
      </c>
      <c r="G47" s="35">
        <v>20210680010023</v>
      </c>
      <c r="H47" s="46" t="s">
        <v>104</v>
      </c>
      <c r="I47" s="36" t="s">
        <v>252</v>
      </c>
      <c r="J47" s="49">
        <v>44258</v>
      </c>
      <c r="K47" s="49">
        <v>44350</v>
      </c>
      <c r="L47" s="80"/>
      <c r="M47" s="79"/>
      <c r="N47" s="75"/>
      <c r="O47" s="53" t="s">
        <v>264</v>
      </c>
      <c r="P47" s="64"/>
      <c r="Q47" s="64"/>
      <c r="R47" s="64"/>
      <c r="S47" s="66"/>
      <c r="T47" s="64">
        <v>347157800</v>
      </c>
      <c r="U47" s="74"/>
      <c r="V47" s="65"/>
      <c r="W47" s="65"/>
      <c r="X47" s="65"/>
      <c r="Y47" s="65"/>
      <c r="Z47" s="65">
        <v>297576901</v>
      </c>
      <c r="AA47" s="74"/>
      <c r="AB47" s="78"/>
      <c r="AC47" s="130"/>
      <c r="AD47" s="131"/>
      <c r="AE47" s="131"/>
    </row>
    <row r="48" spans="1:31" ht="69" x14ac:dyDescent="0.25">
      <c r="A48" s="10">
        <v>235</v>
      </c>
      <c r="B48" s="33" t="s">
        <v>43</v>
      </c>
      <c r="C48" s="33" t="s">
        <v>44</v>
      </c>
      <c r="D48" s="33" t="s">
        <v>99</v>
      </c>
      <c r="E48" s="32" t="s">
        <v>100</v>
      </c>
      <c r="F48" s="33" t="s">
        <v>101</v>
      </c>
      <c r="G48" s="35">
        <v>20210680010040</v>
      </c>
      <c r="H48" s="46" t="s">
        <v>105</v>
      </c>
      <c r="I48" s="36" t="s">
        <v>106</v>
      </c>
      <c r="J48" s="49">
        <v>44327</v>
      </c>
      <c r="K48" s="49">
        <v>44440</v>
      </c>
      <c r="L48" s="80"/>
      <c r="M48" s="79"/>
      <c r="N48" s="75"/>
      <c r="O48" s="53" t="s">
        <v>307</v>
      </c>
      <c r="P48" s="64"/>
      <c r="Q48" s="64"/>
      <c r="R48" s="64"/>
      <c r="S48" s="66"/>
      <c r="T48" s="64">
        <f>92032005.21+26922635.56</f>
        <v>118954640.77</v>
      </c>
      <c r="U48" s="74"/>
      <c r="V48" s="65"/>
      <c r="W48" s="65"/>
      <c r="X48" s="65"/>
      <c r="Y48" s="65"/>
      <c r="Z48" s="65">
        <v>92032005.209999993</v>
      </c>
      <c r="AA48" s="74"/>
      <c r="AB48" s="78"/>
      <c r="AC48" s="130"/>
      <c r="AD48" s="131"/>
      <c r="AE48" s="131"/>
    </row>
    <row r="49" spans="1:31" ht="55.2" x14ac:dyDescent="0.25">
      <c r="A49" s="10">
        <v>235</v>
      </c>
      <c r="B49" s="33" t="s">
        <v>43</v>
      </c>
      <c r="C49" s="33" t="s">
        <v>44</v>
      </c>
      <c r="D49" s="33" t="s">
        <v>99</v>
      </c>
      <c r="E49" s="32" t="s">
        <v>100</v>
      </c>
      <c r="F49" s="33" t="s">
        <v>101</v>
      </c>
      <c r="G49" s="35">
        <v>20200680010136</v>
      </c>
      <c r="H49" s="46" t="s">
        <v>109</v>
      </c>
      <c r="I49" s="36" t="s">
        <v>110</v>
      </c>
      <c r="J49" s="49">
        <v>44252</v>
      </c>
      <c r="K49" s="49">
        <v>44561</v>
      </c>
      <c r="L49" s="80"/>
      <c r="M49" s="79"/>
      <c r="N49" s="75"/>
      <c r="O49" s="11" t="s">
        <v>303</v>
      </c>
      <c r="P49" s="64">
        <f>399075264+501792912+72000000</f>
        <v>972868176</v>
      </c>
      <c r="Q49" s="64"/>
      <c r="R49" s="64"/>
      <c r="S49" s="64"/>
      <c r="T49" s="64">
        <v>65124297</v>
      </c>
      <c r="U49" s="74"/>
      <c r="V49" s="65">
        <f>399068768+501768973+72000000</f>
        <v>972837741</v>
      </c>
      <c r="W49" s="65"/>
      <c r="X49" s="65"/>
      <c r="Y49" s="65"/>
      <c r="Z49" s="65"/>
      <c r="AA49" s="74"/>
      <c r="AB49" s="78"/>
      <c r="AC49" s="130"/>
      <c r="AD49" s="131"/>
      <c r="AE49" s="131"/>
    </row>
    <row r="50" spans="1:31" ht="69" x14ac:dyDescent="0.25">
      <c r="A50" s="10">
        <v>235</v>
      </c>
      <c r="B50" s="33" t="s">
        <v>43</v>
      </c>
      <c r="C50" s="33" t="s">
        <v>44</v>
      </c>
      <c r="D50" s="33" t="s">
        <v>99</v>
      </c>
      <c r="E50" s="32" t="s">
        <v>100</v>
      </c>
      <c r="F50" s="33" t="s">
        <v>101</v>
      </c>
      <c r="G50" s="35">
        <v>20210680010035</v>
      </c>
      <c r="H50" s="46" t="s">
        <v>111</v>
      </c>
      <c r="I50" s="36" t="s">
        <v>112</v>
      </c>
      <c r="J50" s="49">
        <v>44291</v>
      </c>
      <c r="K50" s="49">
        <v>44560</v>
      </c>
      <c r="L50" s="80"/>
      <c r="M50" s="79"/>
      <c r="N50" s="75"/>
      <c r="O50" s="57" t="s">
        <v>306</v>
      </c>
      <c r="P50" s="64"/>
      <c r="Q50" s="64"/>
      <c r="R50" s="64"/>
      <c r="S50" s="66"/>
      <c r="T50" s="64">
        <f>7410000+35118000+228836000+316960893+249946503</f>
        <v>838271396</v>
      </c>
      <c r="U50" s="74"/>
      <c r="V50" s="65"/>
      <c r="W50" s="65"/>
      <c r="X50" s="65"/>
      <c r="Y50" s="65"/>
      <c r="Z50" s="65">
        <f>7406000+35118000+228836000+316960893+249946503</f>
        <v>838267396</v>
      </c>
      <c r="AA50" s="74"/>
      <c r="AB50" s="78"/>
      <c r="AC50" s="130"/>
      <c r="AD50" s="131"/>
      <c r="AE50" s="131"/>
    </row>
    <row r="51" spans="1:31" ht="69" x14ac:dyDescent="0.25">
      <c r="A51" s="10">
        <v>235</v>
      </c>
      <c r="B51" s="33" t="s">
        <v>43</v>
      </c>
      <c r="C51" s="33" t="s">
        <v>44</v>
      </c>
      <c r="D51" s="33" t="s">
        <v>99</v>
      </c>
      <c r="E51" s="32" t="s">
        <v>100</v>
      </c>
      <c r="F51" s="33" t="s">
        <v>101</v>
      </c>
      <c r="G51" s="35">
        <v>20210680010085</v>
      </c>
      <c r="H51" s="46" t="s">
        <v>244</v>
      </c>
      <c r="I51" s="36" t="s">
        <v>245</v>
      </c>
      <c r="J51" s="49">
        <v>44434</v>
      </c>
      <c r="K51" s="49">
        <v>44560</v>
      </c>
      <c r="L51" s="80"/>
      <c r="M51" s="79"/>
      <c r="N51" s="75"/>
      <c r="O51" s="11" t="s">
        <v>315</v>
      </c>
      <c r="P51" s="64"/>
      <c r="Q51" s="64"/>
      <c r="R51" s="64"/>
      <c r="S51" s="66"/>
      <c r="T51" s="64">
        <f>64982607+102623815+287689542</f>
        <v>455295964</v>
      </c>
      <c r="U51" s="74"/>
      <c r="V51" s="65"/>
      <c r="W51" s="65"/>
      <c r="X51" s="65"/>
      <c r="Y51" s="65"/>
      <c r="Z51" s="65">
        <f>64982607+102623815+245934204</f>
        <v>413540626</v>
      </c>
      <c r="AA51" s="74"/>
      <c r="AB51" s="78"/>
      <c r="AC51" s="130"/>
      <c r="AD51" s="131"/>
      <c r="AE51" s="131"/>
    </row>
    <row r="52" spans="1:31" ht="69" x14ac:dyDescent="0.25">
      <c r="A52" s="10">
        <v>235</v>
      </c>
      <c r="B52" s="33" t="s">
        <v>43</v>
      </c>
      <c r="C52" s="33" t="s">
        <v>44</v>
      </c>
      <c r="D52" s="33" t="s">
        <v>99</v>
      </c>
      <c r="E52" s="32" t="s">
        <v>100</v>
      </c>
      <c r="F52" s="33" t="s">
        <v>101</v>
      </c>
      <c r="G52" s="35">
        <v>20210680010075</v>
      </c>
      <c r="H52" s="46" t="s">
        <v>198</v>
      </c>
      <c r="I52" s="36" t="s">
        <v>253</v>
      </c>
      <c r="J52" s="49">
        <v>44425</v>
      </c>
      <c r="K52" s="49">
        <v>44561</v>
      </c>
      <c r="L52" s="80"/>
      <c r="M52" s="79"/>
      <c r="N52" s="75"/>
      <c r="O52" s="11" t="s">
        <v>312</v>
      </c>
      <c r="P52" s="64"/>
      <c r="Q52" s="64"/>
      <c r="R52" s="64"/>
      <c r="S52" s="66"/>
      <c r="T52" s="64">
        <f>2835212724.67+316891538.46+77000000</f>
        <v>3229104263.1300001</v>
      </c>
      <c r="U52" s="74"/>
      <c r="V52" s="65"/>
      <c r="W52" s="65"/>
      <c r="X52" s="65"/>
      <c r="Y52" s="65"/>
      <c r="Z52" s="65">
        <v>3158404818.5</v>
      </c>
      <c r="AA52" s="74"/>
      <c r="AB52" s="78"/>
      <c r="AC52" s="130"/>
      <c r="AD52" s="131"/>
      <c r="AE52" s="131"/>
    </row>
    <row r="53" spans="1:31" ht="55.2" x14ac:dyDescent="0.25">
      <c r="A53" s="10">
        <v>235</v>
      </c>
      <c r="B53" s="33" t="s">
        <v>43</v>
      </c>
      <c r="C53" s="33" t="s">
        <v>44</v>
      </c>
      <c r="D53" s="33" t="s">
        <v>99</v>
      </c>
      <c r="E53" s="32" t="s">
        <v>100</v>
      </c>
      <c r="F53" s="33" t="s">
        <v>101</v>
      </c>
      <c r="G53" s="35">
        <v>20210680010163</v>
      </c>
      <c r="H53" s="46" t="s">
        <v>251</v>
      </c>
      <c r="I53" s="36" t="s">
        <v>254</v>
      </c>
      <c r="J53" s="49">
        <v>44484</v>
      </c>
      <c r="K53" s="49">
        <v>44530</v>
      </c>
      <c r="L53" s="80"/>
      <c r="M53" s="79"/>
      <c r="N53" s="75"/>
      <c r="O53" s="53" t="s">
        <v>320</v>
      </c>
      <c r="P53" s="64">
        <v>8000001.5</v>
      </c>
      <c r="Q53" s="64"/>
      <c r="R53" s="64"/>
      <c r="S53" s="66"/>
      <c r="T53" s="64">
        <v>18035728.5</v>
      </c>
      <c r="U53" s="74"/>
      <c r="V53" s="65">
        <v>5923444</v>
      </c>
      <c r="W53" s="65"/>
      <c r="X53" s="65"/>
      <c r="Y53" s="65"/>
      <c r="Z53" s="65"/>
      <c r="AA53" s="74"/>
      <c r="AB53" s="78"/>
      <c r="AC53" s="130"/>
      <c r="AD53" s="131"/>
      <c r="AE53" s="131"/>
    </row>
    <row r="54" spans="1:31" ht="55.2" x14ac:dyDescent="0.25">
      <c r="A54" s="10">
        <v>235</v>
      </c>
      <c r="B54" s="33" t="s">
        <v>43</v>
      </c>
      <c r="C54" s="33" t="s">
        <v>44</v>
      </c>
      <c r="D54" s="33" t="s">
        <v>99</v>
      </c>
      <c r="E54" s="32" t="s">
        <v>100</v>
      </c>
      <c r="F54" s="33" t="s">
        <v>101</v>
      </c>
      <c r="G54" s="35">
        <v>20210680010155</v>
      </c>
      <c r="H54" s="46" t="s">
        <v>218</v>
      </c>
      <c r="I54" s="36" t="s">
        <v>219</v>
      </c>
      <c r="J54" s="49">
        <v>44488</v>
      </c>
      <c r="K54" s="49">
        <v>44561</v>
      </c>
      <c r="L54" s="80"/>
      <c r="M54" s="79"/>
      <c r="N54" s="75"/>
      <c r="O54" s="11" t="s">
        <v>272</v>
      </c>
      <c r="P54" s="64"/>
      <c r="Q54" s="64"/>
      <c r="R54" s="64"/>
      <c r="S54" s="66"/>
      <c r="T54" s="64">
        <v>505578850</v>
      </c>
      <c r="U54" s="74"/>
      <c r="V54" s="65"/>
      <c r="W54" s="65"/>
      <c r="X54" s="65"/>
      <c r="Y54" s="65"/>
      <c r="Z54" s="64">
        <v>550586058</v>
      </c>
      <c r="AA54" s="74"/>
      <c r="AB54" s="78"/>
      <c r="AC54" s="130"/>
      <c r="AD54" s="131"/>
      <c r="AE54" s="131"/>
    </row>
    <row r="55" spans="1:31" ht="69" x14ac:dyDescent="0.25">
      <c r="A55" s="10">
        <v>235</v>
      </c>
      <c r="B55" s="33" t="s">
        <v>43</v>
      </c>
      <c r="C55" s="33" t="s">
        <v>44</v>
      </c>
      <c r="D55" s="33" t="s">
        <v>99</v>
      </c>
      <c r="E55" s="32" t="s">
        <v>100</v>
      </c>
      <c r="F55" s="33" t="s">
        <v>101</v>
      </c>
      <c r="G55" s="35">
        <v>20210680010191</v>
      </c>
      <c r="H55" s="46" t="s">
        <v>230</v>
      </c>
      <c r="I55" s="36" t="s">
        <v>231</v>
      </c>
      <c r="J55" s="49">
        <v>44490</v>
      </c>
      <c r="K55" s="49">
        <v>44561</v>
      </c>
      <c r="L55" s="80"/>
      <c r="M55" s="79"/>
      <c r="N55" s="75"/>
      <c r="O55" s="11" t="s">
        <v>232</v>
      </c>
      <c r="P55" s="64"/>
      <c r="Q55" s="64"/>
      <c r="R55" s="64"/>
      <c r="S55" s="66"/>
      <c r="T55" s="64">
        <v>1664925590</v>
      </c>
      <c r="U55" s="74"/>
      <c r="V55" s="65"/>
      <c r="W55" s="65"/>
      <c r="X55" s="65"/>
      <c r="Y55" s="65"/>
      <c r="Z55" s="65">
        <v>1617711978</v>
      </c>
      <c r="AA55" s="74"/>
      <c r="AB55" s="78"/>
      <c r="AC55" s="130"/>
      <c r="AD55" s="131"/>
      <c r="AE55" s="131"/>
    </row>
    <row r="56" spans="1:31" ht="55.2" x14ac:dyDescent="0.25">
      <c r="A56" s="10">
        <v>235</v>
      </c>
      <c r="B56" s="33" t="s">
        <v>43</v>
      </c>
      <c r="C56" s="33" t="s">
        <v>44</v>
      </c>
      <c r="D56" s="33" t="s">
        <v>99</v>
      </c>
      <c r="E56" s="32" t="s">
        <v>100</v>
      </c>
      <c r="F56" s="33" t="s">
        <v>101</v>
      </c>
      <c r="G56" s="35">
        <v>20210680010095</v>
      </c>
      <c r="H56" s="46" t="s">
        <v>236</v>
      </c>
      <c r="I56" s="36" t="s">
        <v>237</v>
      </c>
      <c r="J56" s="49">
        <v>44442</v>
      </c>
      <c r="K56" s="49">
        <v>44561</v>
      </c>
      <c r="L56" s="80"/>
      <c r="M56" s="79"/>
      <c r="N56" s="75"/>
      <c r="O56" s="11" t="s">
        <v>267</v>
      </c>
      <c r="P56" s="64"/>
      <c r="Q56" s="64"/>
      <c r="R56" s="64"/>
      <c r="S56" s="66"/>
      <c r="T56" s="64">
        <v>644732830.95000005</v>
      </c>
      <c r="U56" s="74"/>
      <c r="V56" s="65"/>
      <c r="W56" s="65"/>
      <c r="X56" s="65"/>
      <c r="Y56" s="65"/>
      <c r="Z56" s="65">
        <v>622169227</v>
      </c>
      <c r="AA56" s="74"/>
      <c r="AB56" s="78"/>
      <c r="AC56" s="130"/>
      <c r="AD56" s="131"/>
      <c r="AE56" s="131"/>
    </row>
    <row r="57" spans="1:31" ht="55.2" x14ac:dyDescent="0.25">
      <c r="A57" s="10">
        <v>235</v>
      </c>
      <c r="B57" s="33" t="s">
        <v>43</v>
      </c>
      <c r="C57" s="33" t="s">
        <v>44</v>
      </c>
      <c r="D57" s="33" t="s">
        <v>99</v>
      </c>
      <c r="E57" s="32" t="s">
        <v>100</v>
      </c>
      <c r="F57" s="33" t="s">
        <v>101</v>
      </c>
      <c r="G57" s="35">
        <v>20210680010179</v>
      </c>
      <c r="H57" s="46" t="s">
        <v>235</v>
      </c>
      <c r="I57" s="36" t="s">
        <v>233</v>
      </c>
      <c r="J57" s="49">
        <v>44459</v>
      </c>
      <c r="K57" s="49">
        <v>44561</v>
      </c>
      <c r="L57" s="80"/>
      <c r="M57" s="79"/>
      <c r="N57" s="75"/>
      <c r="O57" s="11" t="s">
        <v>268</v>
      </c>
      <c r="P57" s="64"/>
      <c r="Q57" s="64"/>
      <c r="R57" s="64"/>
      <c r="S57" s="66"/>
      <c r="T57" s="64">
        <v>632326520.46000004</v>
      </c>
      <c r="U57" s="74"/>
      <c r="V57" s="65"/>
      <c r="W57" s="65"/>
      <c r="X57" s="65"/>
      <c r="Y57" s="65"/>
      <c r="Z57" s="65">
        <v>615821308</v>
      </c>
      <c r="AA57" s="74"/>
      <c r="AB57" s="78"/>
      <c r="AC57" s="130"/>
      <c r="AD57" s="131"/>
      <c r="AE57" s="131"/>
    </row>
    <row r="58" spans="1:31" ht="55.2" x14ac:dyDescent="0.25">
      <c r="A58" s="10">
        <v>235</v>
      </c>
      <c r="B58" s="33" t="s">
        <v>43</v>
      </c>
      <c r="C58" s="33" t="s">
        <v>44</v>
      </c>
      <c r="D58" s="33" t="s">
        <v>99</v>
      </c>
      <c r="E58" s="32" t="s">
        <v>100</v>
      </c>
      <c r="F58" s="33" t="s">
        <v>101</v>
      </c>
      <c r="G58" s="35">
        <v>20210680010107</v>
      </c>
      <c r="H58" s="46" t="s">
        <v>250</v>
      </c>
      <c r="I58" s="36" t="s">
        <v>255</v>
      </c>
      <c r="J58" s="49">
        <v>44454</v>
      </c>
      <c r="K58" s="49">
        <v>44561</v>
      </c>
      <c r="L58" s="80"/>
      <c r="M58" s="79"/>
      <c r="N58" s="75"/>
      <c r="O58" s="11" t="s">
        <v>269</v>
      </c>
      <c r="P58" s="64"/>
      <c r="Q58" s="64"/>
      <c r="R58" s="64"/>
      <c r="S58" s="66"/>
      <c r="T58" s="64">
        <v>70000000</v>
      </c>
      <c r="U58" s="74"/>
      <c r="V58" s="65"/>
      <c r="W58" s="65"/>
      <c r="X58" s="65"/>
      <c r="Y58" s="65"/>
      <c r="Z58" s="65">
        <v>70000000</v>
      </c>
      <c r="AA58" s="74"/>
      <c r="AB58" s="78"/>
      <c r="AC58" s="130"/>
      <c r="AD58" s="131"/>
      <c r="AE58" s="131"/>
    </row>
    <row r="59" spans="1:31" ht="289.8" x14ac:dyDescent="0.25">
      <c r="A59" s="10">
        <v>235</v>
      </c>
      <c r="B59" s="33" t="s">
        <v>43</v>
      </c>
      <c r="C59" s="33" t="s">
        <v>44</v>
      </c>
      <c r="D59" s="33" t="s">
        <v>99</v>
      </c>
      <c r="E59" s="32" t="s">
        <v>100</v>
      </c>
      <c r="F59" s="33" t="s">
        <v>101</v>
      </c>
      <c r="G59" s="35"/>
      <c r="H59" s="30" t="s">
        <v>331</v>
      </c>
      <c r="I59" s="36"/>
      <c r="J59" s="49"/>
      <c r="K59" s="49"/>
      <c r="L59" s="80"/>
      <c r="M59" s="79"/>
      <c r="N59" s="75"/>
      <c r="O59" s="11" t="s">
        <v>329</v>
      </c>
      <c r="P59" s="64"/>
      <c r="Q59" s="64"/>
      <c r="R59" s="64"/>
      <c r="S59" s="66"/>
      <c r="T59" s="64">
        <f>8216620+1449212+803322+181930957+1166421383.33+2842200+17393+69400000+33108461.54+71820103+205798405.44+45376185+34158449+277638500+454487389+7787825.5</f>
        <v>2561256405.8099999</v>
      </c>
      <c r="U59" s="74"/>
      <c r="V59" s="65"/>
      <c r="W59" s="65"/>
      <c r="X59" s="65"/>
      <c r="Y59" s="65"/>
      <c r="Z59" s="65"/>
      <c r="AA59" s="74"/>
      <c r="AB59" s="78"/>
      <c r="AC59" s="130"/>
      <c r="AD59" s="131"/>
      <c r="AE59" s="131"/>
    </row>
    <row r="60" spans="1:31" ht="207" customHeight="1" x14ac:dyDescent="0.25">
      <c r="A60" s="10">
        <v>235</v>
      </c>
      <c r="B60" s="33" t="s">
        <v>43</v>
      </c>
      <c r="C60" s="33" t="s">
        <v>44</v>
      </c>
      <c r="D60" s="33" t="s">
        <v>99</v>
      </c>
      <c r="E60" s="32" t="s">
        <v>100</v>
      </c>
      <c r="F60" s="33" t="s">
        <v>101</v>
      </c>
      <c r="G60" s="35"/>
      <c r="H60" s="30" t="s">
        <v>331</v>
      </c>
      <c r="I60" s="36"/>
      <c r="J60" s="49"/>
      <c r="K60" s="49"/>
      <c r="L60" s="80"/>
      <c r="M60" s="79"/>
      <c r="N60" s="75"/>
      <c r="O60" s="11" t="s">
        <v>330</v>
      </c>
      <c r="P60" s="64">
        <f>924736+984496.160000026+58361947.52</f>
        <v>60271179.68000003</v>
      </c>
      <c r="Q60" s="64"/>
      <c r="R60" s="64"/>
      <c r="S60" s="66"/>
      <c r="T60" s="64">
        <f>20790000+25777+1800000+41807321.26+182284640.28+242400000+29070+295743934.5+606479861.5+138147827.73+89146685.48</f>
        <v>1618655117.75</v>
      </c>
      <c r="U60" s="74"/>
      <c r="V60" s="65"/>
      <c r="W60" s="65"/>
      <c r="X60" s="65"/>
      <c r="Y60" s="65"/>
      <c r="Z60" s="65"/>
      <c r="AA60" s="74"/>
      <c r="AB60" s="78"/>
      <c r="AC60" s="127"/>
      <c r="AD60" s="129"/>
      <c r="AE60" s="129"/>
    </row>
    <row r="61" spans="1:31" ht="55.2" x14ac:dyDescent="0.25">
      <c r="A61" s="10">
        <v>236</v>
      </c>
      <c r="B61" s="52" t="s">
        <v>43</v>
      </c>
      <c r="C61" s="52" t="s">
        <v>44</v>
      </c>
      <c r="D61" s="27" t="s">
        <v>99</v>
      </c>
      <c r="E61" s="32" t="s">
        <v>131</v>
      </c>
      <c r="F61" s="33" t="s">
        <v>132</v>
      </c>
      <c r="G61" s="35">
        <v>20210680010035</v>
      </c>
      <c r="H61" s="46" t="s">
        <v>111</v>
      </c>
      <c r="I61" s="36" t="s">
        <v>112</v>
      </c>
      <c r="J61" s="49">
        <v>44291</v>
      </c>
      <c r="K61" s="49">
        <v>44560</v>
      </c>
      <c r="L61" s="77">
        <v>1</v>
      </c>
      <c r="M61" s="76">
        <v>1</v>
      </c>
      <c r="N61" s="75">
        <f t="shared" si="6"/>
        <v>1</v>
      </c>
      <c r="O61" s="53" t="s">
        <v>234</v>
      </c>
      <c r="P61" s="64"/>
      <c r="Q61" s="64"/>
      <c r="R61" s="64"/>
      <c r="S61" s="66"/>
      <c r="T61" s="64">
        <v>1549407553</v>
      </c>
      <c r="U61" s="70">
        <f>SUM(P61:T63)</f>
        <v>2950324948</v>
      </c>
      <c r="V61" s="65"/>
      <c r="W61" s="65"/>
      <c r="X61" s="65"/>
      <c r="Y61" s="65"/>
      <c r="Z61" s="65">
        <v>1548978000</v>
      </c>
      <c r="AA61" s="70">
        <f>SUM(V61:Z63)</f>
        <v>2683230416</v>
      </c>
      <c r="AB61" s="72">
        <f t="shared" ref="AB61:AB65" si="7">IFERROR(AA61/U61,"-")</f>
        <v>0.90946945278652747</v>
      </c>
      <c r="AC61" s="126"/>
      <c r="AD61" s="128" t="s">
        <v>51</v>
      </c>
      <c r="AE61" s="128" t="s">
        <v>197</v>
      </c>
    </row>
    <row r="62" spans="1:31" ht="69" x14ac:dyDescent="0.25">
      <c r="A62" s="10">
        <v>236</v>
      </c>
      <c r="B62" s="52" t="s">
        <v>43</v>
      </c>
      <c r="C62" s="52" t="s">
        <v>44</v>
      </c>
      <c r="D62" s="27" t="s">
        <v>99</v>
      </c>
      <c r="E62" s="32" t="s">
        <v>131</v>
      </c>
      <c r="F62" s="33" t="s">
        <v>132</v>
      </c>
      <c r="G62" s="35">
        <v>20210680010085</v>
      </c>
      <c r="H62" s="46" t="s">
        <v>244</v>
      </c>
      <c r="I62" s="36" t="s">
        <v>245</v>
      </c>
      <c r="J62" s="49">
        <v>44434</v>
      </c>
      <c r="K62" s="49">
        <v>44560</v>
      </c>
      <c r="L62" s="77"/>
      <c r="M62" s="76"/>
      <c r="N62" s="75"/>
      <c r="O62" s="53" t="s">
        <v>246</v>
      </c>
      <c r="P62" s="64"/>
      <c r="Q62" s="64"/>
      <c r="R62" s="64"/>
      <c r="S62" s="66"/>
      <c r="T62" s="64">
        <v>1058783380</v>
      </c>
      <c r="U62" s="74"/>
      <c r="V62" s="65"/>
      <c r="W62" s="65"/>
      <c r="X62" s="65"/>
      <c r="Y62" s="65"/>
      <c r="Z62" s="65">
        <f>160500060+294900000+109998840+228837000</f>
        <v>794235900</v>
      </c>
      <c r="AA62" s="74"/>
      <c r="AB62" s="78"/>
      <c r="AC62" s="130"/>
      <c r="AD62" s="131"/>
      <c r="AE62" s="131"/>
    </row>
    <row r="63" spans="1:31" ht="69" x14ac:dyDescent="0.25">
      <c r="A63" s="10">
        <v>236</v>
      </c>
      <c r="B63" s="52" t="s">
        <v>43</v>
      </c>
      <c r="C63" s="52" t="s">
        <v>44</v>
      </c>
      <c r="D63" s="27" t="s">
        <v>99</v>
      </c>
      <c r="E63" s="32" t="s">
        <v>131</v>
      </c>
      <c r="F63" s="33" t="s">
        <v>132</v>
      </c>
      <c r="G63" s="35">
        <v>20210680010191</v>
      </c>
      <c r="H63" s="46" t="s">
        <v>230</v>
      </c>
      <c r="I63" s="36" t="s">
        <v>231</v>
      </c>
      <c r="J63" s="49">
        <v>44490</v>
      </c>
      <c r="K63" s="49">
        <v>44561</v>
      </c>
      <c r="L63" s="77"/>
      <c r="M63" s="76"/>
      <c r="N63" s="75"/>
      <c r="O63" s="53" t="s">
        <v>265</v>
      </c>
      <c r="P63" s="64"/>
      <c r="Q63" s="64"/>
      <c r="R63" s="64"/>
      <c r="S63" s="66"/>
      <c r="T63" s="64">
        <f>100861425+6039250+214182240+21051100</f>
        <v>342134015</v>
      </c>
      <c r="U63" s="74"/>
      <c r="V63" s="65"/>
      <c r="W63" s="65"/>
      <c r="X63" s="65"/>
      <c r="Y63" s="65"/>
      <c r="Z63" s="65">
        <f>100861425+4890008+213213990+21051093</f>
        <v>340016516</v>
      </c>
      <c r="AA63" s="74"/>
      <c r="AB63" s="78"/>
      <c r="AC63" s="127"/>
      <c r="AD63" s="129"/>
      <c r="AE63" s="129"/>
    </row>
    <row r="64" spans="1:31" ht="41.4" x14ac:dyDescent="0.25">
      <c r="A64" s="10">
        <v>237</v>
      </c>
      <c r="B64" s="48" t="s">
        <v>43</v>
      </c>
      <c r="C64" s="48" t="s">
        <v>44</v>
      </c>
      <c r="D64" s="48" t="s">
        <v>99</v>
      </c>
      <c r="E64" s="21" t="s">
        <v>133</v>
      </c>
      <c r="F64" s="58" t="s">
        <v>134</v>
      </c>
      <c r="G64" s="35">
        <v>20200680010176</v>
      </c>
      <c r="H64" s="46" t="s">
        <v>135</v>
      </c>
      <c r="I64" s="36" t="s">
        <v>136</v>
      </c>
      <c r="J64" s="49">
        <v>44221</v>
      </c>
      <c r="K64" s="49">
        <v>44561</v>
      </c>
      <c r="L64" s="31">
        <v>1</v>
      </c>
      <c r="M64" s="42">
        <v>100</v>
      </c>
      <c r="N64" s="50">
        <f t="shared" si="6"/>
        <v>1</v>
      </c>
      <c r="O64" s="53" t="s">
        <v>247</v>
      </c>
      <c r="P64" s="64"/>
      <c r="Q64" s="64"/>
      <c r="R64" s="64"/>
      <c r="S64" s="66"/>
      <c r="T64" s="64">
        <v>685500000</v>
      </c>
      <c r="U64" s="63">
        <f t="shared" ref="U64:U98" si="8">SUM(P64:T64)</f>
        <v>685500000</v>
      </c>
      <c r="V64" s="65"/>
      <c r="W64" s="65"/>
      <c r="X64" s="65"/>
      <c r="Y64" s="65"/>
      <c r="Z64" s="65">
        <f>457000000+228500000</f>
        <v>685500000</v>
      </c>
      <c r="AA64" s="63">
        <f t="shared" ref="AA64:AA65" si="9">SUM(V64:Z64)</f>
        <v>685500000</v>
      </c>
      <c r="AB64" s="25">
        <f t="shared" si="7"/>
        <v>1</v>
      </c>
      <c r="AC64" s="26"/>
      <c r="AD64" s="51" t="s">
        <v>51</v>
      </c>
      <c r="AE64" s="51" t="s">
        <v>197</v>
      </c>
    </row>
    <row r="65" spans="1:31" ht="69" x14ac:dyDescent="0.25">
      <c r="A65" s="10">
        <v>238</v>
      </c>
      <c r="B65" s="48" t="s">
        <v>43</v>
      </c>
      <c r="C65" s="48" t="s">
        <v>44</v>
      </c>
      <c r="D65" s="20" t="s">
        <v>99</v>
      </c>
      <c r="E65" s="21" t="s">
        <v>137</v>
      </c>
      <c r="F65" s="22" t="s">
        <v>138</v>
      </c>
      <c r="G65" s="24"/>
      <c r="H65" s="30" t="s">
        <v>331</v>
      </c>
      <c r="I65" s="55"/>
      <c r="J65" s="49"/>
      <c r="K65" s="49"/>
      <c r="L65" s="31">
        <v>1</v>
      </c>
      <c r="M65" s="44">
        <v>1</v>
      </c>
      <c r="N65" s="50">
        <f t="shared" si="6"/>
        <v>1</v>
      </c>
      <c r="O65" s="56"/>
      <c r="P65" s="64"/>
      <c r="Q65" s="64"/>
      <c r="R65" s="64"/>
      <c r="S65" s="66"/>
      <c r="T65" s="64"/>
      <c r="U65" s="63">
        <f t="shared" si="8"/>
        <v>0</v>
      </c>
      <c r="V65" s="65"/>
      <c r="W65" s="65"/>
      <c r="X65" s="65"/>
      <c r="Y65" s="65"/>
      <c r="Z65" s="65"/>
      <c r="AA65" s="63">
        <f t="shared" si="9"/>
        <v>0</v>
      </c>
      <c r="AB65" s="25" t="str">
        <f t="shared" si="7"/>
        <v>-</v>
      </c>
      <c r="AC65" s="26"/>
      <c r="AD65" s="51" t="s">
        <v>51</v>
      </c>
      <c r="AE65" s="51" t="s">
        <v>197</v>
      </c>
    </row>
    <row r="66" spans="1:31" ht="55.2" x14ac:dyDescent="0.25">
      <c r="A66" s="10">
        <v>239</v>
      </c>
      <c r="B66" s="52" t="s">
        <v>43</v>
      </c>
      <c r="C66" s="52" t="s">
        <v>44</v>
      </c>
      <c r="D66" s="52" t="s">
        <v>95</v>
      </c>
      <c r="E66" s="32" t="s">
        <v>123</v>
      </c>
      <c r="F66" s="33" t="s">
        <v>124</v>
      </c>
      <c r="G66" s="35">
        <v>20210680010190</v>
      </c>
      <c r="H66" s="46" t="s">
        <v>248</v>
      </c>
      <c r="I66" s="36"/>
      <c r="J66" s="49"/>
      <c r="K66" s="49">
        <v>44561</v>
      </c>
      <c r="L66" s="80">
        <v>1</v>
      </c>
      <c r="M66" s="79">
        <v>1</v>
      </c>
      <c r="N66" s="75">
        <f t="shared" si="6"/>
        <v>1</v>
      </c>
      <c r="O66" s="53" t="s">
        <v>249</v>
      </c>
      <c r="P66" s="64">
        <v>85000000</v>
      </c>
      <c r="Q66" s="64"/>
      <c r="R66" s="64"/>
      <c r="S66" s="66"/>
      <c r="T66" s="64"/>
      <c r="U66" s="70">
        <f>SUM(P66:T70)</f>
        <v>702939981</v>
      </c>
      <c r="V66" s="64">
        <v>85000000</v>
      </c>
      <c r="W66" s="65"/>
      <c r="X66" s="65"/>
      <c r="Y66" s="65"/>
      <c r="Z66" s="65"/>
      <c r="AA66" s="70">
        <f>SUM(V66:Z70)</f>
        <v>635849960.69000006</v>
      </c>
      <c r="AB66" s="72">
        <f>IFERROR(AA66/U66,"-")</f>
        <v>0.90455796778757991</v>
      </c>
      <c r="AC66" s="126"/>
      <c r="AD66" s="128" t="s">
        <v>51</v>
      </c>
      <c r="AE66" s="128" t="s">
        <v>197</v>
      </c>
    </row>
    <row r="67" spans="1:31" ht="55.2" x14ac:dyDescent="0.25">
      <c r="A67" s="10">
        <v>239</v>
      </c>
      <c r="B67" s="52" t="s">
        <v>43</v>
      </c>
      <c r="C67" s="52" t="s">
        <v>44</v>
      </c>
      <c r="D67" s="52" t="s">
        <v>95</v>
      </c>
      <c r="E67" s="32" t="s">
        <v>123</v>
      </c>
      <c r="F67" s="33" t="s">
        <v>124</v>
      </c>
      <c r="G67" s="35"/>
      <c r="H67" s="30" t="s">
        <v>331</v>
      </c>
      <c r="I67" s="36"/>
      <c r="J67" s="49"/>
      <c r="K67" s="49"/>
      <c r="L67" s="80"/>
      <c r="M67" s="79"/>
      <c r="N67" s="75"/>
      <c r="O67" s="53" t="s">
        <v>258</v>
      </c>
      <c r="P67" s="64">
        <v>100000000</v>
      </c>
      <c r="Q67" s="64"/>
      <c r="R67" s="64"/>
      <c r="S67" s="66"/>
      <c r="T67" s="64"/>
      <c r="U67" s="74"/>
      <c r="V67" s="64">
        <v>100000000</v>
      </c>
      <c r="W67" s="65"/>
      <c r="X67" s="65"/>
      <c r="Y67" s="65"/>
      <c r="Z67" s="65"/>
      <c r="AA67" s="74"/>
      <c r="AB67" s="78"/>
      <c r="AC67" s="130"/>
      <c r="AD67" s="131"/>
      <c r="AE67" s="131"/>
    </row>
    <row r="68" spans="1:31" ht="55.2" x14ac:dyDescent="0.25">
      <c r="A68" s="10">
        <v>239</v>
      </c>
      <c r="B68" s="52" t="s">
        <v>43</v>
      </c>
      <c r="C68" s="52" t="s">
        <v>44</v>
      </c>
      <c r="D68" s="52" t="s">
        <v>95</v>
      </c>
      <c r="E68" s="32" t="s">
        <v>123</v>
      </c>
      <c r="F68" s="33" t="s">
        <v>124</v>
      </c>
      <c r="G68" s="23">
        <v>20210680010086</v>
      </c>
      <c r="H68" s="46" t="s">
        <v>201</v>
      </c>
      <c r="I68" s="36" t="s">
        <v>202</v>
      </c>
      <c r="J68" s="49">
        <v>44438</v>
      </c>
      <c r="K68" s="49">
        <v>44561</v>
      </c>
      <c r="L68" s="80"/>
      <c r="M68" s="79"/>
      <c r="N68" s="75"/>
      <c r="O68" s="56" t="s">
        <v>317</v>
      </c>
      <c r="P68" s="64"/>
      <c r="Q68" s="64"/>
      <c r="R68" s="64"/>
      <c r="S68" s="66"/>
      <c r="T68" s="65">
        <f>232202898+56149623+70284852+88577116</f>
        <v>447214489</v>
      </c>
      <c r="U68" s="74"/>
      <c r="V68" s="65"/>
      <c r="W68" s="65"/>
      <c r="X68" s="65"/>
      <c r="Y68" s="65"/>
      <c r="Z68" s="65">
        <f>191280850+21975531+24157595+148660762.69</f>
        <v>386074738.69</v>
      </c>
      <c r="AA68" s="74"/>
      <c r="AB68" s="78"/>
      <c r="AC68" s="130"/>
      <c r="AD68" s="131"/>
      <c r="AE68" s="131"/>
    </row>
    <row r="69" spans="1:31" ht="55.2" x14ac:dyDescent="0.25">
      <c r="A69" s="10">
        <v>239</v>
      </c>
      <c r="B69" s="52" t="s">
        <v>43</v>
      </c>
      <c r="C69" s="52" t="s">
        <v>44</v>
      </c>
      <c r="D69" s="52" t="s">
        <v>95</v>
      </c>
      <c r="E69" s="32" t="s">
        <v>123</v>
      </c>
      <c r="F69" s="33" t="s">
        <v>124</v>
      </c>
      <c r="G69" s="35">
        <v>20210680010197</v>
      </c>
      <c r="H69" s="46" t="s">
        <v>293</v>
      </c>
      <c r="I69" s="36" t="s">
        <v>294</v>
      </c>
      <c r="J69" s="49">
        <v>44518</v>
      </c>
      <c r="K69" s="49">
        <v>44561</v>
      </c>
      <c r="L69" s="80"/>
      <c r="M69" s="79"/>
      <c r="N69" s="75"/>
      <c r="O69" s="56" t="s">
        <v>199</v>
      </c>
      <c r="P69" s="64"/>
      <c r="Q69" s="64"/>
      <c r="R69" s="64"/>
      <c r="S69" s="66"/>
      <c r="T69" s="65">
        <v>63225492</v>
      </c>
      <c r="U69" s="74"/>
      <c r="V69" s="65"/>
      <c r="W69" s="65"/>
      <c r="X69" s="65"/>
      <c r="Y69" s="65"/>
      <c r="Z69" s="65">
        <v>57275222</v>
      </c>
      <c r="AA69" s="74"/>
      <c r="AB69" s="78"/>
      <c r="AC69" s="130"/>
      <c r="AD69" s="131"/>
      <c r="AE69" s="131"/>
    </row>
    <row r="70" spans="1:31" ht="55.2" x14ac:dyDescent="0.25">
      <c r="A70" s="10">
        <v>239</v>
      </c>
      <c r="B70" s="52" t="s">
        <v>43</v>
      </c>
      <c r="C70" s="52" t="s">
        <v>44</v>
      </c>
      <c r="D70" s="52" t="s">
        <v>95</v>
      </c>
      <c r="E70" s="32" t="s">
        <v>123</v>
      </c>
      <c r="F70" s="33" t="s">
        <v>124</v>
      </c>
      <c r="G70" s="35">
        <v>20200680010162</v>
      </c>
      <c r="H70" s="46" t="s">
        <v>115</v>
      </c>
      <c r="I70" s="36" t="s">
        <v>116</v>
      </c>
      <c r="J70" s="49">
        <v>44225</v>
      </c>
      <c r="K70" s="49">
        <v>44561</v>
      </c>
      <c r="L70" s="80"/>
      <c r="M70" s="79"/>
      <c r="N70" s="75"/>
      <c r="O70" s="56" t="s">
        <v>277</v>
      </c>
      <c r="P70" s="64"/>
      <c r="Q70" s="64"/>
      <c r="R70" s="64"/>
      <c r="S70" s="66"/>
      <c r="T70" s="65">
        <v>7500000</v>
      </c>
      <c r="U70" s="71"/>
      <c r="V70" s="65"/>
      <c r="W70" s="65"/>
      <c r="X70" s="65"/>
      <c r="Y70" s="65"/>
      <c r="Z70" s="65">
        <v>7500000</v>
      </c>
      <c r="AA70" s="71"/>
      <c r="AB70" s="73"/>
      <c r="AC70" s="127"/>
      <c r="AD70" s="129"/>
      <c r="AE70" s="129"/>
    </row>
    <row r="71" spans="1:31" ht="55.2" x14ac:dyDescent="0.25">
      <c r="A71" s="10">
        <v>240</v>
      </c>
      <c r="B71" s="52" t="s">
        <v>43</v>
      </c>
      <c r="C71" s="52" t="s">
        <v>44</v>
      </c>
      <c r="D71" s="27" t="s">
        <v>95</v>
      </c>
      <c r="E71" s="32" t="s">
        <v>139</v>
      </c>
      <c r="F71" s="37" t="s">
        <v>140</v>
      </c>
      <c r="G71" s="24"/>
      <c r="H71" s="30" t="s">
        <v>259</v>
      </c>
      <c r="I71" s="55"/>
      <c r="J71" s="49"/>
      <c r="K71" s="49"/>
      <c r="L71" s="80">
        <v>1</v>
      </c>
      <c r="M71" s="79">
        <v>1</v>
      </c>
      <c r="N71" s="75">
        <f t="shared" si="6"/>
        <v>1</v>
      </c>
      <c r="O71" s="56" t="s">
        <v>141</v>
      </c>
      <c r="P71" s="64"/>
      <c r="Q71" s="64"/>
      <c r="R71" s="64"/>
      <c r="S71" s="66"/>
      <c r="T71" s="64">
        <v>1133333</v>
      </c>
      <c r="U71" s="70">
        <f>SUM(P71:T77)</f>
        <v>1406263104.26</v>
      </c>
      <c r="V71" s="65"/>
      <c r="W71" s="65"/>
      <c r="X71" s="65"/>
      <c r="Y71" s="65"/>
      <c r="Z71" s="65"/>
      <c r="AA71" s="70">
        <f>SUM(V71:Z77)</f>
        <v>1001700769.7310001</v>
      </c>
      <c r="AB71" s="72">
        <f t="shared" ref="AB71:AB111" si="10">IFERROR(AA71/U71,"-")</f>
        <v>0.71231390960663254</v>
      </c>
      <c r="AC71" s="126"/>
      <c r="AD71" s="128" t="s">
        <v>51</v>
      </c>
      <c r="AE71" s="128" t="s">
        <v>197</v>
      </c>
    </row>
    <row r="72" spans="1:31" ht="55.2" x14ac:dyDescent="0.25">
      <c r="A72" s="10">
        <v>240</v>
      </c>
      <c r="B72" s="52" t="s">
        <v>43</v>
      </c>
      <c r="C72" s="52" t="s">
        <v>44</v>
      </c>
      <c r="D72" s="27" t="s">
        <v>95</v>
      </c>
      <c r="E72" s="32" t="s">
        <v>139</v>
      </c>
      <c r="F72" s="37" t="s">
        <v>140</v>
      </c>
      <c r="G72" s="35">
        <v>20200680010034</v>
      </c>
      <c r="H72" s="46" t="s">
        <v>142</v>
      </c>
      <c r="I72" s="36" t="s">
        <v>143</v>
      </c>
      <c r="J72" s="49">
        <v>44202</v>
      </c>
      <c r="K72" s="49">
        <v>44561</v>
      </c>
      <c r="L72" s="80"/>
      <c r="M72" s="79"/>
      <c r="N72" s="75"/>
      <c r="O72" s="56" t="s">
        <v>296</v>
      </c>
      <c r="P72" s="64">
        <v>798420750.92000008</v>
      </c>
      <c r="Q72" s="64"/>
      <c r="R72" s="64"/>
      <c r="S72" s="66"/>
      <c r="T72" s="64">
        <v>1739249</v>
      </c>
      <c r="U72" s="74"/>
      <c r="V72" s="65">
        <f>264387417.94+534033332.98</f>
        <v>798420750.92000008</v>
      </c>
      <c r="W72" s="65"/>
      <c r="X72" s="65"/>
      <c r="Y72" s="65"/>
      <c r="Z72" s="64">
        <v>1739249</v>
      </c>
      <c r="AA72" s="74"/>
      <c r="AB72" s="78"/>
      <c r="AC72" s="130"/>
      <c r="AD72" s="131"/>
      <c r="AE72" s="131"/>
    </row>
    <row r="73" spans="1:31" ht="55.2" x14ac:dyDescent="0.25">
      <c r="A73" s="10">
        <v>240</v>
      </c>
      <c r="B73" s="52" t="s">
        <v>43</v>
      </c>
      <c r="C73" s="52" t="s">
        <v>44</v>
      </c>
      <c r="D73" s="27" t="s">
        <v>95</v>
      </c>
      <c r="E73" s="32" t="s">
        <v>139</v>
      </c>
      <c r="F73" s="37" t="s">
        <v>140</v>
      </c>
      <c r="G73" s="35"/>
      <c r="H73" s="30" t="s">
        <v>331</v>
      </c>
      <c r="I73" s="36" t="s">
        <v>143</v>
      </c>
      <c r="J73" s="49"/>
      <c r="K73" s="49"/>
      <c r="L73" s="80"/>
      <c r="M73" s="79"/>
      <c r="N73" s="75"/>
      <c r="O73" s="56" t="s">
        <v>196</v>
      </c>
      <c r="P73" s="64">
        <v>35690000.079999924</v>
      </c>
      <c r="Q73" s="64"/>
      <c r="R73" s="64"/>
      <c r="S73" s="66"/>
      <c r="T73" s="64"/>
      <c r="U73" s="74"/>
      <c r="W73" s="65"/>
      <c r="X73" s="65"/>
      <c r="Y73" s="65"/>
      <c r="Z73" s="65"/>
      <c r="AA73" s="74"/>
      <c r="AB73" s="78"/>
      <c r="AC73" s="130"/>
      <c r="AD73" s="131"/>
      <c r="AE73" s="131"/>
    </row>
    <row r="74" spans="1:31" ht="55.2" x14ac:dyDescent="0.25">
      <c r="A74" s="10">
        <v>240</v>
      </c>
      <c r="B74" s="52" t="s">
        <v>43</v>
      </c>
      <c r="C74" s="52" t="s">
        <v>44</v>
      </c>
      <c r="D74" s="27" t="s">
        <v>95</v>
      </c>
      <c r="E74" s="32" t="s">
        <v>139</v>
      </c>
      <c r="F74" s="37" t="s">
        <v>140</v>
      </c>
      <c r="G74" s="35"/>
      <c r="H74" s="30" t="s">
        <v>331</v>
      </c>
      <c r="I74" s="36"/>
      <c r="J74" s="49"/>
      <c r="K74" s="49"/>
      <c r="L74" s="80"/>
      <c r="M74" s="79"/>
      <c r="N74" s="75"/>
      <c r="O74" s="56" t="s">
        <v>262</v>
      </c>
      <c r="P74" s="64">
        <v>38750000</v>
      </c>
      <c r="Q74" s="64"/>
      <c r="R74" s="64"/>
      <c r="S74" s="66"/>
      <c r="T74" s="64"/>
      <c r="U74" s="74"/>
      <c r="V74" s="65"/>
      <c r="W74" s="65"/>
      <c r="X74" s="65"/>
      <c r="Y74" s="65"/>
      <c r="Z74" s="65"/>
      <c r="AA74" s="74"/>
      <c r="AB74" s="78"/>
      <c r="AC74" s="130"/>
      <c r="AD74" s="131"/>
      <c r="AE74" s="131"/>
    </row>
    <row r="75" spans="1:31" ht="55.2" x14ac:dyDescent="0.25">
      <c r="A75" s="10">
        <v>240</v>
      </c>
      <c r="B75" s="52" t="s">
        <v>43</v>
      </c>
      <c r="C75" s="52" t="s">
        <v>44</v>
      </c>
      <c r="D75" s="27" t="s">
        <v>95</v>
      </c>
      <c r="E75" s="32" t="s">
        <v>139</v>
      </c>
      <c r="F75" s="37" t="s">
        <v>140</v>
      </c>
      <c r="G75" s="35"/>
      <c r="H75" s="30" t="s">
        <v>331</v>
      </c>
      <c r="I75" s="36"/>
      <c r="J75" s="49"/>
      <c r="K75" s="49"/>
      <c r="L75" s="80"/>
      <c r="M75" s="79"/>
      <c r="N75" s="75"/>
      <c r="O75" s="56" t="s">
        <v>261</v>
      </c>
      <c r="P75" s="64"/>
      <c r="Q75" s="64"/>
      <c r="R75" s="64"/>
      <c r="S75" s="66"/>
      <c r="T75" s="64">
        <v>1440156.2599999998</v>
      </c>
      <c r="U75" s="74"/>
      <c r="V75" s="65"/>
      <c r="W75" s="65"/>
      <c r="X75" s="65"/>
      <c r="Y75" s="65"/>
      <c r="Z75" s="65"/>
      <c r="AA75" s="74"/>
      <c r="AB75" s="78"/>
      <c r="AC75" s="130"/>
      <c r="AD75" s="131"/>
      <c r="AE75" s="131"/>
    </row>
    <row r="76" spans="1:31" ht="55.2" x14ac:dyDescent="0.25">
      <c r="A76" s="10">
        <v>240</v>
      </c>
      <c r="B76" s="52" t="s">
        <v>43</v>
      </c>
      <c r="C76" s="52" t="s">
        <v>44</v>
      </c>
      <c r="D76" s="27" t="s">
        <v>95</v>
      </c>
      <c r="E76" s="32" t="s">
        <v>139</v>
      </c>
      <c r="F76" s="37" t="s">
        <v>140</v>
      </c>
      <c r="G76" s="35">
        <v>20210680010081</v>
      </c>
      <c r="H76" s="46" t="s">
        <v>278</v>
      </c>
      <c r="I76" s="36" t="s">
        <v>208</v>
      </c>
      <c r="J76" s="49">
        <v>44434</v>
      </c>
      <c r="K76" s="49">
        <v>44561</v>
      </c>
      <c r="L76" s="80"/>
      <c r="M76" s="79"/>
      <c r="N76" s="75"/>
      <c r="O76" s="56" t="s">
        <v>314</v>
      </c>
      <c r="P76" s="64"/>
      <c r="Q76" s="64"/>
      <c r="R76" s="64"/>
      <c r="S76" s="66"/>
      <c r="T76" s="64">
        <f>79850000+112251455+10939315</f>
        <v>203040770</v>
      </c>
      <c r="U76" s="74"/>
      <c r="V76" s="65"/>
      <c r="W76" s="65"/>
      <c r="X76" s="65"/>
      <c r="Y76" s="65"/>
      <c r="Z76" s="64">
        <f>78350000+112251455+10939314.811</f>
        <v>201540769.81099999</v>
      </c>
      <c r="AA76" s="74"/>
      <c r="AB76" s="78"/>
      <c r="AC76" s="130"/>
      <c r="AD76" s="131"/>
      <c r="AE76" s="131"/>
    </row>
    <row r="77" spans="1:31" ht="55.2" x14ac:dyDescent="0.25">
      <c r="A77" s="10">
        <v>240</v>
      </c>
      <c r="B77" s="52" t="s">
        <v>43</v>
      </c>
      <c r="C77" s="52" t="s">
        <v>44</v>
      </c>
      <c r="D77" s="27" t="s">
        <v>95</v>
      </c>
      <c r="E77" s="32" t="s">
        <v>139</v>
      </c>
      <c r="F77" s="37" t="s">
        <v>140</v>
      </c>
      <c r="G77" s="35"/>
      <c r="H77" s="30" t="s">
        <v>331</v>
      </c>
      <c r="I77" s="36" t="s">
        <v>208</v>
      </c>
      <c r="J77" s="49"/>
      <c r="K77" s="49"/>
      <c r="L77" s="80"/>
      <c r="M77" s="79"/>
      <c r="N77" s="75"/>
      <c r="O77" s="56" t="s">
        <v>313</v>
      </c>
      <c r="P77" s="64"/>
      <c r="Q77" s="64"/>
      <c r="R77" s="64"/>
      <c r="S77" s="66"/>
      <c r="T77" s="64">
        <f>165000000+139750000+19058263+2240582</f>
        <v>326048845</v>
      </c>
      <c r="U77" s="74"/>
      <c r="V77" s="65"/>
      <c r="W77" s="65"/>
      <c r="X77" s="65"/>
      <c r="Y77" s="65"/>
      <c r="Z77" s="65"/>
      <c r="AA77" s="74"/>
      <c r="AB77" s="78"/>
      <c r="AC77" s="127"/>
      <c r="AD77" s="129"/>
      <c r="AE77" s="129"/>
    </row>
    <row r="78" spans="1:31" ht="55.2" x14ac:dyDescent="0.25">
      <c r="A78" s="10">
        <v>241</v>
      </c>
      <c r="B78" s="52" t="s">
        <v>43</v>
      </c>
      <c r="C78" s="52" t="s">
        <v>44</v>
      </c>
      <c r="D78" s="27" t="s">
        <v>95</v>
      </c>
      <c r="E78" s="32" t="s">
        <v>146</v>
      </c>
      <c r="F78" s="33" t="s">
        <v>147</v>
      </c>
      <c r="G78" s="35">
        <v>20210680010056</v>
      </c>
      <c r="H78" s="46" t="s">
        <v>113</v>
      </c>
      <c r="I78" s="36" t="s">
        <v>114</v>
      </c>
      <c r="J78" s="49">
        <v>44369</v>
      </c>
      <c r="K78" s="49">
        <v>44561</v>
      </c>
      <c r="L78" s="31">
        <v>1</v>
      </c>
      <c r="M78" s="44">
        <v>1</v>
      </c>
      <c r="N78" s="50">
        <f>IFERROR(IF(M78/L78&gt;100%,100%,M78/L78),"-")</f>
        <v>1</v>
      </c>
      <c r="O78" s="57" t="s">
        <v>311</v>
      </c>
      <c r="P78" s="64"/>
      <c r="Q78" s="64"/>
      <c r="R78" s="64"/>
      <c r="S78" s="66"/>
      <c r="T78" s="64">
        <f>102000000+14189560</f>
        <v>116189560</v>
      </c>
      <c r="U78" s="68">
        <f>SUM(P78:T78)</f>
        <v>116189560</v>
      </c>
      <c r="V78" s="65"/>
      <c r="W78" s="65"/>
      <c r="X78" s="65"/>
      <c r="Y78" s="65"/>
      <c r="Z78" s="65">
        <f>22083333.33+12188407.3</f>
        <v>34271740.629999995</v>
      </c>
      <c r="AA78" s="68">
        <f>SUM(V78:Z78)</f>
        <v>34271740.629999995</v>
      </c>
      <c r="AB78" s="28">
        <f t="shared" si="10"/>
        <v>0.29496402800733557</v>
      </c>
      <c r="AC78" s="29"/>
      <c r="AD78" s="51" t="s">
        <v>51</v>
      </c>
      <c r="AE78" s="51" t="s">
        <v>197</v>
      </c>
    </row>
    <row r="79" spans="1:31" ht="55.2" x14ac:dyDescent="0.25">
      <c r="A79" s="10">
        <v>242</v>
      </c>
      <c r="B79" s="52" t="s">
        <v>43</v>
      </c>
      <c r="C79" s="52" t="s">
        <v>44</v>
      </c>
      <c r="D79" s="27" t="s">
        <v>95</v>
      </c>
      <c r="E79" s="32" t="s">
        <v>96</v>
      </c>
      <c r="F79" s="33" t="s">
        <v>97</v>
      </c>
      <c r="G79" s="35">
        <v>20210680010041</v>
      </c>
      <c r="H79" s="46" t="s">
        <v>89</v>
      </c>
      <c r="I79" s="36" t="s">
        <v>90</v>
      </c>
      <c r="J79" s="49">
        <v>44328</v>
      </c>
      <c r="K79" s="49">
        <v>44561</v>
      </c>
      <c r="L79" s="80">
        <v>1</v>
      </c>
      <c r="M79" s="90">
        <v>1</v>
      </c>
      <c r="N79" s="75">
        <f>IFERROR(IF(M79/L79&gt;100%,100%,M79/L79),"-")</f>
        <v>1</v>
      </c>
      <c r="O79" s="14" t="s">
        <v>222</v>
      </c>
      <c r="P79" s="64"/>
      <c r="Q79" s="64"/>
      <c r="R79" s="64"/>
      <c r="S79" s="64"/>
      <c r="T79" s="65">
        <v>52000000</v>
      </c>
      <c r="U79" s="70">
        <f>SUM(P79:T80)</f>
        <v>88160000</v>
      </c>
      <c r="V79" s="65"/>
      <c r="W79" s="65"/>
      <c r="X79" s="65"/>
      <c r="Y79" s="65"/>
      <c r="Z79" s="65">
        <v>52000000</v>
      </c>
      <c r="AA79" s="70">
        <f>SUM(V79:Z80)</f>
        <v>88160000</v>
      </c>
      <c r="AB79" s="72">
        <f t="shared" si="10"/>
        <v>1</v>
      </c>
      <c r="AC79" s="126"/>
      <c r="AD79" s="128" t="s">
        <v>51</v>
      </c>
      <c r="AE79" s="128" t="s">
        <v>197</v>
      </c>
    </row>
    <row r="80" spans="1:31" ht="55.2" x14ac:dyDescent="0.25">
      <c r="A80" s="10">
        <v>242</v>
      </c>
      <c r="B80" s="52" t="s">
        <v>43</v>
      </c>
      <c r="C80" s="52" t="s">
        <v>44</v>
      </c>
      <c r="D80" s="27" t="s">
        <v>95</v>
      </c>
      <c r="E80" s="32" t="s">
        <v>96</v>
      </c>
      <c r="F80" s="33" t="s">
        <v>97</v>
      </c>
      <c r="G80" s="35">
        <v>20200680010156</v>
      </c>
      <c r="H80" s="46" t="s">
        <v>91</v>
      </c>
      <c r="I80" s="36" t="s">
        <v>92</v>
      </c>
      <c r="J80" s="49">
        <v>44202</v>
      </c>
      <c r="K80" s="49">
        <v>44561</v>
      </c>
      <c r="L80" s="80"/>
      <c r="M80" s="90"/>
      <c r="N80" s="75"/>
      <c r="O80" s="53" t="s">
        <v>98</v>
      </c>
      <c r="P80" s="64"/>
      <c r="Q80" s="64"/>
      <c r="R80" s="64"/>
      <c r="S80" s="66"/>
      <c r="T80" s="64">
        <v>36160000</v>
      </c>
      <c r="U80" s="71"/>
      <c r="V80" s="65"/>
      <c r="W80" s="65"/>
      <c r="X80" s="65"/>
      <c r="Y80" s="65"/>
      <c r="Z80" s="65">
        <v>36160000</v>
      </c>
      <c r="AA80" s="71"/>
      <c r="AB80" s="73"/>
      <c r="AC80" s="127"/>
      <c r="AD80" s="129"/>
      <c r="AE80" s="129"/>
    </row>
    <row r="81" spans="1:31" ht="55.2" x14ac:dyDescent="0.25">
      <c r="A81" s="10">
        <v>243</v>
      </c>
      <c r="B81" s="52" t="s">
        <v>43</v>
      </c>
      <c r="C81" s="52" t="s">
        <v>44</v>
      </c>
      <c r="D81" s="27" t="s">
        <v>95</v>
      </c>
      <c r="E81" s="32" t="s">
        <v>148</v>
      </c>
      <c r="F81" s="33" t="s">
        <v>149</v>
      </c>
      <c r="G81" s="35">
        <v>20210680010041</v>
      </c>
      <c r="H81" s="46" t="s">
        <v>89</v>
      </c>
      <c r="I81" s="36" t="s">
        <v>90</v>
      </c>
      <c r="J81" s="49">
        <v>44328</v>
      </c>
      <c r="K81" s="49">
        <v>44561</v>
      </c>
      <c r="L81" s="31">
        <v>1</v>
      </c>
      <c r="M81" s="44">
        <v>1</v>
      </c>
      <c r="N81" s="50">
        <f t="shared" ref="N81" si="11">IFERROR(IF(M81/L81&gt;100%,100%,M81/L81),"-")</f>
        <v>1</v>
      </c>
      <c r="O81" s="14" t="s">
        <v>221</v>
      </c>
      <c r="P81" s="64"/>
      <c r="Q81" s="64"/>
      <c r="R81" s="64"/>
      <c r="S81" s="64"/>
      <c r="T81" s="65">
        <v>28250000</v>
      </c>
      <c r="U81" s="63">
        <f t="shared" si="8"/>
        <v>28250000</v>
      </c>
      <c r="V81" s="65"/>
      <c r="W81" s="65"/>
      <c r="X81" s="65"/>
      <c r="Y81" s="65"/>
      <c r="Z81" s="65">
        <f>15000000+10416666.7+2833333.33</f>
        <v>28250000.030000001</v>
      </c>
      <c r="AA81" s="63">
        <f t="shared" ref="AA81:AA110" si="12">SUM(V81:Z81)</f>
        <v>28250000.030000001</v>
      </c>
      <c r="AB81" s="25">
        <f t="shared" si="10"/>
        <v>1.000000001061947</v>
      </c>
      <c r="AC81" s="29"/>
      <c r="AD81" s="51" t="s">
        <v>51</v>
      </c>
      <c r="AE81" s="51" t="s">
        <v>197</v>
      </c>
    </row>
    <row r="82" spans="1:31" ht="82.8" x14ac:dyDescent="0.25">
      <c r="A82" s="10">
        <v>244</v>
      </c>
      <c r="B82" s="52" t="s">
        <v>43</v>
      </c>
      <c r="C82" s="52" t="s">
        <v>44</v>
      </c>
      <c r="D82" s="27" t="s">
        <v>119</v>
      </c>
      <c r="E82" s="32" t="s">
        <v>120</v>
      </c>
      <c r="F82" s="33" t="s">
        <v>121</v>
      </c>
      <c r="G82" s="34"/>
      <c r="H82" s="30" t="s">
        <v>259</v>
      </c>
      <c r="I82" s="36"/>
      <c r="J82" s="49"/>
      <c r="K82" s="49"/>
      <c r="L82" s="80">
        <v>1</v>
      </c>
      <c r="M82" s="79">
        <v>1</v>
      </c>
      <c r="N82" s="75">
        <f>IFERROR(IF(M82/L82&gt;100%,100%,M82/L82),"-")</f>
        <v>1</v>
      </c>
      <c r="O82" s="14" t="s">
        <v>122</v>
      </c>
      <c r="P82" s="64"/>
      <c r="Q82" s="64"/>
      <c r="R82" s="64"/>
      <c r="S82" s="64"/>
      <c r="T82" s="65">
        <v>220000</v>
      </c>
      <c r="U82" s="70">
        <f>SUM(P82:T84)</f>
        <v>42432145</v>
      </c>
      <c r="V82" s="65"/>
      <c r="W82" s="65"/>
      <c r="X82" s="65"/>
      <c r="Y82" s="65"/>
      <c r="Z82" s="65"/>
      <c r="AA82" s="70">
        <f>SUM(V82:Z84)</f>
        <v>31900000</v>
      </c>
      <c r="AB82" s="72">
        <f t="shared" si="10"/>
        <v>0.75178853201976947</v>
      </c>
      <c r="AC82" s="126"/>
      <c r="AD82" s="128" t="s">
        <v>51</v>
      </c>
      <c r="AE82" s="128" t="s">
        <v>197</v>
      </c>
    </row>
    <row r="83" spans="1:31" ht="82.8" x14ac:dyDescent="0.25">
      <c r="A83" s="10">
        <v>244</v>
      </c>
      <c r="B83" s="52" t="s">
        <v>43</v>
      </c>
      <c r="C83" s="52" t="s">
        <v>44</v>
      </c>
      <c r="D83" s="27" t="s">
        <v>119</v>
      </c>
      <c r="E83" s="32" t="s">
        <v>120</v>
      </c>
      <c r="F83" s="33" t="s">
        <v>121</v>
      </c>
      <c r="G83" s="23">
        <v>20210680010086</v>
      </c>
      <c r="H83" s="46" t="s">
        <v>201</v>
      </c>
      <c r="I83" s="36" t="s">
        <v>202</v>
      </c>
      <c r="J83" s="49">
        <v>44438</v>
      </c>
      <c r="K83" s="49">
        <v>44561</v>
      </c>
      <c r="L83" s="80"/>
      <c r="M83" s="79"/>
      <c r="N83" s="75"/>
      <c r="O83" s="14" t="s">
        <v>270</v>
      </c>
      <c r="P83" s="64"/>
      <c r="Q83" s="64"/>
      <c r="R83" s="64"/>
      <c r="S83" s="64"/>
      <c r="T83" s="65">
        <v>10012145</v>
      </c>
      <c r="U83" s="74"/>
      <c r="V83" s="65"/>
      <c r="W83" s="65"/>
      <c r="X83" s="65"/>
      <c r="Y83" s="65"/>
      <c r="Z83" s="65"/>
      <c r="AA83" s="74"/>
      <c r="AB83" s="78"/>
      <c r="AC83" s="130"/>
      <c r="AD83" s="131"/>
      <c r="AE83" s="131"/>
    </row>
    <row r="84" spans="1:31" ht="82.8" x14ac:dyDescent="0.25">
      <c r="A84" s="10">
        <v>244</v>
      </c>
      <c r="B84" s="52" t="s">
        <v>43</v>
      </c>
      <c r="C84" s="52" t="s">
        <v>44</v>
      </c>
      <c r="D84" s="27" t="s">
        <v>119</v>
      </c>
      <c r="E84" s="32" t="s">
        <v>120</v>
      </c>
      <c r="F84" s="33" t="s">
        <v>121</v>
      </c>
      <c r="G84" s="35">
        <v>20200680010162</v>
      </c>
      <c r="H84" s="46" t="s">
        <v>115</v>
      </c>
      <c r="I84" s="36" t="s">
        <v>116</v>
      </c>
      <c r="J84" s="49">
        <v>44225</v>
      </c>
      <c r="K84" s="49">
        <v>44561</v>
      </c>
      <c r="L84" s="80"/>
      <c r="M84" s="79"/>
      <c r="N84" s="75"/>
      <c r="O84" s="14" t="s">
        <v>276</v>
      </c>
      <c r="P84" s="64"/>
      <c r="Q84" s="64"/>
      <c r="R84" s="64"/>
      <c r="S84" s="64"/>
      <c r="T84" s="65">
        <v>32200000</v>
      </c>
      <c r="U84" s="71"/>
      <c r="V84" s="65"/>
      <c r="W84" s="65"/>
      <c r="X84" s="65"/>
      <c r="Y84" s="65"/>
      <c r="Z84" s="65">
        <v>31900000</v>
      </c>
      <c r="AA84" s="71"/>
      <c r="AB84" s="73"/>
      <c r="AC84" s="127"/>
      <c r="AD84" s="129"/>
      <c r="AE84" s="129"/>
    </row>
    <row r="85" spans="1:31" ht="82.8" x14ac:dyDescent="0.25">
      <c r="A85" s="10">
        <v>245</v>
      </c>
      <c r="B85" s="52" t="s">
        <v>43</v>
      </c>
      <c r="C85" s="52" t="s">
        <v>44</v>
      </c>
      <c r="D85" s="27" t="s">
        <v>119</v>
      </c>
      <c r="E85" s="32" t="s">
        <v>144</v>
      </c>
      <c r="F85" s="33" t="s">
        <v>145</v>
      </c>
      <c r="G85" s="35">
        <v>20200680010034</v>
      </c>
      <c r="H85" s="46" t="s">
        <v>142</v>
      </c>
      <c r="I85" s="36" t="s">
        <v>143</v>
      </c>
      <c r="J85" s="49">
        <v>44202</v>
      </c>
      <c r="K85" s="49">
        <v>44561</v>
      </c>
      <c r="L85" s="86">
        <v>3</v>
      </c>
      <c r="M85" s="84">
        <v>3</v>
      </c>
      <c r="N85" s="81">
        <f t="shared" ref="N85:N90" si="13">IFERROR(IF(M85/L85&gt;100%,100%,M85/L85),"-")</f>
        <v>1</v>
      </c>
      <c r="O85" s="14" t="s">
        <v>297</v>
      </c>
      <c r="P85" s="64">
        <v>326000000</v>
      </c>
      <c r="Q85" s="64"/>
      <c r="R85" s="64"/>
      <c r="S85" s="64"/>
      <c r="T85" s="65"/>
      <c r="U85" s="70">
        <f>SUM(P85:T86)</f>
        <v>810793739.37</v>
      </c>
      <c r="V85" s="65">
        <v>314716666.99900001</v>
      </c>
      <c r="W85" s="65"/>
      <c r="X85" s="65"/>
      <c r="Y85" s="65"/>
      <c r="Z85" s="65"/>
      <c r="AA85" s="70">
        <f>SUM(V85:Z86)</f>
        <v>777549246.99900007</v>
      </c>
      <c r="AB85" s="72">
        <f>IFERROR(AA85/U85,"-")</f>
        <v>0.9589975961126298</v>
      </c>
      <c r="AC85" s="126"/>
      <c r="AD85" s="126" t="s">
        <v>51</v>
      </c>
      <c r="AE85" s="126" t="s">
        <v>197</v>
      </c>
    </row>
    <row r="86" spans="1:31" ht="82.8" x14ac:dyDescent="0.25">
      <c r="A86" s="10">
        <v>245</v>
      </c>
      <c r="B86" s="52" t="s">
        <v>43</v>
      </c>
      <c r="C86" s="52" t="s">
        <v>44</v>
      </c>
      <c r="D86" s="27" t="s">
        <v>119</v>
      </c>
      <c r="E86" s="32" t="s">
        <v>144</v>
      </c>
      <c r="F86" s="33" t="s">
        <v>145</v>
      </c>
      <c r="G86" s="35">
        <v>20210680010175</v>
      </c>
      <c r="H86" s="46" t="s">
        <v>290</v>
      </c>
      <c r="I86" s="36" t="s">
        <v>291</v>
      </c>
      <c r="J86" s="49">
        <v>44454</v>
      </c>
      <c r="K86" s="49">
        <v>44561</v>
      </c>
      <c r="L86" s="87"/>
      <c r="M86" s="85"/>
      <c r="N86" s="82"/>
      <c r="O86" s="14" t="s">
        <v>292</v>
      </c>
      <c r="P86" s="64"/>
      <c r="Q86" s="64"/>
      <c r="R86" s="64"/>
      <c r="S86" s="64"/>
      <c r="T86" s="65">
        <v>484793739.37</v>
      </c>
      <c r="U86" s="71"/>
      <c r="V86" s="65"/>
      <c r="W86" s="65"/>
      <c r="X86" s="65"/>
      <c r="Y86" s="65"/>
      <c r="Z86" s="65">
        <v>462832580</v>
      </c>
      <c r="AA86" s="71"/>
      <c r="AB86" s="73"/>
      <c r="AC86" s="127"/>
      <c r="AD86" s="127" t="s">
        <v>51</v>
      </c>
      <c r="AE86" s="127" t="s">
        <v>197</v>
      </c>
    </row>
    <row r="87" spans="1:31" ht="82.8" x14ac:dyDescent="0.25">
      <c r="A87" s="10">
        <v>246</v>
      </c>
      <c r="B87" s="48" t="s">
        <v>43</v>
      </c>
      <c r="C87" s="48" t="s">
        <v>44</v>
      </c>
      <c r="D87" s="20" t="s">
        <v>119</v>
      </c>
      <c r="E87" s="21" t="s">
        <v>150</v>
      </c>
      <c r="F87" s="22" t="s">
        <v>151</v>
      </c>
      <c r="G87" s="35">
        <v>20210680010197</v>
      </c>
      <c r="H87" s="46" t="s">
        <v>293</v>
      </c>
      <c r="I87" s="36" t="s">
        <v>294</v>
      </c>
      <c r="J87" s="49">
        <v>44518</v>
      </c>
      <c r="K87" s="49">
        <v>44561</v>
      </c>
      <c r="L87" s="86">
        <v>1</v>
      </c>
      <c r="M87" s="88">
        <v>1</v>
      </c>
      <c r="N87" s="81">
        <f>IFERROR(IF(M87/L87&gt;100%,100%,M87/L87),"-")</f>
        <v>1</v>
      </c>
      <c r="O87" s="14" t="s">
        <v>273</v>
      </c>
      <c r="P87" s="64"/>
      <c r="Q87" s="64"/>
      <c r="R87" s="64"/>
      <c r="S87" s="64"/>
      <c r="T87" s="64">
        <v>199999649</v>
      </c>
      <c r="U87" s="70">
        <f>SUM(P87:T88)</f>
        <v>200000000</v>
      </c>
      <c r="V87" s="65"/>
      <c r="W87" s="65"/>
      <c r="X87" s="65"/>
      <c r="Y87" s="65"/>
      <c r="Z87" s="65">
        <v>52430210.100000001</v>
      </c>
      <c r="AA87" s="70">
        <f>SUM(V87:Z88)</f>
        <v>52430210.100000001</v>
      </c>
      <c r="AB87" s="72">
        <f>IFERROR(AA87/U87,"-")</f>
        <v>0.26215105049999998</v>
      </c>
      <c r="AC87" s="126"/>
      <c r="AD87" s="126"/>
      <c r="AE87" s="126"/>
    </row>
    <row r="88" spans="1:31" ht="82.8" x14ac:dyDescent="0.25">
      <c r="A88" s="10">
        <v>246</v>
      </c>
      <c r="B88" s="48" t="s">
        <v>43</v>
      </c>
      <c r="C88" s="48" t="s">
        <v>44</v>
      </c>
      <c r="D88" s="20" t="s">
        <v>119</v>
      </c>
      <c r="E88" s="21" t="s">
        <v>150</v>
      </c>
      <c r="F88" s="22" t="s">
        <v>151</v>
      </c>
      <c r="G88" s="35"/>
      <c r="H88" s="30" t="s">
        <v>331</v>
      </c>
      <c r="I88" s="36"/>
      <c r="J88" s="49"/>
      <c r="K88" s="49"/>
      <c r="L88" s="87"/>
      <c r="M88" s="89"/>
      <c r="N88" s="82"/>
      <c r="O88" s="14" t="s">
        <v>273</v>
      </c>
      <c r="P88" s="64"/>
      <c r="Q88" s="64"/>
      <c r="R88" s="64"/>
      <c r="S88" s="64"/>
      <c r="T88" s="64">
        <v>351</v>
      </c>
      <c r="U88" s="71"/>
      <c r="V88" s="65"/>
      <c r="W88" s="65"/>
      <c r="X88" s="65"/>
      <c r="Y88" s="65"/>
      <c r="Z88" s="65"/>
      <c r="AA88" s="71"/>
      <c r="AB88" s="73"/>
      <c r="AC88" s="127"/>
      <c r="AD88" s="127" t="s">
        <v>51</v>
      </c>
      <c r="AE88" s="127" t="s">
        <v>197</v>
      </c>
    </row>
    <row r="89" spans="1:31" ht="55.2" x14ac:dyDescent="0.25">
      <c r="A89" s="10">
        <v>262</v>
      </c>
      <c r="B89" s="48" t="s">
        <v>43</v>
      </c>
      <c r="C89" s="48" t="s">
        <v>152</v>
      </c>
      <c r="D89" s="20" t="s">
        <v>153</v>
      </c>
      <c r="E89" s="21" t="s">
        <v>154</v>
      </c>
      <c r="F89" s="22" t="s">
        <v>155</v>
      </c>
      <c r="G89" s="35">
        <v>20210680010166</v>
      </c>
      <c r="H89" s="46" t="s">
        <v>214</v>
      </c>
      <c r="I89" s="36" t="s">
        <v>215</v>
      </c>
      <c r="J89" s="49">
        <v>44477</v>
      </c>
      <c r="K89" s="49">
        <v>44561</v>
      </c>
      <c r="L89" s="31">
        <v>1</v>
      </c>
      <c r="M89" s="42">
        <v>1</v>
      </c>
      <c r="N89" s="50">
        <f t="shared" si="13"/>
        <v>1</v>
      </c>
      <c r="O89" s="14" t="s">
        <v>216</v>
      </c>
      <c r="P89" s="64">
        <v>6250000</v>
      </c>
      <c r="Q89" s="64"/>
      <c r="R89" s="64"/>
      <c r="S89" s="64"/>
      <c r="T89" s="65"/>
      <c r="U89" s="63">
        <f t="shared" si="8"/>
        <v>6250000</v>
      </c>
      <c r="V89" s="65"/>
      <c r="W89" s="65"/>
      <c r="X89" s="65"/>
      <c r="Y89" s="65"/>
      <c r="Z89" s="65"/>
      <c r="AA89" s="63">
        <f t="shared" si="12"/>
        <v>0</v>
      </c>
      <c r="AB89" s="25">
        <f t="shared" si="10"/>
        <v>0</v>
      </c>
      <c r="AC89" s="26"/>
      <c r="AD89" s="51" t="s">
        <v>51</v>
      </c>
      <c r="AE89" s="51" t="s">
        <v>197</v>
      </c>
    </row>
    <row r="90" spans="1:31" ht="69" x14ac:dyDescent="0.25">
      <c r="A90" s="10">
        <v>263</v>
      </c>
      <c r="B90" s="48" t="s">
        <v>43</v>
      </c>
      <c r="C90" s="48" t="s">
        <v>152</v>
      </c>
      <c r="D90" s="20" t="s">
        <v>153</v>
      </c>
      <c r="E90" s="21" t="s">
        <v>156</v>
      </c>
      <c r="F90" s="22" t="s">
        <v>157</v>
      </c>
      <c r="G90" s="35">
        <v>20210680010077</v>
      </c>
      <c r="H90" s="46" t="s">
        <v>209</v>
      </c>
      <c r="I90" s="36" t="s">
        <v>210</v>
      </c>
      <c r="J90" s="49">
        <v>44425</v>
      </c>
      <c r="K90" s="49">
        <v>44561</v>
      </c>
      <c r="L90" s="77">
        <v>1</v>
      </c>
      <c r="M90" s="76">
        <v>1</v>
      </c>
      <c r="N90" s="75">
        <f t="shared" si="13"/>
        <v>1</v>
      </c>
      <c r="O90" s="14" t="s">
        <v>319</v>
      </c>
      <c r="P90" s="64">
        <f>715470647.21+40000000</f>
        <v>755470647.21000004</v>
      </c>
      <c r="Q90" s="64"/>
      <c r="R90" s="64"/>
      <c r="S90" s="64"/>
      <c r="T90" s="65"/>
      <c r="U90" s="70">
        <f>SUM(P90:T91)</f>
        <v>2604591998.2600002</v>
      </c>
      <c r="V90" s="65">
        <f>715470647.3+18772431.79</f>
        <v>734243079.08999991</v>
      </c>
      <c r="W90" s="65"/>
      <c r="X90" s="65"/>
      <c r="Y90" s="65"/>
      <c r="Z90" s="65"/>
      <c r="AA90" s="70">
        <f>SUM(V90:Z91)</f>
        <v>734243079.08999991</v>
      </c>
      <c r="AB90" s="72">
        <f t="shared" si="10"/>
        <v>0.28190329985675744</v>
      </c>
      <c r="AC90" s="126"/>
      <c r="AD90" s="128" t="s">
        <v>51</v>
      </c>
      <c r="AE90" s="128" t="s">
        <v>197</v>
      </c>
    </row>
    <row r="91" spans="1:31" ht="41.4" x14ac:dyDescent="0.25">
      <c r="A91" s="10">
        <v>263</v>
      </c>
      <c r="B91" s="48" t="s">
        <v>43</v>
      </c>
      <c r="C91" s="48" t="s">
        <v>152</v>
      </c>
      <c r="D91" s="20" t="s">
        <v>153</v>
      </c>
      <c r="E91" s="21" t="s">
        <v>156</v>
      </c>
      <c r="F91" s="22" t="s">
        <v>157</v>
      </c>
      <c r="G91" s="35"/>
      <c r="H91" s="30" t="s">
        <v>331</v>
      </c>
      <c r="I91" s="36"/>
      <c r="J91" s="49"/>
      <c r="K91" s="49"/>
      <c r="L91" s="77"/>
      <c r="M91" s="76"/>
      <c r="N91" s="75"/>
      <c r="O91" s="14" t="s">
        <v>271</v>
      </c>
      <c r="P91" s="64">
        <f>1849121351.05</f>
        <v>1849121351.05</v>
      </c>
      <c r="Q91" s="64"/>
      <c r="R91" s="64"/>
      <c r="S91" s="64"/>
      <c r="T91" s="65"/>
      <c r="U91" s="71"/>
      <c r="V91" s="65"/>
      <c r="W91" s="65"/>
      <c r="X91" s="65"/>
      <c r="Y91" s="65"/>
      <c r="Z91" s="65"/>
      <c r="AA91" s="71"/>
      <c r="AB91" s="73"/>
      <c r="AC91" s="127"/>
      <c r="AD91" s="129"/>
      <c r="AE91" s="129"/>
    </row>
    <row r="92" spans="1:31" ht="41.4" x14ac:dyDescent="0.25">
      <c r="A92" s="10">
        <v>264</v>
      </c>
      <c r="B92" s="48" t="s">
        <v>43</v>
      </c>
      <c r="C92" s="48" t="s">
        <v>152</v>
      </c>
      <c r="D92" s="20" t="s">
        <v>153</v>
      </c>
      <c r="E92" s="21" t="s">
        <v>158</v>
      </c>
      <c r="F92" s="22" t="s">
        <v>159</v>
      </c>
      <c r="G92" s="35">
        <v>20210680010127</v>
      </c>
      <c r="H92" s="46" t="s">
        <v>212</v>
      </c>
      <c r="I92" s="36" t="s">
        <v>213</v>
      </c>
      <c r="J92" s="49">
        <v>44466</v>
      </c>
      <c r="K92" s="49">
        <v>44561</v>
      </c>
      <c r="L92" s="31">
        <v>1</v>
      </c>
      <c r="M92" s="42">
        <v>1</v>
      </c>
      <c r="N92" s="50">
        <f t="shared" ref="N92:N111" si="14">IFERROR(IF(M92/L92&gt;100%,100%,M92/L92),"-")</f>
        <v>1</v>
      </c>
      <c r="O92" s="14" t="s">
        <v>200</v>
      </c>
      <c r="P92" s="64">
        <v>20000000</v>
      </c>
      <c r="Q92" s="64"/>
      <c r="R92" s="64"/>
      <c r="S92" s="64"/>
      <c r="T92" s="65"/>
      <c r="U92" s="63">
        <f t="shared" si="8"/>
        <v>20000000</v>
      </c>
      <c r="V92" s="65">
        <v>20000000</v>
      </c>
      <c r="W92" s="65"/>
      <c r="X92" s="65"/>
      <c r="Y92" s="65"/>
      <c r="Z92" s="65"/>
      <c r="AA92" s="63">
        <f t="shared" si="12"/>
        <v>20000000</v>
      </c>
      <c r="AB92" s="25">
        <f t="shared" si="10"/>
        <v>1</v>
      </c>
      <c r="AC92" s="26"/>
      <c r="AD92" s="51" t="s">
        <v>51</v>
      </c>
      <c r="AE92" s="51" t="s">
        <v>197</v>
      </c>
    </row>
    <row r="93" spans="1:31" ht="41.4" x14ac:dyDescent="0.25">
      <c r="A93" s="10">
        <v>265</v>
      </c>
      <c r="B93" s="52" t="s">
        <v>43</v>
      </c>
      <c r="C93" s="52" t="s">
        <v>152</v>
      </c>
      <c r="D93" s="27" t="s">
        <v>160</v>
      </c>
      <c r="E93" s="32" t="s">
        <v>161</v>
      </c>
      <c r="F93" s="33" t="s">
        <v>162</v>
      </c>
      <c r="G93" s="35">
        <v>20200680010052</v>
      </c>
      <c r="H93" s="46" t="s">
        <v>163</v>
      </c>
      <c r="I93" s="36" t="s">
        <v>164</v>
      </c>
      <c r="J93" s="49">
        <v>44211</v>
      </c>
      <c r="K93" s="49">
        <v>44561</v>
      </c>
      <c r="L93" s="80">
        <v>1</v>
      </c>
      <c r="M93" s="79">
        <v>1</v>
      </c>
      <c r="N93" s="75">
        <f t="shared" si="14"/>
        <v>1</v>
      </c>
      <c r="O93" s="14" t="s">
        <v>299</v>
      </c>
      <c r="P93" s="65">
        <v>53272730</v>
      </c>
      <c r="Q93" s="64"/>
      <c r="R93" s="64"/>
      <c r="S93" s="64"/>
      <c r="T93" s="65"/>
      <c r="U93" s="70">
        <f>SUM(P93:T94)</f>
        <v>296385693.99000001</v>
      </c>
      <c r="V93" s="65">
        <v>53272730</v>
      </c>
      <c r="W93" s="65"/>
      <c r="X93" s="65"/>
      <c r="Y93" s="65"/>
      <c r="Z93" s="65"/>
      <c r="AA93" s="70">
        <f>SUM(V93:Z94)</f>
        <v>53272730</v>
      </c>
      <c r="AB93" s="72">
        <f t="shared" si="10"/>
        <v>0.17974123272561668</v>
      </c>
      <c r="AC93" s="126"/>
      <c r="AD93" s="128" t="s">
        <v>51</v>
      </c>
      <c r="AE93" s="128" t="s">
        <v>197</v>
      </c>
    </row>
    <row r="94" spans="1:31" ht="41.4" x14ac:dyDescent="0.25">
      <c r="A94" s="10">
        <v>265</v>
      </c>
      <c r="B94" s="52" t="s">
        <v>43</v>
      </c>
      <c r="C94" s="52" t="s">
        <v>152</v>
      </c>
      <c r="D94" s="27" t="s">
        <v>160</v>
      </c>
      <c r="E94" s="32" t="s">
        <v>161</v>
      </c>
      <c r="F94" s="33" t="s">
        <v>162</v>
      </c>
      <c r="G94" s="35"/>
      <c r="H94" s="30" t="s">
        <v>331</v>
      </c>
      <c r="I94" s="36"/>
      <c r="J94" s="49"/>
      <c r="K94" s="49"/>
      <c r="L94" s="80"/>
      <c r="M94" s="79"/>
      <c r="N94" s="75"/>
      <c r="O94" s="14" t="s">
        <v>285</v>
      </c>
      <c r="P94" s="64">
        <v>243112963.99000001</v>
      </c>
      <c r="Q94" s="64"/>
      <c r="R94" s="64"/>
      <c r="S94" s="64"/>
      <c r="T94" s="65"/>
      <c r="U94" s="71"/>
      <c r="V94" s="65"/>
      <c r="W94" s="65"/>
      <c r="X94" s="65"/>
      <c r="Y94" s="65"/>
      <c r="Z94" s="65"/>
      <c r="AA94" s="71"/>
      <c r="AB94" s="73"/>
      <c r="AC94" s="127"/>
      <c r="AD94" s="129"/>
      <c r="AE94" s="129"/>
    </row>
    <row r="95" spans="1:31" ht="55.2" x14ac:dyDescent="0.25">
      <c r="A95" s="10">
        <v>266</v>
      </c>
      <c r="B95" s="48" t="s">
        <v>43</v>
      </c>
      <c r="C95" s="48" t="s">
        <v>152</v>
      </c>
      <c r="D95" s="20" t="s">
        <v>160</v>
      </c>
      <c r="E95" s="21" t="s">
        <v>165</v>
      </c>
      <c r="F95" s="22" t="s">
        <v>166</v>
      </c>
      <c r="G95" s="35">
        <v>20200680010052</v>
      </c>
      <c r="H95" s="46" t="s">
        <v>163</v>
      </c>
      <c r="I95" s="36" t="s">
        <v>164</v>
      </c>
      <c r="J95" s="49">
        <v>44211</v>
      </c>
      <c r="K95" s="49">
        <v>44561</v>
      </c>
      <c r="L95" s="31">
        <v>1</v>
      </c>
      <c r="M95" s="42">
        <v>1</v>
      </c>
      <c r="N95" s="50">
        <f t="shared" si="14"/>
        <v>1</v>
      </c>
      <c r="O95" s="14" t="s">
        <v>279</v>
      </c>
      <c r="P95" s="64">
        <v>21400000</v>
      </c>
      <c r="Q95" s="64"/>
      <c r="R95" s="64"/>
      <c r="S95" s="64"/>
      <c r="T95" s="65"/>
      <c r="U95" s="63">
        <f>SUM(P95:T95)</f>
        <v>21400000</v>
      </c>
      <c r="V95" s="65">
        <v>21400000</v>
      </c>
      <c r="W95" s="65"/>
      <c r="X95" s="65"/>
      <c r="Y95" s="65"/>
      <c r="Z95" s="65"/>
      <c r="AA95" s="63">
        <f t="shared" si="12"/>
        <v>21400000</v>
      </c>
      <c r="AB95" s="25">
        <f t="shared" si="10"/>
        <v>1</v>
      </c>
      <c r="AC95" s="26"/>
      <c r="AD95" s="51" t="s">
        <v>51</v>
      </c>
      <c r="AE95" s="51" t="s">
        <v>197</v>
      </c>
    </row>
    <row r="96" spans="1:31" ht="55.2" x14ac:dyDescent="0.25">
      <c r="A96" s="10">
        <v>267</v>
      </c>
      <c r="B96" s="48" t="s">
        <v>43</v>
      </c>
      <c r="C96" s="48" t="s">
        <v>152</v>
      </c>
      <c r="D96" s="20" t="s">
        <v>160</v>
      </c>
      <c r="E96" s="21" t="s">
        <v>167</v>
      </c>
      <c r="F96" s="22" t="s">
        <v>168</v>
      </c>
      <c r="G96" s="35">
        <v>20200680010052</v>
      </c>
      <c r="H96" s="46" t="s">
        <v>163</v>
      </c>
      <c r="I96" s="36" t="s">
        <v>164</v>
      </c>
      <c r="J96" s="49">
        <v>44211</v>
      </c>
      <c r="K96" s="49">
        <v>44561</v>
      </c>
      <c r="L96" s="39">
        <v>1</v>
      </c>
      <c r="M96" s="45">
        <v>1</v>
      </c>
      <c r="N96" s="50">
        <f t="shared" si="14"/>
        <v>1</v>
      </c>
      <c r="O96" s="14" t="s">
        <v>169</v>
      </c>
      <c r="P96" s="64">
        <v>280000000</v>
      </c>
      <c r="Q96" s="64"/>
      <c r="R96" s="64"/>
      <c r="S96" s="64"/>
      <c r="T96" s="65"/>
      <c r="U96" s="63">
        <f t="shared" si="8"/>
        <v>280000000</v>
      </c>
      <c r="V96" s="65">
        <v>168064730</v>
      </c>
      <c r="W96" s="65"/>
      <c r="X96" s="65"/>
      <c r="Y96" s="65"/>
      <c r="Z96" s="65"/>
      <c r="AA96" s="63">
        <f t="shared" si="12"/>
        <v>168064730</v>
      </c>
      <c r="AB96" s="25">
        <f t="shared" si="10"/>
        <v>0.6002311785714286</v>
      </c>
      <c r="AC96" s="26"/>
      <c r="AD96" s="51" t="s">
        <v>51</v>
      </c>
      <c r="AE96" s="51" t="s">
        <v>197</v>
      </c>
    </row>
    <row r="97" spans="1:31" ht="41.4" x14ac:dyDescent="0.25">
      <c r="A97" s="10">
        <v>268</v>
      </c>
      <c r="B97" s="48" t="s">
        <v>43</v>
      </c>
      <c r="C97" s="48" t="s">
        <v>152</v>
      </c>
      <c r="D97" s="20" t="s">
        <v>160</v>
      </c>
      <c r="E97" s="21" t="s">
        <v>170</v>
      </c>
      <c r="F97" s="22" t="s">
        <v>171</v>
      </c>
      <c r="G97" s="35">
        <v>20200680010052</v>
      </c>
      <c r="H97" s="46" t="s">
        <v>163</v>
      </c>
      <c r="I97" s="36" t="s">
        <v>164</v>
      </c>
      <c r="J97" s="49">
        <v>44211</v>
      </c>
      <c r="K97" s="49">
        <v>44561</v>
      </c>
      <c r="L97" s="39">
        <v>1</v>
      </c>
      <c r="M97" s="45">
        <v>1</v>
      </c>
      <c r="N97" s="50">
        <f t="shared" si="14"/>
        <v>1</v>
      </c>
      <c r="O97" s="14" t="s">
        <v>172</v>
      </c>
      <c r="P97" s="64">
        <v>70000000</v>
      </c>
      <c r="Q97" s="64"/>
      <c r="R97" s="64"/>
      <c r="S97" s="64"/>
      <c r="T97" s="65"/>
      <c r="U97" s="63">
        <f t="shared" si="8"/>
        <v>70000000</v>
      </c>
      <c r="V97" s="65">
        <v>70000000</v>
      </c>
      <c r="W97" s="65"/>
      <c r="X97" s="65"/>
      <c r="Y97" s="65"/>
      <c r="Z97" s="65"/>
      <c r="AA97" s="63">
        <f t="shared" si="12"/>
        <v>70000000</v>
      </c>
      <c r="AB97" s="25">
        <f t="shared" si="10"/>
        <v>1</v>
      </c>
      <c r="AC97" s="26"/>
      <c r="AD97" s="51" t="s">
        <v>51</v>
      </c>
      <c r="AE97" s="51" t="s">
        <v>197</v>
      </c>
    </row>
    <row r="98" spans="1:31" ht="55.2" x14ac:dyDescent="0.25">
      <c r="A98" s="10">
        <v>269</v>
      </c>
      <c r="B98" s="48" t="s">
        <v>43</v>
      </c>
      <c r="C98" s="48" t="s">
        <v>152</v>
      </c>
      <c r="D98" s="20" t="s">
        <v>160</v>
      </c>
      <c r="E98" s="21" t="s">
        <v>173</v>
      </c>
      <c r="F98" s="22" t="s">
        <v>174</v>
      </c>
      <c r="G98" s="35">
        <v>20200680010052</v>
      </c>
      <c r="H98" s="46" t="s">
        <v>163</v>
      </c>
      <c r="I98" s="36" t="s">
        <v>164</v>
      </c>
      <c r="J98" s="49">
        <v>44211</v>
      </c>
      <c r="K98" s="49">
        <v>44561</v>
      </c>
      <c r="L98" s="39">
        <v>1</v>
      </c>
      <c r="M98" s="45">
        <v>1</v>
      </c>
      <c r="N98" s="50">
        <f t="shared" si="14"/>
        <v>1</v>
      </c>
      <c r="O98" s="14" t="s">
        <v>175</v>
      </c>
      <c r="P98" s="64">
        <v>10000000</v>
      </c>
      <c r="Q98" s="64"/>
      <c r="R98" s="64"/>
      <c r="S98" s="64"/>
      <c r="T98" s="65"/>
      <c r="U98" s="63">
        <f t="shared" si="8"/>
        <v>10000000</v>
      </c>
      <c r="V98" s="65">
        <v>6348618</v>
      </c>
      <c r="W98" s="65"/>
      <c r="X98" s="65"/>
      <c r="Y98" s="65"/>
      <c r="Z98" s="65"/>
      <c r="AA98" s="63">
        <f t="shared" si="12"/>
        <v>6348618</v>
      </c>
      <c r="AB98" s="25">
        <f t="shared" si="10"/>
        <v>0.63486180000000003</v>
      </c>
      <c r="AC98" s="26"/>
      <c r="AD98" s="51" t="s">
        <v>51</v>
      </c>
      <c r="AE98" s="51" t="s">
        <v>197</v>
      </c>
    </row>
    <row r="99" spans="1:31" ht="41.4" x14ac:dyDescent="0.25">
      <c r="A99" s="10">
        <v>270</v>
      </c>
      <c r="B99" s="52" t="s">
        <v>43</v>
      </c>
      <c r="C99" s="52" t="s">
        <v>152</v>
      </c>
      <c r="D99" s="27" t="s">
        <v>160</v>
      </c>
      <c r="E99" s="32" t="s">
        <v>176</v>
      </c>
      <c r="F99" s="33" t="s">
        <v>177</v>
      </c>
      <c r="G99" s="35">
        <v>20200680010052</v>
      </c>
      <c r="H99" s="46" t="s">
        <v>163</v>
      </c>
      <c r="I99" s="36" t="s">
        <v>164</v>
      </c>
      <c r="J99" s="49">
        <v>44211</v>
      </c>
      <c r="K99" s="49">
        <v>44561</v>
      </c>
      <c r="L99" s="80">
        <v>1</v>
      </c>
      <c r="M99" s="79">
        <v>1</v>
      </c>
      <c r="N99" s="75">
        <f t="shared" si="14"/>
        <v>1</v>
      </c>
      <c r="O99" s="14" t="s">
        <v>286</v>
      </c>
      <c r="P99" s="65">
        <v>273550000.00999999</v>
      </c>
      <c r="Q99" s="64"/>
      <c r="R99" s="64"/>
      <c r="S99" s="64"/>
      <c r="T99" s="65"/>
      <c r="U99" s="70">
        <f>SUM(P99:T101)</f>
        <v>283583333.00999999</v>
      </c>
      <c r="V99" s="65">
        <v>273550000.02219999</v>
      </c>
      <c r="W99" s="65"/>
      <c r="X99" s="65"/>
      <c r="Y99" s="65"/>
      <c r="Z99" s="65"/>
      <c r="AA99" s="70">
        <f>SUM(V99:Z101)</f>
        <v>273550000.02219999</v>
      </c>
      <c r="AB99" s="72">
        <f t="shared" si="10"/>
        <v>0.9646194546015644</v>
      </c>
      <c r="AC99" s="126"/>
      <c r="AD99" s="128" t="s">
        <v>51</v>
      </c>
      <c r="AE99" s="128" t="s">
        <v>197</v>
      </c>
    </row>
    <row r="100" spans="1:31" ht="41.4" x14ac:dyDescent="0.25">
      <c r="A100" s="10">
        <v>270</v>
      </c>
      <c r="B100" s="52" t="s">
        <v>43</v>
      </c>
      <c r="C100" s="52" t="s">
        <v>152</v>
      </c>
      <c r="D100" s="27" t="s">
        <v>160</v>
      </c>
      <c r="E100" s="32" t="s">
        <v>176</v>
      </c>
      <c r="F100" s="33" t="s">
        <v>177</v>
      </c>
      <c r="G100" s="35"/>
      <c r="H100" s="30" t="s">
        <v>331</v>
      </c>
      <c r="I100" s="36"/>
      <c r="J100" s="49"/>
      <c r="K100" s="49"/>
      <c r="L100" s="80"/>
      <c r="M100" s="79"/>
      <c r="N100" s="75"/>
      <c r="O100" s="14" t="s">
        <v>240</v>
      </c>
      <c r="P100" s="64">
        <v>4400000</v>
      </c>
      <c r="Q100" s="64"/>
      <c r="R100" s="64"/>
      <c r="S100" s="64"/>
      <c r="T100" s="65"/>
      <c r="U100" s="74"/>
      <c r="V100" s="65"/>
      <c r="W100" s="65"/>
      <c r="X100" s="65"/>
      <c r="Y100" s="65"/>
      <c r="Z100" s="65"/>
      <c r="AA100" s="74"/>
      <c r="AB100" s="78"/>
      <c r="AC100" s="130"/>
      <c r="AD100" s="131"/>
      <c r="AE100" s="131"/>
    </row>
    <row r="101" spans="1:31" ht="41.4" x14ac:dyDescent="0.25">
      <c r="A101" s="10">
        <v>270</v>
      </c>
      <c r="B101" s="52" t="s">
        <v>43</v>
      </c>
      <c r="C101" s="52" t="s">
        <v>152</v>
      </c>
      <c r="D101" s="27" t="s">
        <v>160</v>
      </c>
      <c r="E101" s="32" t="s">
        <v>176</v>
      </c>
      <c r="F101" s="33" t="s">
        <v>177</v>
      </c>
      <c r="G101" s="35"/>
      <c r="H101" s="30" t="s">
        <v>259</v>
      </c>
      <c r="I101" s="36"/>
      <c r="J101" s="49"/>
      <c r="K101" s="49"/>
      <c r="L101" s="80"/>
      <c r="M101" s="79"/>
      <c r="N101" s="75"/>
      <c r="O101" s="14" t="s">
        <v>178</v>
      </c>
      <c r="P101" s="64"/>
      <c r="Q101" s="64"/>
      <c r="R101" s="64"/>
      <c r="S101" s="64"/>
      <c r="T101" s="65">
        <f>4533333+1100000</f>
        <v>5633333</v>
      </c>
      <c r="U101" s="71"/>
      <c r="V101" s="65"/>
      <c r="W101" s="65"/>
      <c r="X101" s="65"/>
      <c r="Y101" s="65"/>
      <c r="Z101" s="65"/>
      <c r="AA101" s="71"/>
      <c r="AB101" s="73"/>
      <c r="AC101" s="127"/>
      <c r="AD101" s="129"/>
      <c r="AE101" s="129"/>
    </row>
    <row r="102" spans="1:31" ht="55.2" x14ac:dyDescent="0.25">
      <c r="A102" s="10">
        <v>271</v>
      </c>
      <c r="B102" s="52" t="s">
        <v>43</v>
      </c>
      <c r="C102" s="52" t="s">
        <v>152</v>
      </c>
      <c r="D102" s="27" t="s">
        <v>160</v>
      </c>
      <c r="E102" s="32" t="s">
        <v>181</v>
      </c>
      <c r="F102" s="33" t="s">
        <v>182</v>
      </c>
      <c r="G102" s="35">
        <v>20200680010052</v>
      </c>
      <c r="H102" s="46" t="s">
        <v>163</v>
      </c>
      <c r="I102" s="36" t="s">
        <v>164</v>
      </c>
      <c r="J102" s="49">
        <v>44211</v>
      </c>
      <c r="K102" s="49">
        <v>44561</v>
      </c>
      <c r="L102" s="77">
        <v>1</v>
      </c>
      <c r="M102" s="76">
        <v>1</v>
      </c>
      <c r="N102" s="75">
        <f t="shared" si="14"/>
        <v>1</v>
      </c>
      <c r="O102" s="14" t="s">
        <v>298</v>
      </c>
      <c r="P102" s="64">
        <f>23280000+12000000+35000000+20700000</f>
        <v>90980000</v>
      </c>
      <c r="Q102" s="64"/>
      <c r="R102" s="64"/>
      <c r="S102" s="64"/>
      <c r="T102" s="65"/>
      <c r="U102" s="70">
        <f>SUM(P102:T103)</f>
        <v>115280000</v>
      </c>
      <c r="V102" s="65">
        <f>23280000+2300000+44795651</f>
        <v>70375651</v>
      </c>
      <c r="W102" s="65"/>
      <c r="X102" s="65"/>
      <c r="Y102" s="65"/>
      <c r="Z102" s="65"/>
      <c r="AA102" s="70">
        <f>SUM(V102:Z103)</f>
        <v>70375651</v>
      </c>
      <c r="AB102" s="72">
        <f>IFERROR(AA102/U102,"-")</f>
        <v>0.61047580673143653</v>
      </c>
      <c r="AC102" s="126"/>
      <c r="AD102" s="128" t="s">
        <v>51</v>
      </c>
      <c r="AE102" s="128" t="s">
        <v>197</v>
      </c>
    </row>
    <row r="103" spans="1:31" ht="55.2" x14ac:dyDescent="0.25">
      <c r="A103" s="10">
        <v>271</v>
      </c>
      <c r="B103" s="52" t="s">
        <v>43</v>
      </c>
      <c r="C103" s="52" t="s">
        <v>152</v>
      </c>
      <c r="D103" s="27" t="s">
        <v>160</v>
      </c>
      <c r="E103" s="32" t="s">
        <v>181</v>
      </c>
      <c r="F103" s="33" t="s">
        <v>182</v>
      </c>
      <c r="G103" s="35"/>
      <c r="H103" s="30" t="s">
        <v>331</v>
      </c>
      <c r="I103" s="36"/>
      <c r="J103" s="49"/>
      <c r="K103" s="49"/>
      <c r="L103" s="77"/>
      <c r="M103" s="76"/>
      <c r="N103" s="75"/>
      <c r="O103" s="14" t="s">
        <v>238</v>
      </c>
      <c r="P103" s="64">
        <f>24300000</f>
        <v>24300000</v>
      </c>
      <c r="Q103" s="64"/>
      <c r="R103" s="64"/>
      <c r="S103" s="64"/>
      <c r="T103" s="65"/>
      <c r="U103" s="71"/>
      <c r="V103" s="65"/>
      <c r="W103" s="65"/>
      <c r="X103" s="65"/>
      <c r="Y103" s="65"/>
      <c r="Z103" s="65"/>
      <c r="AA103" s="71"/>
      <c r="AB103" s="73"/>
      <c r="AC103" s="127"/>
      <c r="AD103" s="129"/>
      <c r="AE103" s="129"/>
    </row>
    <row r="104" spans="1:31" ht="55.2" x14ac:dyDescent="0.25">
      <c r="A104" s="10">
        <v>272</v>
      </c>
      <c r="B104" s="52" t="s">
        <v>43</v>
      </c>
      <c r="C104" s="52" t="s">
        <v>152</v>
      </c>
      <c r="D104" s="27" t="s">
        <v>160</v>
      </c>
      <c r="E104" s="32" t="s">
        <v>179</v>
      </c>
      <c r="F104" s="33" t="s">
        <v>180</v>
      </c>
      <c r="G104" s="35">
        <v>20200680010052</v>
      </c>
      <c r="H104" s="46" t="s">
        <v>163</v>
      </c>
      <c r="I104" s="36" t="s">
        <v>164</v>
      </c>
      <c r="J104" s="49">
        <v>44211</v>
      </c>
      <c r="K104" s="49">
        <v>44561</v>
      </c>
      <c r="L104" s="80">
        <v>1</v>
      </c>
      <c r="M104" s="79">
        <v>1</v>
      </c>
      <c r="N104" s="75">
        <f t="shared" ref="N104" si="15">IFERROR(IF(M104/L104&gt;100%,100%,M104/L104),"-")</f>
        <v>1</v>
      </c>
      <c r="O104" s="14" t="s">
        <v>287</v>
      </c>
      <c r="P104" s="64">
        <f>120316469</f>
        <v>120316469</v>
      </c>
      <c r="Q104" s="64"/>
      <c r="R104" s="64"/>
      <c r="S104" s="64"/>
      <c r="T104" s="65"/>
      <c r="U104" s="70">
        <f>SUM(P104:T106)</f>
        <v>165984306</v>
      </c>
      <c r="V104" s="65">
        <v>120316469</v>
      </c>
      <c r="W104" s="65"/>
      <c r="X104" s="65"/>
      <c r="Y104" s="65"/>
      <c r="Z104" s="65"/>
      <c r="AA104" s="70">
        <f>SUM(V104:Z106)</f>
        <v>120316469</v>
      </c>
      <c r="AB104" s="72">
        <f>IFERROR(AA104/U104,"-")</f>
        <v>0.72486653647845478</v>
      </c>
      <c r="AC104" s="126"/>
      <c r="AD104" s="128" t="s">
        <v>51</v>
      </c>
      <c r="AE104" s="128" t="s">
        <v>197</v>
      </c>
    </row>
    <row r="105" spans="1:31" ht="55.2" x14ac:dyDescent="0.25">
      <c r="A105" s="10">
        <v>272</v>
      </c>
      <c r="B105" s="52" t="s">
        <v>43</v>
      </c>
      <c r="C105" s="52" t="s">
        <v>152</v>
      </c>
      <c r="D105" s="27" t="s">
        <v>160</v>
      </c>
      <c r="E105" s="32" t="s">
        <v>179</v>
      </c>
      <c r="F105" s="33" t="s">
        <v>180</v>
      </c>
      <c r="G105" s="35"/>
      <c r="H105" s="30" t="s">
        <v>331</v>
      </c>
      <c r="I105" s="36" t="s">
        <v>164</v>
      </c>
      <c r="J105" s="49">
        <v>44211</v>
      </c>
      <c r="K105" s="49">
        <v>44561</v>
      </c>
      <c r="L105" s="80"/>
      <c r="M105" s="79"/>
      <c r="N105" s="75"/>
      <c r="O105" s="14" t="s">
        <v>300</v>
      </c>
      <c r="P105" s="64">
        <v>32167836.999999985</v>
      </c>
      <c r="Q105" s="64"/>
      <c r="R105" s="64"/>
      <c r="S105" s="64"/>
      <c r="T105" s="65"/>
      <c r="U105" s="74"/>
      <c r="V105" s="65"/>
      <c r="W105" s="65"/>
      <c r="X105" s="65"/>
      <c r="Y105" s="65"/>
      <c r="Z105" s="65"/>
      <c r="AA105" s="74"/>
      <c r="AB105" s="78"/>
      <c r="AC105" s="130"/>
      <c r="AD105" s="131"/>
      <c r="AE105" s="131"/>
    </row>
    <row r="106" spans="1:31" ht="55.2" x14ac:dyDescent="0.25">
      <c r="A106" s="10">
        <v>272</v>
      </c>
      <c r="B106" s="52" t="s">
        <v>43</v>
      </c>
      <c r="C106" s="52" t="s">
        <v>152</v>
      </c>
      <c r="D106" s="27" t="s">
        <v>160</v>
      </c>
      <c r="E106" s="32" t="s">
        <v>179</v>
      </c>
      <c r="F106" s="33" t="s">
        <v>180</v>
      </c>
      <c r="G106" s="35"/>
      <c r="H106" s="30" t="s">
        <v>331</v>
      </c>
      <c r="I106" s="36"/>
      <c r="J106" s="49"/>
      <c r="K106" s="49"/>
      <c r="L106" s="80"/>
      <c r="M106" s="79"/>
      <c r="N106" s="75"/>
      <c r="O106" s="14" t="s">
        <v>239</v>
      </c>
      <c r="P106" s="64">
        <v>13500000</v>
      </c>
      <c r="Q106" s="64"/>
      <c r="R106" s="64"/>
      <c r="S106" s="64"/>
      <c r="T106" s="65"/>
      <c r="U106" s="71"/>
      <c r="V106" s="65"/>
      <c r="W106" s="65"/>
      <c r="X106" s="65"/>
      <c r="Y106" s="65"/>
      <c r="Z106" s="65"/>
      <c r="AA106" s="71"/>
      <c r="AB106" s="73"/>
      <c r="AC106" s="127"/>
      <c r="AD106" s="129"/>
      <c r="AE106" s="129"/>
    </row>
    <row r="107" spans="1:31" ht="55.2" x14ac:dyDescent="0.25">
      <c r="A107" s="10">
        <v>273</v>
      </c>
      <c r="B107" s="48" t="s">
        <v>43</v>
      </c>
      <c r="C107" s="48" t="s">
        <v>152</v>
      </c>
      <c r="D107" s="20" t="s">
        <v>183</v>
      </c>
      <c r="E107" s="21" t="s">
        <v>184</v>
      </c>
      <c r="F107" s="22" t="s">
        <v>185</v>
      </c>
      <c r="G107" s="24"/>
      <c r="H107" s="30" t="s">
        <v>331</v>
      </c>
      <c r="I107" s="36"/>
      <c r="J107" s="49"/>
      <c r="K107" s="49"/>
      <c r="L107" s="31">
        <v>1</v>
      </c>
      <c r="M107" s="42">
        <v>1</v>
      </c>
      <c r="N107" s="50">
        <f t="shared" si="14"/>
        <v>1</v>
      </c>
      <c r="O107" s="14"/>
      <c r="P107" s="64"/>
      <c r="Q107" s="64"/>
      <c r="R107" s="64"/>
      <c r="S107" s="64"/>
      <c r="T107" s="65"/>
      <c r="U107" s="63">
        <f t="shared" ref="U107" si="16">SUM(P107:T107)</f>
        <v>0</v>
      </c>
      <c r="V107" s="65"/>
      <c r="W107" s="65"/>
      <c r="X107" s="65"/>
      <c r="Y107" s="65"/>
      <c r="Z107" s="65"/>
      <c r="AA107" s="63">
        <f t="shared" si="12"/>
        <v>0</v>
      </c>
      <c r="AB107" s="25" t="str">
        <f t="shared" si="10"/>
        <v>-</v>
      </c>
      <c r="AC107" s="26"/>
      <c r="AD107" s="51" t="s">
        <v>51</v>
      </c>
      <c r="AE107" s="51" t="s">
        <v>197</v>
      </c>
    </row>
    <row r="108" spans="1:31" ht="55.2" x14ac:dyDescent="0.25">
      <c r="A108" s="10">
        <v>274</v>
      </c>
      <c r="B108" s="48" t="s">
        <v>43</v>
      </c>
      <c r="C108" s="48" t="s">
        <v>152</v>
      </c>
      <c r="D108" s="20" t="s">
        <v>183</v>
      </c>
      <c r="E108" s="21" t="s">
        <v>186</v>
      </c>
      <c r="F108" s="22" t="s">
        <v>187</v>
      </c>
      <c r="G108" s="35">
        <v>20200680010164</v>
      </c>
      <c r="H108" s="46" t="s">
        <v>188</v>
      </c>
      <c r="I108" s="36" t="s">
        <v>189</v>
      </c>
      <c r="J108" s="83">
        <v>44245</v>
      </c>
      <c r="K108" s="83">
        <v>44561</v>
      </c>
      <c r="L108" s="80">
        <v>1</v>
      </c>
      <c r="M108" s="79">
        <v>1</v>
      </c>
      <c r="N108" s="75">
        <f t="shared" si="14"/>
        <v>1</v>
      </c>
      <c r="O108" s="14" t="s">
        <v>304</v>
      </c>
      <c r="P108" s="64">
        <v>176183915.12</v>
      </c>
      <c r="Q108" s="64"/>
      <c r="R108" s="64"/>
      <c r="S108" s="64"/>
      <c r="T108" s="65"/>
      <c r="U108" s="70">
        <f>SUM(P108:T109)</f>
        <v>200000000</v>
      </c>
      <c r="V108" s="65">
        <f>119670950.12+54000000+2512965</f>
        <v>176183915.12</v>
      </c>
      <c r="W108" s="65"/>
      <c r="X108" s="65"/>
      <c r="Y108" s="65"/>
      <c r="Z108" s="65"/>
      <c r="AA108" s="70">
        <f>SUM(V108:Z109)</f>
        <v>176183915.12</v>
      </c>
      <c r="AB108" s="72">
        <f t="shared" si="10"/>
        <v>0.8809195756</v>
      </c>
      <c r="AC108" s="126"/>
      <c r="AD108" s="126" t="s">
        <v>51</v>
      </c>
      <c r="AE108" s="126" t="s">
        <v>197</v>
      </c>
    </row>
    <row r="109" spans="1:31" ht="55.2" x14ac:dyDescent="0.25">
      <c r="A109" s="10">
        <v>274</v>
      </c>
      <c r="B109" s="48" t="s">
        <v>43</v>
      </c>
      <c r="C109" s="48" t="s">
        <v>152</v>
      </c>
      <c r="D109" s="20" t="s">
        <v>183</v>
      </c>
      <c r="E109" s="21" t="s">
        <v>186</v>
      </c>
      <c r="F109" s="22" t="s">
        <v>187</v>
      </c>
      <c r="G109" s="35"/>
      <c r="H109" s="30" t="s">
        <v>331</v>
      </c>
      <c r="I109" s="36" t="s">
        <v>189</v>
      </c>
      <c r="J109" s="83"/>
      <c r="K109" s="83"/>
      <c r="L109" s="80"/>
      <c r="M109" s="79"/>
      <c r="N109" s="75"/>
      <c r="O109" s="14" t="s">
        <v>305</v>
      </c>
      <c r="P109" s="64">
        <f>23767002.88+49082</f>
        <v>23816084.879999999</v>
      </c>
      <c r="Q109" s="64"/>
      <c r="R109" s="64"/>
      <c r="S109" s="64"/>
      <c r="T109" s="65"/>
      <c r="U109" s="74"/>
      <c r="V109" s="65"/>
      <c r="W109" s="65"/>
      <c r="X109" s="65"/>
      <c r="Y109" s="65"/>
      <c r="Z109" s="65"/>
      <c r="AA109" s="74"/>
      <c r="AB109" s="78"/>
      <c r="AC109" s="127"/>
      <c r="AD109" s="127" t="s">
        <v>51</v>
      </c>
      <c r="AE109" s="127" t="s">
        <v>197</v>
      </c>
    </row>
    <row r="110" spans="1:31" ht="82.8" x14ac:dyDescent="0.25">
      <c r="A110" s="10">
        <v>275</v>
      </c>
      <c r="B110" s="48" t="s">
        <v>43</v>
      </c>
      <c r="C110" s="48" t="s">
        <v>152</v>
      </c>
      <c r="D110" s="20" t="s">
        <v>190</v>
      </c>
      <c r="E110" s="21" t="s">
        <v>191</v>
      </c>
      <c r="F110" s="22" t="s">
        <v>192</v>
      </c>
      <c r="G110" s="35">
        <v>20210680010041</v>
      </c>
      <c r="H110" s="46" t="s">
        <v>89</v>
      </c>
      <c r="I110" s="36" t="s">
        <v>90</v>
      </c>
      <c r="J110" s="49">
        <v>44328</v>
      </c>
      <c r="K110" s="49">
        <v>44561</v>
      </c>
      <c r="L110" s="31">
        <v>1</v>
      </c>
      <c r="M110" s="44">
        <v>1</v>
      </c>
      <c r="N110" s="50">
        <f t="shared" si="14"/>
        <v>1</v>
      </c>
      <c r="O110" s="14" t="s">
        <v>220</v>
      </c>
      <c r="P110" s="64"/>
      <c r="Q110" s="64"/>
      <c r="R110" s="64"/>
      <c r="S110" s="64"/>
      <c r="T110" s="65">
        <v>17750000</v>
      </c>
      <c r="U110" s="63">
        <f>SUM(P110:T110)</f>
        <v>17750000</v>
      </c>
      <c r="V110" s="64"/>
      <c r="W110" s="64"/>
      <c r="X110" s="64"/>
      <c r="Y110" s="66"/>
      <c r="Z110" s="65">
        <f>15000000.3+2750000</f>
        <v>17750000.300000001</v>
      </c>
      <c r="AA110" s="63">
        <f t="shared" si="12"/>
        <v>17750000.300000001</v>
      </c>
      <c r="AB110" s="25">
        <f t="shared" si="10"/>
        <v>1.0000000169014085</v>
      </c>
      <c r="AC110" s="26"/>
      <c r="AD110" s="51" t="s">
        <v>51</v>
      </c>
      <c r="AE110" s="51" t="s">
        <v>197</v>
      </c>
    </row>
    <row r="111" spans="1:31" ht="69" x14ac:dyDescent="0.25">
      <c r="A111" s="10">
        <v>300</v>
      </c>
      <c r="B111" s="48" t="s">
        <v>38</v>
      </c>
      <c r="C111" s="48" t="s">
        <v>39</v>
      </c>
      <c r="D111" s="20" t="s">
        <v>40</v>
      </c>
      <c r="E111" s="21" t="s">
        <v>49</v>
      </c>
      <c r="F111" s="22" t="s">
        <v>50</v>
      </c>
      <c r="G111" s="35">
        <v>20200680010035</v>
      </c>
      <c r="H111" s="46" t="s">
        <v>211</v>
      </c>
      <c r="I111" s="36" t="s">
        <v>193</v>
      </c>
      <c r="J111" s="83">
        <v>44202</v>
      </c>
      <c r="K111" s="83">
        <v>44561</v>
      </c>
      <c r="L111" s="77">
        <v>1</v>
      </c>
      <c r="M111" s="76">
        <v>1</v>
      </c>
      <c r="N111" s="75">
        <f t="shared" si="14"/>
        <v>1</v>
      </c>
      <c r="O111" s="56" t="s">
        <v>288</v>
      </c>
      <c r="P111" s="65">
        <f>490600000+19650000</f>
        <v>510250000</v>
      </c>
      <c r="Q111" s="64"/>
      <c r="R111" s="64"/>
      <c r="S111" s="66"/>
      <c r="T111" s="64"/>
      <c r="U111" s="70">
        <f>SUM(P111:T112)</f>
        <v>889750000</v>
      </c>
      <c r="V111" s="64">
        <v>504616666.00999999</v>
      </c>
      <c r="W111" s="64"/>
      <c r="X111" s="64"/>
      <c r="Y111" s="66"/>
      <c r="Z111" s="64"/>
      <c r="AA111" s="70">
        <f>SUM(V111:Z112)</f>
        <v>875399998.33999991</v>
      </c>
      <c r="AB111" s="72">
        <f t="shared" si="10"/>
        <v>0.98387187225625161</v>
      </c>
      <c r="AC111" s="126"/>
      <c r="AD111" s="126" t="s">
        <v>51</v>
      </c>
      <c r="AE111" s="126" t="s">
        <v>197</v>
      </c>
    </row>
    <row r="112" spans="1:31" ht="69" x14ac:dyDescent="0.25">
      <c r="A112" s="10">
        <v>300</v>
      </c>
      <c r="B112" s="48" t="s">
        <v>38</v>
      </c>
      <c r="C112" s="48" t="s">
        <v>39</v>
      </c>
      <c r="D112" s="20" t="s">
        <v>40</v>
      </c>
      <c r="E112" s="21" t="s">
        <v>49</v>
      </c>
      <c r="F112" s="22" t="s">
        <v>50</v>
      </c>
      <c r="G112" s="35">
        <v>20200680010035</v>
      </c>
      <c r="H112" s="46" t="s">
        <v>211</v>
      </c>
      <c r="I112" s="36" t="s">
        <v>193</v>
      </c>
      <c r="J112" s="83"/>
      <c r="K112" s="83"/>
      <c r="L112" s="77"/>
      <c r="M112" s="76"/>
      <c r="N112" s="75"/>
      <c r="O112" s="56" t="s">
        <v>241</v>
      </c>
      <c r="P112" s="65">
        <v>379500000</v>
      </c>
      <c r="Q112" s="64"/>
      <c r="R112" s="64"/>
      <c r="S112" s="66"/>
      <c r="T112" s="64"/>
      <c r="U112" s="71"/>
      <c r="V112" s="64">
        <v>370783332.32999998</v>
      </c>
      <c r="W112" s="64"/>
      <c r="X112" s="64"/>
      <c r="Y112" s="66"/>
      <c r="Z112" s="64"/>
      <c r="AA112" s="71"/>
      <c r="AB112" s="73"/>
      <c r="AC112" s="127"/>
      <c r="AD112" s="127" t="s">
        <v>51</v>
      </c>
      <c r="AE112" s="127" t="s">
        <v>197</v>
      </c>
    </row>
    <row r="113" spans="1:31" x14ac:dyDescent="0.25">
      <c r="A113" s="1">
        <f>SUM(--(FREQUENCY(A9:A112,A9:A112)&gt;0))</f>
        <v>43</v>
      </c>
      <c r="B113" s="2"/>
      <c r="C113" s="3"/>
      <c r="D113" s="3"/>
      <c r="E113" s="9"/>
      <c r="F113" s="9"/>
      <c r="G113" s="3"/>
      <c r="H113" s="16"/>
      <c r="I113" s="40"/>
      <c r="J113" s="41"/>
      <c r="K113" s="15"/>
      <c r="L113" s="15"/>
      <c r="M113" s="12" t="s">
        <v>17</v>
      </c>
      <c r="N113" s="15">
        <f>IFERROR(AVERAGE(N9:N112),"-")</f>
        <v>1</v>
      </c>
      <c r="O113" s="16"/>
      <c r="P113" s="17">
        <f t="shared" ref="P113:AA113" si="17">SUM(P9:P112)</f>
        <v>12473610740.960001</v>
      </c>
      <c r="Q113" s="17">
        <f t="shared" si="17"/>
        <v>0</v>
      </c>
      <c r="R113" s="17">
        <f t="shared" si="17"/>
        <v>0</v>
      </c>
      <c r="S113" s="17">
        <f t="shared" si="17"/>
        <v>0</v>
      </c>
      <c r="T113" s="17">
        <f t="shared" si="17"/>
        <v>24831627292.010006</v>
      </c>
      <c r="U113" s="18">
        <f t="shared" si="17"/>
        <v>37305238032.970001</v>
      </c>
      <c r="V113" s="5">
        <f t="shared" si="17"/>
        <v>7641830827.8411999</v>
      </c>
      <c r="W113" s="5">
        <f t="shared" si="17"/>
        <v>0</v>
      </c>
      <c r="X113" s="5">
        <f t="shared" si="17"/>
        <v>0</v>
      </c>
      <c r="Y113" s="5">
        <f t="shared" si="17"/>
        <v>278067752.5</v>
      </c>
      <c r="Z113" s="5">
        <f t="shared" si="17"/>
        <v>17709201376.830997</v>
      </c>
      <c r="AA113" s="7">
        <f t="shared" si="17"/>
        <v>25629099957.172195</v>
      </c>
      <c r="AB113" s="6">
        <f>IFERROR(AA113/U113,"-")</f>
        <v>0.68701076064764555</v>
      </c>
      <c r="AC113" s="7">
        <f>SUM(AC9:AC112)</f>
        <v>79172647620</v>
      </c>
      <c r="AD113" s="4"/>
      <c r="AE113" s="4"/>
    </row>
    <row r="115" spans="1:31" customFormat="1" x14ac:dyDescent="0.25"/>
    <row r="116" spans="1:31" customFormat="1" x14ac:dyDescent="0.25"/>
    <row r="117" spans="1:31" customFormat="1" x14ac:dyDescent="0.25"/>
    <row r="118" spans="1:31" customFormat="1" x14ac:dyDescent="0.25"/>
    <row r="119" spans="1:31" x14ac:dyDescent="0.25">
      <c r="O119"/>
      <c r="P119"/>
      <c r="Q119"/>
      <c r="R119"/>
      <c r="S119"/>
      <c r="T119"/>
    </row>
    <row r="120" spans="1:31" x14ac:dyDescent="0.25">
      <c r="O120"/>
      <c r="P120"/>
      <c r="Q120"/>
      <c r="R120"/>
      <c r="S120"/>
      <c r="T120"/>
    </row>
    <row r="121" spans="1:31" x14ac:dyDescent="0.25">
      <c r="O121"/>
      <c r="P121"/>
      <c r="Q121"/>
      <c r="R121"/>
      <c r="S121"/>
      <c r="T121"/>
      <c r="U121" s="62"/>
    </row>
    <row r="122" spans="1:31" x14ac:dyDescent="0.25">
      <c r="O122"/>
      <c r="P122"/>
      <c r="Q122"/>
      <c r="R122"/>
      <c r="S122"/>
      <c r="T122"/>
    </row>
    <row r="123" spans="1:31" x14ac:dyDescent="0.25">
      <c r="O123"/>
      <c r="P123"/>
      <c r="Q123"/>
      <c r="R123"/>
      <c r="S123"/>
      <c r="T123"/>
    </row>
    <row r="124" spans="1:31" x14ac:dyDescent="0.25">
      <c r="O124"/>
      <c r="P124"/>
      <c r="Q124"/>
      <c r="R124"/>
      <c r="S124"/>
      <c r="T124"/>
    </row>
    <row r="125" spans="1:31" x14ac:dyDescent="0.25">
      <c r="O125"/>
      <c r="P125"/>
      <c r="Q125"/>
      <c r="R125"/>
      <c r="S125"/>
      <c r="T125"/>
    </row>
    <row r="126" spans="1:31" x14ac:dyDescent="0.25">
      <c r="O126"/>
      <c r="P126"/>
      <c r="Q126"/>
      <c r="R126"/>
      <c r="S126"/>
      <c r="T126"/>
    </row>
    <row r="127" spans="1:31" x14ac:dyDescent="0.25">
      <c r="O127"/>
      <c r="P127"/>
      <c r="Q127"/>
      <c r="R127"/>
      <c r="S127"/>
      <c r="T127"/>
    </row>
    <row r="128" spans="1:31" x14ac:dyDescent="0.25">
      <c r="O128"/>
      <c r="P128"/>
      <c r="Q128"/>
      <c r="R128"/>
      <c r="S128"/>
      <c r="T128"/>
    </row>
    <row r="129" spans="15:20" x14ac:dyDescent="0.25">
      <c r="O129"/>
      <c r="P129"/>
      <c r="Q129"/>
      <c r="R129"/>
      <c r="S129"/>
      <c r="T129"/>
    </row>
    <row r="130" spans="15:20" x14ac:dyDescent="0.25">
      <c r="O130"/>
      <c r="P130"/>
      <c r="Q130"/>
      <c r="R130"/>
      <c r="S130"/>
      <c r="T130"/>
    </row>
    <row r="131" spans="15:20" x14ac:dyDescent="0.25">
      <c r="O131"/>
      <c r="P131"/>
      <c r="Q131"/>
      <c r="R131"/>
      <c r="S131"/>
      <c r="T131"/>
    </row>
    <row r="132" spans="15:20" x14ac:dyDescent="0.25">
      <c r="O132"/>
      <c r="P132"/>
      <c r="Q132"/>
      <c r="R132"/>
      <c r="S132"/>
      <c r="T132"/>
    </row>
    <row r="133" spans="15:20" x14ac:dyDescent="0.25">
      <c r="O133"/>
      <c r="P133"/>
      <c r="Q133"/>
      <c r="R133"/>
      <c r="S133"/>
      <c r="T133"/>
    </row>
    <row r="134" spans="15:20" x14ac:dyDescent="0.25">
      <c r="O134"/>
      <c r="P134"/>
      <c r="Q134"/>
      <c r="R134"/>
      <c r="S134"/>
      <c r="T134"/>
    </row>
    <row r="135" spans="15:20" x14ac:dyDescent="0.25">
      <c r="O135"/>
      <c r="P135"/>
      <c r="Q135"/>
      <c r="R135"/>
      <c r="S135"/>
      <c r="T135"/>
    </row>
    <row r="136" spans="15:20" x14ac:dyDescent="0.25">
      <c r="O136"/>
      <c r="P136"/>
      <c r="Q136"/>
      <c r="R136"/>
      <c r="S136"/>
      <c r="T136"/>
    </row>
    <row r="137" spans="15:20" x14ac:dyDescent="0.25">
      <c r="O137"/>
      <c r="P137"/>
      <c r="Q137"/>
      <c r="R137"/>
      <c r="S137"/>
      <c r="T137"/>
    </row>
    <row r="138" spans="15:20" x14ac:dyDescent="0.25">
      <c r="O138"/>
      <c r="P138"/>
      <c r="Q138"/>
      <c r="R138"/>
      <c r="S138"/>
      <c r="T138"/>
    </row>
    <row r="139" spans="15:20" x14ac:dyDescent="0.25">
      <c r="O139"/>
      <c r="P139"/>
      <c r="Q139"/>
      <c r="R139"/>
      <c r="S139"/>
      <c r="T139"/>
    </row>
    <row r="140" spans="15:20" x14ac:dyDescent="0.25">
      <c r="O140"/>
      <c r="P140"/>
      <c r="Q140"/>
      <c r="R140"/>
      <c r="S140"/>
      <c r="T140"/>
    </row>
    <row r="141" spans="15:20" x14ac:dyDescent="0.25">
      <c r="O141"/>
      <c r="P141"/>
      <c r="Q141"/>
      <c r="R141"/>
      <c r="S141"/>
      <c r="T141"/>
    </row>
    <row r="142" spans="15:20" x14ac:dyDescent="0.25">
      <c r="O142"/>
      <c r="P142"/>
      <c r="Q142"/>
      <c r="R142"/>
      <c r="S142"/>
      <c r="T142"/>
    </row>
    <row r="143" spans="15:20" x14ac:dyDescent="0.25">
      <c r="O143"/>
      <c r="P143"/>
      <c r="Q143"/>
      <c r="R143"/>
      <c r="S143"/>
      <c r="T143"/>
    </row>
    <row r="144" spans="15:20" x14ac:dyDescent="0.25">
      <c r="O144"/>
      <c r="P144"/>
      <c r="Q144"/>
      <c r="R144"/>
      <c r="S144"/>
      <c r="T144"/>
    </row>
    <row r="145" spans="15:20" x14ac:dyDescent="0.25">
      <c r="O145"/>
      <c r="P145"/>
      <c r="Q145"/>
      <c r="R145"/>
      <c r="S145"/>
      <c r="T145"/>
    </row>
    <row r="146" spans="15:20" x14ac:dyDescent="0.25">
      <c r="O146"/>
      <c r="P146"/>
      <c r="Q146"/>
      <c r="R146"/>
      <c r="S146"/>
      <c r="T146"/>
    </row>
    <row r="147" spans="15:20" x14ac:dyDescent="0.25">
      <c r="O147"/>
      <c r="P147"/>
      <c r="Q147"/>
      <c r="R147"/>
      <c r="S147"/>
      <c r="T147"/>
    </row>
    <row r="148" spans="15:20" x14ac:dyDescent="0.25">
      <c r="O148"/>
      <c r="P148"/>
      <c r="Q148"/>
      <c r="R148"/>
      <c r="S148"/>
      <c r="T148"/>
    </row>
    <row r="149" spans="15:20" x14ac:dyDescent="0.25">
      <c r="O149"/>
      <c r="P149"/>
      <c r="Q149"/>
      <c r="R149"/>
      <c r="S149"/>
      <c r="T149"/>
    </row>
    <row r="150" spans="15:20" x14ac:dyDescent="0.25">
      <c r="O150"/>
      <c r="P150"/>
      <c r="Q150"/>
      <c r="R150"/>
      <c r="S150"/>
      <c r="T150"/>
    </row>
  </sheetData>
  <mergeCells count="241">
    <mergeCell ref="AC108:AC109"/>
    <mergeCell ref="AD108:AD109"/>
    <mergeCell ref="AE108:AE109"/>
    <mergeCell ref="AC111:AC112"/>
    <mergeCell ref="AD111:AD112"/>
    <mergeCell ref="AE111:AE112"/>
    <mergeCell ref="AB87:AB88"/>
    <mergeCell ref="AC10:AC11"/>
    <mergeCell ref="AD10:AD11"/>
    <mergeCell ref="AE10:AE11"/>
    <mergeCell ref="AC23:AC24"/>
    <mergeCell ref="AD23:AD24"/>
    <mergeCell ref="AE23:AE24"/>
    <mergeCell ref="AC21:AC22"/>
    <mergeCell ref="AD21:AD22"/>
    <mergeCell ref="AE21:AE22"/>
    <mergeCell ref="AC19:AC20"/>
    <mergeCell ref="AD19:AD20"/>
    <mergeCell ref="AE19:AE20"/>
    <mergeCell ref="AC32:AC35"/>
    <mergeCell ref="AD32:AD35"/>
    <mergeCell ref="AE32:AE35"/>
    <mergeCell ref="AC30:AC31"/>
    <mergeCell ref="AD30:AD31"/>
    <mergeCell ref="AE30:AE31"/>
    <mergeCell ref="AC25:AC28"/>
    <mergeCell ref="AD25:AD28"/>
    <mergeCell ref="AE25:AE28"/>
    <mergeCell ref="AC61:AC63"/>
    <mergeCell ref="AD61:AD63"/>
    <mergeCell ref="AE61:AE63"/>
    <mergeCell ref="AC39:AC60"/>
    <mergeCell ref="AD39:AD60"/>
    <mergeCell ref="AE39:AE60"/>
    <mergeCell ref="AC36:AC38"/>
    <mergeCell ref="AD36:AD38"/>
    <mergeCell ref="AE36:AE38"/>
    <mergeCell ref="AC79:AC80"/>
    <mergeCell ref="AD79:AD80"/>
    <mergeCell ref="AE79:AE80"/>
    <mergeCell ref="AC71:AC77"/>
    <mergeCell ref="AD71:AD77"/>
    <mergeCell ref="AE71:AE77"/>
    <mergeCell ref="AC66:AC70"/>
    <mergeCell ref="AD66:AD70"/>
    <mergeCell ref="AE66:AE70"/>
    <mergeCell ref="AC93:AC94"/>
    <mergeCell ref="AD93:AD94"/>
    <mergeCell ref="AE93:AE94"/>
    <mergeCell ref="AD90:AD91"/>
    <mergeCell ref="AC90:AC91"/>
    <mergeCell ref="AE90:AE91"/>
    <mergeCell ref="AC82:AC84"/>
    <mergeCell ref="AD82:AD84"/>
    <mergeCell ref="AE82:AE84"/>
    <mergeCell ref="AC85:AC86"/>
    <mergeCell ref="AD85:AD86"/>
    <mergeCell ref="AE85:AE86"/>
    <mergeCell ref="AC87:AC88"/>
    <mergeCell ref="AD87:AD88"/>
    <mergeCell ref="AE87:AE88"/>
    <mergeCell ref="AC99:AC101"/>
    <mergeCell ref="AD99:AD101"/>
    <mergeCell ref="AE99:AE101"/>
    <mergeCell ref="AD102:AD103"/>
    <mergeCell ref="AC102:AC103"/>
    <mergeCell ref="AE102:AE103"/>
    <mergeCell ref="AC104:AC106"/>
    <mergeCell ref="AD104:AD106"/>
    <mergeCell ref="AE104:AE106"/>
    <mergeCell ref="AA17:AA18"/>
    <mergeCell ref="AB17:AB18"/>
    <mergeCell ref="AC17:AC18"/>
    <mergeCell ref="AD17:AD18"/>
    <mergeCell ref="AE17:AE18"/>
    <mergeCell ref="U87:U88"/>
    <mergeCell ref="AA87:AA88"/>
    <mergeCell ref="AB111:AB112"/>
    <mergeCell ref="N90:N91"/>
    <mergeCell ref="N99:N101"/>
    <mergeCell ref="N23:N24"/>
    <mergeCell ref="U66:U70"/>
    <mergeCell ref="U71:U77"/>
    <mergeCell ref="AA23:AA24"/>
    <mergeCell ref="AB23:AB24"/>
    <mergeCell ref="AA25:AA28"/>
    <mergeCell ref="AB25:AB28"/>
    <mergeCell ref="AA30:AA31"/>
    <mergeCell ref="AB30:AB31"/>
    <mergeCell ref="AA79:AA80"/>
    <mergeCell ref="AB79:AB80"/>
    <mergeCell ref="AA82:AA84"/>
    <mergeCell ref="AB82:AB84"/>
    <mergeCell ref="AA61:AA63"/>
    <mergeCell ref="K111:K112"/>
    <mergeCell ref="J111:J112"/>
    <mergeCell ref="N111:N112"/>
    <mergeCell ref="M111:M112"/>
    <mergeCell ref="L111:L112"/>
    <mergeCell ref="N108:N109"/>
    <mergeCell ref="M108:M109"/>
    <mergeCell ref="L108:L109"/>
    <mergeCell ref="K108:K109"/>
    <mergeCell ref="J108:J109"/>
    <mergeCell ref="AC1:AE1"/>
    <mergeCell ref="AC2:AE2"/>
    <mergeCell ref="AC3:AE3"/>
    <mergeCell ref="AC4:AE4"/>
    <mergeCell ref="A5:C5"/>
    <mergeCell ref="D5:L5"/>
    <mergeCell ref="A6:C6"/>
    <mergeCell ref="D6:L6"/>
    <mergeCell ref="B7:F7"/>
    <mergeCell ref="G7:K7"/>
    <mergeCell ref="L7:N7"/>
    <mergeCell ref="O7:U7"/>
    <mergeCell ref="V7:AA7"/>
    <mergeCell ref="AB7:AB8"/>
    <mergeCell ref="AC7:AC8"/>
    <mergeCell ref="AD7:AE7"/>
    <mergeCell ref="A1:A4"/>
    <mergeCell ref="B1:AB4"/>
    <mergeCell ref="M5:AE6"/>
    <mergeCell ref="L10:L11"/>
    <mergeCell ref="N10:N11"/>
    <mergeCell ref="M10:M11"/>
    <mergeCell ref="U10:U11"/>
    <mergeCell ref="N19:N20"/>
    <mergeCell ref="M19:M20"/>
    <mergeCell ref="L19:L20"/>
    <mergeCell ref="N21:N22"/>
    <mergeCell ref="M21:M22"/>
    <mergeCell ref="L21:L22"/>
    <mergeCell ref="U19:U20"/>
    <mergeCell ref="U21:U22"/>
    <mergeCell ref="N17:N18"/>
    <mergeCell ref="M17:M18"/>
    <mergeCell ref="L17:L18"/>
    <mergeCell ref="U17:U18"/>
    <mergeCell ref="M99:M101"/>
    <mergeCell ref="L99:L101"/>
    <mergeCell ref="M30:M31"/>
    <mergeCell ref="N30:N31"/>
    <mergeCell ref="N71:N77"/>
    <mergeCell ref="M71:M77"/>
    <mergeCell ref="L71:L77"/>
    <mergeCell ref="M85:M86"/>
    <mergeCell ref="L85:L86"/>
    <mergeCell ref="N87:N88"/>
    <mergeCell ref="M87:M88"/>
    <mergeCell ref="L87:L88"/>
    <mergeCell ref="N66:N70"/>
    <mergeCell ref="M66:M70"/>
    <mergeCell ref="L66:L70"/>
    <mergeCell ref="M90:M91"/>
    <mergeCell ref="L90:L91"/>
    <mergeCell ref="L82:L84"/>
    <mergeCell ref="M82:M84"/>
    <mergeCell ref="N79:N80"/>
    <mergeCell ref="M79:M80"/>
    <mergeCell ref="L79:L80"/>
    <mergeCell ref="N82:N84"/>
    <mergeCell ref="L30:L31"/>
    <mergeCell ref="M23:M24"/>
    <mergeCell ref="J23:J24"/>
    <mergeCell ref="K23:K24"/>
    <mergeCell ref="N32:N35"/>
    <mergeCell ref="M32:M35"/>
    <mergeCell ref="L32:L35"/>
    <mergeCell ref="L23:L24"/>
    <mergeCell ref="U39:U60"/>
    <mergeCell ref="U61:U63"/>
    <mergeCell ref="M36:M38"/>
    <mergeCell ref="L36:L38"/>
    <mergeCell ref="N36:N38"/>
    <mergeCell ref="L39:L60"/>
    <mergeCell ref="M39:M60"/>
    <mergeCell ref="N39:N60"/>
    <mergeCell ref="N61:N63"/>
    <mergeCell ref="M61:M63"/>
    <mergeCell ref="L61:L63"/>
    <mergeCell ref="N25:N28"/>
    <mergeCell ref="M25:M28"/>
    <mergeCell ref="L25:L28"/>
    <mergeCell ref="AB10:AB11"/>
    <mergeCell ref="AA10:AA11"/>
    <mergeCell ref="AA19:AA20"/>
    <mergeCell ref="AA21:AA22"/>
    <mergeCell ref="AB21:AB22"/>
    <mergeCell ref="AB19:AB20"/>
    <mergeCell ref="U99:U101"/>
    <mergeCell ref="U102:U103"/>
    <mergeCell ref="U104:U106"/>
    <mergeCell ref="U79:U80"/>
    <mergeCell ref="U82:U84"/>
    <mergeCell ref="U90:U91"/>
    <mergeCell ref="U93:U94"/>
    <mergeCell ref="U23:U24"/>
    <mergeCell ref="U25:U28"/>
    <mergeCell ref="U30:U31"/>
    <mergeCell ref="U32:U35"/>
    <mergeCell ref="U36:U38"/>
    <mergeCell ref="AA32:AA35"/>
    <mergeCell ref="AB32:AB35"/>
    <mergeCell ref="AA36:AA38"/>
    <mergeCell ref="AB36:AB38"/>
    <mergeCell ref="AA39:AA60"/>
    <mergeCell ref="AB39:AB60"/>
    <mergeCell ref="AB61:AB63"/>
    <mergeCell ref="AA66:AA70"/>
    <mergeCell ref="AB66:AB70"/>
    <mergeCell ref="AA71:AA77"/>
    <mergeCell ref="AB71:AB77"/>
    <mergeCell ref="N85:N86"/>
    <mergeCell ref="U85:U86"/>
    <mergeCell ref="AA85:AA86"/>
    <mergeCell ref="AB85:AB86"/>
    <mergeCell ref="AA90:AA91"/>
    <mergeCell ref="AB90:AB91"/>
    <mergeCell ref="AA93:AA94"/>
    <mergeCell ref="AB93:AB94"/>
    <mergeCell ref="U108:U109"/>
    <mergeCell ref="U111:U112"/>
    <mergeCell ref="N102:N103"/>
    <mergeCell ref="M102:M103"/>
    <mergeCell ref="L102:L103"/>
    <mergeCell ref="AA108:AA109"/>
    <mergeCell ref="AB108:AB109"/>
    <mergeCell ref="AA111:AA112"/>
    <mergeCell ref="AA99:AA101"/>
    <mergeCell ref="AB99:AB101"/>
    <mergeCell ref="AA102:AA103"/>
    <mergeCell ref="AB102:AB103"/>
    <mergeCell ref="AA104:AA106"/>
    <mergeCell ref="AB104:AB106"/>
    <mergeCell ref="N104:N106"/>
    <mergeCell ref="M104:M106"/>
    <mergeCell ref="L104:L106"/>
    <mergeCell ref="N93:N94"/>
    <mergeCell ref="M93:M94"/>
    <mergeCell ref="L93:L94"/>
  </mergeCells>
  <conditionalFormatting sqref="N106:N112 N9:N17 N19:N104">
    <cfRule type="cellIs" dxfId="5" priority="94" operator="between">
      <formula>0.67</formula>
      <formula>1</formula>
    </cfRule>
    <cfRule type="cellIs" dxfId="4" priority="95" operator="between">
      <formula>0.34</formula>
      <formula>0.67</formula>
    </cfRule>
    <cfRule type="cellIs" dxfId="3" priority="96" operator="between">
      <formula>0</formula>
      <formula>0.34</formula>
    </cfRule>
  </conditionalFormatting>
  <conditionalFormatting sqref="N105">
    <cfRule type="cellIs" dxfId="2" priority="1" operator="between">
      <formula>0.67</formula>
      <formula>1</formula>
    </cfRule>
    <cfRule type="cellIs" dxfId="1" priority="2" operator="between">
      <formula>0.34</formula>
      <formula>0.67</formula>
    </cfRule>
    <cfRule type="cellIs" dxfId="0" priority="3" operator="between">
      <formula>0</formula>
      <formula>0.34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2022-02-03T16:45:28Z</dcterms:modified>
</cp:coreProperties>
</file>