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CFB71FB6-8F81-4980-ABBC-3674CB6D1714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9" r:id="rId1"/>
  </sheets>
  <definedNames>
    <definedName name="_xlnm._FilterDatabase" localSheetId="0" hidden="1">'Plan de acción'!$A$8:$AE$101</definedName>
  </definedNames>
  <calcPr calcId="181029"/>
</workbook>
</file>

<file path=xl/calcChain.xml><?xml version="1.0" encoding="utf-8"?>
<calcChain xmlns="http://schemas.openxmlformats.org/spreadsheetml/2006/main">
  <c r="AC101" i="19" l="1"/>
  <c r="AB101" i="19"/>
  <c r="V100" i="19"/>
  <c r="V97" i="19"/>
  <c r="V92" i="19"/>
  <c r="V88" i="19"/>
  <c r="V86" i="19"/>
  <c r="V77" i="19"/>
  <c r="Z73" i="19"/>
  <c r="Z71" i="19"/>
  <c r="Z70" i="19"/>
  <c r="V67" i="19"/>
  <c r="Z69" i="19"/>
  <c r="Z64" i="19"/>
  <c r="Z59" i="19"/>
  <c r="AA36" i="19"/>
  <c r="Z48" i="19"/>
  <c r="V45" i="19"/>
  <c r="Z40" i="19"/>
  <c r="Z41" i="19"/>
  <c r="Z37" i="19"/>
  <c r="Z33" i="19"/>
  <c r="Z31" i="19"/>
  <c r="Z30" i="19"/>
  <c r="Z25" i="19"/>
  <c r="V22" i="19"/>
  <c r="V20" i="19"/>
  <c r="P55" i="19"/>
  <c r="P95" i="19"/>
  <c r="T30" i="19"/>
  <c r="U100" i="19"/>
  <c r="U99" i="19"/>
  <c r="U97" i="19"/>
  <c r="U96" i="19"/>
  <c r="U94" i="19"/>
  <c r="U92" i="19"/>
  <c r="U89" i="19"/>
  <c r="U88" i="19"/>
  <c r="U87" i="19"/>
  <c r="U86" i="19"/>
  <c r="U85" i="19"/>
  <c r="U83" i="19"/>
  <c r="U82" i="19"/>
  <c r="U80" i="19"/>
  <c r="U79" i="19"/>
  <c r="U78" i="19"/>
  <c r="U77" i="19"/>
  <c r="U74" i="19"/>
  <c r="U73" i="19"/>
  <c r="U71" i="19"/>
  <c r="U70" i="19"/>
  <c r="U66" i="19"/>
  <c r="U62" i="19"/>
  <c r="U61" i="19"/>
  <c r="U60" i="19"/>
  <c r="U57" i="19"/>
  <c r="U36" i="19"/>
  <c r="U33" i="19"/>
  <c r="U30" i="19"/>
  <c r="U28" i="19"/>
  <c r="U27" i="19"/>
  <c r="U23" i="19"/>
  <c r="U22" i="19"/>
  <c r="U20" i="19"/>
  <c r="U18" i="19"/>
  <c r="U17" i="19"/>
  <c r="U16" i="19"/>
  <c r="U15" i="19"/>
  <c r="U14" i="19"/>
  <c r="U13" i="19"/>
  <c r="U12" i="19"/>
  <c r="U10" i="19"/>
  <c r="U9" i="19"/>
  <c r="P77" i="19"/>
  <c r="P67" i="19"/>
  <c r="T64" i="19"/>
  <c r="T55" i="19"/>
  <c r="T46" i="19"/>
  <c r="T47" i="19"/>
  <c r="T56" i="19"/>
  <c r="T39" i="19"/>
  <c r="U101" i="19" l="1"/>
  <c r="Z47" i="19" l="1"/>
  <c r="Z46" i="19"/>
  <c r="V80" i="19"/>
  <c r="P22" i="19" l="1"/>
  <c r="P94" i="19"/>
  <c r="P92" i="19"/>
  <c r="AA62" i="19"/>
  <c r="T31" i="19"/>
  <c r="P100" i="19"/>
  <c r="P97" i="19"/>
  <c r="AA92" i="19"/>
  <c r="P80" i="19"/>
  <c r="T70" i="19"/>
  <c r="T69" i="19"/>
  <c r="T59" i="19"/>
  <c r="T48" i="19"/>
  <c r="T45" i="19"/>
  <c r="P45" i="19"/>
  <c r="T42" i="19"/>
  <c r="Z39" i="19"/>
  <c r="T32" i="19"/>
  <c r="AA30" i="19"/>
  <c r="V23" i="19"/>
  <c r="AA23" i="19" s="1"/>
  <c r="P23" i="19"/>
  <c r="AA22" i="19"/>
  <c r="P21" i="19"/>
  <c r="AA20" i="19"/>
  <c r="P20" i="19"/>
  <c r="P11" i="19"/>
  <c r="AA100" i="19"/>
  <c r="AA97" i="19"/>
  <c r="AA94" i="19"/>
  <c r="AA89" i="19"/>
  <c r="AA83" i="19"/>
  <c r="AA77" i="19"/>
  <c r="AA74" i="19"/>
  <c r="AA71" i="19"/>
  <c r="AA70" i="19"/>
  <c r="Z58" i="19"/>
  <c r="AA57" i="19" s="1"/>
  <c r="AA33" i="19"/>
  <c r="AA28" i="19"/>
  <c r="T25" i="19"/>
  <c r="AA18" i="19"/>
  <c r="AA10" i="19"/>
  <c r="T91" i="19"/>
  <c r="P81" i="19"/>
  <c r="T68" i="19"/>
  <c r="T37" i="19"/>
  <c r="AA9" i="19"/>
  <c r="AA12" i="19"/>
  <c r="AA13" i="19"/>
  <c r="AA14" i="19"/>
  <c r="AA15" i="19"/>
  <c r="AA16" i="19"/>
  <c r="AA17" i="19"/>
  <c r="AA27" i="19"/>
  <c r="Z60" i="19"/>
  <c r="AA60" i="19" s="1"/>
  <c r="AA61" i="19"/>
  <c r="AA73" i="19"/>
  <c r="AA78" i="19"/>
  <c r="AB78" i="19" s="1"/>
  <c r="AA79" i="19"/>
  <c r="AA80" i="19"/>
  <c r="AA82" i="19"/>
  <c r="AA85" i="19"/>
  <c r="AA86" i="19"/>
  <c r="AA87" i="19"/>
  <c r="AA88" i="19"/>
  <c r="AA96" i="19"/>
  <c r="AB96" i="19" s="1"/>
  <c r="AA99" i="19"/>
  <c r="N70" i="19"/>
  <c r="N71" i="19"/>
  <c r="N23" i="19"/>
  <c r="N94" i="19"/>
  <c r="N18" i="19"/>
  <c r="N100" i="19"/>
  <c r="N62" i="19"/>
  <c r="Y101" i="19"/>
  <c r="X101" i="19"/>
  <c r="W101" i="19"/>
  <c r="S101" i="19"/>
  <c r="R101" i="19"/>
  <c r="Q101" i="19"/>
  <c r="N9" i="19"/>
  <c r="N10" i="19"/>
  <c r="N12" i="19"/>
  <c r="N13" i="19"/>
  <c r="N14" i="19"/>
  <c r="N15" i="19"/>
  <c r="N16" i="19"/>
  <c r="N17" i="19"/>
  <c r="N20" i="19"/>
  <c r="N22" i="19"/>
  <c r="N27" i="19"/>
  <c r="N28" i="19"/>
  <c r="N30" i="19"/>
  <c r="N33" i="19"/>
  <c r="N36" i="19"/>
  <c r="N57" i="19"/>
  <c r="N60" i="19"/>
  <c r="N61" i="19"/>
  <c r="N66" i="19"/>
  <c r="N73" i="19"/>
  <c r="N74" i="19"/>
  <c r="N77" i="19"/>
  <c r="N78" i="19"/>
  <c r="N79" i="19"/>
  <c r="N80" i="19"/>
  <c r="N82" i="19"/>
  <c r="N83" i="19"/>
  <c r="N85" i="19"/>
  <c r="N86" i="19"/>
  <c r="N87" i="19"/>
  <c r="N88" i="19"/>
  <c r="N89" i="19"/>
  <c r="N92" i="19"/>
  <c r="N96" i="19"/>
  <c r="N97" i="19"/>
  <c r="N99" i="19"/>
  <c r="A101" i="19"/>
  <c r="AB97" i="19" l="1"/>
  <c r="AB62" i="19"/>
  <c r="AB61" i="19"/>
  <c r="AB83" i="19"/>
  <c r="AB9" i="19"/>
  <c r="AB85" i="19"/>
  <c r="AB22" i="19"/>
  <c r="AB33" i="19"/>
  <c r="AB70" i="19"/>
  <c r="AB23" i="19"/>
  <c r="AB57" i="19"/>
  <c r="AB14" i="19"/>
  <c r="AB88" i="19"/>
  <c r="AB77" i="19"/>
  <c r="AB80" i="19"/>
  <c r="AB87" i="19"/>
  <c r="AB92" i="19"/>
  <c r="AB10" i="19"/>
  <c r="AB71" i="19"/>
  <c r="AB20" i="19"/>
  <c r="AB94" i="19"/>
  <c r="AB60" i="19"/>
  <c r="AB16" i="19"/>
  <c r="AB99" i="19"/>
  <c r="AB79" i="19"/>
  <c r="AB12" i="19"/>
  <c r="AB28" i="19"/>
  <c r="AB13" i="19"/>
  <c r="AB74" i="19"/>
  <c r="AB30" i="19"/>
  <c r="AB82" i="19"/>
  <c r="AB17" i="19"/>
  <c r="AB100" i="19"/>
  <c r="AB18" i="19"/>
  <c r="AB15" i="19"/>
  <c r="AB73" i="19"/>
  <c r="AB86" i="19"/>
  <c r="AB27" i="19"/>
  <c r="AB89" i="19"/>
  <c r="Z101" i="19"/>
  <c r="AA66" i="19"/>
  <c r="P101" i="19"/>
  <c r="N101" i="19"/>
  <c r="T101" i="19"/>
  <c r="V101" i="19"/>
  <c r="AB36" i="19" l="1"/>
  <c r="AB66" i="19"/>
  <c r="AA101" i="19"/>
</calcChain>
</file>

<file path=xl/sharedStrings.xml><?xml version="1.0" encoding="utf-8"?>
<sst xmlns="http://schemas.openxmlformats.org/spreadsheetml/2006/main" count="873" uniqueCount="316">
  <si>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</si>
  <si>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</si>
  <si>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</si>
  <si>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</si>
  <si>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</si>
  <si>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</si>
  <si>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</si>
  <si>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</si>
  <si>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</si>
  <si>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</si>
  <si>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</si>
  <si>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</si>
  <si>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</si>
  <si>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</si>
  <si>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</si>
  <si>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</si>
  <si>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</si>
  <si>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</si>
  <si>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</si>
  <si>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</si>
  <si>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</si>
  <si>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</si>
  <si>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</si>
  <si>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</si>
  <si>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</si>
  <si>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</si>
  <si>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</si>
  <si>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</si>
  <si>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</si>
  <si>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</si>
  <si>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</si>
  <si>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</si>
  <si>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</si>
  <si>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</si>
  <si>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</si>
  <si>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</si>
  <si>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</si>
  <si>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</si>
  <si>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</si>
  <si>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</si>
  <si>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</si>
  <si>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</si>
  <si>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</si>
  <si>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BUCARAMANGA CIUDAD VITAL: LA VIDA ES SAGRADA</t>
  </si>
  <si>
    <t>Bucaramanga Segura</t>
  </si>
  <si>
    <t>Prevención Del Delito</t>
  </si>
  <si>
    <t>PENDIENTE POR ADICIONAR</t>
  </si>
  <si>
    <t>Aceleradores De Desarrollo Social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</si>
  <si>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</si>
  <si>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</si>
  <si>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Mantener el 100% de los programas que desarrolla la Administración Central.</t>
  </si>
  <si>
    <t>Porcentaje de programas que desarrolla la Administración Central mantenidos.</t>
  </si>
  <si>
    <t>Sec. Interior</t>
  </si>
  <si>
    <t>BUCARAMANGA SOSTENIBLE: UNA REGIÓN CON FUTURO</t>
  </si>
  <si>
    <t>Bucaramanga Gestiona El Riesgo De Desastre Y Se Adapta Al Proceso De Cambio Climático</t>
  </si>
  <si>
    <t>Conocimiento Del Riesgo Y Adaptación Al Cambio Climático</t>
  </si>
  <si>
    <t>Actualizar e implementar el Plan Municipal de Gestión de Riesgo y su Adaptación al Cambio Climático y la Política Pública de Gestión de Riesgo y Adaptación al Cambio Climático.</t>
  </si>
  <si>
    <t>Número de Planes Municipales de Gestión de Riesgo y su Adaptación al Cambio Político y Políticas Públicas de de Gestión de Riesgo y Adaptación al Cambio Climático actualizados e implementados.</t>
  </si>
  <si>
    <t>APOYO AL CONOCIMIENTO OPERATIVO DE LA UNIDAD DE GESTIÓN DEL RIESGO. EMERGENCIAS Y DESASTRES PARA RESPUESTA A LOS EFECTOS DEL CAMBIO CLIMÁTICO EN EL MUNICIPIO DE BUCARAMANGA</t>
  </si>
  <si>
    <t>Mejorar la capacidad operativa de la Unidad Municipal de gestión del Riesgo y Desastre para la respuesta eficiente a los eventos de desastre natural y otros en el municipio de Bucaramanga.</t>
  </si>
  <si>
    <t>Realizar 9 estudios en áreas o zonas con situaciones de riesgo.</t>
  </si>
  <si>
    <t>Número de estudios en áreas o zonas con situaciones de riesgo realizados.</t>
  </si>
  <si>
    <t>Adquirir 5 Sistema de Alertas Tempranas e Innovación para la gestión del riesgo.</t>
  </si>
  <si>
    <t>Número de Sistemas de Alertas Tempranas e Innovación adquiridos para la gestión del riesgo.</t>
  </si>
  <si>
    <t>2.3.2.02.02.008.4503019.588 - $90.000.000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</si>
  <si>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</si>
  <si>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</si>
  <si>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>Número de estrategias de respuesta a emergencia - EMRE que contenga el protocolo de atención de emergencias por calidad del aire formuladas e implementadas.</t>
  </si>
  <si>
    <t xml:space="preserve">Fortalecer 30 instancias sociales del Sistema Municipal de Gestión de Riesgo. </t>
  </si>
  <si>
    <t>Número instancias sociales fortalecidas del Sistema Municipal de Gestión de Riesgo.</t>
  </si>
  <si>
    <t>Intervenir estratégicamente 6 zonas de riesgo de desastre.</t>
  </si>
  <si>
    <t>Número de zonas de riesgo de desastre intervenidas estratégicamente.</t>
  </si>
  <si>
    <t>Realizar 1 inventario municipal de asentamientos humanos localizados en zonas de alto riesgo no mitigable.</t>
  </si>
  <si>
    <t>Número de inventarios municipales de asentamientos humanos localizados en zonas de alto riesgo no mitigable realizados.</t>
  </si>
  <si>
    <t>Mantener la atención al 100% de las familias en emergencias naturales y antrópicas.</t>
  </si>
  <si>
    <t>Porcentaje de familias atendidas en emergencias naturales y antrópicas.</t>
  </si>
  <si>
    <t>Manejo Del Riesgo Y Adaptación Al Cambio Climático</t>
  </si>
  <si>
    <t>Mantener la atención integral al 100% de las emergencias y desastres ocurridas en el municipio.</t>
  </si>
  <si>
    <t>Porcentaje de emergencias y desastres ocurridas en el municipio atendidas integralmente.</t>
  </si>
  <si>
    <t>SUBSIDIO Y ASIGNACIÓN DE RECURSOS COMPLEMENTARIOS PARA ATENDER EMERGENCIAS Y EVENTOS NATURALES EN EL MUNICIPIO DE BUCARAMANGA</t>
  </si>
  <si>
    <t>Espacio Público Vital</t>
  </si>
  <si>
    <t>Equipamiento Comunitario</t>
  </si>
  <si>
    <t>Mantener las 4 Plazas de Mercado administradas por el Municipio.</t>
  </si>
  <si>
    <t>Número de plazas de mercado administradas por el Municipio mantenidas.</t>
  </si>
  <si>
    <t>FORTALECIMIENTO A LA OPERATIVIDAD DE LOS CENTROS DE ACOPIO A CARGO DEL MUNICIPIO DE BUCARAMANGA</t>
  </si>
  <si>
    <t>Garantizar una eficaz gestión y funcionamiento de las plazas de mercado que se encuentran bajo la administración de la Alcaldía de Bucaramanga.</t>
  </si>
  <si>
    <t>Formular e implementar 1 programa de gestores de convivencia.</t>
  </si>
  <si>
    <t>Número de programas de gestores de convivencia formulados e implementados.</t>
  </si>
  <si>
    <t>APOYO A LA RECUPERACIÓN, CONTROL Y PRESERVACIÓN DEL ESPACIO PÚBLICO EN EL MUNICIPIO DE BUCARAMANGA</t>
  </si>
  <si>
    <t>Reducir la invasión y el uso inadecuado del espacio público en la ciudad de Bucaramanga.</t>
  </si>
  <si>
    <t>IMPLEMENTACIÓN DE ACCIONES E INICIATIVAS SOCIALES PARA RESOLUCIÓN PACÍFICA DE CONFLICTOS Y LA SANA CONVIVENCIA EN LA CIUDAD DE BUCARAMANGA</t>
  </si>
  <si>
    <t xml:space="preserve">Promover la resolución pacífica de conflictos sociales  a través de acciones para la sana convivencia de las diferentes comunas y corregimientos de la ciudad de Bucaramanga. </t>
  </si>
  <si>
    <t>IMPLEMENTACIÓN DE ACCIONES SOCIALES Y CULTURALES PARA LA GESTIÓN DE LA CONVIVENCIA EN EL MUNICIPIO DE BUCARAMANGA</t>
  </si>
  <si>
    <t>Disminuir la prevalencia de conflictos sociales derivados de la frágil convivencia ciudadana en el municipio de Bucaramanga.</t>
  </si>
  <si>
    <t>Intervenir 10 puntos críticos de criminalidad con acciones integrales.</t>
  </si>
  <si>
    <t>Número de puntos críticos de criminalidad intervenidos con acciones integrales.</t>
  </si>
  <si>
    <t>Promoción De La Seguridad Ciudadana, El Orden Público Y La Convivencia</t>
  </si>
  <si>
    <t>Desarrollar e implementar 1 protocolo para la coordinación de acciones de respeto y garantía a la protesta pacífica.</t>
  </si>
  <si>
    <t>Número de protocolos desarrollados e implementados para la coordinación de acciones de respeto y garantía a la protesta pacífica.</t>
  </si>
  <si>
    <t>2.3.2.02.02.008.4501004.204 - $ 35.200.000</t>
  </si>
  <si>
    <t>Fortalecimiento Institucional A Los Organismos De Seguridad</t>
  </si>
  <si>
    <t>Formular e implementar el Plan Integral de Seguridad y Convivencia Ciudadana (PISCC) en conjunto con las entidades pertinentes.</t>
  </si>
  <si>
    <t>Número de Planes Integral de Seguridad y Convivencia Ciudadana (PISCC) formulados e implementados en conjunto con las entidades pertinentes.</t>
  </si>
  <si>
    <t>ADECUACIÓN DE SALAS DE PASO, ATENCIÓN AL USUARIO Y UNIDAD DE REACCIÓN INMEDIATA DE LA SEDE PRINCIPAL DE LA FISCALÍA GENERAL DE LA NACIÓN EN BUCARAMANGA</t>
  </si>
  <si>
    <t xml:space="preserve">Mejorar la infraestructura física de algunas instalaciones donde opera y presta el servicio la Fiscalía General de la Nación en el municipio de Bucaramanga, buscando una eficiente prestación del servicio en el marco del orden público. </t>
  </si>
  <si>
    <t>ADQUISICIÓN DE VEHÍCULOS PARA EL TRANSPORTE DE TROPA DEL BATALLÓN DE SERVICIOS N° 5 “MERCEDES ABREGO” DEL MUNICIPIO DE BUCARAMANGA</t>
  </si>
  <si>
    <t>ADECUACIÓN DE SALA TRANSITORIA, ANTEJARDÍN Y OFICINAS ADMINISTRATIVAS DEL CENTRO FACILITADOR DE SERVICIOS MIGRATORIOS – CFSM DE MIGRACIÓN COLOMBIA – REGIONAL ORIENTE EN EL MUNICIPIO DE BUCARAMANGA</t>
  </si>
  <si>
    <t>Mejorar la prestación del servicio del usuario y ciudadano del CFSM de Bucaramanga, a través de la adecuación de las condiciones físicas del CFSM para la atención de trámites migratorios y retención temporal de ciudadanos extranjeros por parte de Migración Colombia en el Municipio de Bucaramanga.</t>
  </si>
  <si>
    <t>IMPLEMENTACIÓN DE ACCIONES PARA SALVAGUARDAR LA INTEGRIDAD Y SEGURIDAD DE LA OPERATIVIDAD DEL PERSONAL DE LA POLICÍA METROPOLITANA DE BUCARAMANGA</t>
  </si>
  <si>
    <t xml:space="preserve">Aumentar el nivel de protección y seguridad de la integridad física de los miembros de la policía metropolitana de Bucaramanga </t>
  </si>
  <si>
    <t>FORTALECIMIENTO A LAS ESTRATEGIAS DE ORDEN PÚBLICO EN EL MARCO DEL PLAN INTEGRAL DE SEGURIDAD Y CONVIVENCIA CIUDADANA PISCC DEL MUNICIPIO DE BUCARAMANGA.</t>
  </si>
  <si>
    <t>Mejorar las condiciones de seguridad y convivencia ciudadana en el municipio de Bucaramanga.</t>
  </si>
  <si>
    <t>IMPLEMENTACIÓN DE ACCIONES PARA EL MEJORAMIENTO DE LA OPERATIVIDAD SISTEMAS DE INFORMACIÓN Y TECNOLOGIA DE LOS CENTROS DE INFORMACIÓN ESTRATEGICA POLICIA SECCIONAL CIEPS DEL MUNICIPIO DE BUCARAMANGA</t>
  </si>
  <si>
    <t>Mejorar la operatividad de los sistemas de información para el desarrollo de las acciones encaminadas a la vigilancia, seguridad y convivencia ciudadana de los centros de información estratégica policial seccional CIEPS de la metropolitana de Bucaramanga.</t>
  </si>
  <si>
    <t>IMPLEMENTACIÓN DE ACCIONES PARA EL MEJORAMIENTO DE LA CONSOLIDACIÓN Y MANEJO DE DATOS DEL OBSERVATORIO DE LA INFORMACIÓN ASOCIADA A LA SEGURIDAD Y CONVIVENCIA CIUDADANA EN EL MUNICIPIO DE BUCARAMANGA</t>
  </si>
  <si>
    <t>Mejorar la capacidad operativa para la consolidación y reporte de los datos de criminalidad del observatorio de seguridad y convivencia ciudadana del municipio de Bucaramanga.</t>
  </si>
  <si>
    <t>FORTALECIMIENTO DEL PROGRAMA “TOLERANCIA EN MOVIMIENTO", COMO PARTE DE LA POLÍTICA PÚBLICA DE SEGURIDAD Y CONVIVENCIA CIUDADANA DEL MUNICIPIO DE BUCARAMANGA</t>
  </si>
  <si>
    <t>Reducir los índices de inseguridad ciudadana e intolerancia social en el municipio de Bucaramanga.</t>
  </si>
  <si>
    <t>Mantener el Programa de Tolerancia en Movimiento con el objetivo de fortalecer la convivencia y seguridad ciudadana.</t>
  </si>
  <si>
    <t>Número de Programas de Tolerancia en Movimiento mantenidos con el objetivo de fortalecer la convivencia y seguridad ciudadana.</t>
  </si>
  <si>
    <t>Promoción De Los Métodos De Resolución De Conflictos, Acceso A La Justicia Y Aplicación De La Justicia Restaurativa</t>
  </si>
  <si>
    <t>Mantener la casa de justicia como espacio de atención y descongestión de los servicios de justicia garantizando la asesoría de las personas que solicitan el servicio.</t>
  </si>
  <si>
    <t>Número de casas de justicia mantenidas como espacio de atención y descongestión de los servicios de justicia garantizando la asesoría de las personas que solicitan el servicio.</t>
  </si>
  <si>
    <t>2.3.7.06.02.4599002.601 - $ 220.000</t>
  </si>
  <si>
    <t xml:space="preserve">Formular e implementar 1 estrategia de promoción y efectividad del Código Nacional de Seguridad y Convivencia Ciudadana. </t>
  </si>
  <si>
    <t xml:space="preserve">Número de estrategias formuladas e implementadas de promoción y efectividad del Código Nacional de Seguridad y Convivencia Ciudadana. </t>
  </si>
  <si>
    <t>Formular e implementar 1 estrategia orientada a erradicar la violencia y fortalecer la protección en niños, niñas y adolescentes, mujeres, líderes sociales y personas mayores en entornos de violencia.</t>
  </si>
  <si>
    <t>Número de estrategias formuladas e implementadas orientadas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</si>
  <si>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</si>
  <si>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Número de hogares de paso para las niñas y niños en riesgo y/o vulnerabilidad mantenidos.</t>
  </si>
  <si>
    <t>FORTALECIMIENTO DEL HOGAR DE PASO PARA PROTECCIÓN DE NIÑOS, NIÑAS Y ADOLESCENTES DEL MUNICIPIO DE BUCARAMANGA</t>
  </si>
  <si>
    <t>Garantizar la prestación del servicio mediante la modalidad de hogar de paso como medida de protección provisional de niñas, niños y adolescente con derechos amenazados y/o vulnerados y en estado de inobservancia del municipio de Bucaramanga.</t>
  </si>
  <si>
    <t>Mantener la adquisición del 100% las herramientas de innovación, ciencia y tecnología aprobadas a los organismos de orden público en marco de una ciudad inteligente.</t>
  </si>
  <si>
    <t>Porcentaje de herramientas de innovación, ciencia y tecnología adquiridas aprobadas a los organismos de orden público en marco de una ciudad inteligente.</t>
  </si>
  <si>
    <t>Mantener en funcionamiento el Circuito Cerrado de Televisión.</t>
  </si>
  <si>
    <t>Número de Circuitos Cerrados de Televisión en funcionamiento.</t>
  </si>
  <si>
    <t>MANTENIMIENTO AL CIRCUITO CERRADO DE TELEVISIÓN CCTV PARA LAS ACCIONES DE VIGILANCIA EN EL MUNICIPIO DE BUCARAMANGA</t>
  </si>
  <si>
    <t>Mantener en óptimas condiciones el CCTV para la vigilancia, control y seguimiento de la inseguridad en el municipio de Bucaramanga.</t>
  </si>
  <si>
    <t>Formular e implementar el plan de acción para la habilitación  del Centro de Traslado por Protección - CTP en cumplimiento por el Código Nacional de Seguridad y Convicencia Ciudadana.</t>
  </si>
  <si>
    <t>Número de planes de acción formulados e implementados para la habilitación  del Centro de Traslado por Protección - CTP en cumplimiento por el Código Nacional de Seguridad y Convicencia Ciudadana.</t>
  </si>
  <si>
    <t>Formular e implementar 1 estrategia para mejorar la prestación del servicio de las inspecciones de policía y el seguimiento a los procesos policivos.</t>
  </si>
  <si>
    <t>Número de estrategias formuladas e implementadas para mejorar la prestación del servicio de las inspecciones de policía y el seguimiento a los procesos policivos.</t>
  </si>
  <si>
    <t>2.3.7.06.02.4599002.601 - $ 1.133.333</t>
  </si>
  <si>
    <t>FORTALECIMIENTO DE LA CAPACIDAD INSTITUCIONAL A INSPECCIONES Y COMISARIAS DEL MUNICIPIO DE BUCARAMANGA</t>
  </si>
  <si>
    <t>Mejorar la capacidad operativa para la descongestión y atención de los procesos policivo de las Inspecciones y Comisarías del municipio de Bucaramanga.</t>
  </si>
  <si>
    <t>Mantener y fortalecer la prestación integral del servicio en las 3 comisarías de familia para prevenir la violencia intrafamiliar.</t>
  </si>
  <si>
    <t>Número de comisarías de familia mantenidas con la prestación integral del servicio para prevenir la violencia intrafamiliar.</t>
  </si>
  <si>
    <t>Crear y mantener 1 observatorio de convivencia y seguridad ciudadana.</t>
  </si>
  <si>
    <t>Número de observatorios de convivencia y seguridad ciudadana creados y mantenidos.</t>
  </si>
  <si>
    <t>Formular 1 estrategia de diagnóstico y abordaje de las conflictividades sociales.</t>
  </si>
  <si>
    <t>Número de estrategias de diagnóstico y abordaje de las conflictividades sociales formuladas e implementadas.</t>
  </si>
  <si>
    <t>Formular e implementar 1 estrategia de promoción comunitaria de los mecanismos alternativos de solución de conflictos y  aplicación de la justicia restaurativa.</t>
  </si>
  <si>
    <t>Número de estrategias de  promoción comunitaria de los mecanismos alternativos de solución de conflictos y de aplicación de la justicia restaurativa formuladas e implementadas.</t>
  </si>
  <si>
    <t>En Bucaramanga Construimos Un Territorio De Paz</t>
  </si>
  <si>
    <t>Transformando Vidas</t>
  </si>
  <si>
    <t>Formular e implementar 1 plan de acción con la Agencia para la Reincorporación y la Normalización - ARN.</t>
  </si>
  <si>
    <t xml:space="preserve">Número de planes de acción formulados e implementados concon la Agencia para la Reincorporación y la Normalización - ARN. </t>
  </si>
  <si>
    <t>POR DEFINIR</t>
  </si>
  <si>
    <t xml:space="preserve">Mantener la atención integral al 100% de la población adolescente en conflicto con la ley penal. </t>
  </si>
  <si>
    <t>Porcentaje de población adolescente en conflicto con la ley penal mantenidos con atención integal.</t>
  </si>
  <si>
    <t>Desarrollar 4 iniciativas para la prevención de la trata de personas y explotación sexual comercial de niñas, niños y adolescentes.</t>
  </si>
  <si>
    <t>Número de iniciativas desarrolladas para la prevención de la trata de personas y explotación sexual comercial en niñas, niños y adolescentes.</t>
  </si>
  <si>
    <t>Atención A Víctimas Del Conflicto Armado</t>
  </si>
  <si>
    <t>Formular e implementar el Plan de Acción Territorial.</t>
  </si>
  <si>
    <t>Número de Planes de Acción Territorial formulados e implementados.</t>
  </si>
  <si>
    <t>FORTALECIMIENTO A LA ATENCIÓN INTEGRAL DE LA POBLACIÓN VICTIMA DEL CONFLICTO ARMADO EN EL MUNICIPIO DE BUCARAMANGA</t>
  </si>
  <si>
    <t xml:space="preserve">Alcanzar en el CAIV altos niveles de atención, asistencia y reparación integral  a la población víctima del conflicto armado reubicadas en el municipio de Bucaramanga. </t>
  </si>
  <si>
    <t>Formular e implementar el Plan Integral de prevención de violaciones a derechos humanos e infracciones al derecho internacional humanitario.</t>
  </si>
  <si>
    <t>Número de Planes Integrales de prevención de violaciones a derechos humanos e infracciones al derecho internacional humanitario formulados e implementados.</t>
  </si>
  <si>
    <t>Mantener la ayuda y atención humanitaria de emergencia y en transición al 100% de la población víctima del conflicto interno armado que cumpla con los requisitos de ley.</t>
  </si>
  <si>
    <t>Porcentaje de población víctima del conflicto interno armado que cumpla con los requisitos de ley con ayuda humanitaria de emergencia y en transición .</t>
  </si>
  <si>
    <t>2.3.2.02.02.009.4101031.201 - $280.000.000</t>
  </si>
  <si>
    <t>Mantener la asistencia funeraria al 100% de la población víctima del conflicto que cumpla con los requisitos de ley.</t>
  </si>
  <si>
    <t>Porcentaje de población víctima del conflicto que cumpla con los requisitos de ley con asistencia funeraria.</t>
  </si>
  <si>
    <t>2.3.2.02.02.009.4101031.201 - $70.000.000</t>
  </si>
  <si>
    <t>Mantener las medidas de protección para prevenir riesgos y proteger a víctimas del conflicto interno armado al 100% de las solicitudes que cumplan con los requisitos de ley.</t>
  </si>
  <si>
    <t>Porcentaje de solicitudes que cumplan con los requisitos de ley con medidas de protección mantenidas para prevenir riesgos y proteger a víctimas del conflicto interno armado.</t>
  </si>
  <si>
    <t>2.3.2.02.02.009.4101031.201 - $10.000.000</t>
  </si>
  <si>
    <t>Mantener el Centro de Atención Integral a Víctimas del conflicto interno - CAIV.</t>
  </si>
  <si>
    <t>Número de Centros de Atención Integral para las Víctimas del conflicto interno mantenidos.</t>
  </si>
  <si>
    <t>2.3.7.06.02.4599002.601 - $ 5.633.333</t>
  </si>
  <si>
    <t>Realizar 4 iniciativas encaminadas a generar garantías de no repetición, memoria histórica y medidas de satisfacción a víctimas del conflicto interno armado.</t>
  </si>
  <si>
    <t>Número de iniciativas realizadas encaminadas a generar garantías de no repetición, memoria histórica y medidas de satisfacción a víctimas del conflicto interno armado.</t>
  </si>
  <si>
    <t>Mantener el 100% de los espacios de participación de las víctimas del conflicto establecidos por la ley en la implementación de la política pública de víctimas.</t>
  </si>
  <si>
    <t>Porcentaje de espacios de participación de las víctimas del conflicto establecidos por la ley en la implementación de la política pública de víctimas mantenidos.</t>
  </si>
  <si>
    <t>Sistema Penitenciario Carcelario En El Marco De Los Derechos Humanos</t>
  </si>
  <si>
    <t>Formular e implementar 1 plan de acción con el Instituto Nacional Penitenciario y Carcelario - INPEC para construir la red de apoyo intersectorial de la casa de libertad.</t>
  </si>
  <si>
    <t>Número de planes de acción formulados e implementados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</si>
  <si>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</si>
  <si>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Número de jornadas desarrolladas tendientes a garantizar los derechos humanos para la población carcelaria.</t>
  </si>
  <si>
    <t>APOYO A LA POBLACIÓN CARCELARIA DEL MUNICIPIO DE BUCARAMANGA</t>
  </si>
  <si>
    <t>Fortalecer los servicios de apoyo psicosocial, jurídico y educativo de la población privada de la libertad en el municipio de Bucaramanga.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</si>
  <si>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</si>
  <si>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</si>
  <si>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Número de programas diseñados e implementados que promuevan las acciones para el reconocimiento y participación de las formas asociativas de la sociedad civil basadas en los principios de libertad religiosa de cultos y conciencia.</t>
  </si>
  <si>
    <t>Mejorar la capacidad y eficiencia en la prestación de los servicios ofertados por la Secretaría del Interior para la ciudadanía del municipio de Bucaramanga.</t>
  </si>
  <si>
    <t xml:space="preserve"> PLAN DE ACCIÓN - PLAN DE DESARROLLO MUNICIPAL
SECRETARÍA DEL INTERIOR</t>
  </si>
  <si>
    <t>Melissa Franco Garcia</t>
  </si>
  <si>
    <t>IMPLEMENTACIÓN DE ACCIONES PARA EL MEJORAMIENTO DE LA OPERATIVIDAD Y EL TRANSPORTE DE PERSONAL EN LOS ORGANISMOS DE SEGURIDAD DEL MUNICIPIO DE BUCARAMANGA.</t>
  </si>
  <si>
    <t>2.3.2.02.02.008.4501029.201 - $ 20.000.000</t>
  </si>
  <si>
    <t>DESARROLLO DE ESTRATEGIAS PARA LA PREVENCIÓN DE DELITOS EN NIÑO, NIÑAS, ADOLESCENTES Y JOVENES EN LA CIUDAD DE BUCARAMANGA</t>
  </si>
  <si>
    <t>Promoveer programas de prevención en incurrencia de delitos como hurtos, riñas, trafico de estupefacientes, lesiones personales, violencia intrafamiliar para niños, niñas, adolescentes y jovenes en el Municipio de Bucaramanga.</t>
  </si>
  <si>
    <t>2.3.2.02.02.008.4501056.537 - $10.000.000</t>
  </si>
  <si>
    <t>2.3.2.02.01.003.4501056.536 - $21.678.600</t>
  </si>
  <si>
    <t>Brindar la respuesta oportuna en el manejo, atención de eventos de emergencias y desastres naturales en la ciudad de bucaramanga</t>
  </si>
  <si>
    <t>IMPLEMENTACIÓN DE ACCIONES DE SEGURIDAD PARA AUMENTAR LA CAPACIDAD OPERATIVA DE LA POLICIA METROPOLITANA DE BUCARAMANGA</t>
  </si>
  <si>
    <t>Articular las acciones de seguridad ciudadana ejecutadas por el MEBUC</t>
  </si>
  <si>
    <t>Mejorar la eficiencia en la atención y prestación de los servicios de las comisarias de familia e inspecciones de policia en la ciudadania de Bucaramanga</t>
  </si>
  <si>
    <t xml:space="preserve">MEJORAMIENTO Y OBRAS COMPLEMENTARIAS A LAS INTALACIONES DEL CENTRO DE INTERNAMIENTO PREVENTIVO CIP LA JOYA PARA EL FUNCIONAMIENTO DEL SISTEMA DE RESPONSABILIDAD PENAL ADOLESCENTE EN EL MUNICIPIO DE BUCARAMANGA </t>
  </si>
  <si>
    <t xml:space="preserve">Mejorar la infraestructura fisica de algunas instalaciones donde opera y presta servicio el Centro de Internamiento Preventivo CIP La Joya para el Sistema de Responsabilidad Penal Adolescente para el municipio de Bucaramanga </t>
  </si>
  <si>
    <t xml:space="preserve">FORTALECIMIENTO A LA GESTIÓN OPERATIVA PARA LA EFICIENCIA DE LA PRESTACIÓN DE SERVICIOS DE LA SECRETARIA DEL INTERIOR DIRIGIDOS A LA CIUDADANÍA DEL MUNICIPIO DE BUCARAMANGA. </t>
  </si>
  <si>
    <t>Aumentar la oferta de programas para la previción y protección del delito de trata de personas en la ciudad de Bucaramanga.</t>
  </si>
  <si>
    <t>MEJORAMIENTO DE LAS ESTRATEGIAS ORIENTADAS A LA PROTECCIÓN, PREVENCIÓN Y MITIGACIÓN DE LA VIOLENCIA INTRAFAMILIAR Y DE GÉNERO PARA POBLACIÓN VULNERABLE EN EL MUNICIPIO DE BUCARAMANGA.</t>
  </si>
  <si>
    <t>Aumentar las estrategias orientadas a la población, prevención y mitigación de la violencia intrafamiliar  se genero para población vulnerable en el municipio de Bucarmanga.</t>
  </si>
  <si>
    <t>2.3.2.02.02.008.1202034.201 - $6.250.000</t>
  </si>
  <si>
    <t>2.3.2.02.02.008.1202034.201 - $25.000.000</t>
  </si>
  <si>
    <t>FORTALECIMIENTO A LOS ORGANISMOS DE SEGURIDAD CON LOS ELEMENTOS NECESARIOS PARA LA REALIZACIÓN DE LAS FUNCIONES DEL MUNICIPIO DE BUCARAMANGA</t>
  </si>
  <si>
    <t>Mejorar la eficiencia en atención a susecos delictivos y/o de criminalidad en general por parte de los organismos de seguridad en la ciudad de Bucaramanga.</t>
  </si>
  <si>
    <t>2.3.2.02.02.008.4501004.504 - $17.750.000</t>
  </si>
  <si>
    <t>2.3.2.02.02.008.4501004.504 - $28.250.000</t>
  </si>
  <si>
    <t>2.3.2.02.02.008.4501004.504 - $52.000.000</t>
  </si>
  <si>
    <t>2.3.2.02.02.008.4501004.504 - $324.816..667</t>
  </si>
  <si>
    <t>2.3.2.02.02.008.4501004.504 -$99.850.000</t>
  </si>
  <si>
    <t>2.3.2.02.02.008.4501004.504 -$636.600.000</t>
  </si>
  <si>
    <t>IMPLEMENTACIÓN Y PUESTA EN MARCHA DEL SISTEMA DE ALERTAS TEMPRANAS PARA LA PREVENCIÓN OPORTUNA DE LOS EVENTOS NATURALES ASOCIADOS A LA GESTIÓN DEL RIESGO Y DESASTRE EN EL MUNICIPIO DE BUCARAMANGA</t>
  </si>
  <si>
    <t xml:space="preserve">IMPLEMENTACIÓN DE ACCIONES DE FORTALECIMIENTO A LA GESTIÓN DEL RIESGOS DE DESASTRES EN EL MUNICIPIO DE BUCARAMANGA </t>
  </si>
  <si>
    <t>Aumentar la eficacia en la respuesta a la atención de personas en caso de riesgos de desastres.</t>
  </si>
  <si>
    <t>2.3.2.02.01.003.4503004.201 - $572.298.800</t>
  </si>
  <si>
    <t>2.3.2.02.02.008.4503004.201 - $ 354.701.511</t>
  </si>
  <si>
    <t>Mejorar la operatividad de los sistemas de información para el desarrollo operaciones de inteligencia de la seccional de investigación criminal sijin, del laboratorio de policia cientifica criminalistica y del sistema integrado de seguridad rural del la Policia Metropolitana de Bucaamanga.</t>
  </si>
  <si>
    <t xml:space="preserve">2.3.2.01.01.003.03.02.4599007.504  - $ 1.664.925.590 </t>
  </si>
  <si>
    <t>Mejorar la seguridad en el área de influencia del distrito 1 de la Policia Metropolitana de Bucaramanga.</t>
  </si>
  <si>
    <t xml:space="preserve">2.3.2.01.01.003.03.02.4501056.204 - $ 1.549.407.553 </t>
  </si>
  <si>
    <t xml:space="preserve">MEJORAMIENTO Y OBRAS COMPLEMENTARIAS A LAS INSTALACCIONES DE LAS SEDE FUERTE NORTE PERTENECIMIENTO AL DISTRITO 1 DE LA POLICIA METROPOLITANA DE BUCARAMANGA </t>
  </si>
  <si>
    <t xml:space="preserve">MEJORAMIENTO Y OBRAS COMPLEMENTARIAS PARA ALOJAMIENTO DEL BATALLÓN DE INGENIEROS NO. 5 CORONEL FRANCISCO JOSÉ DE CALDAS DEL MUNICIPIO DE BUCARAMANGA. </t>
  </si>
  <si>
    <t>Mejorar la indraestructura fisica del alojamiento del batallon de ingenieros No. 5 Coronel Francisco José de Caldas del Municipio de Bucaramanga.</t>
  </si>
  <si>
    <t>2.3.2.02.02.008.4502017.201 - $53.720.567</t>
  </si>
  <si>
    <t>2.3.2.02.02.008.4101023.201 - $24.300.000</t>
  </si>
  <si>
    <t>2.3.2.01.01.003.01.06.4101018.201 - $ 4.400.000</t>
  </si>
  <si>
    <t>2.3.2.02.02.008.1206007.201 - $49.082</t>
  </si>
  <si>
    <t>2.3.2.02.02.006.4102037.201 - $355.773.880</t>
  </si>
  <si>
    <t>2.3.2.02.02.006.4102037.201 - $4.226.120</t>
  </si>
  <si>
    <t xml:space="preserve">IMPLEMENTACIÓN DE ACCIONES PARA LA RENOVACIÓN DE LOS EQUIPOS TECNOLÓGICOS Y SISTEMAS DE INFORMACIÓN PARA LAS DIFERENTES ÁREAS DE INVESTIGACIÓN DE LA FISCALÍA GENERAL DE LA NACIÓN SEDE BUCARAMANGA. </t>
  </si>
  <si>
    <t>Mejorar la eficiencia en el análisis y procesamiento de la información de los procesos de investigación judicial y en el manejo de los Elementos Materiales Probatorios (EMP) y evidencia física (EF) que adelanta la Fiscalía General de la Nación sede Bucaramanga. </t>
  </si>
  <si>
    <t xml:space="preserve">2.3.2.01.01.003.02.08.4501004.504 - $ 1.058.783.380 </t>
  </si>
  <si>
    <t>2.3.2.02.02.008.4501056.204 - $685.500.000</t>
  </si>
  <si>
    <t xml:space="preserve">FORTALECIMIENTO DE LAS COMUNICACIONES Y LOS MECANISMOS PARA LA PROMOCIÓN Y GARANTIA DE LA TRANSPARENCIA ACCESO A LA INFORMACIÓN PÚBLICA Y LUCHA CONTRA LA CORRUPCIÓN EN EL MUNICIPIO DE BUCARAMANGA </t>
  </si>
  <si>
    <t>2.3.2.02.02.008.4599025.201 - $ 85.000.000</t>
  </si>
  <si>
    <t xml:space="preserve">APOYO FINANCIERO PARA LA ENTREGA DE REECOMPENZAS A INFORMANTE DE LA POLICIA METROPOLITANA DE BUCARAMANGA </t>
  </si>
  <si>
    <t>FORTALECIMIENTO DEL PLAN DE BIENESTAR DE LA POLICIA METROPOLITANA DE BUCARAMANGA</t>
  </si>
  <si>
    <t>Mejoar la capacidad de respuesta a traves de la prestación del servicio de transporte de la tropa del batallón servicios n° 5 “Mercedes Abrego” del municipio de Bucaramanga.</t>
  </si>
  <si>
    <t>Mejorar la operatividad de los organismos encargados del orden publico mediante la actualización del parque automotor y equipos para tareas especiales en la atención de eventos delictivos o de criminalidad.</t>
  </si>
  <si>
    <t>Implementar acciones para la disminución de factores de riesgo psicosocial o retiros en la Policia Nacional de Municipio de Bucaramanga.</t>
  </si>
  <si>
    <t>Promover la disminución del accionar de las organizaciónes de la ley a través del pago de recompensas de el Municipio de Bucaramanga.</t>
  </si>
  <si>
    <t>2.3.2.02.01.003.4503004.201 - $8.000.000</t>
  </si>
  <si>
    <t>2.3.2.02.01.003.4503004.201- $8.000.000</t>
  </si>
  <si>
    <t>2.3.2.02.02.008.4599025.201 - $100.000.000</t>
  </si>
  <si>
    <t>PASIVOS EXIGIBLES</t>
  </si>
  <si>
    <t>2.3.2.02.01.003.4501029.201 - $30.000.000</t>
  </si>
  <si>
    <t>2.3.2.01.01.003.07.01.4501056.204 - $347.157.800</t>
  </si>
  <si>
    <t>2.3.2.02.02.008.4501056.204 - $1.026.502.282.51</t>
  </si>
  <si>
    <t>2.3.2.02.02.008.4501056.204 - $86.602.944.37</t>
  </si>
  <si>
    <t xml:space="preserve">2.3.2.02.02.008.4599016.504 - $644.732.830.95 </t>
  </si>
  <si>
    <t>2.3.2.02.02.008.4599016.504 - $ 632.326.520.46</t>
  </si>
  <si>
    <t>2.3.2.02.02.009.4501056.264 - $70.000.000</t>
  </si>
  <si>
    <t>2.3.2.01.01.003.03.02.4501056.536 - $10.012.145</t>
  </si>
  <si>
    <t>2.3.2.02.02.006.4102046.201 - $ 1.849.121.351.05</t>
  </si>
  <si>
    <t>2.3.2.02.01.003.4501004.504 -$505.578850</t>
  </si>
  <si>
    <t>DESARROLLO DE ACCIONES PARA LA IDENTIFICACIÓN Y PREVENCIÓN DE CASOS DE NIÑOS, NIÑAS Y ADOLESCENTES VINCULADOS A DELITOS Y CONTRAVENCIONES DENTRO Y FUERA DE LAS INSTITUCIONES EDUCATIVAS DEL MUNICIPIO DE BUCARAMANGA</t>
  </si>
  <si>
    <t>Disminuir los casos de niños, niñas y adolescentes vicnulados a delitos y contravenciones dentro y fuera de las instituciones educativas oficiales del Municipio de Buaramanga.</t>
  </si>
  <si>
    <t>2.3.2.02.02.008.4501056.236 - $32.200.000</t>
  </si>
  <si>
    <t>2.3.2.02.02.008.4501056.236 - $7.500.000</t>
  </si>
  <si>
    <t>MEJORAMIENTO EN LA PRESTACIÓN DEL SERVICIO PARA LA ATENCIÓN AL CIUDADANO EN LAS COMISARIAS E INSPECCIONES DEL MUNICIPIO DE BUCARAMANGA</t>
  </si>
  <si>
    <t>2.3.2.02.02.008.4502017.201 - $21.400.000</t>
  </si>
  <si>
    <t>2.3.2.02.01.003.4503004.201  - $251.901.200</t>
  </si>
  <si>
    <t>2.3.2.02.02.008.4501004.204 - $ 455.183.334</t>
  </si>
  <si>
    <t>2.3.2.02.02.008.4501004.204 - $ 43.666.666</t>
  </si>
  <si>
    <t>2.3.2.02.02.008.4501004.504 - $65.000.860</t>
  </si>
  <si>
    <t>2.3.2.02.02.008.4501004.204 - $ 83.000.000</t>
  </si>
  <si>
    <t>2.3.2.02.02.008.4502017.201 - $243.112.964</t>
  </si>
  <si>
    <t>2.3.2.02.02.008.4502017.201 - $ 273.550.000</t>
  </si>
  <si>
    <t>2.3.2.01.01.005.02.03.01.01.4503004.201 - $ 22.000.000
2.3.2.02.02.008.4503004.201 - $145.298.489</t>
  </si>
  <si>
    <t>2.3.2.01.01.003.03.02.4503004.201 - $51097293
2.3.2.01.01.003.07.01.4503004.201 - $ 134.254.307
2.3.2.02.01.003.4503004.201 - $368151999
2.3.2.02.02.008.4503004.315 - $71954166
2.3.2.02.02.009.4503004.201 - $109200000</t>
  </si>
  <si>
    <t>2.3.2.02.02.008.4503004.315 - $44064469
2.3.2.02.02.009.4503004.201 - $12600000
2.3.2.02.01.003.4503004.201 - $9664
2.3.2.01.01.003.03.02.4503004.201 - $3638611
2.3.2.02.01.002.4503004.201 - $442848126</t>
  </si>
  <si>
    <t>2.3.2.02.02.006.4002014.201 - $ 142.500.000
2.3.2.02.02.008.4002017.201 -$ 410.500.000</t>
  </si>
  <si>
    <t xml:space="preserve">2.3.2.02.02.008.4501056.537 - $381.264.073
2.3.2.02.01.003.4501004.504 - $599.649.695
2.3.2.02.02.008.4501004.504 - $103.415.340 </t>
  </si>
  <si>
    <t>2.3.2.02.02.008.4501056.236 - $216.600.000
2.3.2.02.02.008.4501056.237 - $182.600.000
2.3.2.01.01.003.03.02.4501056.204 - $24.323.426
2.3.2.01.01.004.01.01.02.4501056.204 - $10.397.502
2.3.2.02.02.008.4501056.204 - $49.960.950</t>
  </si>
  <si>
    <t>2.3.2.01.01.004.01.01.02.4501056.204 - $7.260.616
2.3.2.02.02.008.4501056.236 - $47.910.000</t>
  </si>
  <si>
    <t>2.3.2.02.02.008.4501056.236 - $100.000.000
2.3.2.02.02.008.4501056.204 - $273.923.586</t>
  </si>
  <si>
    <t>2.3.2.02.01.003.4501056.204 - $799.658.449
2.3.2.02.01.003.4501030.201 - $800.000.000</t>
  </si>
  <si>
    <t>2.3.2.02.02.008.4501004.504 - $286185600
2.3.2.02.01.002.4501004.504 - $ 440.517.900</t>
  </si>
  <si>
    <t>2.3.2.02.02.006.4501056.201 - $399.075.264
2.3.2.02.02.006.4501056.597 - $501.792.912
2.3.2.02.02.008.4501004.504 - $38.124.302
2.3.2.02.02.008.4501056.201 - $72.000.000
2.3.2.02.02.008.4501004.504 - $26.999.996</t>
  </si>
  <si>
    <t xml:space="preserve">2.3.2.01.01.005.02.03.01.01.4501004.504 - $ 102.623.815 
2.3.2.01.01.003.03.02.4501004.504  - $ 287.689.542 </t>
  </si>
  <si>
    <t>2.3.2.01.01.003.07.01.4501004.504 - $2.835.212.724.67
2.3.2.01.01.003.07.07.02.4501004.504 - $316.891.538.46
2.3.2.02.01.003.4501004.504 -$77.000.000</t>
  </si>
  <si>
    <t>2.3.2.02.02.008.4501056.201 - $8.000.001.50
2.3.2.02.02.008.4501056.261 - $18.035.728.50</t>
  </si>
  <si>
    <t>2.3.2.01.01.003.05.02.4599007.504 - $ 100.861.425 
2.3.2.01.01.003.06.02.4599007.504 -$ 6.039.250  
2.3.2.01.01.005.02.03.01.01.4599007.504  - $ 214.182.240 
2.3.2.01.01.003.05.03.4599007.504 - $ 21.051.100</t>
  </si>
  <si>
    <t>2.3.2.02.02.008.1202002.262 - $1.739.249
2.3.2.02.02.008.1202002.201 - $294.610.751
2.3.2.02.02.008.1202034.201 - $542.500.000</t>
  </si>
  <si>
    <t>2.3.2.02.02.008.1202034.201 - $38.750.000
2.3.2.02.02.008.1202002.262 - $1.440.156</t>
  </si>
  <si>
    <t>2.3.2.02.02.008.4501004.504 -$219600000
2.3.2.01.01.003.07.01.4501004.504 - $165.000.000
2.3.2.01.01.003.03.02.4501004.504 - $131309718
2.3.2.01.01.004.01.01.02.4501004.504 - $13.179.897</t>
  </si>
  <si>
    <t>2.3.2.02.02.008.4501004.504 - 102.000.000
2.3.2.01.01.003.03.02.4501004.504 - $14189560</t>
  </si>
  <si>
    <t>2.3.2.02.02.008.4102046.201 - $ 715.470.647.21
2.3.2.02.02.008.4102046.501 - $40.000.000</t>
  </si>
  <si>
    <t>2.3.2.02.02.008.4101023.201 - $30.000.000
2.3.2.02.02.009.4101031.501 - $12.000.000
2.3.2.02.02.009.4101031.201 - $55.700.000</t>
  </si>
  <si>
    <t>2.3.2.02.02.008.4502017.201 - $120.316.469
2.3.2.02.02.008.4502017.501 - $25.000.000</t>
  </si>
  <si>
    <t>2.3.2.02.01.003.1206007.201 - $ 144276988
2.3.2.02.02.008.1206007.201 - $ 53.000.000
2.3.2.01.01.004.01.01.02.1206007.201 - $ 2.673.930</t>
  </si>
  <si>
    <t>2.3.2.02.02.008.4502017.201 -  $ 510.250.000
2.3.2.02.02.008.4502022.201 - $ 379.500.000</t>
  </si>
  <si>
    <t>2.3.2.01.01.003.03.02.4501056.536 - $232.202.898
2.3.2.02.01.003.4501056.536 - $56.149.623
2.3.2.01.01.003.03.02.4501004.504 - $70.284.852</t>
  </si>
  <si>
    <r>
      <t xml:space="preserve">Código:  </t>
    </r>
    <r>
      <rPr>
        <sz val="11"/>
        <rFont val="Arial"/>
        <family val="2"/>
      </rPr>
      <t>F-DPM-1210-238,37-030</t>
    </r>
  </si>
  <si>
    <t>2.3.2.02.02.008.4101023.201 - $13.500.000
+9426966,01</t>
  </si>
  <si>
    <t>2.3.2.02.02.008.4002012.201 - $ 266.200.000
2.3.2.02.02.008.4002031.201 - $ 259.148.478.65
2.3.2.02.01.003.4002031.201 -  $  76.990.223
2.3.2.02.02.008.4002012.201 - $ 13.500.000
2.3.2.02.01.003.4002031.201 -  $ 1.161.298.35</t>
  </si>
  <si>
    <t>IMPLEMENTACIÓN DE ACCIONES DE ASISTENCIA, PROTRECCIÓN Y PREVENCIÓN A VICTIMAS DEL DELITO DE TRATA DE PERSONAS DEL MUNICIPIO DE BUCARAMANGA.</t>
  </si>
  <si>
    <t>MEJORAMIENTO A LAS ACCIONES DE INVESTIGACIÓN CRIMINAL Y DEL SISTEMA INTEGRADO DE SEGURIDAD RURAL DE LA POLICÍA METROPOLITANA DEL MUNICIPIO DE BUCARAMANGA</t>
  </si>
  <si>
    <t>Generar y divulgar el 100% de los contenidos de la gestión estratégica del gobierno.</t>
  </si>
  <si>
    <t>2.3.2.01.01.004.01.01.02.4501056.204 - $ 7.410.000 
2.3.2.02.02.008.4501056.204 - $ 35.1128.000
2.3.2.01.01.003.07.02.4501004.504  - $ 64.982.607  
2.3.2.01.01.003.03.02.4501056.504 $228836000
2.3.2.01.01.004.01.01.02.4501056.504 $316960893
2.3.2.02.02.008.4501056.504 $249946503</t>
  </si>
  <si>
    <t>2.3.2.02.02.008.4501013.504 $108487321
2.3.2.02.02.008.4501056.204 $187713701,12
2.3.2.02.02.008.4501056.237 $242400000
2.3.2.02.02.008.4501056.261 $29070
2.3.2.02.02.008.4501056.536 $295743934,5
2.3.2.02.02.008.4501056.537 $606479861,5
2.3.2.02.02.008.4599016.504 $138147827,73
2.3.2.02.02.009.4501056.264 $89146685,48</t>
  </si>
  <si>
    <t>2.3.2.01.01.003.02.08.4501004.504 $8.216.620
2.3.2.01.01.003.03.02.4501004.504 $1.449.212
2.3.2.01.01.003.03.02.4501056.204 $803.322
2.3.2.01.01.003.03.02.4501056.536 $181930957
2.3.2.01.01.003.07.01.4501004.504 $1166421383,33
2.3.2.01.01.003.07.01.4501056.204 $2842200
2.3.2.01.01.003.07.02.4501004.504 $17393
2.3.2.01.01.003.07.07.01.4501004.504 $69400000
2.3.2.01.01.003.07.07.02.4501004.504 $33108461,54
2.3.2.01.01.004.01.01.02.4501004.504 $71820103
2.3.2.01.01.004.01.01.02.4501056.204 $232721041
2.3.2.01.01.005.02.03.01.01.4501004.504 $45376185
2.3.2.01.01.005.02.03.01.01.4501056.204 $34158449
2.3.2.02.01.002.4501004.504 $277638500
2.3.2.02.01.003.4501004.504 $517712881
2.3.2.02.01.003.4501004.536 $200000000
2.3.2.02.01.003.4501056.204 $43197129
2.3.2.02.01.003.4501056.236 $20790000
2.3.2.02.01.003.4501056.536 $25777
2.3.2.02.02.006.4501056.201 $924736
2.3.2.02.02.006.4501056.597 $984496,16
2.3.2.02.02.008.1202002.598 $58361947,52
2.3.2.02.02.008.4501004.204 $1800000</t>
  </si>
  <si>
    <t>2.3.2.02.02.008.1202002.201 - $276.000.000
2.3.2.02.02.008.1202034.201 $50.000.000
2.3.2.02.02.008.4501013.504 - $484.793.739,37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</si>
</sst>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_-&quot;$&quot;\ * #,##0_-;\-&quot;$&quot;\ * #,##0_-;_-&quot;$&quot;\ * &quot;-&quot;??_-;_-@_-"/>
    <numFmt numFmtId="167" formatCode="#,##0.0"/>
    <numFmt numFmtId="168" formatCode="0.0"/>
    <numFmt numFmtId="169" formatCode="_(* #,##0_);_(* \(#,##0\);_(* &quot;-&quot;??_);_(@_)"/>
    <numFmt numFmtId="170" formatCode="_-* #,##0_-;\-* #,##0_-;_-* &quot;-&quot;??_-;_-@_-"/>
    <numFmt numFmtId="171" formatCode="_-* #,##0.000_-;\-* #,##0.00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7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3" xfId="0" applyFont="1" applyFill="1" applyBorder="1"/>
    <xf numFmtId="0" fontId="6" fillId="2" borderId="3" xfId="0" applyFont="1" applyFill="1" applyBorder="1" applyAlignment="1">
      <alignment vertical="center"/>
    </xf>
    <xf numFmtId="166" fontId="6" fillId="2" borderId="3" xfId="108" applyNumberFormat="1" applyFont="1" applyFill="1" applyBorder="1" applyAlignment="1">
      <alignment vertical="center"/>
    </xf>
    <xf numFmtId="9" fontId="7" fillId="2" borderId="3" xfId="107" applyFont="1" applyFill="1" applyBorder="1" applyAlignment="1">
      <alignment horizontal="center" vertical="center" wrapText="1"/>
    </xf>
    <xf numFmtId="166" fontId="7" fillId="2" borderId="3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justify" vertical="center"/>
    </xf>
    <xf numFmtId="0" fontId="6" fillId="2" borderId="3" xfId="0" applyFont="1" applyFill="1" applyBorder="1" applyAlignment="1">
      <alignment horizontal="justify"/>
    </xf>
    <xf numFmtId="165" fontId="6" fillId="0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justify" vertical="center" wrapText="1"/>
    </xf>
    <xf numFmtId="165" fontId="6" fillId="0" borderId="2" xfId="0" applyNumberFormat="1" applyFont="1" applyFill="1" applyBorder="1" applyAlignment="1">
      <alignment horizontal="justify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6" fontId="6" fillId="2" borderId="2" xfId="108" applyNumberFormat="1" applyFont="1" applyFill="1" applyBorder="1" applyAlignment="1">
      <alignment vertical="center"/>
    </xf>
    <xf numFmtId="0" fontId="3" fillId="0" borderId="0" xfId="0" applyFont="1"/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0" fontId="3" fillId="0" borderId="2" xfId="0" applyFont="1" applyBorder="1" applyAlignment="1">
      <alignment vertical="center"/>
    </xf>
    <xf numFmtId="165" fontId="3" fillId="0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justify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/>
    </xf>
    <xf numFmtId="166" fontId="3" fillId="0" borderId="0" xfId="0" applyNumberFormat="1" applyFont="1"/>
    <xf numFmtId="43" fontId="3" fillId="0" borderId="0" xfId="0" applyNumberFormat="1" applyFont="1"/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" fontId="8" fillId="0" borderId="2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68" fontId="9" fillId="0" borderId="2" xfId="0" applyNumberFormat="1" applyFont="1" applyFill="1" applyBorder="1" applyAlignment="1">
      <alignment horizontal="center" vertical="center" wrapText="1"/>
    </xf>
    <xf numFmtId="166" fontId="6" fillId="0" borderId="2" xfId="108" applyNumberFormat="1" applyFont="1" applyFill="1" applyBorder="1" applyAlignment="1">
      <alignment horizontal="center" vertical="center" wrapText="1"/>
    </xf>
    <xf numFmtId="166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6" fontId="6" fillId="0" borderId="2" xfId="108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9" fontId="4" fillId="0" borderId="0" xfId="0" applyNumberFormat="1" applyFont="1"/>
    <xf numFmtId="0" fontId="3" fillId="0" borderId="0" xfId="0" applyFont="1" applyAlignment="1">
      <alignment vertical="center" wrapText="1"/>
    </xf>
    <xf numFmtId="44" fontId="7" fillId="2" borderId="2" xfId="108" applyNumberFormat="1" applyFont="1" applyFill="1" applyBorder="1" applyAlignment="1">
      <alignment vertical="center"/>
    </xf>
    <xf numFmtId="170" fontId="3" fillId="0" borderId="0" xfId="110" applyNumberFormat="1" applyFont="1"/>
    <xf numFmtId="170" fontId="3" fillId="0" borderId="0" xfId="0" applyNumberFormat="1" applyFont="1"/>
    <xf numFmtId="9" fontId="6" fillId="0" borderId="1" xfId="107" applyFont="1" applyFill="1" applyBorder="1" applyAlignment="1">
      <alignment horizontal="center" vertical="center" wrapText="1"/>
    </xf>
    <xf numFmtId="166" fontId="6" fillId="2" borderId="1" xfId="108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1" fontId="3" fillId="0" borderId="0" xfId="0" applyNumberFormat="1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3" xfId="108" applyNumberFormat="1" applyFont="1" applyFill="1" applyBorder="1" applyAlignment="1">
      <alignment horizontal="center" vertical="center" wrapText="1"/>
    </xf>
    <xf numFmtId="5" fontId="6" fillId="0" borderId="5" xfId="108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2" fontId="6" fillId="0" borderId="0" xfId="109" applyNumberFormat="1" applyFont="1" applyBorder="1" applyAlignment="1">
      <alignment horizontal="center" vertical="center" wrapText="1"/>
    </xf>
    <xf numFmtId="2" fontId="7" fillId="0" borderId="0" xfId="109" applyNumberFormat="1" applyFont="1" applyBorder="1" applyAlignment="1">
      <alignment horizontal="center" vertical="center" wrapText="1"/>
    </xf>
    <xf numFmtId="167" fontId="9" fillId="0" borderId="2" xfId="0" applyNumberFormat="1" applyFont="1" applyFill="1" applyBorder="1" applyAlignment="1">
      <alignment horizontal="center" vertical="center" wrapText="1"/>
    </xf>
    <xf numFmtId="166" fontId="6" fillId="2" borderId="1" xfId="108" applyNumberFormat="1" applyFont="1" applyFill="1" applyBorder="1" applyAlignment="1">
      <alignment horizontal="center" vertical="center" wrapText="1"/>
    </xf>
    <xf numFmtId="166" fontId="6" fillId="2" borderId="5" xfId="108" applyNumberFormat="1" applyFont="1" applyFill="1" applyBorder="1" applyAlignment="1">
      <alignment horizontal="center" vertical="center" wrapText="1"/>
    </xf>
    <xf numFmtId="166" fontId="6" fillId="2" borderId="3" xfId="108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5" xfId="107" applyFont="1" applyFill="1" applyBorder="1" applyAlignment="1">
      <alignment horizontal="center" vertical="center" wrapText="1"/>
    </xf>
    <xf numFmtId="9" fontId="6" fillId="0" borderId="3" xfId="107" applyFont="1" applyFill="1" applyBorder="1" applyAlignment="1">
      <alignment horizontal="center" vertical="center" wrapText="1"/>
    </xf>
    <xf numFmtId="166" fontId="6" fillId="0" borderId="2" xfId="0" applyNumberFormat="1" applyFont="1" applyFill="1" applyBorder="1"/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E000000}"/>
    <cellStyle name="Porcentaje" xfId="107" builtinId="5"/>
  </cellStyles>
  <dxfs count="39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FFFF65"/>
      <color rgb="FFCCCC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405260</xdr:colOff>
      <xdr:row>0</xdr:row>
      <xdr:rowOff>0</xdr:rowOff>
    </xdr:from>
    <xdr:to>
      <xdr:col>1</xdr:col>
      <xdr:colOff>402425</xdr:colOff>
      <xdr:row>3</xdr:row>
      <xdr:rowOff>93063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F3CF1BA-5EBE-44F5-9B48-AFD549C41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260" y="0"/>
          <a:ext cx="632165" cy="626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0D82E-A126-46C7-B0BA-2DA7B0C13647}">
  <dimension ref="A1:AE110"/>
  <sheetViews>
    <sheetView tabSelected="1" zoomScale="60" zoomScaleNormal="60" workbookViewId="0">
      <pane ySplit="8" topLeftCell="A9" activePane="bottomLeft" state="frozen"/>
      <selection pane="bottomLeft" activeCell="AD16" sqref="AD16"/>
    </sheetView>
  </sheetViews>
  <sheetFormatPr baseColWidth="10" defaultRowHeight="13.8" x14ac:dyDescent="0.25"/>
  <cols>
    <col min="1" max="1" width="8.3984375" style="17" customWidth="1"/>
    <col min="2" max="4" width="22.296875" style="17" customWidth="1"/>
    <col min="5" max="6" width="50.59765625" style="24" customWidth="1"/>
    <col min="7" max="7" width="19.296875" style="17" customWidth="1"/>
    <col min="8" max="8" width="47.59765625" style="60" customWidth="1"/>
    <col min="9" max="9" width="53.19921875" style="17" customWidth="1"/>
    <col min="10" max="10" width="13.8984375" style="61" customWidth="1"/>
    <col min="11" max="11" width="16" style="61" customWidth="1"/>
    <col min="12" max="13" width="14.8984375" style="17" customWidth="1"/>
    <col min="14" max="14" width="11.296875" style="17" customWidth="1"/>
    <col min="15" max="15" width="41.296875" style="17" customWidth="1"/>
    <col min="16" max="19" width="25.59765625" style="17" customWidth="1"/>
    <col min="20" max="20" width="24.69921875" style="17" customWidth="1"/>
    <col min="21" max="21" width="26.5" style="17" customWidth="1"/>
    <col min="22" max="27" width="23.5" style="17" customWidth="1"/>
    <col min="28" max="28" width="16.09765625" style="17" customWidth="1"/>
    <col min="29" max="29" width="23.5" style="17" customWidth="1"/>
    <col min="30" max="31" width="22" style="17" customWidth="1"/>
    <col min="32" max="16384" width="11.19921875" style="17"/>
  </cols>
  <sheetData>
    <row r="1" spans="1:31" ht="13.8" customHeight="1" x14ac:dyDescent="0.25">
      <c r="A1" s="91"/>
      <c r="B1" s="92" t="s">
        <v>196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86" t="s">
        <v>306</v>
      </c>
      <c r="AD1" s="86"/>
      <c r="AE1" s="86"/>
    </row>
    <row r="2" spans="1:31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86" t="s">
        <v>37</v>
      </c>
      <c r="AD2" s="86"/>
      <c r="AE2" s="86"/>
    </row>
    <row r="3" spans="1:31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86" t="s">
        <v>34</v>
      </c>
      <c r="AD3" s="86"/>
      <c r="AE3" s="86"/>
    </row>
    <row r="4" spans="1:31" x14ac:dyDescent="0.25">
      <c r="A4" s="91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86" t="s">
        <v>33</v>
      </c>
      <c r="AD4" s="86"/>
      <c r="AE4" s="86"/>
    </row>
    <row r="5" spans="1:31" ht="18.600000000000001" customHeight="1" x14ac:dyDescent="0.25">
      <c r="A5" s="97" t="s">
        <v>31</v>
      </c>
      <c r="B5" s="97"/>
      <c r="C5" s="97"/>
      <c r="D5" s="98">
        <v>44539</v>
      </c>
      <c r="E5" s="98"/>
      <c r="F5" s="98"/>
      <c r="G5" s="98"/>
      <c r="H5" s="98"/>
      <c r="I5" s="98"/>
      <c r="J5" s="98"/>
      <c r="K5" s="98"/>
      <c r="L5" s="9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</row>
    <row r="6" spans="1:31" ht="18.600000000000001" customHeight="1" x14ac:dyDescent="0.25">
      <c r="A6" s="97" t="s">
        <v>32</v>
      </c>
      <c r="B6" s="97"/>
      <c r="C6" s="97"/>
      <c r="D6" s="98">
        <v>44530</v>
      </c>
      <c r="E6" s="98"/>
      <c r="F6" s="98"/>
      <c r="G6" s="98"/>
      <c r="H6" s="98"/>
      <c r="I6" s="98"/>
      <c r="J6" s="98"/>
      <c r="K6" s="98"/>
      <c r="L6" s="9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  <c r="AE6" s="19"/>
    </row>
    <row r="7" spans="1:31" ht="13.8" customHeight="1" x14ac:dyDescent="0.25">
      <c r="A7" s="20"/>
      <c r="B7" s="99" t="s">
        <v>10</v>
      </c>
      <c r="C7" s="100"/>
      <c r="D7" s="100"/>
      <c r="E7" s="100"/>
      <c r="F7" s="101"/>
      <c r="G7" s="99" t="s">
        <v>11</v>
      </c>
      <c r="H7" s="100"/>
      <c r="I7" s="100"/>
      <c r="J7" s="100"/>
      <c r="K7" s="101"/>
      <c r="L7" s="102" t="s">
        <v>26</v>
      </c>
      <c r="M7" s="102"/>
      <c r="N7" s="102"/>
      <c r="O7" s="102" t="s">
        <v>24</v>
      </c>
      <c r="P7" s="102"/>
      <c r="Q7" s="102"/>
      <c r="R7" s="102"/>
      <c r="S7" s="102"/>
      <c r="T7" s="102"/>
      <c r="U7" s="102"/>
      <c r="V7" s="102" t="s">
        <v>18</v>
      </c>
      <c r="W7" s="102"/>
      <c r="X7" s="102"/>
      <c r="Y7" s="102"/>
      <c r="Z7" s="102"/>
      <c r="AA7" s="102"/>
      <c r="AB7" s="87" t="s">
        <v>19</v>
      </c>
      <c r="AC7" s="89" t="s">
        <v>27</v>
      </c>
      <c r="AD7" s="89" t="s">
        <v>25</v>
      </c>
      <c r="AE7" s="89"/>
    </row>
    <row r="8" spans="1:31" ht="27.6" x14ac:dyDescent="0.25">
      <c r="A8" s="73" t="s">
        <v>30</v>
      </c>
      <c r="B8" s="76" t="s">
        <v>1</v>
      </c>
      <c r="C8" s="73" t="s">
        <v>6</v>
      </c>
      <c r="D8" s="73" t="s">
        <v>2</v>
      </c>
      <c r="E8" s="8" t="s">
        <v>7</v>
      </c>
      <c r="F8" s="12" t="s">
        <v>20</v>
      </c>
      <c r="G8" s="76" t="s">
        <v>15</v>
      </c>
      <c r="H8" s="76" t="s">
        <v>3</v>
      </c>
      <c r="I8" s="76" t="s">
        <v>16</v>
      </c>
      <c r="J8" s="76" t="s">
        <v>22</v>
      </c>
      <c r="K8" s="76" t="s">
        <v>23</v>
      </c>
      <c r="L8" s="76" t="s">
        <v>4</v>
      </c>
      <c r="M8" s="76" t="s">
        <v>5</v>
      </c>
      <c r="N8" s="76" t="s">
        <v>0</v>
      </c>
      <c r="O8" s="73" t="s">
        <v>9</v>
      </c>
      <c r="P8" s="76" t="s">
        <v>36</v>
      </c>
      <c r="Q8" s="76" t="s">
        <v>8</v>
      </c>
      <c r="R8" s="76" t="s">
        <v>28</v>
      </c>
      <c r="S8" s="76" t="s">
        <v>35</v>
      </c>
      <c r="T8" s="76" t="s">
        <v>12</v>
      </c>
      <c r="U8" s="76" t="s">
        <v>21</v>
      </c>
      <c r="V8" s="76" t="s">
        <v>36</v>
      </c>
      <c r="W8" s="76" t="s">
        <v>8</v>
      </c>
      <c r="X8" s="76" t="s">
        <v>28</v>
      </c>
      <c r="Y8" s="76" t="s">
        <v>35</v>
      </c>
      <c r="Z8" s="76" t="s">
        <v>12</v>
      </c>
      <c r="AA8" s="76" t="s">
        <v>29</v>
      </c>
      <c r="AB8" s="88"/>
      <c r="AC8" s="89"/>
      <c r="AD8" s="76" t="s">
        <v>13</v>
      </c>
      <c r="AE8" s="76" t="s">
        <v>14</v>
      </c>
    </row>
    <row r="9" spans="1:31" ht="55.2" x14ac:dyDescent="0.25">
      <c r="A9" s="73">
        <v>99</v>
      </c>
      <c r="B9" s="27" t="s">
        <v>41</v>
      </c>
      <c r="C9" s="27" t="s">
        <v>42</v>
      </c>
      <c r="D9" s="28" t="s">
        <v>47</v>
      </c>
      <c r="E9" s="29" t="s">
        <v>48</v>
      </c>
      <c r="F9" s="30" t="s">
        <v>49</v>
      </c>
      <c r="G9" s="31">
        <v>2021680010086</v>
      </c>
      <c r="H9" s="32" t="s">
        <v>200</v>
      </c>
      <c r="I9" s="33" t="s">
        <v>201</v>
      </c>
      <c r="J9" s="34">
        <v>44438</v>
      </c>
      <c r="K9" s="34">
        <v>44561</v>
      </c>
      <c r="L9" s="35">
        <v>1</v>
      </c>
      <c r="M9" s="36">
        <v>1</v>
      </c>
      <c r="N9" s="70">
        <f>IFERROR(IF(M9/L9&gt;100%,100%,M9/L9),"-")</f>
        <v>1</v>
      </c>
      <c r="O9" s="13" t="s">
        <v>202</v>
      </c>
      <c r="P9" s="37"/>
      <c r="Q9" s="37"/>
      <c r="R9" s="37"/>
      <c r="S9" s="37"/>
      <c r="T9" s="37">
        <v>10000000</v>
      </c>
      <c r="U9" s="38">
        <f>SUM(P9:T9)</f>
        <v>10000000</v>
      </c>
      <c r="V9" s="37"/>
      <c r="W9" s="37"/>
      <c r="X9" s="37"/>
      <c r="Y9" s="37"/>
      <c r="Z9" s="37">
        <v>8333333</v>
      </c>
      <c r="AA9" s="38">
        <f>SUM(V9:Z9)</f>
        <v>8333333</v>
      </c>
      <c r="AB9" s="39">
        <f>IFERROR(AA9/U9,"-")</f>
        <v>0.83333330000000005</v>
      </c>
      <c r="AC9" s="40">
        <v>21880000</v>
      </c>
      <c r="AD9" s="41" t="s">
        <v>52</v>
      </c>
      <c r="AE9" s="41" t="s">
        <v>197</v>
      </c>
    </row>
    <row r="10" spans="1:31" ht="69" x14ac:dyDescent="0.25">
      <c r="A10" s="73">
        <v>169</v>
      </c>
      <c r="B10" s="42" t="s">
        <v>53</v>
      </c>
      <c r="C10" s="42" t="s">
        <v>54</v>
      </c>
      <c r="D10" s="43" t="s">
        <v>55</v>
      </c>
      <c r="E10" s="29" t="s">
        <v>56</v>
      </c>
      <c r="F10" s="30" t="s">
        <v>57</v>
      </c>
      <c r="G10" s="31">
        <v>2020680010038</v>
      </c>
      <c r="H10" s="32" t="s">
        <v>58</v>
      </c>
      <c r="I10" s="33" t="s">
        <v>59</v>
      </c>
      <c r="J10" s="34">
        <v>44202</v>
      </c>
      <c r="K10" s="34">
        <v>44561</v>
      </c>
      <c r="L10" s="85">
        <v>1</v>
      </c>
      <c r="M10" s="93">
        <v>0.4</v>
      </c>
      <c r="N10" s="84">
        <f>IFERROR(IF(M10/L10&gt;100%,100%,M10/L10),"-")</f>
        <v>0.4</v>
      </c>
      <c r="O10" s="21" t="s">
        <v>228</v>
      </c>
      <c r="P10" s="37">
        <v>354701511</v>
      </c>
      <c r="Q10" s="37"/>
      <c r="R10" s="37"/>
      <c r="S10" s="37"/>
      <c r="T10" s="44"/>
      <c r="U10" s="94">
        <f>SUM(P10:T11)</f>
        <v>522000000</v>
      </c>
      <c r="V10" s="37">
        <v>292497576.30000001</v>
      </c>
      <c r="W10" s="37"/>
      <c r="X10" s="37"/>
      <c r="Y10" s="37"/>
      <c r="Z10" s="37"/>
      <c r="AA10" s="94">
        <f>SUM(V10:Z11)</f>
        <v>292497576.30000001</v>
      </c>
      <c r="AB10" s="105">
        <f>IFERROR(AA10/U10,"-")</f>
        <v>0.56034018448275869</v>
      </c>
      <c r="AC10" s="80"/>
      <c r="AD10" s="80" t="s">
        <v>52</v>
      </c>
      <c r="AE10" s="80" t="s">
        <v>197</v>
      </c>
    </row>
    <row r="11" spans="1:31" ht="75" customHeight="1" x14ac:dyDescent="0.25">
      <c r="A11" s="73">
        <v>169</v>
      </c>
      <c r="B11" s="42" t="s">
        <v>53</v>
      </c>
      <c r="C11" s="42" t="s">
        <v>54</v>
      </c>
      <c r="D11" s="43" t="s">
        <v>55</v>
      </c>
      <c r="E11" s="29" t="s">
        <v>56</v>
      </c>
      <c r="F11" s="30" t="s">
        <v>57</v>
      </c>
      <c r="G11" s="31"/>
      <c r="H11" s="45" t="s">
        <v>46</v>
      </c>
      <c r="I11" s="33"/>
      <c r="J11" s="34"/>
      <c r="K11" s="34"/>
      <c r="L11" s="85"/>
      <c r="M11" s="93"/>
      <c r="N11" s="84"/>
      <c r="O11" s="21" t="s">
        <v>281</v>
      </c>
      <c r="P11" s="37">
        <f>22000000+145298489</f>
        <v>167298489</v>
      </c>
      <c r="Q11" s="37"/>
      <c r="R11" s="37"/>
      <c r="S11" s="37"/>
      <c r="T11" s="44"/>
      <c r="U11" s="95"/>
      <c r="V11" s="37"/>
      <c r="W11" s="37"/>
      <c r="X11" s="37"/>
      <c r="Y11" s="37"/>
      <c r="Z11" s="37"/>
      <c r="AA11" s="95"/>
      <c r="AB11" s="106"/>
      <c r="AC11" s="81"/>
      <c r="AD11" s="81" t="s">
        <v>52</v>
      </c>
      <c r="AE11" s="81" t="s">
        <v>197</v>
      </c>
    </row>
    <row r="12" spans="1:31" ht="55.2" x14ac:dyDescent="0.25">
      <c r="A12" s="73">
        <v>170</v>
      </c>
      <c r="B12" s="27" t="s">
        <v>53</v>
      </c>
      <c r="C12" s="27" t="s">
        <v>54</v>
      </c>
      <c r="D12" s="28" t="s">
        <v>55</v>
      </c>
      <c r="E12" s="29" t="s">
        <v>60</v>
      </c>
      <c r="F12" s="30" t="s">
        <v>61</v>
      </c>
      <c r="G12" s="46"/>
      <c r="H12" s="45" t="s">
        <v>157</v>
      </c>
      <c r="I12" s="47"/>
      <c r="J12" s="34"/>
      <c r="K12" s="34"/>
      <c r="L12" s="69">
        <v>3</v>
      </c>
      <c r="M12" s="69">
        <v>3</v>
      </c>
      <c r="N12" s="70">
        <f t="shared" ref="N12:N22" si="0">IFERROR(IF(M12/L12&gt;100%,100%,M12/L12),"-")</f>
        <v>1</v>
      </c>
      <c r="O12" s="22"/>
      <c r="P12" s="37"/>
      <c r="Q12" s="37"/>
      <c r="R12" s="37"/>
      <c r="S12" s="37"/>
      <c r="T12" s="37"/>
      <c r="U12" s="38">
        <f t="shared" ref="U12:U17" si="1">SUM(P12:T12)</f>
        <v>0</v>
      </c>
      <c r="V12" s="37"/>
      <c r="W12" s="37"/>
      <c r="X12" s="37"/>
      <c r="Y12" s="37"/>
      <c r="Z12" s="37"/>
      <c r="AA12" s="38">
        <f t="shared" ref="AA12:AA27" si="2">SUM(V12:Z12)</f>
        <v>0</v>
      </c>
      <c r="AB12" s="39" t="str">
        <f t="shared" ref="AB12:AB18" si="3">IFERROR(AA12/U12,"-")</f>
        <v>-</v>
      </c>
      <c r="AC12" s="40">
        <v>360000000</v>
      </c>
      <c r="AD12" s="41" t="s">
        <v>52</v>
      </c>
      <c r="AE12" s="41" t="s">
        <v>197</v>
      </c>
    </row>
    <row r="13" spans="1:31" ht="82.8" x14ac:dyDescent="0.25">
      <c r="A13" s="73">
        <v>171</v>
      </c>
      <c r="B13" s="27" t="s">
        <v>53</v>
      </c>
      <c r="C13" s="27" t="s">
        <v>54</v>
      </c>
      <c r="D13" s="28" t="s">
        <v>55</v>
      </c>
      <c r="E13" s="29" t="s">
        <v>62</v>
      </c>
      <c r="F13" s="30" t="s">
        <v>63</v>
      </c>
      <c r="G13" s="31">
        <v>2021680010156</v>
      </c>
      <c r="H13" s="32" t="s">
        <v>224</v>
      </c>
      <c r="I13" s="33"/>
      <c r="J13" s="34"/>
      <c r="K13" s="34"/>
      <c r="L13" s="69">
        <v>1</v>
      </c>
      <c r="M13" s="69">
        <v>0</v>
      </c>
      <c r="N13" s="70">
        <f t="shared" si="0"/>
        <v>0</v>
      </c>
      <c r="O13" s="21" t="s">
        <v>64</v>
      </c>
      <c r="P13" s="37">
        <v>90000000</v>
      </c>
      <c r="Q13" s="37"/>
      <c r="R13" s="37"/>
      <c r="S13" s="37"/>
      <c r="T13" s="37"/>
      <c r="U13" s="38">
        <f t="shared" si="1"/>
        <v>90000000</v>
      </c>
      <c r="V13" s="37"/>
      <c r="W13" s="37"/>
      <c r="X13" s="37"/>
      <c r="Y13" s="37"/>
      <c r="Z13" s="37"/>
      <c r="AA13" s="38">
        <f t="shared" si="2"/>
        <v>0</v>
      </c>
      <c r="AB13" s="39">
        <f t="shared" si="3"/>
        <v>0</v>
      </c>
      <c r="AC13" s="40"/>
      <c r="AD13" s="41" t="s">
        <v>52</v>
      </c>
      <c r="AE13" s="41" t="s">
        <v>197</v>
      </c>
    </row>
    <row r="14" spans="1:31" ht="55.2" x14ac:dyDescent="0.25">
      <c r="A14" s="73">
        <v>172</v>
      </c>
      <c r="B14" s="27" t="s">
        <v>53</v>
      </c>
      <c r="C14" s="27" t="s">
        <v>54</v>
      </c>
      <c r="D14" s="28" t="s">
        <v>65</v>
      </c>
      <c r="E14" s="29" t="s">
        <v>66</v>
      </c>
      <c r="F14" s="30" t="s">
        <v>67</v>
      </c>
      <c r="G14" s="31">
        <v>2021680010159</v>
      </c>
      <c r="H14" s="32" t="s">
        <v>225</v>
      </c>
      <c r="I14" s="33" t="s">
        <v>226</v>
      </c>
      <c r="J14" s="34">
        <v>44488</v>
      </c>
      <c r="K14" s="34">
        <v>44561</v>
      </c>
      <c r="L14" s="69">
        <v>1</v>
      </c>
      <c r="M14" s="69">
        <v>0</v>
      </c>
      <c r="N14" s="70">
        <f t="shared" si="0"/>
        <v>0</v>
      </c>
      <c r="O14" s="21" t="s">
        <v>254</v>
      </c>
      <c r="P14" s="37">
        <v>8000000</v>
      </c>
      <c r="Q14" s="37"/>
      <c r="R14" s="37"/>
      <c r="S14" s="37"/>
      <c r="T14" s="37"/>
      <c r="U14" s="38">
        <f t="shared" si="1"/>
        <v>8000000</v>
      </c>
      <c r="V14" s="37"/>
      <c r="W14" s="37"/>
      <c r="X14" s="37"/>
      <c r="Y14" s="37"/>
      <c r="Z14" s="37"/>
      <c r="AA14" s="38">
        <f t="shared" si="2"/>
        <v>0</v>
      </c>
      <c r="AB14" s="39">
        <f t="shared" si="3"/>
        <v>0</v>
      </c>
      <c r="AC14" s="40"/>
      <c r="AD14" s="41" t="s">
        <v>52</v>
      </c>
      <c r="AE14" s="41" t="s">
        <v>197</v>
      </c>
    </row>
    <row r="15" spans="1:31" ht="55.2" x14ac:dyDescent="0.25">
      <c r="A15" s="73">
        <v>173</v>
      </c>
      <c r="B15" s="27" t="s">
        <v>53</v>
      </c>
      <c r="C15" s="27" t="s">
        <v>54</v>
      </c>
      <c r="D15" s="28" t="s">
        <v>65</v>
      </c>
      <c r="E15" s="29" t="s">
        <v>68</v>
      </c>
      <c r="F15" s="30" t="s">
        <v>69</v>
      </c>
      <c r="G15" s="31">
        <v>2021680010159</v>
      </c>
      <c r="H15" s="32" t="s">
        <v>225</v>
      </c>
      <c r="I15" s="33" t="s">
        <v>226</v>
      </c>
      <c r="J15" s="34">
        <v>44488</v>
      </c>
      <c r="K15" s="34">
        <v>44561</v>
      </c>
      <c r="L15" s="69">
        <v>10</v>
      </c>
      <c r="M15" s="69">
        <v>2</v>
      </c>
      <c r="N15" s="70">
        <f t="shared" si="0"/>
        <v>0.2</v>
      </c>
      <c r="O15" s="21" t="s">
        <v>255</v>
      </c>
      <c r="P15" s="37">
        <v>8000000</v>
      </c>
      <c r="Q15" s="37"/>
      <c r="R15" s="37"/>
      <c r="S15" s="37"/>
      <c r="T15" s="37"/>
      <c r="U15" s="38">
        <f t="shared" si="1"/>
        <v>8000000</v>
      </c>
      <c r="V15" s="37"/>
      <c r="W15" s="37"/>
      <c r="X15" s="37"/>
      <c r="Y15" s="37"/>
      <c r="Z15" s="37"/>
      <c r="AA15" s="38">
        <f t="shared" si="2"/>
        <v>0</v>
      </c>
      <c r="AB15" s="39">
        <f t="shared" si="3"/>
        <v>0</v>
      </c>
      <c r="AC15" s="40"/>
      <c r="AD15" s="41" t="s">
        <v>52</v>
      </c>
      <c r="AE15" s="41" t="s">
        <v>197</v>
      </c>
    </row>
    <row r="16" spans="1:31" ht="55.2" x14ac:dyDescent="0.25">
      <c r="A16" s="73">
        <v>174</v>
      </c>
      <c r="B16" s="27" t="s">
        <v>53</v>
      </c>
      <c r="C16" s="27" t="s">
        <v>54</v>
      </c>
      <c r="D16" s="28" t="s">
        <v>65</v>
      </c>
      <c r="E16" s="29" t="s">
        <v>70</v>
      </c>
      <c r="F16" s="30" t="s">
        <v>71</v>
      </c>
      <c r="G16" s="31">
        <v>2021680010159</v>
      </c>
      <c r="H16" s="32" t="s">
        <v>225</v>
      </c>
      <c r="I16" s="33" t="s">
        <v>226</v>
      </c>
      <c r="J16" s="34">
        <v>44488</v>
      </c>
      <c r="K16" s="34">
        <v>44561</v>
      </c>
      <c r="L16" s="69">
        <v>4</v>
      </c>
      <c r="M16" s="69">
        <v>4</v>
      </c>
      <c r="N16" s="70">
        <f t="shared" si="0"/>
        <v>1</v>
      </c>
      <c r="O16" s="21" t="s">
        <v>254</v>
      </c>
      <c r="P16" s="37">
        <v>8000000</v>
      </c>
      <c r="Q16" s="37"/>
      <c r="R16" s="37"/>
      <c r="S16" s="37"/>
      <c r="T16" s="37"/>
      <c r="U16" s="38">
        <f t="shared" si="1"/>
        <v>8000000</v>
      </c>
      <c r="V16" s="37"/>
      <c r="W16" s="37"/>
      <c r="X16" s="37"/>
      <c r="Y16" s="37"/>
      <c r="Z16" s="37"/>
      <c r="AA16" s="38">
        <f t="shared" si="2"/>
        <v>0</v>
      </c>
      <c r="AB16" s="39">
        <f t="shared" si="3"/>
        <v>0</v>
      </c>
      <c r="AC16" s="40">
        <v>17230795743</v>
      </c>
      <c r="AD16" s="41" t="s">
        <v>52</v>
      </c>
      <c r="AE16" s="41" t="s">
        <v>197</v>
      </c>
    </row>
    <row r="17" spans="1:31" ht="55.2" x14ac:dyDescent="0.25">
      <c r="A17" s="73">
        <v>175</v>
      </c>
      <c r="B17" s="27" t="s">
        <v>53</v>
      </c>
      <c r="C17" s="27" t="s">
        <v>54</v>
      </c>
      <c r="D17" s="28" t="s">
        <v>65</v>
      </c>
      <c r="E17" s="29" t="s">
        <v>72</v>
      </c>
      <c r="F17" s="30" t="s">
        <v>73</v>
      </c>
      <c r="G17" s="31">
        <v>2021680010159</v>
      </c>
      <c r="H17" s="32" t="s">
        <v>225</v>
      </c>
      <c r="I17" s="33" t="s">
        <v>226</v>
      </c>
      <c r="J17" s="34">
        <v>44488</v>
      </c>
      <c r="K17" s="34">
        <v>44561</v>
      </c>
      <c r="L17" s="69">
        <v>1</v>
      </c>
      <c r="M17" s="69">
        <v>1</v>
      </c>
      <c r="N17" s="70">
        <f t="shared" si="0"/>
        <v>1</v>
      </c>
      <c r="O17" s="21" t="s">
        <v>255</v>
      </c>
      <c r="P17" s="37">
        <v>8000000</v>
      </c>
      <c r="Q17" s="37"/>
      <c r="R17" s="37"/>
      <c r="S17" s="37"/>
      <c r="T17" s="37"/>
      <c r="U17" s="38">
        <f t="shared" si="1"/>
        <v>8000000</v>
      </c>
      <c r="V17" s="37"/>
      <c r="W17" s="37"/>
      <c r="X17" s="37"/>
      <c r="Y17" s="37"/>
      <c r="Z17" s="37"/>
      <c r="AA17" s="38">
        <f t="shared" si="2"/>
        <v>0</v>
      </c>
      <c r="AB17" s="39">
        <f t="shared" si="3"/>
        <v>0</v>
      </c>
      <c r="AC17" s="40"/>
      <c r="AD17" s="41" t="s">
        <v>52</v>
      </c>
      <c r="AE17" s="41" t="s">
        <v>197</v>
      </c>
    </row>
    <row r="18" spans="1:31" ht="55.2" x14ac:dyDescent="0.25">
      <c r="A18" s="73">
        <v>176</v>
      </c>
      <c r="B18" s="27" t="s">
        <v>53</v>
      </c>
      <c r="C18" s="27" t="s">
        <v>54</v>
      </c>
      <c r="D18" s="28" t="s">
        <v>65</v>
      </c>
      <c r="E18" s="29" t="s">
        <v>74</v>
      </c>
      <c r="F18" s="30" t="s">
        <v>75</v>
      </c>
      <c r="G18" s="31">
        <v>2021680010159</v>
      </c>
      <c r="H18" s="32" t="s">
        <v>225</v>
      </c>
      <c r="I18" s="33" t="s">
        <v>226</v>
      </c>
      <c r="J18" s="34">
        <v>44488</v>
      </c>
      <c r="K18" s="34">
        <v>44561</v>
      </c>
      <c r="L18" s="90">
        <v>1</v>
      </c>
      <c r="M18" s="90">
        <v>1</v>
      </c>
      <c r="N18" s="84">
        <f t="shared" ref="N18" si="4">IFERROR(IF(M18/L18&gt;100%,100%,M18/L18),"-")</f>
        <v>1</v>
      </c>
      <c r="O18" s="21" t="s">
        <v>227</v>
      </c>
      <c r="P18" s="37">
        <v>572298800</v>
      </c>
      <c r="Q18" s="37"/>
      <c r="R18" s="37"/>
      <c r="S18" s="37"/>
      <c r="T18" s="37"/>
      <c r="U18" s="94">
        <f>SUM(P18:T19)</f>
        <v>824200000</v>
      </c>
      <c r="V18" s="37">
        <v>487000000</v>
      </c>
      <c r="W18" s="37"/>
      <c r="X18" s="37"/>
      <c r="Y18" s="37"/>
      <c r="Z18" s="37"/>
      <c r="AA18" s="94">
        <f>SUM(V18:Z19)</f>
        <v>487000000</v>
      </c>
      <c r="AB18" s="105">
        <f t="shared" si="3"/>
        <v>0.59087600097063819</v>
      </c>
      <c r="AC18" s="78"/>
      <c r="AD18" s="78" t="s">
        <v>52</v>
      </c>
      <c r="AE18" s="78" t="s">
        <v>197</v>
      </c>
    </row>
    <row r="19" spans="1:31" ht="55.2" x14ac:dyDescent="0.25">
      <c r="A19" s="73">
        <v>176</v>
      </c>
      <c r="B19" s="27" t="s">
        <v>53</v>
      </c>
      <c r="C19" s="27" t="s">
        <v>54</v>
      </c>
      <c r="D19" s="28" t="s">
        <v>65</v>
      </c>
      <c r="E19" s="29" t="s">
        <v>74</v>
      </c>
      <c r="F19" s="30" t="s">
        <v>75</v>
      </c>
      <c r="G19" s="31"/>
      <c r="H19" s="48" t="s">
        <v>46</v>
      </c>
      <c r="I19" s="33"/>
      <c r="J19" s="34"/>
      <c r="K19" s="34"/>
      <c r="L19" s="90"/>
      <c r="M19" s="90"/>
      <c r="N19" s="84"/>
      <c r="O19" s="21" t="s">
        <v>274</v>
      </c>
      <c r="P19" s="37">
        <v>251901200</v>
      </c>
      <c r="Q19" s="37"/>
      <c r="R19" s="37"/>
      <c r="S19" s="37"/>
      <c r="T19" s="37"/>
      <c r="U19" s="96"/>
      <c r="V19" s="37"/>
      <c r="W19" s="37"/>
      <c r="X19" s="37"/>
      <c r="Y19" s="37"/>
      <c r="Z19" s="37"/>
      <c r="AA19" s="96"/>
      <c r="AB19" s="107"/>
      <c r="AC19" s="79"/>
      <c r="AD19" s="79" t="s">
        <v>52</v>
      </c>
      <c r="AE19" s="79" t="s">
        <v>197</v>
      </c>
    </row>
    <row r="20" spans="1:31" ht="75" customHeight="1" x14ac:dyDescent="0.25">
      <c r="A20" s="73">
        <v>177</v>
      </c>
      <c r="B20" s="42" t="s">
        <v>53</v>
      </c>
      <c r="C20" s="42" t="s">
        <v>54</v>
      </c>
      <c r="D20" s="43" t="s">
        <v>76</v>
      </c>
      <c r="E20" s="49" t="s">
        <v>77</v>
      </c>
      <c r="F20" s="50" t="s">
        <v>78</v>
      </c>
      <c r="G20" s="31">
        <v>20200680010079</v>
      </c>
      <c r="H20" s="32" t="s">
        <v>79</v>
      </c>
      <c r="I20" s="33" t="s">
        <v>204</v>
      </c>
      <c r="J20" s="51">
        <v>44390</v>
      </c>
      <c r="K20" s="51">
        <v>44561</v>
      </c>
      <c r="L20" s="104">
        <v>1</v>
      </c>
      <c r="M20" s="104">
        <v>1</v>
      </c>
      <c r="N20" s="84">
        <f t="shared" si="0"/>
        <v>1</v>
      </c>
      <c r="O20" s="21" t="s">
        <v>282</v>
      </c>
      <c r="P20" s="37">
        <f>51097293+134254307+368151999+109200000+71954166</f>
        <v>734657765</v>
      </c>
      <c r="Q20" s="37"/>
      <c r="R20" s="37"/>
      <c r="S20" s="37"/>
      <c r="T20" s="44"/>
      <c r="U20" s="94">
        <f>SUM(P20:T21)</f>
        <v>1237818635</v>
      </c>
      <c r="V20" s="37">
        <f>42349844+130495581+169993540+33950000+69755420</f>
        <v>446544385</v>
      </c>
      <c r="W20" s="37"/>
      <c r="X20" s="37"/>
      <c r="Y20" s="37"/>
      <c r="Z20" s="37"/>
      <c r="AA20" s="94">
        <f>SUM(V20:Z21)</f>
        <v>446544385</v>
      </c>
      <c r="AB20" s="105">
        <f>IFERROR(AA20/U20,"-")</f>
        <v>0.36075106027144277</v>
      </c>
      <c r="AC20" s="78"/>
      <c r="AD20" s="78" t="s">
        <v>52</v>
      </c>
      <c r="AE20" s="78" t="s">
        <v>197</v>
      </c>
    </row>
    <row r="21" spans="1:31" ht="75" customHeight="1" x14ac:dyDescent="0.25">
      <c r="A21" s="73">
        <v>177</v>
      </c>
      <c r="B21" s="42" t="s">
        <v>53</v>
      </c>
      <c r="C21" s="42" t="s">
        <v>54</v>
      </c>
      <c r="D21" s="43" t="s">
        <v>76</v>
      </c>
      <c r="E21" s="49" t="s">
        <v>77</v>
      </c>
      <c r="F21" s="50" t="s">
        <v>78</v>
      </c>
      <c r="G21" s="31"/>
      <c r="H21" s="48" t="s">
        <v>46</v>
      </c>
      <c r="I21" s="33"/>
      <c r="J21" s="34"/>
      <c r="K21" s="34"/>
      <c r="L21" s="104"/>
      <c r="M21" s="104"/>
      <c r="N21" s="84"/>
      <c r="O21" s="21" t="s">
        <v>283</v>
      </c>
      <c r="P21" s="37">
        <f>44064469+12600000+9664+3638611+442848126</f>
        <v>503160870</v>
      </c>
      <c r="Q21" s="37"/>
      <c r="R21" s="37"/>
      <c r="S21" s="37"/>
      <c r="T21" s="44"/>
      <c r="U21" s="95"/>
      <c r="V21" s="37"/>
      <c r="W21" s="37"/>
      <c r="X21" s="37"/>
      <c r="Y21" s="37"/>
      <c r="Z21" s="37"/>
      <c r="AA21" s="95"/>
      <c r="AB21" s="106"/>
      <c r="AC21" s="79"/>
      <c r="AD21" s="79"/>
      <c r="AE21" s="79" t="s">
        <v>197</v>
      </c>
    </row>
    <row r="22" spans="1:31" ht="54.6" customHeight="1" x14ac:dyDescent="0.25">
      <c r="A22" s="73">
        <v>217</v>
      </c>
      <c r="B22" s="42" t="s">
        <v>43</v>
      </c>
      <c r="C22" s="42" t="s">
        <v>80</v>
      </c>
      <c r="D22" s="43" t="s">
        <v>81</v>
      </c>
      <c r="E22" s="49" t="s">
        <v>82</v>
      </c>
      <c r="F22" s="50" t="s">
        <v>83</v>
      </c>
      <c r="G22" s="52">
        <v>20200680010110</v>
      </c>
      <c r="H22" s="32" t="s">
        <v>84</v>
      </c>
      <c r="I22" s="33" t="s">
        <v>85</v>
      </c>
      <c r="J22" s="34">
        <v>44222</v>
      </c>
      <c r="K22" s="34">
        <v>44561</v>
      </c>
      <c r="L22" s="69">
        <v>4</v>
      </c>
      <c r="M22" s="69">
        <v>4</v>
      </c>
      <c r="N22" s="70">
        <f t="shared" si="0"/>
        <v>1</v>
      </c>
      <c r="O22" s="21" t="s">
        <v>308</v>
      </c>
      <c r="P22" s="37">
        <f>266200000+259148478.65+76990223+13500000+1161298.35</f>
        <v>617000000</v>
      </c>
      <c r="Q22" s="37"/>
      <c r="R22" s="37"/>
      <c r="S22" s="37"/>
      <c r="T22" s="44"/>
      <c r="U22" s="68">
        <f>SUM(P22:T22)</f>
        <v>617000000</v>
      </c>
      <c r="V22" s="37">
        <f>239320000+259148478.65+3166666.67+52982100</f>
        <v>554617245.31999993</v>
      </c>
      <c r="W22" s="37"/>
      <c r="X22" s="37"/>
      <c r="Y22" s="37"/>
      <c r="Z22" s="37"/>
      <c r="AA22" s="68">
        <f>SUM(V22:Z22)</f>
        <v>554617245.31999993</v>
      </c>
      <c r="AB22" s="67">
        <f>IFERROR(AA22/U22,"-")</f>
        <v>0.89889342839546182</v>
      </c>
      <c r="AC22" s="74"/>
      <c r="AD22" s="74" t="s">
        <v>52</v>
      </c>
      <c r="AE22" s="74" t="s">
        <v>197</v>
      </c>
    </row>
    <row r="23" spans="1:31" ht="45" customHeight="1" x14ac:dyDescent="0.25">
      <c r="A23" s="73">
        <v>229</v>
      </c>
      <c r="B23" s="50" t="s">
        <v>43</v>
      </c>
      <c r="C23" s="50" t="s">
        <v>44</v>
      </c>
      <c r="D23" s="50" t="s">
        <v>45</v>
      </c>
      <c r="E23" s="49" t="s">
        <v>86</v>
      </c>
      <c r="F23" s="55" t="s">
        <v>87</v>
      </c>
      <c r="G23" s="52">
        <v>20200680010062</v>
      </c>
      <c r="H23" s="32" t="s">
        <v>88</v>
      </c>
      <c r="I23" s="33" t="s">
        <v>89</v>
      </c>
      <c r="J23" s="34">
        <v>44209</v>
      </c>
      <c r="K23" s="34">
        <v>44561</v>
      </c>
      <c r="L23" s="85">
        <v>1</v>
      </c>
      <c r="M23" s="85">
        <v>1</v>
      </c>
      <c r="N23" s="84">
        <f t="shared" ref="N23" si="5">IFERROR(IF(M23/L23&gt;100%,100%,M23/L23),"-")</f>
        <v>1</v>
      </c>
      <c r="O23" s="21" t="s">
        <v>284</v>
      </c>
      <c r="P23" s="37">
        <f>142500000+405000000+5500000</f>
        <v>553000000</v>
      </c>
      <c r="Q23" s="37"/>
      <c r="R23" s="37"/>
      <c r="S23" s="37"/>
      <c r="T23" s="44"/>
      <c r="U23" s="94">
        <f>SUM(P23:T26)</f>
        <v>1674783334</v>
      </c>
      <c r="V23" s="37">
        <f>142500000+409500000</f>
        <v>552000000</v>
      </c>
      <c r="W23" s="37"/>
      <c r="X23" s="37"/>
      <c r="Y23" s="37"/>
      <c r="Z23" s="37"/>
      <c r="AA23" s="94">
        <f>SUM(V23:Z26)</f>
        <v>1587916665.6399999</v>
      </c>
      <c r="AB23" s="105">
        <f>IFERROR(AA23/U23,"-")</f>
        <v>0.94813259327549526</v>
      </c>
      <c r="AC23" s="80"/>
      <c r="AD23" s="80" t="s">
        <v>52</v>
      </c>
      <c r="AE23" s="80" t="s">
        <v>197</v>
      </c>
    </row>
    <row r="24" spans="1:31" ht="41.4" x14ac:dyDescent="0.25">
      <c r="A24" s="73">
        <v>229</v>
      </c>
      <c r="B24" s="50" t="s">
        <v>43</v>
      </c>
      <c r="C24" s="50" t="s">
        <v>44</v>
      </c>
      <c r="D24" s="50" t="s">
        <v>45</v>
      </c>
      <c r="E24" s="49" t="s">
        <v>86</v>
      </c>
      <c r="F24" s="55" t="s">
        <v>87</v>
      </c>
      <c r="G24" s="52"/>
      <c r="H24" s="48" t="s">
        <v>46</v>
      </c>
      <c r="I24" s="33"/>
      <c r="J24" s="34"/>
      <c r="K24" s="34"/>
      <c r="L24" s="85"/>
      <c r="M24" s="85"/>
      <c r="N24" s="84"/>
      <c r="O24" s="21" t="s">
        <v>258</v>
      </c>
      <c r="P24" s="37">
        <v>30000000</v>
      </c>
      <c r="Q24" s="37"/>
      <c r="R24" s="37"/>
      <c r="S24" s="37"/>
      <c r="T24" s="44"/>
      <c r="U24" s="95"/>
      <c r="V24" s="37"/>
      <c r="W24" s="37"/>
      <c r="X24" s="37"/>
      <c r="Y24" s="37"/>
      <c r="Z24" s="37"/>
      <c r="AA24" s="95"/>
      <c r="AB24" s="106"/>
      <c r="AC24" s="82"/>
      <c r="AD24" s="82" t="s">
        <v>52</v>
      </c>
      <c r="AE24" s="82" t="s">
        <v>197</v>
      </c>
    </row>
    <row r="25" spans="1:31" ht="70.8" customHeight="1" x14ac:dyDescent="0.25">
      <c r="A25" s="73">
        <v>229</v>
      </c>
      <c r="B25" s="50" t="s">
        <v>43</v>
      </c>
      <c r="C25" s="50" t="s">
        <v>44</v>
      </c>
      <c r="D25" s="50" t="s">
        <v>45</v>
      </c>
      <c r="E25" s="49" t="s">
        <v>86</v>
      </c>
      <c r="F25" s="55" t="s">
        <v>87</v>
      </c>
      <c r="G25" s="52">
        <v>2021680010041</v>
      </c>
      <c r="H25" s="32" t="s">
        <v>90</v>
      </c>
      <c r="I25" s="33" t="s">
        <v>91</v>
      </c>
      <c r="J25" s="34">
        <v>44328</v>
      </c>
      <c r="K25" s="34">
        <v>44561</v>
      </c>
      <c r="L25" s="85"/>
      <c r="M25" s="85"/>
      <c r="N25" s="84"/>
      <c r="O25" s="13" t="s">
        <v>223</v>
      </c>
      <c r="P25" s="37"/>
      <c r="Q25" s="37"/>
      <c r="R25" s="37"/>
      <c r="S25" s="37"/>
      <c r="T25" s="37">
        <f>636600000</f>
        <v>636600000</v>
      </c>
      <c r="U25" s="95"/>
      <c r="V25" s="37"/>
      <c r="W25" s="37"/>
      <c r="X25" s="37"/>
      <c r="Y25" s="37"/>
      <c r="Z25" s="37">
        <f>600999999.99-4733333.33</f>
        <v>596266666.65999997</v>
      </c>
      <c r="AA25" s="95"/>
      <c r="AB25" s="106"/>
      <c r="AC25" s="82"/>
      <c r="AD25" s="82" t="s">
        <v>52</v>
      </c>
      <c r="AE25" s="82" t="s">
        <v>197</v>
      </c>
    </row>
    <row r="26" spans="1:31" ht="74.400000000000006" customHeight="1" x14ac:dyDescent="0.25">
      <c r="A26" s="73">
        <v>229</v>
      </c>
      <c r="B26" s="50" t="s">
        <v>43</v>
      </c>
      <c r="C26" s="50" t="s">
        <v>44</v>
      </c>
      <c r="D26" s="50" t="s">
        <v>45</v>
      </c>
      <c r="E26" s="49" t="s">
        <v>86</v>
      </c>
      <c r="F26" s="55" t="s">
        <v>87</v>
      </c>
      <c r="G26" s="52">
        <v>2020680010156</v>
      </c>
      <c r="H26" s="32" t="s">
        <v>92</v>
      </c>
      <c r="I26" s="33" t="s">
        <v>93</v>
      </c>
      <c r="J26" s="34">
        <v>44202</v>
      </c>
      <c r="K26" s="34">
        <v>44561</v>
      </c>
      <c r="L26" s="85"/>
      <c r="M26" s="85"/>
      <c r="N26" s="84"/>
      <c r="O26" s="21" t="s">
        <v>275</v>
      </c>
      <c r="P26" s="37"/>
      <c r="Q26" s="37"/>
      <c r="R26" s="37"/>
      <c r="S26" s="108"/>
      <c r="T26" s="37">
        <v>455183334</v>
      </c>
      <c r="U26" s="96"/>
      <c r="V26" s="37"/>
      <c r="W26" s="37"/>
      <c r="X26" s="37"/>
      <c r="Y26" s="37"/>
      <c r="Z26" s="37">
        <v>439649998.98000002</v>
      </c>
      <c r="AA26" s="96"/>
      <c r="AB26" s="107"/>
      <c r="AC26" s="81"/>
      <c r="AD26" s="81" t="s">
        <v>52</v>
      </c>
      <c r="AE26" s="81" t="s">
        <v>197</v>
      </c>
    </row>
    <row r="27" spans="1:31" ht="96" customHeight="1" x14ac:dyDescent="0.25">
      <c r="A27" s="73">
        <v>230</v>
      </c>
      <c r="B27" s="27" t="s">
        <v>43</v>
      </c>
      <c r="C27" s="27" t="s">
        <v>44</v>
      </c>
      <c r="D27" s="28" t="s">
        <v>45</v>
      </c>
      <c r="E27" s="29" t="s">
        <v>126</v>
      </c>
      <c r="F27" s="30" t="s">
        <v>127</v>
      </c>
      <c r="G27" s="52">
        <v>2021680010166</v>
      </c>
      <c r="H27" s="32" t="s">
        <v>212</v>
      </c>
      <c r="I27" s="33" t="s">
        <v>213</v>
      </c>
      <c r="J27" s="34">
        <v>44477</v>
      </c>
      <c r="K27" s="34">
        <v>44561</v>
      </c>
      <c r="L27" s="69">
        <v>1</v>
      </c>
      <c r="M27" s="69">
        <v>1</v>
      </c>
      <c r="N27" s="70">
        <f>IFERROR(IF(M27/L27&gt;100%,100%,M27/L27),"-")</f>
        <v>1</v>
      </c>
      <c r="O27" s="21" t="s">
        <v>215</v>
      </c>
      <c r="P27" s="37">
        <v>25000000</v>
      </c>
      <c r="Q27" s="37"/>
      <c r="R27" s="37"/>
      <c r="S27" s="108"/>
      <c r="T27" s="37"/>
      <c r="U27" s="38">
        <f>SUM(P27:T27)</f>
        <v>25000000</v>
      </c>
      <c r="V27" s="37"/>
      <c r="W27" s="37"/>
      <c r="X27" s="37"/>
      <c r="Y27" s="37"/>
      <c r="Z27" s="37"/>
      <c r="AA27" s="38">
        <f t="shared" si="2"/>
        <v>0</v>
      </c>
      <c r="AB27" s="39">
        <f>IFERROR(AA27/U27,"-")</f>
        <v>0</v>
      </c>
      <c r="AC27" s="40"/>
      <c r="AD27" s="41" t="s">
        <v>52</v>
      </c>
      <c r="AE27" s="41" t="s">
        <v>197</v>
      </c>
    </row>
    <row r="28" spans="1:31" ht="64.2" customHeight="1" x14ac:dyDescent="0.25">
      <c r="A28" s="73">
        <v>231</v>
      </c>
      <c r="B28" s="42" t="s">
        <v>43</v>
      </c>
      <c r="C28" s="42" t="s">
        <v>44</v>
      </c>
      <c r="D28" s="43" t="s">
        <v>45</v>
      </c>
      <c r="E28" s="49" t="s">
        <v>128</v>
      </c>
      <c r="F28" s="50" t="s">
        <v>129</v>
      </c>
      <c r="G28" s="52">
        <v>2021680010009</v>
      </c>
      <c r="H28" s="32" t="s">
        <v>130</v>
      </c>
      <c r="I28" s="33" t="s">
        <v>131</v>
      </c>
      <c r="J28" s="34">
        <v>44232</v>
      </c>
      <c r="K28" s="34">
        <v>44561</v>
      </c>
      <c r="L28" s="85">
        <v>1</v>
      </c>
      <c r="M28" s="85">
        <v>1</v>
      </c>
      <c r="N28" s="84">
        <f>IFERROR(IF(M28/L28&gt;100%,100%,M28/L28),"-")</f>
        <v>1</v>
      </c>
      <c r="O28" s="21" t="s">
        <v>240</v>
      </c>
      <c r="P28" s="37">
        <v>355773880</v>
      </c>
      <c r="Q28" s="37"/>
      <c r="R28" s="37"/>
      <c r="S28" s="108"/>
      <c r="T28" s="37"/>
      <c r="U28" s="94">
        <f>SUM(P28:T29)</f>
        <v>360000000</v>
      </c>
      <c r="V28" s="37">
        <v>320207103</v>
      </c>
      <c r="W28" s="37"/>
      <c r="X28" s="37"/>
      <c r="Y28" s="37"/>
      <c r="Z28" s="37"/>
      <c r="AA28" s="94">
        <f>SUM(V28:Z29)</f>
        <v>320207103</v>
      </c>
      <c r="AB28" s="105">
        <f>IFERROR(AA28/U28,"-")</f>
        <v>0.88946417499999997</v>
      </c>
      <c r="AC28" s="80"/>
      <c r="AD28" s="78" t="s">
        <v>52</v>
      </c>
      <c r="AE28" s="78" t="s">
        <v>197</v>
      </c>
    </row>
    <row r="29" spans="1:31" ht="37.799999999999997" customHeight="1" x14ac:dyDescent="0.25">
      <c r="A29" s="73">
        <v>231</v>
      </c>
      <c r="B29" s="42" t="s">
        <v>43</v>
      </c>
      <c r="C29" s="42" t="s">
        <v>44</v>
      </c>
      <c r="D29" s="43" t="s">
        <v>45</v>
      </c>
      <c r="E29" s="49" t="s">
        <v>128</v>
      </c>
      <c r="F29" s="50" t="s">
        <v>129</v>
      </c>
      <c r="G29" s="56"/>
      <c r="H29" s="45" t="s">
        <v>46</v>
      </c>
      <c r="I29" s="33"/>
      <c r="J29" s="34"/>
      <c r="K29" s="34"/>
      <c r="L29" s="85"/>
      <c r="M29" s="85"/>
      <c r="N29" s="84"/>
      <c r="O29" s="21" t="s">
        <v>241</v>
      </c>
      <c r="P29" s="37">
        <v>4226120</v>
      </c>
      <c r="Q29" s="37"/>
      <c r="R29" s="37"/>
      <c r="S29" s="108"/>
      <c r="T29" s="37"/>
      <c r="U29" s="96"/>
      <c r="V29" s="37"/>
      <c r="W29" s="37"/>
      <c r="X29" s="37"/>
      <c r="Y29" s="37"/>
      <c r="Z29" s="37"/>
      <c r="AA29" s="96"/>
      <c r="AB29" s="107"/>
      <c r="AC29" s="81"/>
      <c r="AD29" s="79"/>
      <c r="AE29" s="79" t="s">
        <v>197</v>
      </c>
    </row>
    <row r="30" spans="1:31" ht="78" customHeight="1" x14ac:dyDescent="0.25">
      <c r="A30" s="73">
        <v>232</v>
      </c>
      <c r="B30" s="42" t="s">
        <v>43</v>
      </c>
      <c r="C30" s="42" t="s">
        <v>44</v>
      </c>
      <c r="D30" s="43" t="s">
        <v>45</v>
      </c>
      <c r="E30" s="49" t="s">
        <v>118</v>
      </c>
      <c r="F30" s="50" t="s">
        <v>119</v>
      </c>
      <c r="G30" s="52">
        <v>2021680010086</v>
      </c>
      <c r="H30" s="32" t="s">
        <v>200</v>
      </c>
      <c r="I30" s="33" t="s">
        <v>201</v>
      </c>
      <c r="J30" s="34">
        <v>44438</v>
      </c>
      <c r="K30" s="34">
        <v>44561</v>
      </c>
      <c r="L30" s="85">
        <v>1</v>
      </c>
      <c r="M30" s="85">
        <v>1</v>
      </c>
      <c r="N30" s="84">
        <f t="shared" ref="N30:N66" si="6">IFERROR(IF(M30/L30&gt;100%,100%,M30/L30),"-")</f>
        <v>1</v>
      </c>
      <c r="O30" s="13" t="s">
        <v>285</v>
      </c>
      <c r="P30" s="37"/>
      <c r="Q30" s="37"/>
      <c r="R30" s="37"/>
      <c r="S30" s="37"/>
      <c r="T30" s="37">
        <f>381264073+599426673+103415340</f>
        <v>1084106086</v>
      </c>
      <c r="U30" s="94">
        <f>SUM(P30:T32)</f>
        <v>1623158580</v>
      </c>
      <c r="V30" s="37"/>
      <c r="W30" s="37"/>
      <c r="X30" s="37"/>
      <c r="Y30" s="37"/>
      <c r="Z30" s="37">
        <f>381264073+443148356.85+103415340</f>
        <v>927827769.85000002</v>
      </c>
      <c r="AA30" s="94">
        <f>SUM(V30:Z32)</f>
        <v>1347237259.8600001</v>
      </c>
      <c r="AB30" s="105">
        <f>IFERROR(AA30/U30,"-")</f>
        <v>0.83000963458542676</v>
      </c>
      <c r="AC30" s="80">
        <v>21880000</v>
      </c>
      <c r="AD30" s="78" t="s">
        <v>52</v>
      </c>
      <c r="AE30" s="78" t="s">
        <v>197</v>
      </c>
    </row>
    <row r="31" spans="1:31" ht="102" customHeight="1" x14ac:dyDescent="0.25">
      <c r="A31" s="73">
        <v>232</v>
      </c>
      <c r="B31" s="42" t="s">
        <v>43</v>
      </c>
      <c r="C31" s="42" t="s">
        <v>44</v>
      </c>
      <c r="D31" s="43" t="s">
        <v>45</v>
      </c>
      <c r="E31" s="49" t="s">
        <v>118</v>
      </c>
      <c r="F31" s="50" t="s">
        <v>119</v>
      </c>
      <c r="G31" s="52">
        <v>2020680010162</v>
      </c>
      <c r="H31" s="32" t="s">
        <v>116</v>
      </c>
      <c r="I31" s="33" t="s">
        <v>117</v>
      </c>
      <c r="J31" s="34">
        <v>44225</v>
      </c>
      <c r="K31" s="34">
        <v>44561</v>
      </c>
      <c r="L31" s="85"/>
      <c r="M31" s="85"/>
      <c r="N31" s="84"/>
      <c r="O31" s="21" t="s">
        <v>286</v>
      </c>
      <c r="P31" s="37"/>
      <c r="Q31" s="37"/>
      <c r="R31" s="37"/>
      <c r="S31" s="37"/>
      <c r="T31" s="37">
        <f>216600000+182600000+24323426+10397502+49960950</f>
        <v>483881878</v>
      </c>
      <c r="U31" s="95"/>
      <c r="V31" s="37"/>
      <c r="W31" s="37"/>
      <c r="X31" s="37"/>
      <c r="Y31" s="37"/>
      <c r="Z31" s="37">
        <f>160743333.33+180586666.68+16631440+9627100+49960950+1860000</f>
        <v>419409490.00999999</v>
      </c>
      <c r="AA31" s="95"/>
      <c r="AB31" s="106"/>
      <c r="AC31" s="82"/>
      <c r="AD31" s="83"/>
      <c r="AE31" s="83" t="s">
        <v>197</v>
      </c>
    </row>
    <row r="32" spans="1:31" ht="78" customHeight="1" x14ac:dyDescent="0.25">
      <c r="A32" s="73">
        <v>232</v>
      </c>
      <c r="B32" s="42" t="s">
        <v>43</v>
      </c>
      <c r="C32" s="42" t="s">
        <v>44</v>
      </c>
      <c r="D32" s="43" t="s">
        <v>45</v>
      </c>
      <c r="E32" s="49" t="s">
        <v>118</v>
      </c>
      <c r="F32" s="50" t="s">
        <v>119</v>
      </c>
      <c r="G32" s="52"/>
      <c r="H32" s="48" t="s">
        <v>46</v>
      </c>
      <c r="I32" s="33"/>
      <c r="J32" s="34"/>
      <c r="K32" s="34"/>
      <c r="L32" s="85"/>
      <c r="M32" s="85"/>
      <c r="N32" s="84"/>
      <c r="O32" s="21" t="s">
        <v>287</v>
      </c>
      <c r="P32" s="37"/>
      <c r="Q32" s="37"/>
      <c r="R32" s="37"/>
      <c r="S32" s="37"/>
      <c r="T32" s="37">
        <f>7260616+47910000</f>
        <v>55170616</v>
      </c>
      <c r="U32" s="95"/>
      <c r="V32" s="37"/>
      <c r="W32" s="37"/>
      <c r="X32" s="37"/>
      <c r="Y32" s="37"/>
      <c r="Z32" s="37"/>
      <c r="AA32" s="95"/>
      <c r="AB32" s="106"/>
      <c r="AC32" s="81"/>
      <c r="AD32" s="79"/>
      <c r="AE32" s="79" t="s">
        <v>197</v>
      </c>
    </row>
    <row r="33" spans="1:31" ht="58.8" customHeight="1" x14ac:dyDescent="0.25">
      <c r="A33" s="73">
        <v>233</v>
      </c>
      <c r="B33" s="42" t="s">
        <v>43</v>
      </c>
      <c r="C33" s="42" t="s">
        <v>44</v>
      </c>
      <c r="D33" s="43" t="s">
        <v>45</v>
      </c>
      <c r="E33" s="49" t="s">
        <v>94</v>
      </c>
      <c r="F33" s="50" t="s">
        <v>95</v>
      </c>
      <c r="G33" s="52">
        <v>2021680010041</v>
      </c>
      <c r="H33" s="32" t="s">
        <v>90</v>
      </c>
      <c r="I33" s="33" t="s">
        <v>91</v>
      </c>
      <c r="J33" s="34">
        <v>44328</v>
      </c>
      <c r="K33" s="34">
        <v>44561</v>
      </c>
      <c r="L33" s="85">
        <v>3</v>
      </c>
      <c r="M33" s="85">
        <v>3</v>
      </c>
      <c r="N33" s="84">
        <f t="shared" si="6"/>
        <v>1</v>
      </c>
      <c r="O33" s="13" t="s">
        <v>222</v>
      </c>
      <c r="P33" s="37"/>
      <c r="Q33" s="37"/>
      <c r="R33" s="37"/>
      <c r="S33" s="37"/>
      <c r="T33" s="37">
        <v>99850000</v>
      </c>
      <c r="U33" s="94">
        <f>SUM(P33:T35)</f>
        <v>208517526</v>
      </c>
      <c r="V33" s="37"/>
      <c r="W33" s="37"/>
      <c r="X33" s="37"/>
      <c r="Y33" s="37"/>
      <c r="Z33" s="37">
        <f>79500000.06+12083333.33</f>
        <v>91583333.390000001</v>
      </c>
      <c r="AA33" s="94">
        <f>SUM(V33:Z35)</f>
        <v>200250859.38999999</v>
      </c>
      <c r="AB33" s="105">
        <f>IFERROR(AA33/U33,"-")</f>
        <v>0.96035505135429233</v>
      </c>
      <c r="AC33" s="80">
        <v>88470823</v>
      </c>
      <c r="AD33" s="78" t="s">
        <v>52</v>
      </c>
      <c r="AE33" s="78" t="s">
        <v>197</v>
      </c>
    </row>
    <row r="34" spans="1:31" ht="55.2" x14ac:dyDescent="0.25">
      <c r="A34" s="73">
        <v>233</v>
      </c>
      <c r="B34" s="42" t="s">
        <v>43</v>
      </c>
      <c r="C34" s="42" t="s">
        <v>44</v>
      </c>
      <c r="D34" s="43" t="s">
        <v>45</v>
      </c>
      <c r="E34" s="49" t="s">
        <v>94</v>
      </c>
      <c r="F34" s="50" t="s">
        <v>95</v>
      </c>
      <c r="G34" s="52">
        <v>2020680010156</v>
      </c>
      <c r="H34" s="32" t="s">
        <v>92</v>
      </c>
      <c r="I34" s="33" t="s">
        <v>93</v>
      </c>
      <c r="J34" s="34">
        <v>44202</v>
      </c>
      <c r="K34" s="34">
        <v>44561</v>
      </c>
      <c r="L34" s="85"/>
      <c r="M34" s="85"/>
      <c r="N34" s="84"/>
      <c r="O34" s="10" t="s">
        <v>276</v>
      </c>
      <c r="P34" s="37"/>
      <c r="Q34" s="37"/>
      <c r="R34" s="37"/>
      <c r="S34" s="108"/>
      <c r="T34" s="37">
        <v>43666666</v>
      </c>
      <c r="U34" s="95"/>
      <c r="V34" s="37"/>
      <c r="W34" s="37"/>
      <c r="X34" s="37"/>
      <c r="Y34" s="37"/>
      <c r="Z34" s="37">
        <v>43666666</v>
      </c>
      <c r="AA34" s="95"/>
      <c r="AB34" s="106"/>
      <c r="AC34" s="82"/>
      <c r="AD34" s="83"/>
      <c r="AE34" s="83"/>
    </row>
    <row r="35" spans="1:31" ht="82.8" x14ac:dyDescent="0.25">
      <c r="A35" s="73">
        <v>233</v>
      </c>
      <c r="B35" s="42" t="s">
        <v>43</v>
      </c>
      <c r="C35" s="42" t="s">
        <v>44</v>
      </c>
      <c r="D35" s="43" t="s">
        <v>45</v>
      </c>
      <c r="E35" s="49" t="s">
        <v>94</v>
      </c>
      <c r="F35" s="50" t="s">
        <v>95</v>
      </c>
      <c r="G35" s="52">
        <v>2021680010126</v>
      </c>
      <c r="H35" s="32" t="s">
        <v>268</v>
      </c>
      <c r="I35" s="33" t="s">
        <v>269</v>
      </c>
      <c r="J35" s="34">
        <v>44460</v>
      </c>
      <c r="K35" s="34">
        <v>44561</v>
      </c>
      <c r="L35" s="85"/>
      <c r="M35" s="85"/>
      <c r="N35" s="84"/>
      <c r="O35" s="10" t="s">
        <v>277</v>
      </c>
      <c r="P35" s="37"/>
      <c r="Q35" s="37"/>
      <c r="R35" s="37"/>
      <c r="S35" s="108"/>
      <c r="T35" s="37">
        <v>65000860</v>
      </c>
      <c r="U35" s="96"/>
      <c r="V35" s="37"/>
      <c r="W35" s="37"/>
      <c r="X35" s="37"/>
      <c r="Y35" s="37"/>
      <c r="Z35" s="37">
        <v>65000860</v>
      </c>
      <c r="AA35" s="96"/>
      <c r="AB35" s="107"/>
      <c r="AC35" s="81"/>
      <c r="AD35" s="79"/>
      <c r="AE35" s="79"/>
    </row>
    <row r="36" spans="1:31" ht="55.2" x14ac:dyDescent="0.25">
      <c r="A36" s="73">
        <v>235</v>
      </c>
      <c r="B36" s="50" t="s">
        <v>43</v>
      </c>
      <c r="C36" s="50" t="s">
        <v>44</v>
      </c>
      <c r="D36" s="50" t="s">
        <v>100</v>
      </c>
      <c r="E36" s="49" t="s">
        <v>101</v>
      </c>
      <c r="F36" s="50" t="s">
        <v>102</v>
      </c>
      <c r="G36" s="52">
        <v>2021680010086</v>
      </c>
      <c r="H36" s="32" t="s">
        <v>200</v>
      </c>
      <c r="I36" s="33" t="s">
        <v>201</v>
      </c>
      <c r="J36" s="34">
        <v>44438</v>
      </c>
      <c r="K36" s="34">
        <v>44561</v>
      </c>
      <c r="L36" s="85">
        <v>1</v>
      </c>
      <c r="M36" s="85">
        <v>1</v>
      </c>
      <c r="N36" s="84">
        <f t="shared" si="6"/>
        <v>1</v>
      </c>
      <c r="O36" s="13" t="s">
        <v>203</v>
      </c>
      <c r="P36" s="37"/>
      <c r="Q36" s="37"/>
      <c r="R36" s="37"/>
      <c r="S36" s="37"/>
      <c r="T36" s="37">
        <v>21678600</v>
      </c>
      <c r="U36" s="94">
        <f>SUM(P36:T56)</f>
        <v>18332156641.079998</v>
      </c>
      <c r="V36" s="37"/>
      <c r="W36" s="37"/>
      <c r="X36" s="37"/>
      <c r="Y36" s="37"/>
      <c r="Z36" s="37">
        <v>10089772</v>
      </c>
      <c r="AA36" s="94">
        <f>SUM(V36:Z56)</f>
        <v>11568134813.99</v>
      </c>
      <c r="AB36" s="105">
        <f>IFERROR(AA36/U36,"-")</f>
        <v>0.63102967318462155</v>
      </c>
      <c r="AC36" s="80">
        <v>21880000</v>
      </c>
      <c r="AD36" s="78" t="s">
        <v>52</v>
      </c>
      <c r="AE36" s="78" t="s">
        <v>197</v>
      </c>
    </row>
    <row r="37" spans="1:31" ht="55.2" x14ac:dyDescent="0.25">
      <c r="A37" s="73">
        <v>235</v>
      </c>
      <c r="B37" s="50" t="s">
        <v>43</v>
      </c>
      <c r="C37" s="50" t="s">
        <v>44</v>
      </c>
      <c r="D37" s="50" t="s">
        <v>100</v>
      </c>
      <c r="E37" s="49" t="s">
        <v>101</v>
      </c>
      <c r="F37" s="50" t="s">
        <v>102</v>
      </c>
      <c r="G37" s="52">
        <v>2021680010041</v>
      </c>
      <c r="H37" s="32" t="s">
        <v>90</v>
      </c>
      <c r="I37" s="33" t="s">
        <v>91</v>
      </c>
      <c r="J37" s="34">
        <v>44328</v>
      </c>
      <c r="K37" s="34">
        <v>44561</v>
      </c>
      <c r="L37" s="85"/>
      <c r="M37" s="85"/>
      <c r="N37" s="84"/>
      <c r="O37" s="13" t="s">
        <v>221</v>
      </c>
      <c r="P37" s="37"/>
      <c r="Q37" s="37"/>
      <c r="R37" s="37"/>
      <c r="S37" s="37"/>
      <c r="T37" s="37">
        <f>295916667+28900000</f>
        <v>324816667</v>
      </c>
      <c r="U37" s="95"/>
      <c r="V37" s="37"/>
      <c r="W37" s="37"/>
      <c r="X37" s="37"/>
      <c r="Y37" s="37"/>
      <c r="Z37" s="37">
        <f>321916666.67-17083332.68</f>
        <v>304833333.99000001</v>
      </c>
      <c r="AA37" s="95"/>
      <c r="AB37" s="106"/>
      <c r="AC37" s="82"/>
      <c r="AD37" s="83"/>
      <c r="AE37" s="83" t="s">
        <v>197</v>
      </c>
    </row>
    <row r="38" spans="1:31" ht="55.2" x14ac:dyDescent="0.25">
      <c r="A38" s="73">
        <v>235</v>
      </c>
      <c r="B38" s="50" t="s">
        <v>43</v>
      </c>
      <c r="C38" s="50" t="s">
        <v>44</v>
      </c>
      <c r="D38" s="50" t="s">
        <v>100</v>
      </c>
      <c r="E38" s="49" t="s">
        <v>101</v>
      </c>
      <c r="F38" s="50" t="s">
        <v>102</v>
      </c>
      <c r="G38" s="52">
        <v>2020680010156</v>
      </c>
      <c r="H38" s="32" t="s">
        <v>92</v>
      </c>
      <c r="I38" s="33" t="s">
        <v>93</v>
      </c>
      <c r="J38" s="34">
        <v>44202</v>
      </c>
      <c r="K38" s="34">
        <v>44561</v>
      </c>
      <c r="L38" s="85"/>
      <c r="M38" s="85"/>
      <c r="N38" s="84"/>
      <c r="O38" s="21" t="s">
        <v>278</v>
      </c>
      <c r="P38" s="37"/>
      <c r="Q38" s="37"/>
      <c r="R38" s="37"/>
      <c r="S38" s="108"/>
      <c r="T38" s="37">
        <v>83000000</v>
      </c>
      <c r="U38" s="95"/>
      <c r="V38" s="37"/>
      <c r="W38" s="37"/>
      <c r="X38" s="37"/>
      <c r="Y38" s="37"/>
      <c r="Z38" s="37">
        <v>83000000</v>
      </c>
      <c r="AA38" s="95"/>
      <c r="AB38" s="106"/>
      <c r="AC38" s="82"/>
      <c r="AD38" s="83"/>
      <c r="AE38" s="83" t="s">
        <v>197</v>
      </c>
    </row>
    <row r="39" spans="1:31" ht="55.2" x14ac:dyDescent="0.25">
      <c r="A39" s="73">
        <v>235</v>
      </c>
      <c r="B39" s="50" t="s">
        <v>43</v>
      </c>
      <c r="C39" s="50" t="s">
        <v>44</v>
      </c>
      <c r="D39" s="50" t="s">
        <v>100</v>
      </c>
      <c r="E39" s="49" t="s">
        <v>101</v>
      </c>
      <c r="F39" s="50" t="s">
        <v>102</v>
      </c>
      <c r="G39" s="52">
        <v>2020680010162</v>
      </c>
      <c r="H39" s="32" t="s">
        <v>116</v>
      </c>
      <c r="I39" s="33" t="s">
        <v>117</v>
      </c>
      <c r="J39" s="34">
        <v>44225</v>
      </c>
      <c r="K39" s="34">
        <v>44561</v>
      </c>
      <c r="L39" s="85"/>
      <c r="M39" s="85"/>
      <c r="N39" s="84"/>
      <c r="O39" s="21" t="s">
        <v>288</v>
      </c>
      <c r="P39" s="37"/>
      <c r="Q39" s="37"/>
      <c r="R39" s="37"/>
      <c r="S39" s="108"/>
      <c r="T39" s="37">
        <f>100000000+273923586</f>
        <v>373923586</v>
      </c>
      <c r="U39" s="95"/>
      <c r="V39" s="37"/>
      <c r="W39" s="37"/>
      <c r="X39" s="37"/>
      <c r="Y39" s="37"/>
      <c r="Z39" s="37">
        <f>100000000+273890855</f>
        <v>373890855</v>
      </c>
      <c r="AA39" s="95"/>
      <c r="AB39" s="106"/>
      <c r="AC39" s="82"/>
      <c r="AD39" s="83"/>
      <c r="AE39" s="83" t="s">
        <v>197</v>
      </c>
    </row>
    <row r="40" spans="1:31" ht="55.2" x14ac:dyDescent="0.25">
      <c r="A40" s="73">
        <v>235</v>
      </c>
      <c r="B40" s="50" t="s">
        <v>43</v>
      </c>
      <c r="C40" s="50" t="s">
        <v>44</v>
      </c>
      <c r="D40" s="50" t="s">
        <v>100</v>
      </c>
      <c r="E40" s="49" t="s">
        <v>101</v>
      </c>
      <c r="F40" s="50" t="s">
        <v>102</v>
      </c>
      <c r="G40" s="52">
        <v>2021680010045</v>
      </c>
      <c r="H40" s="32" t="s">
        <v>108</v>
      </c>
      <c r="I40" s="33" t="s">
        <v>109</v>
      </c>
      <c r="J40" s="34">
        <v>44340</v>
      </c>
      <c r="K40" s="34">
        <v>44533</v>
      </c>
      <c r="L40" s="85"/>
      <c r="M40" s="85"/>
      <c r="N40" s="84"/>
      <c r="O40" s="21" t="s">
        <v>289</v>
      </c>
      <c r="P40" s="37">
        <v>800000000</v>
      </c>
      <c r="Q40" s="37"/>
      <c r="R40" s="37"/>
      <c r="S40" s="108"/>
      <c r="T40" s="37">
        <v>799658449</v>
      </c>
      <c r="U40" s="95"/>
      <c r="V40" s="37"/>
      <c r="W40" s="37"/>
      <c r="X40" s="37"/>
      <c r="Y40" s="37"/>
      <c r="Z40" s="37">
        <f>557000000+278067752.5</f>
        <v>835067752.5</v>
      </c>
      <c r="AA40" s="95"/>
      <c r="AB40" s="106"/>
      <c r="AC40" s="82"/>
      <c r="AD40" s="83"/>
      <c r="AE40" s="83" t="s">
        <v>197</v>
      </c>
    </row>
    <row r="41" spans="1:31" ht="55.2" x14ac:dyDescent="0.25">
      <c r="A41" s="73">
        <v>235</v>
      </c>
      <c r="B41" s="50" t="s">
        <v>43</v>
      </c>
      <c r="C41" s="50" t="s">
        <v>44</v>
      </c>
      <c r="D41" s="50" t="s">
        <v>100</v>
      </c>
      <c r="E41" s="49" t="s">
        <v>101</v>
      </c>
      <c r="F41" s="50" t="s">
        <v>102</v>
      </c>
      <c r="G41" s="52">
        <v>2020680010131</v>
      </c>
      <c r="H41" s="32" t="s">
        <v>103</v>
      </c>
      <c r="I41" s="33" t="s">
        <v>104</v>
      </c>
      <c r="J41" s="34">
        <v>44426</v>
      </c>
      <c r="K41" s="34">
        <v>44560</v>
      </c>
      <c r="L41" s="85"/>
      <c r="M41" s="85"/>
      <c r="N41" s="84"/>
      <c r="O41" s="21" t="s">
        <v>260</v>
      </c>
      <c r="P41" s="37"/>
      <c r="Q41" s="37"/>
      <c r="R41" s="37"/>
      <c r="S41" s="108"/>
      <c r="T41" s="37">
        <v>1026502282.5</v>
      </c>
      <c r="U41" s="95"/>
      <c r="V41" s="37"/>
      <c r="W41" s="37"/>
      <c r="X41" s="37"/>
      <c r="Y41" s="37"/>
      <c r="Z41" s="37">
        <f>636173700+87100355</f>
        <v>723274055</v>
      </c>
      <c r="AA41" s="95"/>
      <c r="AB41" s="106"/>
      <c r="AC41" s="82"/>
      <c r="AD41" s="83"/>
      <c r="AE41" s="83" t="s">
        <v>197</v>
      </c>
    </row>
    <row r="42" spans="1:31" ht="41.4" x14ac:dyDescent="0.25">
      <c r="A42" s="73">
        <v>235</v>
      </c>
      <c r="B42" s="50" t="s">
        <v>43</v>
      </c>
      <c r="C42" s="50" t="s">
        <v>44</v>
      </c>
      <c r="D42" s="50" t="s">
        <v>100</v>
      </c>
      <c r="E42" s="49" t="s">
        <v>101</v>
      </c>
      <c r="F42" s="50" t="s">
        <v>102</v>
      </c>
      <c r="G42" s="52">
        <v>2021680010088</v>
      </c>
      <c r="H42" s="32" t="s">
        <v>205</v>
      </c>
      <c r="I42" s="33" t="s">
        <v>206</v>
      </c>
      <c r="J42" s="34">
        <v>44439</v>
      </c>
      <c r="K42" s="34">
        <v>44533</v>
      </c>
      <c r="L42" s="85"/>
      <c r="M42" s="85"/>
      <c r="N42" s="84"/>
      <c r="O42" s="21" t="s">
        <v>290</v>
      </c>
      <c r="P42" s="37"/>
      <c r="Q42" s="37"/>
      <c r="R42" s="37"/>
      <c r="S42" s="108"/>
      <c r="T42" s="37">
        <f>286185600+440517900</f>
        <v>726703500</v>
      </c>
      <c r="U42" s="95"/>
      <c r="V42" s="37"/>
      <c r="W42" s="37"/>
      <c r="X42" s="37"/>
      <c r="Y42" s="37"/>
      <c r="Z42" s="37"/>
      <c r="AA42" s="95"/>
      <c r="AB42" s="106"/>
      <c r="AC42" s="82"/>
      <c r="AD42" s="83"/>
      <c r="AE42" s="83" t="s">
        <v>197</v>
      </c>
    </row>
    <row r="43" spans="1:31" ht="55.2" x14ac:dyDescent="0.25">
      <c r="A43" s="73">
        <v>235</v>
      </c>
      <c r="B43" s="50" t="s">
        <v>43</v>
      </c>
      <c r="C43" s="50" t="s">
        <v>44</v>
      </c>
      <c r="D43" s="50" t="s">
        <v>100</v>
      </c>
      <c r="E43" s="49" t="s">
        <v>101</v>
      </c>
      <c r="F43" s="50" t="s">
        <v>102</v>
      </c>
      <c r="G43" s="52">
        <v>2021680010023</v>
      </c>
      <c r="H43" s="32" t="s">
        <v>105</v>
      </c>
      <c r="I43" s="33" t="s">
        <v>250</v>
      </c>
      <c r="J43" s="34">
        <v>44258</v>
      </c>
      <c r="K43" s="34">
        <v>44350</v>
      </c>
      <c r="L43" s="85"/>
      <c r="M43" s="85"/>
      <c r="N43" s="84"/>
      <c r="O43" s="21" t="s">
        <v>259</v>
      </c>
      <c r="P43" s="37"/>
      <c r="Q43" s="37"/>
      <c r="R43" s="37"/>
      <c r="S43" s="108"/>
      <c r="T43" s="37">
        <v>347157800</v>
      </c>
      <c r="U43" s="95"/>
      <c r="V43" s="37"/>
      <c r="W43" s="37"/>
      <c r="X43" s="37"/>
      <c r="Y43" s="37"/>
      <c r="Z43" s="37">
        <v>297576901</v>
      </c>
      <c r="AA43" s="95"/>
      <c r="AB43" s="106"/>
      <c r="AC43" s="82"/>
      <c r="AD43" s="83"/>
      <c r="AE43" s="83" t="s">
        <v>197</v>
      </c>
    </row>
    <row r="44" spans="1:31" ht="69" x14ac:dyDescent="0.25">
      <c r="A44" s="73">
        <v>235</v>
      </c>
      <c r="B44" s="50" t="s">
        <v>43</v>
      </c>
      <c r="C44" s="50" t="s">
        <v>44</v>
      </c>
      <c r="D44" s="50" t="s">
        <v>100</v>
      </c>
      <c r="E44" s="49" t="s">
        <v>101</v>
      </c>
      <c r="F44" s="50" t="s">
        <v>102</v>
      </c>
      <c r="G44" s="52">
        <v>2021680010040</v>
      </c>
      <c r="H44" s="32" t="s">
        <v>106</v>
      </c>
      <c r="I44" s="33" t="s">
        <v>107</v>
      </c>
      <c r="J44" s="34">
        <v>44327</v>
      </c>
      <c r="K44" s="34">
        <v>44440</v>
      </c>
      <c r="L44" s="85"/>
      <c r="M44" s="85"/>
      <c r="N44" s="84"/>
      <c r="O44" s="21" t="s">
        <v>261</v>
      </c>
      <c r="P44" s="37"/>
      <c r="Q44" s="37"/>
      <c r="R44" s="37"/>
      <c r="S44" s="108"/>
      <c r="T44" s="37">
        <v>86602944.370000005</v>
      </c>
      <c r="U44" s="95"/>
      <c r="V44" s="37"/>
      <c r="W44" s="37"/>
      <c r="X44" s="37"/>
      <c r="Y44" s="37"/>
      <c r="Z44" s="37">
        <v>83459223</v>
      </c>
      <c r="AA44" s="95"/>
      <c r="AB44" s="106"/>
      <c r="AC44" s="82"/>
      <c r="AD44" s="83"/>
      <c r="AE44" s="83" t="s">
        <v>197</v>
      </c>
    </row>
    <row r="45" spans="1:31" ht="69" x14ac:dyDescent="0.25">
      <c r="A45" s="73">
        <v>235</v>
      </c>
      <c r="B45" s="50" t="s">
        <v>43</v>
      </c>
      <c r="C45" s="50" t="s">
        <v>44</v>
      </c>
      <c r="D45" s="50" t="s">
        <v>100</v>
      </c>
      <c r="E45" s="49" t="s">
        <v>101</v>
      </c>
      <c r="F45" s="50" t="s">
        <v>102</v>
      </c>
      <c r="G45" s="52">
        <v>2020680010136</v>
      </c>
      <c r="H45" s="32" t="s">
        <v>110</v>
      </c>
      <c r="I45" s="33" t="s">
        <v>111</v>
      </c>
      <c r="J45" s="34">
        <v>44252</v>
      </c>
      <c r="K45" s="34">
        <v>44561</v>
      </c>
      <c r="L45" s="85"/>
      <c r="M45" s="85"/>
      <c r="N45" s="84"/>
      <c r="O45" s="10" t="s">
        <v>291</v>
      </c>
      <c r="P45" s="37">
        <f>399075264+501792912+72000000</f>
        <v>972868176</v>
      </c>
      <c r="Q45" s="37"/>
      <c r="R45" s="37"/>
      <c r="S45" s="37"/>
      <c r="T45" s="37">
        <f>38124302+26999996</f>
        <v>65124298</v>
      </c>
      <c r="U45" s="95"/>
      <c r="V45" s="37">
        <f>399068768+199350085+302434659+72000000-6732</f>
        <v>972846780</v>
      </c>
      <c r="W45" s="37"/>
      <c r="X45" s="37"/>
      <c r="Y45" s="37"/>
      <c r="Z45" s="37">
        <v>53999991</v>
      </c>
      <c r="AA45" s="95"/>
      <c r="AB45" s="106"/>
      <c r="AC45" s="82"/>
      <c r="AD45" s="83"/>
      <c r="AE45" s="83" t="s">
        <v>197</v>
      </c>
    </row>
    <row r="46" spans="1:31" ht="124.2" x14ac:dyDescent="0.25">
      <c r="A46" s="73">
        <v>235</v>
      </c>
      <c r="B46" s="50" t="s">
        <v>43</v>
      </c>
      <c r="C46" s="50" t="s">
        <v>44</v>
      </c>
      <c r="D46" s="50" t="s">
        <v>100</v>
      </c>
      <c r="E46" s="49" t="s">
        <v>101</v>
      </c>
      <c r="F46" s="50" t="s">
        <v>102</v>
      </c>
      <c r="G46" s="52">
        <v>2021680010035</v>
      </c>
      <c r="H46" s="32" t="s">
        <v>112</v>
      </c>
      <c r="I46" s="33" t="s">
        <v>113</v>
      </c>
      <c r="J46" s="34">
        <v>44291</v>
      </c>
      <c r="K46" s="34">
        <v>44560</v>
      </c>
      <c r="L46" s="85"/>
      <c r="M46" s="85"/>
      <c r="N46" s="84"/>
      <c r="O46" s="23" t="s">
        <v>312</v>
      </c>
      <c r="P46" s="37"/>
      <c r="Q46" s="37"/>
      <c r="R46" s="37"/>
      <c r="S46" s="108"/>
      <c r="T46" s="37">
        <f>7410000+35118000+228836000+316960893+249946503+64982607</f>
        <v>903254003</v>
      </c>
      <c r="U46" s="95"/>
      <c r="V46" s="37"/>
      <c r="W46" s="37"/>
      <c r="X46" s="37"/>
      <c r="Y46" s="37"/>
      <c r="Z46" s="37">
        <f>7406000+35118000+228836000+316960893+249946503</f>
        <v>838267396</v>
      </c>
      <c r="AA46" s="95"/>
      <c r="AB46" s="106"/>
      <c r="AC46" s="82"/>
      <c r="AD46" s="83"/>
      <c r="AE46" s="83" t="s">
        <v>197</v>
      </c>
    </row>
    <row r="47" spans="1:31" ht="82.8" x14ac:dyDescent="0.25">
      <c r="A47" s="73">
        <v>235</v>
      </c>
      <c r="B47" s="50" t="s">
        <v>43</v>
      </c>
      <c r="C47" s="50" t="s">
        <v>44</v>
      </c>
      <c r="D47" s="50" t="s">
        <v>100</v>
      </c>
      <c r="E47" s="49" t="s">
        <v>101</v>
      </c>
      <c r="F47" s="50" t="s">
        <v>102</v>
      </c>
      <c r="G47" s="52">
        <v>2021680010085</v>
      </c>
      <c r="H47" s="32" t="s">
        <v>242</v>
      </c>
      <c r="I47" s="33" t="s">
        <v>243</v>
      </c>
      <c r="J47" s="34">
        <v>44434</v>
      </c>
      <c r="K47" s="34">
        <v>44560</v>
      </c>
      <c r="L47" s="85"/>
      <c r="M47" s="85"/>
      <c r="N47" s="84"/>
      <c r="O47" s="10" t="s">
        <v>292</v>
      </c>
      <c r="P47" s="37"/>
      <c r="Q47" s="37"/>
      <c r="R47" s="37"/>
      <c r="S47" s="108"/>
      <c r="T47" s="37">
        <f>102623815+287689542</f>
        <v>390313357</v>
      </c>
      <c r="U47" s="95"/>
      <c r="V47" s="37"/>
      <c r="W47" s="37"/>
      <c r="X47" s="37"/>
      <c r="Y47" s="37"/>
      <c r="Z47" s="37">
        <f>102623815+245934204+64982607</f>
        <v>413540626</v>
      </c>
      <c r="AA47" s="95"/>
      <c r="AB47" s="106"/>
      <c r="AC47" s="82"/>
      <c r="AD47" s="83"/>
      <c r="AE47" s="83" t="s">
        <v>197</v>
      </c>
    </row>
    <row r="48" spans="1:31" ht="69" x14ac:dyDescent="0.25">
      <c r="A48" s="73">
        <v>235</v>
      </c>
      <c r="B48" s="50" t="s">
        <v>43</v>
      </c>
      <c r="C48" s="50" t="s">
        <v>44</v>
      </c>
      <c r="D48" s="50" t="s">
        <v>100</v>
      </c>
      <c r="E48" s="49" t="s">
        <v>101</v>
      </c>
      <c r="F48" s="50" t="s">
        <v>102</v>
      </c>
      <c r="G48" s="52">
        <v>2021680010075</v>
      </c>
      <c r="H48" s="32" t="s">
        <v>198</v>
      </c>
      <c r="I48" s="33" t="s">
        <v>251</v>
      </c>
      <c r="J48" s="34">
        <v>44425</v>
      </c>
      <c r="K48" s="34">
        <v>44561</v>
      </c>
      <c r="L48" s="85"/>
      <c r="M48" s="85"/>
      <c r="N48" s="84"/>
      <c r="O48" s="10" t="s">
        <v>293</v>
      </c>
      <c r="P48" s="37"/>
      <c r="Q48" s="37"/>
      <c r="R48" s="37"/>
      <c r="S48" s="108"/>
      <c r="T48" s="37">
        <f>2835212724.67+316891538.46+77000000</f>
        <v>3229104263.1300001</v>
      </c>
      <c r="U48" s="95"/>
      <c r="V48" s="37"/>
      <c r="W48" s="37"/>
      <c r="X48" s="37"/>
      <c r="Y48" s="37"/>
      <c r="Z48" s="37">
        <f>1598764048+153759977+413491657+530815803+67681795+212350000+104541538.5+77000000</f>
        <v>3158404818.5</v>
      </c>
      <c r="AA48" s="95"/>
      <c r="AB48" s="106"/>
      <c r="AC48" s="82"/>
      <c r="AD48" s="83"/>
      <c r="AE48" s="83" t="s">
        <v>197</v>
      </c>
    </row>
    <row r="49" spans="1:31" ht="41.4" x14ac:dyDescent="0.25">
      <c r="A49" s="73">
        <v>235</v>
      </c>
      <c r="B49" s="50" t="s">
        <v>43</v>
      </c>
      <c r="C49" s="50" t="s">
        <v>44</v>
      </c>
      <c r="D49" s="50" t="s">
        <v>100</v>
      </c>
      <c r="E49" s="49" t="s">
        <v>101</v>
      </c>
      <c r="F49" s="50" t="s">
        <v>102</v>
      </c>
      <c r="G49" s="52">
        <v>2021680010163</v>
      </c>
      <c r="H49" s="32" t="s">
        <v>249</v>
      </c>
      <c r="I49" s="33" t="s">
        <v>252</v>
      </c>
      <c r="J49" s="34">
        <v>44484</v>
      </c>
      <c r="K49" s="34">
        <v>44530</v>
      </c>
      <c r="L49" s="85"/>
      <c r="M49" s="85"/>
      <c r="N49" s="84"/>
      <c r="O49" s="21" t="s">
        <v>294</v>
      </c>
      <c r="P49" s="37">
        <v>8000001.5</v>
      </c>
      <c r="Q49" s="37"/>
      <c r="R49" s="37"/>
      <c r="S49" s="108"/>
      <c r="T49" s="37">
        <v>18035728.5</v>
      </c>
      <c r="U49" s="95"/>
      <c r="V49" s="37">
        <v>5924730</v>
      </c>
      <c r="W49" s="37"/>
      <c r="X49" s="37"/>
      <c r="Y49" s="37"/>
      <c r="Z49" s="37"/>
      <c r="AA49" s="95"/>
      <c r="AB49" s="106"/>
      <c r="AC49" s="82"/>
      <c r="AD49" s="83"/>
      <c r="AE49" s="83" t="s">
        <v>197</v>
      </c>
    </row>
    <row r="50" spans="1:31" ht="55.2" x14ac:dyDescent="0.25">
      <c r="A50" s="73">
        <v>235</v>
      </c>
      <c r="B50" s="50" t="s">
        <v>43</v>
      </c>
      <c r="C50" s="50" t="s">
        <v>44</v>
      </c>
      <c r="D50" s="50" t="s">
        <v>100</v>
      </c>
      <c r="E50" s="49" t="s">
        <v>101</v>
      </c>
      <c r="F50" s="50" t="s">
        <v>102</v>
      </c>
      <c r="G50" s="52">
        <v>2021680010155</v>
      </c>
      <c r="H50" s="32" t="s">
        <v>216</v>
      </c>
      <c r="I50" s="33" t="s">
        <v>217</v>
      </c>
      <c r="J50" s="34">
        <v>44488</v>
      </c>
      <c r="K50" s="34">
        <v>44561</v>
      </c>
      <c r="L50" s="85"/>
      <c r="M50" s="85"/>
      <c r="N50" s="84"/>
      <c r="O50" s="10" t="s">
        <v>267</v>
      </c>
      <c r="P50" s="37"/>
      <c r="Q50" s="37"/>
      <c r="R50" s="37"/>
      <c r="S50" s="108"/>
      <c r="T50" s="37">
        <v>505578850</v>
      </c>
      <c r="U50" s="95"/>
      <c r="V50" s="37"/>
      <c r="W50" s="37"/>
      <c r="X50" s="37"/>
      <c r="Y50" s="37"/>
      <c r="Z50" s="37">
        <v>496586067</v>
      </c>
      <c r="AA50" s="95"/>
      <c r="AB50" s="106"/>
      <c r="AC50" s="82"/>
      <c r="AD50" s="83"/>
      <c r="AE50" s="83" t="s">
        <v>197</v>
      </c>
    </row>
    <row r="51" spans="1:31" ht="69" x14ac:dyDescent="0.25">
      <c r="A51" s="73">
        <v>235</v>
      </c>
      <c r="B51" s="50" t="s">
        <v>43</v>
      </c>
      <c r="C51" s="50" t="s">
        <v>44</v>
      </c>
      <c r="D51" s="50" t="s">
        <v>100</v>
      </c>
      <c r="E51" s="49" t="s">
        <v>101</v>
      </c>
      <c r="F51" s="50" t="s">
        <v>102</v>
      </c>
      <c r="G51" s="52">
        <v>2021680010191</v>
      </c>
      <c r="H51" s="32" t="s">
        <v>310</v>
      </c>
      <c r="I51" s="33" t="s">
        <v>229</v>
      </c>
      <c r="J51" s="34">
        <v>44490</v>
      </c>
      <c r="K51" s="34">
        <v>44561</v>
      </c>
      <c r="L51" s="85"/>
      <c r="M51" s="85"/>
      <c r="N51" s="84"/>
      <c r="O51" s="10" t="s">
        <v>230</v>
      </c>
      <c r="P51" s="37"/>
      <c r="Q51" s="37"/>
      <c r="R51" s="37"/>
      <c r="S51" s="108"/>
      <c r="T51" s="37">
        <v>1664925590</v>
      </c>
      <c r="U51" s="95"/>
      <c r="V51" s="37"/>
      <c r="W51" s="37"/>
      <c r="X51" s="37"/>
      <c r="Y51" s="37"/>
      <c r="Z51" s="37">
        <v>1609381978</v>
      </c>
      <c r="AA51" s="95"/>
      <c r="AB51" s="106"/>
      <c r="AC51" s="82"/>
      <c r="AD51" s="83"/>
      <c r="AE51" s="83" t="s">
        <v>197</v>
      </c>
    </row>
    <row r="52" spans="1:31" ht="55.2" x14ac:dyDescent="0.25">
      <c r="A52" s="73">
        <v>235</v>
      </c>
      <c r="B52" s="50" t="s">
        <v>43</v>
      </c>
      <c r="C52" s="50" t="s">
        <v>44</v>
      </c>
      <c r="D52" s="50" t="s">
        <v>100</v>
      </c>
      <c r="E52" s="49" t="s">
        <v>101</v>
      </c>
      <c r="F52" s="50" t="s">
        <v>102</v>
      </c>
      <c r="G52" s="52">
        <v>2021680010095</v>
      </c>
      <c r="H52" s="32" t="s">
        <v>234</v>
      </c>
      <c r="I52" s="33" t="s">
        <v>235</v>
      </c>
      <c r="J52" s="34">
        <v>44442</v>
      </c>
      <c r="K52" s="34">
        <v>44561</v>
      </c>
      <c r="L52" s="85"/>
      <c r="M52" s="85"/>
      <c r="N52" s="84"/>
      <c r="O52" s="10" t="s">
        <v>262</v>
      </c>
      <c r="P52" s="37"/>
      <c r="Q52" s="37"/>
      <c r="R52" s="37"/>
      <c r="S52" s="108"/>
      <c r="T52" s="37">
        <v>644732830.95000005</v>
      </c>
      <c r="U52" s="95"/>
      <c r="V52" s="37"/>
      <c r="W52" s="37"/>
      <c r="X52" s="37"/>
      <c r="Y52" s="37"/>
      <c r="Z52" s="37">
        <v>622169227</v>
      </c>
      <c r="AA52" s="95"/>
      <c r="AB52" s="106"/>
      <c r="AC52" s="82"/>
      <c r="AD52" s="83"/>
      <c r="AE52" s="83" t="s">
        <v>197</v>
      </c>
    </row>
    <row r="53" spans="1:31" ht="55.2" x14ac:dyDescent="0.25">
      <c r="A53" s="73">
        <v>235</v>
      </c>
      <c r="B53" s="50" t="s">
        <v>43</v>
      </c>
      <c r="C53" s="50" t="s">
        <v>44</v>
      </c>
      <c r="D53" s="50" t="s">
        <v>100</v>
      </c>
      <c r="E53" s="49" t="s">
        <v>101</v>
      </c>
      <c r="F53" s="50" t="s">
        <v>102</v>
      </c>
      <c r="G53" s="52">
        <v>2021680010179</v>
      </c>
      <c r="H53" s="32" t="s">
        <v>233</v>
      </c>
      <c r="I53" s="33" t="s">
        <v>231</v>
      </c>
      <c r="J53" s="34">
        <v>44459</v>
      </c>
      <c r="K53" s="34">
        <v>44561</v>
      </c>
      <c r="L53" s="85"/>
      <c r="M53" s="85"/>
      <c r="N53" s="84"/>
      <c r="O53" s="10" t="s">
        <v>263</v>
      </c>
      <c r="P53" s="37"/>
      <c r="Q53" s="37"/>
      <c r="R53" s="37"/>
      <c r="S53" s="108"/>
      <c r="T53" s="37">
        <v>632326520.46000004</v>
      </c>
      <c r="U53" s="95"/>
      <c r="V53" s="37"/>
      <c r="W53" s="37"/>
      <c r="X53" s="37"/>
      <c r="Y53" s="37"/>
      <c r="Z53" s="37">
        <v>615821308</v>
      </c>
      <c r="AA53" s="95"/>
      <c r="AB53" s="106"/>
      <c r="AC53" s="82"/>
      <c r="AD53" s="83"/>
      <c r="AE53" s="83" t="s">
        <v>197</v>
      </c>
    </row>
    <row r="54" spans="1:31" ht="41.4" x14ac:dyDescent="0.25">
      <c r="A54" s="73">
        <v>235</v>
      </c>
      <c r="B54" s="50" t="s">
        <v>43</v>
      </c>
      <c r="C54" s="50" t="s">
        <v>44</v>
      </c>
      <c r="D54" s="50" t="s">
        <v>100</v>
      </c>
      <c r="E54" s="49" t="s">
        <v>101</v>
      </c>
      <c r="F54" s="50" t="s">
        <v>102</v>
      </c>
      <c r="G54" s="52">
        <v>2021680010107</v>
      </c>
      <c r="H54" s="32" t="s">
        <v>248</v>
      </c>
      <c r="I54" s="33" t="s">
        <v>253</v>
      </c>
      <c r="J54" s="34">
        <v>44454</v>
      </c>
      <c r="K54" s="34">
        <v>44561</v>
      </c>
      <c r="L54" s="85"/>
      <c r="M54" s="85"/>
      <c r="N54" s="84"/>
      <c r="O54" s="10" t="s">
        <v>264</v>
      </c>
      <c r="P54" s="37"/>
      <c r="Q54" s="37"/>
      <c r="R54" s="37"/>
      <c r="S54" s="108"/>
      <c r="T54" s="37">
        <v>70000000</v>
      </c>
      <c r="U54" s="95"/>
      <c r="V54" s="37"/>
      <c r="W54" s="37"/>
      <c r="X54" s="37"/>
      <c r="Y54" s="37"/>
      <c r="Z54" s="37">
        <v>70000000</v>
      </c>
      <c r="AA54" s="95"/>
      <c r="AB54" s="106"/>
      <c r="AC54" s="82"/>
      <c r="AD54" s="83"/>
      <c r="AE54" s="83" t="s">
        <v>197</v>
      </c>
    </row>
    <row r="55" spans="1:31" ht="408.6" customHeight="1" x14ac:dyDescent="0.25">
      <c r="A55" s="73">
        <v>235</v>
      </c>
      <c r="B55" s="50" t="s">
        <v>43</v>
      </c>
      <c r="C55" s="50" t="s">
        <v>44</v>
      </c>
      <c r="D55" s="50" t="s">
        <v>100</v>
      </c>
      <c r="E55" s="49" t="s">
        <v>101</v>
      </c>
      <c r="F55" s="50" t="s">
        <v>102</v>
      </c>
      <c r="G55" s="52"/>
      <c r="H55" s="48" t="s">
        <v>46</v>
      </c>
      <c r="I55" s="33"/>
      <c r="J55" s="34"/>
      <c r="K55" s="34"/>
      <c r="L55" s="85"/>
      <c r="M55" s="85"/>
      <c r="N55" s="84"/>
      <c r="O55" s="10" t="s">
        <v>314</v>
      </c>
      <c r="P55" s="37">
        <f>924736+984496.16+58361947.52-1.47</f>
        <v>60271178.210000008</v>
      </c>
      <c r="Q55" s="37"/>
      <c r="R55" s="37"/>
      <c r="S55" s="108"/>
      <c r="T55" s="37">
        <f>8216620+1449212+803322+181930957+1166421383.33+2842200+17393+69400000+33108461.54+71820103+232721041+45376185+34158449+277638500+517712881+200000000+43197129+20790000+25777+1800000</f>
        <v>2909429613.8699999</v>
      </c>
      <c r="U55" s="95"/>
      <c r="V55" s="37"/>
      <c r="W55" s="37"/>
      <c r="X55" s="37"/>
      <c r="Y55" s="37"/>
      <c r="Z55" s="37"/>
      <c r="AA55" s="95"/>
      <c r="AB55" s="106"/>
      <c r="AC55" s="82"/>
      <c r="AD55" s="83"/>
      <c r="AE55" s="83" t="s">
        <v>197</v>
      </c>
    </row>
    <row r="56" spans="1:31" ht="154.80000000000001" customHeight="1" x14ac:dyDescent="0.25">
      <c r="A56" s="73">
        <v>235</v>
      </c>
      <c r="B56" s="50" t="s">
        <v>43</v>
      </c>
      <c r="C56" s="50" t="s">
        <v>44</v>
      </c>
      <c r="D56" s="50" t="s">
        <v>100</v>
      </c>
      <c r="E56" s="49" t="s">
        <v>101</v>
      </c>
      <c r="F56" s="50" t="s">
        <v>102</v>
      </c>
      <c r="G56" s="52"/>
      <c r="H56" s="48" t="s">
        <v>46</v>
      </c>
      <c r="I56" s="33"/>
      <c r="J56" s="34"/>
      <c r="K56" s="34"/>
      <c r="L56" s="85"/>
      <c r="M56" s="85"/>
      <c r="N56" s="84"/>
      <c r="O56" s="10" t="s">
        <v>313</v>
      </c>
      <c r="P56" s="37"/>
      <c r="Q56" s="37"/>
      <c r="R56" s="37"/>
      <c r="S56" s="108"/>
      <c r="T56" s="37">
        <f>108487321.26+187713701.12+242400000+29070+295743934.5+606479861.5+138147827.73+89146685.48</f>
        <v>1668148401.5900002</v>
      </c>
      <c r="U56" s="95"/>
      <c r="V56" s="37"/>
      <c r="W56" s="37"/>
      <c r="X56" s="37"/>
      <c r="Y56" s="37"/>
      <c r="Z56" s="37"/>
      <c r="AA56" s="95"/>
      <c r="AB56" s="106"/>
      <c r="AC56" s="81"/>
      <c r="AD56" s="79"/>
      <c r="AE56" s="79" t="s">
        <v>197</v>
      </c>
    </row>
    <row r="57" spans="1:31" ht="74.400000000000006" customHeight="1" x14ac:dyDescent="0.25">
      <c r="A57" s="73">
        <v>236</v>
      </c>
      <c r="B57" s="42" t="s">
        <v>43</v>
      </c>
      <c r="C57" s="42" t="s">
        <v>44</v>
      </c>
      <c r="D57" s="43" t="s">
        <v>100</v>
      </c>
      <c r="E57" s="49" t="s">
        <v>132</v>
      </c>
      <c r="F57" s="50" t="s">
        <v>133</v>
      </c>
      <c r="G57" s="52">
        <v>2021680010035</v>
      </c>
      <c r="H57" s="32" t="s">
        <v>112</v>
      </c>
      <c r="I57" s="33" t="s">
        <v>113</v>
      </c>
      <c r="J57" s="34">
        <v>44291</v>
      </c>
      <c r="K57" s="34">
        <v>44560</v>
      </c>
      <c r="L57" s="90">
        <v>1</v>
      </c>
      <c r="M57" s="90">
        <v>1</v>
      </c>
      <c r="N57" s="84">
        <f t="shared" si="6"/>
        <v>1</v>
      </c>
      <c r="O57" s="21" t="s">
        <v>232</v>
      </c>
      <c r="P57" s="37"/>
      <c r="Q57" s="37"/>
      <c r="R57" s="37"/>
      <c r="S57" s="108"/>
      <c r="T57" s="37">
        <v>1549407553</v>
      </c>
      <c r="U57" s="94">
        <f>SUM(P57:T59)</f>
        <v>2950324948</v>
      </c>
      <c r="V57" s="37"/>
      <c r="W57" s="37"/>
      <c r="X57" s="37"/>
      <c r="Y57" s="37"/>
      <c r="Z57" s="37">
        <v>1548978000</v>
      </c>
      <c r="AA57" s="94">
        <f>SUM(V57:Z59)</f>
        <v>2470016426</v>
      </c>
      <c r="AB57" s="105">
        <f>IFERROR(AA57/U57,"-")</f>
        <v>0.83720148442442011</v>
      </c>
      <c r="AC57" s="80"/>
      <c r="AD57" s="78" t="s">
        <v>52</v>
      </c>
      <c r="AE57" s="78" t="s">
        <v>197</v>
      </c>
    </row>
    <row r="58" spans="1:31" ht="93.6" customHeight="1" x14ac:dyDescent="0.25">
      <c r="A58" s="73">
        <v>236</v>
      </c>
      <c r="B58" s="42" t="s">
        <v>43</v>
      </c>
      <c r="C58" s="42" t="s">
        <v>44</v>
      </c>
      <c r="D58" s="43" t="s">
        <v>100</v>
      </c>
      <c r="E58" s="49" t="s">
        <v>132</v>
      </c>
      <c r="F58" s="50" t="s">
        <v>133</v>
      </c>
      <c r="G58" s="52">
        <v>2021680010085</v>
      </c>
      <c r="H58" s="32" t="s">
        <v>242</v>
      </c>
      <c r="I58" s="33" t="s">
        <v>243</v>
      </c>
      <c r="J58" s="34">
        <v>44434</v>
      </c>
      <c r="K58" s="34">
        <v>44560</v>
      </c>
      <c r="L58" s="90"/>
      <c r="M58" s="90"/>
      <c r="N58" s="84"/>
      <c r="O58" s="21" t="s">
        <v>244</v>
      </c>
      <c r="P58" s="37"/>
      <c r="Q58" s="37"/>
      <c r="R58" s="37"/>
      <c r="S58" s="108"/>
      <c r="T58" s="37">
        <v>1058783380</v>
      </c>
      <c r="U58" s="95"/>
      <c r="V58" s="37"/>
      <c r="W58" s="37"/>
      <c r="X58" s="37"/>
      <c r="Y58" s="37"/>
      <c r="Z58" s="37">
        <f>160500060+294900000+109998840+228837000</f>
        <v>794235900</v>
      </c>
      <c r="AA58" s="95"/>
      <c r="AB58" s="106"/>
      <c r="AC58" s="82"/>
      <c r="AD58" s="83"/>
      <c r="AE58" s="83"/>
    </row>
    <row r="59" spans="1:31" ht="96.6" x14ac:dyDescent="0.25">
      <c r="A59" s="73">
        <v>236</v>
      </c>
      <c r="B59" s="42" t="s">
        <v>43</v>
      </c>
      <c r="C59" s="42" t="s">
        <v>44</v>
      </c>
      <c r="D59" s="43" t="s">
        <v>100</v>
      </c>
      <c r="E59" s="49" t="s">
        <v>132</v>
      </c>
      <c r="F59" s="50" t="s">
        <v>133</v>
      </c>
      <c r="G59" s="52">
        <v>2021680010191</v>
      </c>
      <c r="H59" s="32" t="s">
        <v>310</v>
      </c>
      <c r="I59" s="33" t="s">
        <v>229</v>
      </c>
      <c r="J59" s="34">
        <v>44490</v>
      </c>
      <c r="K59" s="34">
        <v>44561</v>
      </c>
      <c r="L59" s="90"/>
      <c r="M59" s="90"/>
      <c r="N59" s="84"/>
      <c r="O59" s="21" t="s">
        <v>295</v>
      </c>
      <c r="P59" s="37"/>
      <c r="Q59" s="37"/>
      <c r="R59" s="37"/>
      <c r="S59" s="108"/>
      <c r="T59" s="37">
        <f>100861425+6039250+214182240+21051100</f>
        <v>342134015</v>
      </c>
      <c r="U59" s="95"/>
      <c r="V59" s="37"/>
      <c r="W59" s="37"/>
      <c r="X59" s="37"/>
      <c r="Y59" s="37"/>
      <c r="Z59" s="37">
        <f>100861425+4890008+21051093</f>
        <v>126802526</v>
      </c>
      <c r="AA59" s="95"/>
      <c r="AB59" s="106"/>
      <c r="AC59" s="81"/>
      <c r="AD59" s="79"/>
      <c r="AE59" s="79"/>
    </row>
    <row r="60" spans="1:31" ht="41.4" x14ac:dyDescent="0.25">
      <c r="A60" s="73">
        <v>237</v>
      </c>
      <c r="B60" s="27" t="s">
        <v>43</v>
      </c>
      <c r="C60" s="27" t="s">
        <v>44</v>
      </c>
      <c r="D60" s="27" t="s">
        <v>100</v>
      </c>
      <c r="E60" s="29" t="s">
        <v>134</v>
      </c>
      <c r="F60" s="57" t="s">
        <v>135</v>
      </c>
      <c r="G60" s="52">
        <v>2020680010176</v>
      </c>
      <c r="H60" s="32" t="s">
        <v>136</v>
      </c>
      <c r="I60" s="33" t="s">
        <v>137</v>
      </c>
      <c r="J60" s="34">
        <v>44221</v>
      </c>
      <c r="K60" s="34">
        <v>44561</v>
      </c>
      <c r="L60" s="69">
        <v>1</v>
      </c>
      <c r="M60" s="69">
        <v>100</v>
      </c>
      <c r="N60" s="70">
        <f t="shared" si="6"/>
        <v>1</v>
      </c>
      <c r="O60" s="21" t="s">
        <v>245</v>
      </c>
      <c r="P60" s="37"/>
      <c r="Q60" s="37"/>
      <c r="R60" s="37"/>
      <c r="S60" s="108"/>
      <c r="T60" s="37">
        <v>685500000</v>
      </c>
      <c r="U60" s="38">
        <f>SUM(P60:T60)</f>
        <v>685500000</v>
      </c>
      <c r="V60" s="37"/>
      <c r="W60" s="37"/>
      <c r="X60" s="37"/>
      <c r="Y60" s="37"/>
      <c r="Z60" s="37">
        <f>457000000+228500000</f>
        <v>685500000</v>
      </c>
      <c r="AA60" s="38">
        <f t="shared" ref="AA60:AA61" si="7">SUM(V60:Z60)</f>
        <v>685500000</v>
      </c>
      <c r="AB60" s="39">
        <f>IFERROR(AA60/U60,"-")</f>
        <v>1</v>
      </c>
      <c r="AC60" s="40"/>
      <c r="AD60" s="41" t="s">
        <v>52</v>
      </c>
      <c r="AE60" s="41" t="s">
        <v>197</v>
      </c>
    </row>
    <row r="61" spans="1:31" ht="55.2" x14ac:dyDescent="0.25">
      <c r="A61" s="73">
        <v>238</v>
      </c>
      <c r="B61" s="27" t="s">
        <v>43</v>
      </c>
      <c r="C61" s="27" t="s">
        <v>44</v>
      </c>
      <c r="D61" s="28" t="s">
        <v>100</v>
      </c>
      <c r="E61" s="29" t="s">
        <v>138</v>
      </c>
      <c r="F61" s="30" t="s">
        <v>139</v>
      </c>
      <c r="G61" s="35"/>
      <c r="H61" s="45" t="s">
        <v>157</v>
      </c>
      <c r="I61" s="47"/>
      <c r="J61" s="34"/>
      <c r="K61" s="34"/>
      <c r="L61" s="69">
        <v>1</v>
      </c>
      <c r="M61" s="71">
        <v>0.35</v>
      </c>
      <c r="N61" s="70">
        <f t="shared" si="6"/>
        <v>0.35</v>
      </c>
      <c r="O61" s="22"/>
      <c r="P61" s="37"/>
      <c r="Q61" s="37"/>
      <c r="R61" s="37"/>
      <c r="S61" s="108"/>
      <c r="T61" s="37"/>
      <c r="U61" s="38">
        <f>SUM(P61:T61)</f>
        <v>0</v>
      </c>
      <c r="V61" s="37"/>
      <c r="W61" s="37"/>
      <c r="X61" s="37"/>
      <c r="Y61" s="37"/>
      <c r="Z61" s="37"/>
      <c r="AA61" s="38">
        <f t="shared" si="7"/>
        <v>0</v>
      </c>
      <c r="AB61" s="39" t="str">
        <f>IFERROR(AA61/U61,"-")</f>
        <v>-</v>
      </c>
      <c r="AC61" s="40"/>
      <c r="AD61" s="41" t="s">
        <v>52</v>
      </c>
      <c r="AE61" s="41" t="s">
        <v>197</v>
      </c>
    </row>
    <row r="62" spans="1:31" ht="82.8" x14ac:dyDescent="0.25">
      <c r="A62" s="73">
        <v>239</v>
      </c>
      <c r="B62" s="42" t="s">
        <v>43</v>
      </c>
      <c r="C62" s="42" t="s">
        <v>44</v>
      </c>
      <c r="D62" s="42" t="s">
        <v>96</v>
      </c>
      <c r="E62" s="49" t="s">
        <v>124</v>
      </c>
      <c r="F62" s="50" t="s">
        <v>125</v>
      </c>
      <c r="G62" s="52">
        <v>2021680010190</v>
      </c>
      <c r="H62" s="32" t="s">
        <v>246</v>
      </c>
      <c r="I62" s="33" t="s">
        <v>311</v>
      </c>
      <c r="J62" s="34"/>
      <c r="K62" s="34">
        <v>44561</v>
      </c>
      <c r="L62" s="85">
        <v>1</v>
      </c>
      <c r="M62" s="85">
        <v>1</v>
      </c>
      <c r="N62" s="84">
        <f t="shared" si="6"/>
        <v>1</v>
      </c>
      <c r="O62" s="21" t="s">
        <v>247</v>
      </c>
      <c r="P62" s="37">
        <v>85000000</v>
      </c>
      <c r="Q62" s="37"/>
      <c r="R62" s="37"/>
      <c r="S62" s="108"/>
      <c r="T62" s="37"/>
      <c r="U62" s="94">
        <f>SUM(P62:T65)</f>
        <v>639714489</v>
      </c>
      <c r="V62" s="37"/>
      <c r="W62" s="37"/>
      <c r="X62" s="37"/>
      <c r="Y62" s="37"/>
      <c r="Z62" s="37"/>
      <c r="AA62" s="94">
        <f>SUM(V62:Z65)</f>
        <v>393574739</v>
      </c>
      <c r="AB62" s="105">
        <f>IFERROR(AA62/U62,"-")</f>
        <v>0.61523499274689708</v>
      </c>
      <c r="AC62" s="80">
        <v>21880000</v>
      </c>
      <c r="AD62" s="78" t="s">
        <v>52</v>
      </c>
      <c r="AE62" s="78" t="s">
        <v>197</v>
      </c>
    </row>
    <row r="63" spans="1:31" ht="55.2" x14ac:dyDescent="0.25">
      <c r="A63" s="73">
        <v>239</v>
      </c>
      <c r="B63" s="42" t="s">
        <v>43</v>
      </c>
      <c r="C63" s="42" t="s">
        <v>44</v>
      </c>
      <c r="D63" s="42" t="s">
        <v>96</v>
      </c>
      <c r="E63" s="49" t="s">
        <v>124</v>
      </c>
      <c r="F63" s="50" t="s">
        <v>125</v>
      </c>
      <c r="G63" s="52"/>
      <c r="H63" s="48" t="s">
        <v>46</v>
      </c>
      <c r="I63" s="33"/>
      <c r="J63" s="34"/>
      <c r="K63" s="34"/>
      <c r="L63" s="85"/>
      <c r="M63" s="85"/>
      <c r="N63" s="84"/>
      <c r="O63" s="21" t="s">
        <v>256</v>
      </c>
      <c r="P63" s="37">
        <v>100000000</v>
      </c>
      <c r="Q63" s="37"/>
      <c r="R63" s="37"/>
      <c r="S63" s="108"/>
      <c r="T63" s="37"/>
      <c r="U63" s="95"/>
      <c r="V63" s="37"/>
      <c r="W63" s="37"/>
      <c r="X63" s="37"/>
      <c r="Y63" s="37"/>
      <c r="Z63" s="37"/>
      <c r="AA63" s="95"/>
      <c r="AB63" s="106"/>
      <c r="AC63" s="82"/>
      <c r="AD63" s="83"/>
      <c r="AE63" s="83"/>
    </row>
    <row r="64" spans="1:31" ht="69" x14ac:dyDescent="0.25">
      <c r="A64" s="73">
        <v>239</v>
      </c>
      <c r="B64" s="42" t="s">
        <v>43</v>
      </c>
      <c r="C64" s="42" t="s">
        <v>44</v>
      </c>
      <c r="D64" s="42" t="s">
        <v>96</v>
      </c>
      <c r="E64" s="49" t="s">
        <v>124</v>
      </c>
      <c r="F64" s="50" t="s">
        <v>125</v>
      </c>
      <c r="G64" s="52">
        <v>2021680010086</v>
      </c>
      <c r="H64" s="32" t="s">
        <v>200</v>
      </c>
      <c r="I64" s="33" t="s">
        <v>201</v>
      </c>
      <c r="J64" s="34">
        <v>44438</v>
      </c>
      <c r="K64" s="34">
        <v>44561</v>
      </c>
      <c r="L64" s="85"/>
      <c r="M64" s="85"/>
      <c r="N64" s="84"/>
      <c r="O64" s="22" t="s">
        <v>305</v>
      </c>
      <c r="P64" s="37"/>
      <c r="Q64" s="37"/>
      <c r="R64" s="37"/>
      <c r="S64" s="108"/>
      <c r="T64" s="37">
        <f>232202898+56149623+70284852+88577116</f>
        <v>447214489</v>
      </c>
      <c r="U64" s="95"/>
      <c r="V64" s="37"/>
      <c r="W64" s="37"/>
      <c r="X64" s="37"/>
      <c r="Y64" s="37"/>
      <c r="Z64" s="37">
        <f>191280850+21975531+24157595+60083647+88577116</f>
        <v>386074739</v>
      </c>
      <c r="AA64" s="95"/>
      <c r="AB64" s="106"/>
      <c r="AC64" s="82"/>
      <c r="AD64" s="83"/>
      <c r="AE64" s="83"/>
    </row>
    <row r="65" spans="1:31" ht="55.2" x14ac:dyDescent="0.25">
      <c r="A65" s="73">
        <v>239</v>
      </c>
      <c r="B65" s="42" t="s">
        <v>43</v>
      </c>
      <c r="C65" s="42" t="s">
        <v>44</v>
      </c>
      <c r="D65" s="42" t="s">
        <v>96</v>
      </c>
      <c r="E65" s="49" t="s">
        <v>124</v>
      </c>
      <c r="F65" s="50" t="s">
        <v>125</v>
      </c>
      <c r="G65" s="52">
        <v>2020680010162</v>
      </c>
      <c r="H65" s="32" t="s">
        <v>116</v>
      </c>
      <c r="I65" s="33" t="s">
        <v>117</v>
      </c>
      <c r="J65" s="34">
        <v>44225</v>
      </c>
      <c r="K65" s="34">
        <v>44561</v>
      </c>
      <c r="L65" s="85"/>
      <c r="M65" s="85"/>
      <c r="N65" s="84"/>
      <c r="O65" s="22" t="s">
        <v>271</v>
      </c>
      <c r="P65" s="37"/>
      <c r="Q65" s="37"/>
      <c r="R65" s="37"/>
      <c r="S65" s="108"/>
      <c r="T65" s="37">
        <v>7500000</v>
      </c>
      <c r="U65" s="96"/>
      <c r="V65" s="37"/>
      <c r="W65" s="37"/>
      <c r="X65" s="37"/>
      <c r="Y65" s="37"/>
      <c r="Z65" s="37">
        <v>7500000</v>
      </c>
      <c r="AA65" s="96"/>
      <c r="AB65" s="107"/>
      <c r="AC65" s="81"/>
      <c r="AD65" s="79"/>
      <c r="AE65" s="79"/>
    </row>
    <row r="66" spans="1:31" ht="55.2" x14ac:dyDescent="0.25">
      <c r="A66" s="73">
        <v>240</v>
      </c>
      <c r="B66" s="42" t="s">
        <v>43</v>
      </c>
      <c r="C66" s="42" t="s">
        <v>44</v>
      </c>
      <c r="D66" s="43" t="s">
        <v>96</v>
      </c>
      <c r="E66" s="49" t="s">
        <v>140</v>
      </c>
      <c r="F66" s="55" t="s">
        <v>141</v>
      </c>
      <c r="G66" s="35"/>
      <c r="H66" s="45" t="s">
        <v>257</v>
      </c>
      <c r="I66" s="47"/>
      <c r="J66" s="34"/>
      <c r="K66" s="34"/>
      <c r="L66" s="85">
        <v>1</v>
      </c>
      <c r="M66" s="85">
        <v>1</v>
      </c>
      <c r="N66" s="84">
        <f t="shared" si="6"/>
        <v>1</v>
      </c>
      <c r="O66" s="22" t="s">
        <v>142</v>
      </c>
      <c r="P66" s="37"/>
      <c r="Q66" s="37"/>
      <c r="R66" s="37"/>
      <c r="S66" s="108"/>
      <c r="T66" s="37">
        <v>1133333</v>
      </c>
      <c r="U66" s="94">
        <f>SUM(P66:T69)</f>
        <v>1406263104.26</v>
      </c>
      <c r="V66" s="37"/>
      <c r="W66" s="37"/>
      <c r="X66" s="37"/>
      <c r="Y66" s="37"/>
      <c r="Z66" s="37"/>
      <c r="AA66" s="94">
        <f>SUM(V66:Z69)</f>
        <v>1000307436.5298799</v>
      </c>
      <c r="AB66" s="105">
        <f>IFERROR(AA66/U66,"-")</f>
        <v>0.711323104118741</v>
      </c>
      <c r="AC66" s="80"/>
      <c r="AD66" s="78" t="s">
        <v>52</v>
      </c>
      <c r="AE66" s="78" t="s">
        <v>197</v>
      </c>
    </row>
    <row r="67" spans="1:31" ht="55.2" x14ac:dyDescent="0.25">
      <c r="A67" s="73">
        <v>240</v>
      </c>
      <c r="B67" s="42" t="s">
        <v>43</v>
      </c>
      <c r="C67" s="42" t="s">
        <v>44</v>
      </c>
      <c r="D67" s="43" t="s">
        <v>96</v>
      </c>
      <c r="E67" s="49" t="s">
        <v>140</v>
      </c>
      <c r="F67" s="55" t="s">
        <v>141</v>
      </c>
      <c r="G67" s="52">
        <v>20200680010034</v>
      </c>
      <c r="H67" s="32" t="s">
        <v>143</v>
      </c>
      <c r="I67" s="33" t="s">
        <v>144</v>
      </c>
      <c r="J67" s="34">
        <v>44202</v>
      </c>
      <c r="K67" s="34">
        <v>44561</v>
      </c>
      <c r="L67" s="85"/>
      <c r="M67" s="85"/>
      <c r="N67" s="84"/>
      <c r="O67" s="22" t="s">
        <v>296</v>
      </c>
      <c r="P67" s="37">
        <f>291610751+542500000</f>
        <v>834110751</v>
      </c>
      <c r="Q67" s="37"/>
      <c r="R67" s="37"/>
      <c r="S67" s="108"/>
      <c r="T67" s="37">
        <v>1739249</v>
      </c>
      <c r="U67" s="95"/>
      <c r="V67" s="37">
        <f>270747417.7+533199999.98888-7020000</f>
        <v>796927417.68887997</v>
      </c>
      <c r="W67" s="37"/>
      <c r="X67" s="37"/>
      <c r="Y67" s="37"/>
      <c r="Z67" s="37">
        <v>1739249</v>
      </c>
      <c r="AA67" s="95"/>
      <c r="AB67" s="106"/>
      <c r="AC67" s="82"/>
      <c r="AD67" s="83"/>
      <c r="AE67" s="83"/>
    </row>
    <row r="68" spans="1:31" ht="55.2" x14ac:dyDescent="0.25">
      <c r="A68" s="73">
        <v>240</v>
      </c>
      <c r="B68" s="42" t="s">
        <v>43</v>
      </c>
      <c r="C68" s="42" t="s">
        <v>44</v>
      </c>
      <c r="D68" s="43" t="s">
        <v>96</v>
      </c>
      <c r="E68" s="49" t="s">
        <v>140</v>
      </c>
      <c r="F68" s="55" t="s">
        <v>141</v>
      </c>
      <c r="G68" s="52"/>
      <c r="H68" s="48" t="s">
        <v>46</v>
      </c>
      <c r="I68" s="33"/>
      <c r="J68" s="34"/>
      <c r="K68" s="34"/>
      <c r="L68" s="85"/>
      <c r="M68" s="85"/>
      <c r="N68" s="84"/>
      <c r="O68" s="22" t="s">
        <v>297</v>
      </c>
      <c r="P68" s="37">
        <v>38750000</v>
      </c>
      <c r="Q68" s="37"/>
      <c r="R68" s="37"/>
      <c r="S68" s="108"/>
      <c r="T68" s="37">
        <f>3179405.26-T67</f>
        <v>1440156.2599999998</v>
      </c>
      <c r="U68" s="95"/>
      <c r="V68" s="37"/>
      <c r="W68" s="37"/>
      <c r="X68" s="37"/>
      <c r="Y68" s="37"/>
      <c r="Z68" s="37"/>
      <c r="AA68" s="95"/>
      <c r="AB68" s="106"/>
      <c r="AC68" s="82"/>
      <c r="AD68" s="83"/>
      <c r="AE68" s="83"/>
    </row>
    <row r="69" spans="1:31" ht="96.6" x14ac:dyDescent="0.25">
      <c r="A69" s="73">
        <v>240</v>
      </c>
      <c r="B69" s="42" t="s">
        <v>43</v>
      </c>
      <c r="C69" s="42" t="s">
        <v>44</v>
      </c>
      <c r="D69" s="43" t="s">
        <v>96</v>
      </c>
      <c r="E69" s="49" t="s">
        <v>140</v>
      </c>
      <c r="F69" s="55" t="s">
        <v>141</v>
      </c>
      <c r="G69" s="52">
        <v>2021680010081</v>
      </c>
      <c r="H69" s="32" t="s">
        <v>272</v>
      </c>
      <c r="I69" s="33" t="s">
        <v>207</v>
      </c>
      <c r="J69" s="34">
        <v>44434</v>
      </c>
      <c r="K69" s="34">
        <v>44561</v>
      </c>
      <c r="L69" s="85"/>
      <c r="M69" s="85"/>
      <c r="N69" s="84"/>
      <c r="O69" s="22" t="s">
        <v>298</v>
      </c>
      <c r="P69" s="37"/>
      <c r="Q69" s="37"/>
      <c r="R69" s="37"/>
      <c r="S69" s="108"/>
      <c r="T69" s="37">
        <f>219600000+165000000+131309718+13179897</f>
        <v>529089615</v>
      </c>
      <c r="U69" s="95"/>
      <c r="V69" s="37"/>
      <c r="W69" s="37"/>
      <c r="X69" s="37"/>
      <c r="Y69" s="37"/>
      <c r="Z69" s="37">
        <f>71116666.7+112251455+10939314.811+7333333.33</f>
        <v>201640769.84099999</v>
      </c>
      <c r="AA69" s="95"/>
      <c r="AB69" s="106"/>
      <c r="AC69" s="81"/>
      <c r="AD69" s="79"/>
      <c r="AE69" s="79"/>
    </row>
    <row r="70" spans="1:31" ht="75" customHeight="1" x14ac:dyDescent="0.25">
      <c r="A70" s="73">
        <v>241</v>
      </c>
      <c r="B70" s="42" t="s">
        <v>43</v>
      </c>
      <c r="C70" s="42" t="s">
        <v>44</v>
      </c>
      <c r="D70" s="43" t="s">
        <v>96</v>
      </c>
      <c r="E70" s="49" t="s">
        <v>147</v>
      </c>
      <c r="F70" s="50" t="s">
        <v>148</v>
      </c>
      <c r="G70" s="52">
        <v>2021680010056</v>
      </c>
      <c r="H70" s="32" t="s">
        <v>114</v>
      </c>
      <c r="I70" s="33" t="s">
        <v>115</v>
      </c>
      <c r="J70" s="34">
        <v>44369</v>
      </c>
      <c r="K70" s="34">
        <v>44561</v>
      </c>
      <c r="L70" s="69">
        <v>1</v>
      </c>
      <c r="M70" s="71">
        <v>0.95</v>
      </c>
      <c r="N70" s="70">
        <f>IFERROR(IF(M70/L70&gt;100%,100%,M70/L70),"-")</f>
        <v>0.95</v>
      </c>
      <c r="O70" s="23" t="s">
        <v>299</v>
      </c>
      <c r="P70" s="37"/>
      <c r="Q70" s="37"/>
      <c r="R70" s="37"/>
      <c r="S70" s="108"/>
      <c r="T70" s="37">
        <f>102000000+14189560</f>
        <v>116189560</v>
      </c>
      <c r="U70" s="68">
        <f>SUM(P70:T70)</f>
        <v>116189560</v>
      </c>
      <c r="V70" s="37"/>
      <c r="W70" s="37"/>
      <c r="X70" s="37"/>
      <c r="Y70" s="37"/>
      <c r="Z70" s="37">
        <f>12250000+12188407.288+5333333.33</f>
        <v>29771740.618000001</v>
      </c>
      <c r="AA70" s="68">
        <f>SUM(V70:Z70)</f>
        <v>29771740.618000001</v>
      </c>
      <c r="AB70" s="67">
        <f>IFERROR(AA70/U70,"-")</f>
        <v>0.2562342143132309</v>
      </c>
      <c r="AC70" s="75"/>
      <c r="AD70" s="41" t="s">
        <v>52</v>
      </c>
      <c r="AE70" s="41" t="s">
        <v>197</v>
      </c>
    </row>
    <row r="71" spans="1:31" ht="55.2" x14ac:dyDescent="0.25">
      <c r="A71" s="73">
        <v>242</v>
      </c>
      <c r="B71" s="42" t="s">
        <v>43</v>
      </c>
      <c r="C71" s="42" t="s">
        <v>44</v>
      </c>
      <c r="D71" s="43" t="s">
        <v>96</v>
      </c>
      <c r="E71" s="49" t="s">
        <v>97</v>
      </c>
      <c r="F71" s="50" t="s">
        <v>98</v>
      </c>
      <c r="G71" s="52">
        <v>2021680010041</v>
      </c>
      <c r="H71" s="32" t="s">
        <v>90</v>
      </c>
      <c r="I71" s="33" t="s">
        <v>91</v>
      </c>
      <c r="J71" s="34">
        <v>44328</v>
      </c>
      <c r="K71" s="34">
        <v>44561</v>
      </c>
      <c r="L71" s="85">
        <v>1</v>
      </c>
      <c r="M71" s="103">
        <v>0.95</v>
      </c>
      <c r="N71" s="84">
        <f>IFERROR(IF(M71/L71&gt;100%,100%,M71/L71),"-")</f>
        <v>0.95</v>
      </c>
      <c r="O71" s="13" t="s">
        <v>220</v>
      </c>
      <c r="P71" s="37"/>
      <c r="Q71" s="37"/>
      <c r="R71" s="37"/>
      <c r="S71" s="37"/>
      <c r="T71" s="37">
        <v>52000000</v>
      </c>
      <c r="U71" s="94">
        <f>SUM(P71:T72)</f>
        <v>88160000</v>
      </c>
      <c r="V71" s="37"/>
      <c r="W71" s="37"/>
      <c r="X71" s="37"/>
      <c r="Y71" s="37"/>
      <c r="Z71" s="37">
        <f>45000000+2500000</f>
        <v>47500000</v>
      </c>
      <c r="AA71" s="94">
        <f>SUM(V71:Z72)</f>
        <v>83660000</v>
      </c>
      <c r="AB71" s="105">
        <f>IFERROR(AA71/U71,"-")</f>
        <v>0.94895644283121594</v>
      </c>
      <c r="AC71" s="80"/>
      <c r="AD71" s="78" t="s">
        <v>52</v>
      </c>
      <c r="AE71" s="78" t="s">
        <v>197</v>
      </c>
    </row>
    <row r="72" spans="1:31" ht="55.2" x14ac:dyDescent="0.25">
      <c r="A72" s="73">
        <v>242</v>
      </c>
      <c r="B72" s="42" t="s">
        <v>43</v>
      </c>
      <c r="C72" s="42" t="s">
        <v>44</v>
      </c>
      <c r="D72" s="43" t="s">
        <v>96</v>
      </c>
      <c r="E72" s="49" t="s">
        <v>97</v>
      </c>
      <c r="F72" s="50" t="s">
        <v>98</v>
      </c>
      <c r="G72" s="52">
        <v>2020680010156</v>
      </c>
      <c r="H72" s="32" t="s">
        <v>92</v>
      </c>
      <c r="I72" s="33" t="s">
        <v>93</v>
      </c>
      <c r="J72" s="34">
        <v>44202</v>
      </c>
      <c r="K72" s="34">
        <v>44561</v>
      </c>
      <c r="L72" s="85"/>
      <c r="M72" s="103"/>
      <c r="N72" s="84"/>
      <c r="O72" s="21" t="s">
        <v>99</v>
      </c>
      <c r="P72" s="37"/>
      <c r="Q72" s="37"/>
      <c r="R72" s="37"/>
      <c r="S72" s="108"/>
      <c r="T72" s="37">
        <v>36160000</v>
      </c>
      <c r="U72" s="96"/>
      <c r="V72" s="37"/>
      <c r="W72" s="37"/>
      <c r="X72" s="37"/>
      <c r="Y72" s="37"/>
      <c r="Z72" s="37">
        <v>36160000</v>
      </c>
      <c r="AA72" s="96"/>
      <c r="AB72" s="107"/>
      <c r="AC72" s="81"/>
      <c r="AD72" s="79"/>
      <c r="AE72" s="79"/>
    </row>
    <row r="73" spans="1:31" ht="55.2" x14ac:dyDescent="0.25">
      <c r="A73" s="73">
        <v>243</v>
      </c>
      <c r="B73" s="42" t="s">
        <v>43</v>
      </c>
      <c r="C73" s="42" t="s">
        <v>44</v>
      </c>
      <c r="D73" s="43" t="s">
        <v>96</v>
      </c>
      <c r="E73" s="49" t="s">
        <v>149</v>
      </c>
      <c r="F73" s="50" t="s">
        <v>150</v>
      </c>
      <c r="G73" s="52">
        <v>2021680010041</v>
      </c>
      <c r="H73" s="32" t="s">
        <v>90</v>
      </c>
      <c r="I73" s="33" t="s">
        <v>91</v>
      </c>
      <c r="J73" s="34">
        <v>44328</v>
      </c>
      <c r="K73" s="34">
        <v>44561</v>
      </c>
      <c r="L73" s="69">
        <v>1</v>
      </c>
      <c r="M73" s="71">
        <v>0.95</v>
      </c>
      <c r="N73" s="70">
        <f t="shared" ref="N73" si="8">IFERROR(IF(M73/L73&gt;100%,100%,M73/L73),"-")</f>
        <v>0.95</v>
      </c>
      <c r="O73" s="13" t="s">
        <v>219</v>
      </c>
      <c r="P73" s="37"/>
      <c r="Q73" s="37"/>
      <c r="R73" s="37"/>
      <c r="S73" s="37"/>
      <c r="T73" s="37">
        <v>28250000</v>
      </c>
      <c r="U73" s="38">
        <f>SUM(P73:T73)</f>
        <v>28250000</v>
      </c>
      <c r="V73" s="37"/>
      <c r="W73" s="37"/>
      <c r="X73" s="37"/>
      <c r="Y73" s="37"/>
      <c r="Z73" s="37">
        <f>15000000+10416666.6777+2833333.33</f>
        <v>28250000.007699996</v>
      </c>
      <c r="AA73" s="38">
        <f t="shared" ref="AA73:AA99" si="9">SUM(V73:Z73)</f>
        <v>28250000.007699996</v>
      </c>
      <c r="AB73" s="39">
        <f>IFERROR(AA73/U73,"-")</f>
        <v>1.0000000002725662</v>
      </c>
      <c r="AC73" s="75"/>
      <c r="AD73" s="41" t="s">
        <v>52</v>
      </c>
      <c r="AE73" s="41" t="s">
        <v>197</v>
      </c>
    </row>
    <row r="74" spans="1:31" ht="82.8" x14ac:dyDescent="0.25">
      <c r="A74" s="73">
        <v>244</v>
      </c>
      <c r="B74" s="42" t="s">
        <v>43</v>
      </c>
      <c r="C74" s="42" t="s">
        <v>44</v>
      </c>
      <c r="D74" s="43" t="s">
        <v>120</v>
      </c>
      <c r="E74" s="49" t="s">
        <v>121</v>
      </c>
      <c r="F74" s="50" t="s">
        <v>122</v>
      </c>
      <c r="G74" s="53"/>
      <c r="H74" s="45" t="s">
        <v>257</v>
      </c>
      <c r="I74" s="54"/>
      <c r="J74" s="34"/>
      <c r="K74" s="34"/>
      <c r="L74" s="85">
        <v>1</v>
      </c>
      <c r="M74" s="85">
        <v>1</v>
      </c>
      <c r="N74" s="84">
        <f>IFERROR(IF(M74/L74&gt;100%,100%,M74/L74),"-")</f>
        <v>1</v>
      </c>
      <c r="O74" s="13" t="s">
        <v>123</v>
      </c>
      <c r="P74" s="37"/>
      <c r="Q74" s="37"/>
      <c r="R74" s="37"/>
      <c r="S74" s="37"/>
      <c r="T74" s="37">
        <v>220000</v>
      </c>
      <c r="U74" s="94">
        <f>SUM(P74:T76)</f>
        <v>42432145</v>
      </c>
      <c r="V74" s="37"/>
      <c r="W74" s="37"/>
      <c r="X74" s="37"/>
      <c r="Y74" s="37"/>
      <c r="Z74" s="37"/>
      <c r="AA74" s="94">
        <f>SUM(V74:Z76)</f>
        <v>32200000</v>
      </c>
      <c r="AB74" s="105">
        <f>IFERROR(AA74/U74,"-")</f>
        <v>0.75885864360616229</v>
      </c>
      <c r="AC74" s="80">
        <v>21880000</v>
      </c>
      <c r="AD74" s="78" t="s">
        <v>52</v>
      </c>
      <c r="AE74" s="78" t="s">
        <v>197</v>
      </c>
    </row>
    <row r="75" spans="1:31" ht="82.8" x14ac:dyDescent="0.25">
      <c r="A75" s="73">
        <v>244</v>
      </c>
      <c r="B75" s="42" t="s">
        <v>43</v>
      </c>
      <c r="C75" s="42" t="s">
        <v>44</v>
      </c>
      <c r="D75" s="43" t="s">
        <v>120</v>
      </c>
      <c r="E75" s="49" t="s">
        <v>121</v>
      </c>
      <c r="F75" s="50" t="s">
        <v>122</v>
      </c>
      <c r="G75" s="52">
        <v>2021680010086</v>
      </c>
      <c r="H75" s="32" t="s">
        <v>200</v>
      </c>
      <c r="I75" s="33" t="s">
        <v>201</v>
      </c>
      <c r="J75" s="34">
        <v>44438</v>
      </c>
      <c r="K75" s="34">
        <v>44561</v>
      </c>
      <c r="L75" s="85"/>
      <c r="M75" s="85"/>
      <c r="N75" s="84"/>
      <c r="O75" s="13" t="s">
        <v>265</v>
      </c>
      <c r="P75" s="37"/>
      <c r="Q75" s="37"/>
      <c r="R75" s="37"/>
      <c r="S75" s="37"/>
      <c r="T75" s="37">
        <v>10012145</v>
      </c>
      <c r="U75" s="95"/>
      <c r="V75" s="37"/>
      <c r="W75" s="37"/>
      <c r="X75" s="37"/>
      <c r="Y75" s="37"/>
      <c r="Z75" s="37"/>
      <c r="AA75" s="95"/>
      <c r="AB75" s="106"/>
      <c r="AC75" s="82"/>
      <c r="AD75" s="83"/>
      <c r="AE75" s="83"/>
    </row>
    <row r="76" spans="1:31" ht="82.8" x14ac:dyDescent="0.25">
      <c r="A76" s="73">
        <v>244</v>
      </c>
      <c r="B76" s="42" t="s">
        <v>43</v>
      </c>
      <c r="C76" s="42" t="s">
        <v>44</v>
      </c>
      <c r="D76" s="43" t="s">
        <v>120</v>
      </c>
      <c r="E76" s="49" t="s">
        <v>121</v>
      </c>
      <c r="F76" s="50" t="s">
        <v>122</v>
      </c>
      <c r="G76" s="52">
        <v>2020680010162</v>
      </c>
      <c r="H76" s="32" t="s">
        <v>116</v>
      </c>
      <c r="I76" s="33" t="s">
        <v>117</v>
      </c>
      <c r="J76" s="34">
        <v>44225</v>
      </c>
      <c r="K76" s="34">
        <v>44561</v>
      </c>
      <c r="L76" s="85"/>
      <c r="M76" s="85"/>
      <c r="N76" s="84"/>
      <c r="O76" s="13" t="s">
        <v>270</v>
      </c>
      <c r="P76" s="37"/>
      <c r="Q76" s="37"/>
      <c r="R76" s="37"/>
      <c r="S76" s="37"/>
      <c r="T76" s="37">
        <v>32200000</v>
      </c>
      <c r="U76" s="96"/>
      <c r="V76" s="37"/>
      <c r="W76" s="37"/>
      <c r="X76" s="37"/>
      <c r="Y76" s="37"/>
      <c r="Z76" s="37">
        <v>32200000</v>
      </c>
      <c r="AA76" s="96"/>
      <c r="AB76" s="107"/>
      <c r="AC76" s="81"/>
      <c r="AD76" s="79"/>
      <c r="AE76" s="79"/>
    </row>
    <row r="77" spans="1:31" ht="82.8" x14ac:dyDescent="0.25">
      <c r="A77" s="73">
        <v>245</v>
      </c>
      <c r="B77" s="42" t="s">
        <v>43</v>
      </c>
      <c r="C77" s="42" t="s">
        <v>44</v>
      </c>
      <c r="D77" s="43" t="s">
        <v>120</v>
      </c>
      <c r="E77" s="49" t="s">
        <v>145</v>
      </c>
      <c r="F77" s="50" t="s">
        <v>146</v>
      </c>
      <c r="G77" s="52">
        <v>20200680010034</v>
      </c>
      <c r="H77" s="32" t="s">
        <v>143</v>
      </c>
      <c r="I77" s="33" t="s">
        <v>144</v>
      </c>
      <c r="J77" s="34">
        <v>44202</v>
      </c>
      <c r="K77" s="34">
        <v>44561</v>
      </c>
      <c r="L77" s="69">
        <v>3</v>
      </c>
      <c r="M77" s="69">
        <v>3</v>
      </c>
      <c r="N77" s="70">
        <f t="shared" ref="N77:N80" si="10">IFERROR(IF(M77/L77&gt;100%,100%,M77/L77),"-")</f>
        <v>1</v>
      </c>
      <c r="O77" s="13" t="s">
        <v>315</v>
      </c>
      <c r="P77" s="37">
        <f>276000000+50000000</f>
        <v>326000000</v>
      </c>
      <c r="Q77" s="37"/>
      <c r="R77" s="37"/>
      <c r="S77" s="37"/>
      <c r="T77" s="37">
        <v>484793739.37</v>
      </c>
      <c r="U77" s="68">
        <f>SUM(P77:T77)</f>
        <v>810793739.37</v>
      </c>
      <c r="V77" s="37">
        <f>272249999.9888+45750000+3250000-6533333</f>
        <v>314716666.98879999</v>
      </c>
      <c r="W77" s="37"/>
      <c r="X77" s="37"/>
      <c r="Y77" s="37"/>
      <c r="Z77" s="37"/>
      <c r="AA77" s="68">
        <f>SUM(V77:Z77)</f>
        <v>314716666.98879999</v>
      </c>
      <c r="AB77" s="67">
        <f>IFERROR(AA77/U77,"-")</f>
        <v>0.38815872854832351</v>
      </c>
      <c r="AC77" s="75"/>
      <c r="AD77" s="41" t="s">
        <v>52</v>
      </c>
      <c r="AE77" s="41" t="s">
        <v>197</v>
      </c>
    </row>
    <row r="78" spans="1:31" ht="82.8" x14ac:dyDescent="0.25">
      <c r="A78" s="73">
        <v>246</v>
      </c>
      <c r="B78" s="27" t="s">
        <v>43</v>
      </c>
      <c r="C78" s="27" t="s">
        <v>44</v>
      </c>
      <c r="D78" s="28" t="s">
        <v>120</v>
      </c>
      <c r="E78" s="29" t="s">
        <v>151</v>
      </c>
      <c r="F78" s="30" t="s">
        <v>152</v>
      </c>
      <c r="G78" s="35"/>
      <c r="H78" s="45" t="s">
        <v>157</v>
      </c>
      <c r="I78" s="47"/>
      <c r="J78" s="34"/>
      <c r="K78" s="34"/>
      <c r="L78" s="69">
        <v>1</v>
      </c>
      <c r="M78" s="71">
        <v>0.45</v>
      </c>
      <c r="N78" s="70">
        <f t="shared" si="10"/>
        <v>0.45</v>
      </c>
      <c r="O78" s="13"/>
      <c r="P78" s="37"/>
      <c r="Q78" s="37"/>
      <c r="R78" s="37"/>
      <c r="S78" s="37"/>
      <c r="T78" s="37"/>
      <c r="U78" s="38">
        <f>SUM(P78:T78)</f>
        <v>0</v>
      </c>
      <c r="V78" s="37"/>
      <c r="W78" s="37"/>
      <c r="X78" s="37"/>
      <c r="Y78" s="37"/>
      <c r="Z78" s="37"/>
      <c r="AA78" s="38">
        <f t="shared" si="9"/>
        <v>0</v>
      </c>
      <c r="AB78" s="39" t="str">
        <f>IFERROR(AA78/U78,"-")</f>
        <v>-</v>
      </c>
      <c r="AC78" s="40"/>
      <c r="AD78" s="41" t="s">
        <v>52</v>
      </c>
      <c r="AE78" s="41" t="s">
        <v>197</v>
      </c>
    </row>
    <row r="79" spans="1:31" ht="96" customHeight="1" x14ac:dyDescent="0.25">
      <c r="A79" s="73">
        <v>262</v>
      </c>
      <c r="B79" s="27" t="s">
        <v>43</v>
      </c>
      <c r="C79" s="27" t="s">
        <v>153</v>
      </c>
      <c r="D79" s="28" t="s">
        <v>154</v>
      </c>
      <c r="E79" s="29" t="s">
        <v>155</v>
      </c>
      <c r="F79" s="30" t="s">
        <v>156</v>
      </c>
      <c r="G79" s="52">
        <v>2021680010166</v>
      </c>
      <c r="H79" s="32" t="s">
        <v>212</v>
      </c>
      <c r="I79" s="33" t="s">
        <v>213</v>
      </c>
      <c r="J79" s="34">
        <v>44477</v>
      </c>
      <c r="K79" s="34">
        <v>44561</v>
      </c>
      <c r="L79" s="69">
        <v>1</v>
      </c>
      <c r="M79" s="69">
        <v>1</v>
      </c>
      <c r="N79" s="70">
        <f t="shared" si="10"/>
        <v>1</v>
      </c>
      <c r="O79" s="13" t="s">
        <v>214</v>
      </c>
      <c r="P79" s="37">
        <v>6250000</v>
      </c>
      <c r="Q79" s="37"/>
      <c r="R79" s="37"/>
      <c r="S79" s="37"/>
      <c r="T79" s="37"/>
      <c r="U79" s="38">
        <f>SUM(P79:T79)</f>
        <v>6250000</v>
      </c>
      <c r="V79" s="37"/>
      <c r="W79" s="37"/>
      <c r="X79" s="37"/>
      <c r="Y79" s="37"/>
      <c r="Z79" s="37"/>
      <c r="AA79" s="38">
        <f t="shared" si="9"/>
        <v>0</v>
      </c>
      <c r="AB79" s="39">
        <f>IFERROR(AA79/U79,"-")</f>
        <v>0</v>
      </c>
      <c r="AC79" s="40"/>
      <c r="AD79" s="41" t="s">
        <v>52</v>
      </c>
      <c r="AE79" s="41" t="s">
        <v>197</v>
      </c>
    </row>
    <row r="80" spans="1:31" ht="114" customHeight="1" x14ac:dyDescent="0.25">
      <c r="A80" s="73">
        <v>263</v>
      </c>
      <c r="B80" s="27" t="s">
        <v>43</v>
      </c>
      <c r="C80" s="27" t="s">
        <v>153</v>
      </c>
      <c r="D80" s="28" t="s">
        <v>154</v>
      </c>
      <c r="E80" s="29" t="s">
        <v>158</v>
      </c>
      <c r="F80" s="30" t="s">
        <v>159</v>
      </c>
      <c r="G80" s="52">
        <v>2021680010077</v>
      </c>
      <c r="H80" s="32" t="s">
        <v>208</v>
      </c>
      <c r="I80" s="33" t="s">
        <v>209</v>
      </c>
      <c r="J80" s="34">
        <v>44425</v>
      </c>
      <c r="K80" s="34">
        <v>44561</v>
      </c>
      <c r="L80" s="90">
        <v>1</v>
      </c>
      <c r="M80" s="90">
        <v>0.01</v>
      </c>
      <c r="N80" s="84">
        <f t="shared" si="10"/>
        <v>0.01</v>
      </c>
      <c r="O80" s="13" t="s">
        <v>300</v>
      </c>
      <c r="P80" s="37">
        <f>715470647.21+40000000</f>
        <v>755470647.21000004</v>
      </c>
      <c r="Q80" s="37"/>
      <c r="R80" s="37"/>
      <c r="S80" s="37"/>
      <c r="T80" s="37"/>
      <c r="U80" s="94">
        <f>SUM(P80:T81)</f>
        <v>2604591998.2600002</v>
      </c>
      <c r="V80" s="37">
        <f>715470647.3+18772431.79</f>
        <v>734243079.08999991</v>
      </c>
      <c r="W80" s="37"/>
      <c r="X80" s="37"/>
      <c r="Y80" s="37"/>
      <c r="Z80" s="37"/>
      <c r="AA80" s="94">
        <f t="shared" si="9"/>
        <v>734243079.08999991</v>
      </c>
      <c r="AB80" s="105">
        <f>IFERROR(AA80/U80,"-")</f>
        <v>0.28190329985675744</v>
      </c>
      <c r="AC80" s="80"/>
      <c r="AD80" s="78" t="s">
        <v>52</v>
      </c>
      <c r="AE80" s="78" t="s">
        <v>197</v>
      </c>
    </row>
    <row r="81" spans="1:31" ht="48" customHeight="1" x14ac:dyDescent="0.25">
      <c r="A81" s="73">
        <v>263</v>
      </c>
      <c r="B81" s="27" t="s">
        <v>43</v>
      </c>
      <c r="C81" s="27" t="s">
        <v>153</v>
      </c>
      <c r="D81" s="28" t="s">
        <v>154</v>
      </c>
      <c r="E81" s="29" t="s">
        <v>158</v>
      </c>
      <c r="F81" s="30" t="s">
        <v>159</v>
      </c>
      <c r="G81" s="52"/>
      <c r="H81" s="48" t="s">
        <v>46</v>
      </c>
      <c r="I81" s="33"/>
      <c r="J81" s="34"/>
      <c r="K81" s="34"/>
      <c r="L81" s="90"/>
      <c r="M81" s="90"/>
      <c r="N81" s="84"/>
      <c r="O81" s="13" t="s">
        <v>266</v>
      </c>
      <c r="P81" s="37">
        <f>1849121351.05</f>
        <v>1849121351.05</v>
      </c>
      <c r="Q81" s="37"/>
      <c r="R81" s="37"/>
      <c r="S81" s="37"/>
      <c r="T81" s="37"/>
      <c r="U81" s="96"/>
      <c r="V81" s="37"/>
      <c r="W81" s="37"/>
      <c r="X81" s="37"/>
      <c r="Y81" s="37"/>
      <c r="Z81" s="37"/>
      <c r="AA81" s="96"/>
      <c r="AB81" s="107"/>
      <c r="AC81" s="81"/>
      <c r="AD81" s="79"/>
      <c r="AE81" s="79"/>
    </row>
    <row r="82" spans="1:31" ht="55.2" x14ac:dyDescent="0.25">
      <c r="A82" s="73">
        <v>264</v>
      </c>
      <c r="B82" s="27" t="s">
        <v>43</v>
      </c>
      <c r="C82" s="27" t="s">
        <v>153</v>
      </c>
      <c r="D82" s="28" t="s">
        <v>154</v>
      </c>
      <c r="E82" s="29" t="s">
        <v>160</v>
      </c>
      <c r="F82" s="30" t="s">
        <v>161</v>
      </c>
      <c r="G82" s="52">
        <v>2021680010127</v>
      </c>
      <c r="H82" s="32" t="s">
        <v>309</v>
      </c>
      <c r="I82" s="33" t="s">
        <v>211</v>
      </c>
      <c r="J82" s="34">
        <v>44466</v>
      </c>
      <c r="K82" s="34">
        <v>44561</v>
      </c>
      <c r="L82" s="69">
        <v>1</v>
      </c>
      <c r="M82" s="69">
        <v>1</v>
      </c>
      <c r="N82" s="70">
        <f t="shared" ref="N82:N100" si="11">IFERROR(IF(M82/L82&gt;100%,100%,M82/L82),"-")</f>
        <v>1</v>
      </c>
      <c r="O82" s="13" t="s">
        <v>199</v>
      </c>
      <c r="P82" s="37">
        <v>20000000</v>
      </c>
      <c r="Q82" s="37"/>
      <c r="R82" s="37"/>
      <c r="S82" s="37"/>
      <c r="T82" s="37"/>
      <c r="U82" s="38">
        <f>SUM(P82:T82)</f>
        <v>20000000</v>
      </c>
      <c r="V82" s="37">
        <v>20000000</v>
      </c>
      <c r="W82" s="37"/>
      <c r="X82" s="37"/>
      <c r="Y82" s="37"/>
      <c r="Z82" s="37"/>
      <c r="AA82" s="38">
        <f t="shared" si="9"/>
        <v>20000000</v>
      </c>
      <c r="AB82" s="39">
        <f>IFERROR(AA82/U82,"-")</f>
        <v>1</v>
      </c>
      <c r="AC82" s="40"/>
      <c r="AD82" s="41" t="s">
        <v>52</v>
      </c>
      <c r="AE82" s="41" t="s">
        <v>197</v>
      </c>
    </row>
    <row r="83" spans="1:31" ht="41.4" x14ac:dyDescent="0.25">
      <c r="A83" s="73">
        <v>265</v>
      </c>
      <c r="B83" s="42" t="s">
        <v>43</v>
      </c>
      <c r="C83" s="42" t="s">
        <v>153</v>
      </c>
      <c r="D83" s="43" t="s">
        <v>162</v>
      </c>
      <c r="E83" s="49" t="s">
        <v>163</v>
      </c>
      <c r="F83" s="50" t="s">
        <v>164</v>
      </c>
      <c r="G83" s="52">
        <v>2020680010052</v>
      </c>
      <c r="H83" s="32" t="s">
        <v>165</v>
      </c>
      <c r="I83" s="33" t="s">
        <v>166</v>
      </c>
      <c r="J83" s="34">
        <v>44211</v>
      </c>
      <c r="K83" s="34">
        <v>44561</v>
      </c>
      <c r="L83" s="85">
        <v>1</v>
      </c>
      <c r="M83" s="85">
        <v>1</v>
      </c>
      <c r="N83" s="84">
        <f t="shared" si="11"/>
        <v>1</v>
      </c>
      <c r="O83" s="13" t="s">
        <v>236</v>
      </c>
      <c r="P83" s="37">
        <v>53720567</v>
      </c>
      <c r="Q83" s="37"/>
      <c r="R83" s="37"/>
      <c r="S83" s="37"/>
      <c r="T83" s="37"/>
      <c r="U83" s="94">
        <f>SUM(P83:T84)</f>
        <v>296833530.99000001</v>
      </c>
      <c r="V83" s="37">
        <v>53272730</v>
      </c>
      <c r="W83" s="37"/>
      <c r="X83" s="37"/>
      <c r="Y83" s="37"/>
      <c r="Z83" s="37"/>
      <c r="AA83" s="94">
        <f>SUM(V83:Z84)</f>
        <v>53272730</v>
      </c>
      <c r="AB83" s="105">
        <f>IFERROR(AA83/U83,"-")</f>
        <v>0.17947005455321927</v>
      </c>
      <c r="AC83" s="80"/>
      <c r="AD83" s="78" t="s">
        <v>52</v>
      </c>
      <c r="AE83" s="78" t="s">
        <v>197</v>
      </c>
    </row>
    <row r="84" spans="1:31" ht="41.4" x14ac:dyDescent="0.25">
      <c r="A84" s="73">
        <v>265</v>
      </c>
      <c r="B84" s="42" t="s">
        <v>43</v>
      </c>
      <c r="C84" s="42" t="s">
        <v>153</v>
      </c>
      <c r="D84" s="43" t="s">
        <v>162</v>
      </c>
      <c r="E84" s="49" t="s">
        <v>163</v>
      </c>
      <c r="F84" s="50" t="s">
        <v>164</v>
      </c>
      <c r="G84" s="52"/>
      <c r="H84" s="48" t="s">
        <v>46</v>
      </c>
      <c r="I84" s="33"/>
      <c r="J84" s="34"/>
      <c r="K84" s="34"/>
      <c r="L84" s="85"/>
      <c r="M84" s="85"/>
      <c r="N84" s="84"/>
      <c r="O84" s="13" t="s">
        <v>279</v>
      </c>
      <c r="P84" s="37">
        <v>243112963.99000001</v>
      </c>
      <c r="Q84" s="37"/>
      <c r="R84" s="37"/>
      <c r="S84" s="37"/>
      <c r="T84" s="37"/>
      <c r="U84" s="96"/>
      <c r="V84" s="37"/>
      <c r="W84" s="37"/>
      <c r="X84" s="37"/>
      <c r="Y84" s="37"/>
      <c r="Z84" s="37"/>
      <c r="AA84" s="96"/>
      <c r="AB84" s="107"/>
      <c r="AC84" s="81"/>
      <c r="AD84" s="79"/>
      <c r="AE84" s="79"/>
    </row>
    <row r="85" spans="1:31" ht="41.4" x14ac:dyDescent="0.25">
      <c r="A85" s="73">
        <v>266</v>
      </c>
      <c r="B85" s="27" t="s">
        <v>43</v>
      </c>
      <c r="C85" s="27" t="s">
        <v>153</v>
      </c>
      <c r="D85" s="28" t="s">
        <v>162</v>
      </c>
      <c r="E85" s="29" t="s">
        <v>167</v>
      </c>
      <c r="F85" s="30" t="s">
        <v>168</v>
      </c>
      <c r="G85" s="52">
        <v>2020680010052</v>
      </c>
      <c r="H85" s="32" t="s">
        <v>165</v>
      </c>
      <c r="I85" s="33" t="s">
        <v>166</v>
      </c>
      <c r="J85" s="34">
        <v>44211</v>
      </c>
      <c r="K85" s="34">
        <v>44561</v>
      </c>
      <c r="L85" s="69">
        <v>1</v>
      </c>
      <c r="M85" s="69">
        <v>1</v>
      </c>
      <c r="N85" s="70">
        <f t="shared" si="11"/>
        <v>1</v>
      </c>
      <c r="O85" s="13" t="s">
        <v>273</v>
      </c>
      <c r="P85" s="37">
        <v>21400000</v>
      </c>
      <c r="Q85" s="37"/>
      <c r="R85" s="37"/>
      <c r="S85" s="37"/>
      <c r="T85" s="37"/>
      <c r="U85" s="38">
        <f>SUM(P85:T85)</f>
        <v>21400000</v>
      </c>
      <c r="V85" s="37">
        <v>21400000</v>
      </c>
      <c r="W85" s="37"/>
      <c r="X85" s="37"/>
      <c r="Y85" s="37"/>
      <c r="Z85" s="37"/>
      <c r="AA85" s="38">
        <f t="shared" si="9"/>
        <v>21400000</v>
      </c>
      <c r="AB85" s="39">
        <f>IFERROR(AA85/U85,"-")</f>
        <v>1</v>
      </c>
      <c r="AC85" s="40"/>
      <c r="AD85" s="41" t="s">
        <v>52</v>
      </c>
      <c r="AE85" s="41" t="s">
        <v>197</v>
      </c>
    </row>
    <row r="86" spans="1:31" ht="55.2" x14ac:dyDescent="0.25">
      <c r="A86" s="73">
        <v>267</v>
      </c>
      <c r="B86" s="27" t="s">
        <v>43</v>
      </c>
      <c r="C86" s="27" t="s">
        <v>153</v>
      </c>
      <c r="D86" s="28" t="s">
        <v>162</v>
      </c>
      <c r="E86" s="29" t="s">
        <v>169</v>
      </c>
      <c r="F86" s="30" t="s">
        <v>170</v>
      </c>
      <c r="G86" s="52">
        <v>2020680010052</v>
      </c>
      <c r="H86" s="32" t="s">
        <v>165</v>
      </c>
      <c r="I86" s="33" t="s">
        <v>166</v>
      </c>
      <c r="J86" s="34">
        <v>44211</v>
      </c>
      <c r="K86" s="34">
        <v>44561</v>
      </c>
      <c r="L86" s="72">
        <v>1</v>
      </c>
      <c r="M86" s="72">
        <v>1</v>
      </c>
      <c r="N86" s="70">
        <f t="shared" si="11"/>
        <v>1</v>
      </c>
      <c r="O86" s="13" t="s">
        <v>171</v>
      </c>
      <c r="P86" s="37">
        <v>280000000</v>
      </c>
      <c r="Q86" s="37"/>
      <c r="R86" s="37"/>
      <c r="S86" s="37"/>
      <c r="T86" s="37"/>
      <c r="U86" s="38">
        <f>SUM(P86:T86)</f>
        <v>280000000</v>
      </c>
      <c r="V86" s="37">
        <f>124461330+3294213+12218537</f>
        <v>139974080</v>
      </c>
      <c r="W86" s="37"/>
      <c r="X86" s="37"/>
      <c r="Y86" s="37"/>
      <c r="Z86" s="37"/>
      <c r="AA86" s="38">
        <f t="shared" si="9"/>
        <v>139974080</v>
      </c>
      <c r="AB86" s="39">
        <f>IFERROR(AA86/U86,"-")</f>
        <v>0.49990742857142856</v>
      </c>
      <c r="AC86" s="40"/>
      <c r="AD86" s="41" t="s">
        <v>52</v>
      </c>
      <c r="AE86" s="41" t="s">
        <v>197</v>
      </c>
    </row>
    <row r="87" spans="1:31" ht="41.4" x14ac:dyDescent="0.25">
      <c r="A87" s="73">
        <v>268</v>
      </c>
      <c r="B87" s="27" t="s">
        <v>43</v>
      </c>
      <c r="C87" s="27" t="s">
        <v>153</v>
      </c>
      <c r="D87" s="28" t="s">
        <v>162</v>
      </c>
      <c r="E87" s="29" t="s">
        <v>172</v>
      </c>
      <c r="F87" s="30" t="s">
        <v>173</v>
      </c>
      <c r="G87" s="52">
        <v>2020680010052</v>
      </c>
      <c r="H87" s="32" t="s">
        <v>165</v>
      </c>
      <c r="I87" s="33" t="s">
        <v>166</v>
      </c>
      <c r="J87" s="34">
        <v>44211</v>
      </c>
      <c r="K87" s="34">
        <v>44561</v>
      </c>
      <c r="L87" s="72">
        <v>1</v>
      </c>
      <c r="M87" s="72">
        <v>1</v>
      </c>
      <c r="N87" s="70">
        <f t="shared" si="11"/>
        <v>1</v>
      </c>
      <c r="O87" s="13" t="s">
        <v>174</v>
      </c>
      <c r="P87" s="37">
        <v>70000000</v>
      </c>
      <c r="Q87" s="37"/>
      <c r="R87" s="37"/>
      <c r="S87" s="37"/>
      <c r="T87" s="37"/>
      <c r="U87" s="38">
        <f>SUM(P87:T87)</f>
        <v>70000000</v>
      </c>
      <c r="V87" s="37">
        <v>70000000</v>
      </c>
      <c r="W87" s="37"/>
      <c r="X87" s="37"/>
      <c r="Y87" s="37"/>
      <c r="Z87" s="37"/>
      <c r="AA87" s="38">
        <f t="shared" si="9"/>
        <v>70000000</v>
      </c>
      <c r="AB87" s="39">
        <f>IFERROR(AA87/U87,"-")</f>
        <v>1</v>
      </c>
      <c r="AC87" s="40"/>
      <c r="AD87" s="41" t="s">
        <v>52</v>
      </c>
      <c r="AE87" s="41" t="s">
        <v>197</v>
      </c>
    </row>
    <row r="88" spans="1:31" ht="55.2" x14ac:dyDescent="0.25">
      <c r="A88" s="73">
        <v>269</v>
      </c>
      <c r="B88" s="27" t="s">
        <v>43</v>
      </c>
      <c r="C88" s="27" t="s">
        <v>153</v>
      </c>
      <c r="D88" s="28" t="s">
        <v>162</v>
      </c>
      <c r="E88" s="29" t="s">
        <v>175</v>
      </c>
      <c r="F88" s="30" t="s">
        <v>176</v>
      </c>
      <c r="G88" s="52">
        <v>2020680010052</v>
      </c>
      <c r="H88" s="32" t="s">
        <v>165</v>
      </c>
      <c r="I88" s="33" t="s">
        <v>166</v>
      </c>
      <c r="J88" s="34">
        <v>44211</v>
      </c>
      <c r="K88" s="34">
        <v>44561</v>
      </c>
      <c r="L88" s="72">
        <v>1</v>
      </c>
      <c r="M88" s="72">
        <v>1</v>
      </c>
      <c r="N88" s="70">
        <f t="shared" si="11"/>
        <v>1</v>
      </c>
      <c r="O88" s="13" t="s">
        <v>177</v>
      </c>
      <c r="P88" s="37">
        <v>10000000</v>
      </c>
      <c r="Q88" s="37"/>
      <c r="R88" s="37"/>
      <c r="S88" s="37"/>
      <c r="T88" s="37"/>
      <c r="U88" s="38">
        <f>SUM(P88:T88)</f>
        <v>10000000</v>
      </c>
      <c r="V88" s="37">
        <f>3673472+1337573</f>
        <v>5011045</v>
      </c>
      <c r="W88" s="37"/>
      <c r="X88" s="37"/>
      <c r="Y88" s="37"/>
      <c r="Z88" s="37"/>
      <c r="AA88" s="38">
        <f t="shared" si="9"/>
        <v>5011045</v>
      </c>
      <c r="AB88" s="39">
        <f>IFERROR(AA88/U88,"-")</f>
        <v>0.50110449999999995</v>
      </c>
      <c r="AC88" s="40"/>
      <c r="AD88" s="41" t="s">
        <v>52</v>
      </c>
      <c r="AE88" s="41" t="s">
        <v>197</v>
      </c>
    </row>
    <row r="89" spans="1:31" ht="41.4" x14ac:dyDescent="0.25">
      <c r="A89" s="73">
        <v>270</v>
      </c>
      <c r="B89" s="42" t="s">
        <v>43</v>
      </c>
      <c r="C89" s="42" t="s">
        <v>153</v>
      </c>
      <c r="D89" s="43" t="s">
        <v>162</v>
      </c>
      <c r="E89" s="49" t="s">
        <v>178</v>
      </c>
      <c r="F89" s="50" t="s">
        <v>179</v>
      </c>
      <c r="G89" s="52">
        <v>2020680010052</v>
      </c>
      <c r="H89" s="32" t="s">
        <v>165</v>
      </c>
      <c r="I89" s="33" t="s">
        <v>166</v>
      </c>
      <c r="J89" s="34">
        <v>44211</v>
      </c>
      <c r="K89" s="34">
        <v>44561</v>
      </c>
      <c r="L89" s="85">
        <v>1</v>
      </c>
      <c r="M89" s="85">
        <v>1</v>
      </c>
      <c r="N89" s="84">
        <f t="shared" si="11"/>
        <v>1</v>
      </c>
      <c r="O89" s="13" t="s">
        <v>280</v>
      </c>
      <c r="P89" s="37">
        <v>273550000.00999999</v>
      </c>
      <c r="Q89" s="37"/>
      <c r="R89" s="37"/>
      <c r="S89" s="37"/>
      <c r="T89" s="37"/>
      <c r="U89" s="94">
        <f>SUM(P89:T91)</f>
        <v>283583333.00999999</v>
      </c>
      <c r="V89" s="37">
        <v>273550000.01109999</v>
      </c>
      <c r="W89" s="37"/>
      <c r="X89" s="37"/>
      <c r="Y89" s="37"/>
      <c r="Z89" s="37"/>
      <c r="AA89" s="94">
        <f>SUM(V89:Z91)</f>
        <v>273550000.01109999</v>
      </c>
      <c r="AB89" s="105">
        <f>IFERROR(AA89/U89,"-")</f>
        <v>0.96461945456242237</v>
      </c>
      <c r="AC89" s="80"/>
      <c r="AD89" s="78" t="s">
        <v>52</v>
      </c>
      <c r="AE89" s="78" t="s">
        <v>197</v>
      </c>
    </row>
    <row r="90" spans="1:31" ht="41.4" x14ac:dyDescent="0.25">
      <c r="A90" s="73">
        <v>270</v>
      </c>
      <c r="B90" s="42" t="s">
        <v>43</v>
      </c>
      <c r="C90" s="42" t="s">
        <v>153</v>
      </c>
      <c r="D90" s="43" t="s">
        <v>162</v>
      </c>
      <c r="E90" s="49" t="s">
        <v>178</v>
      </c>
      <c r="F90" s="50" t="s">
        <v>179</v>
      </c>
      <c r="G90" s="52"/>
      <c r="H90" s="48" t="s">
        <v>46</v>
      </c>
      <c r="I90" s="33"/>
      <c r="J90" s="34"/>
      <c r="K90" s="34"/>
      <c r="L90" s="85"/>
      <c r="M90" s="85"/>
      <c r="N90" s="84"/>
      <c r="O90" s="13" t="s">
        <v>238</v>
      </c>
      <c r="P90" s="37">
        <v>4400000</v>
      </c>
      <c r="Q90" s="37"/>
      <c r="R90" s="37"/>
      <c r="S90" s="37"/>
      <c r="T90" s="37"/>
      <c r="U90" s="95"/>
      <c r="V90" s="37"/>
      <c r="W90" s="37"/>
      <c r="X90" s="37"/>
      <c r="Y90" s="37"/>
      <c r="Z90" s="37"/>
      <c r="AA90" s="95"/>
      <c r="AB90" s="106"/>
      <c r="AC90" s="82"/>
      <c r="AD90" s="83"/>
      <c r="AE90" s="83"/>
    </row>
    <row r="91" spans="1:31" ht="41.4" x14ac:dyDescent="0.25">
      <c r="A91" s="73">
        <v>270</v>
      </c>
      <c r="B91" s="42" t="s">
        <v>43</v>
      </c>
      <c r="C91" s="42" t="s">
        <v>153</v>
      </c>
      <c r="D91" s="43" t="s">
        <v>162</v>
      </c>
      <c r="E91" s="49" t="s">
        <v>178</v>
      </c>
      <c r="F91" s="50" t="s">
        <v>179</v>
      </c>
      <c r="G91" s="52"/>
      <c r="H91" s="45" t="s">
        <v>257</v>
      </c>
      <c r="I91" s="33"/>
      <c r="J91" s="34"/>
      <c r="K91" s="34"/>
      <c r="L91" s="85"/>
      <c r="M91" s="85"/>
      <c r="N91" s="84"/>
      <c r="O91" s="13" t="s">
        <v>180</v>
      </c>
      <c r="P91" s="37"/>
      <c r="Q91" s="37"/>
      <c r="R91" s="37"/>
      <c r="S91" s="37"/>
      <c r="T91" s="37">
        <f>4533333+1100000</f>
        <v>5633333</v>
      </c>
      <c r="U91" s="96"/>
      <c r="V91" s="37"/>
      <c r="W91" s="37"/>
      <c r="X91" s="37"/>
      <c r="Y91" s="37"/>
      <c r="Z91" s="37"/>
      <c r="AA91" s="96"/>
      <c r="AB91" s="107"/>
      <c r="AC91" s="81"/>
      <c r="AD91" s="79"/>
      <c r="AE91" s="79"/>
    </row>
    <row r="92" spans="1:31" ht="41.4" x14ac:dyDescent="0.25">
      <c r="A92" s="73">
        <v>271</v>
      </c>
      <c r="B92" s="42" t="s">
        <v>43</v>
      </c>
      <c r="C92" s="42" t="s">
        <v>153</v>
      </c>
      <c r="D92" s="43" t="s">
        <v>162</v>
      </c>
      <c r="E92" s="49" t="s">
        <v>183</v>
      </c>
      <c r="F92" s="50" t="s">
        <v>184</v>
      </c>
      <c r="G92" s="52">
        <v>2020680010052</v>
      </c>
      <c r="H92" s="32" t="s">
        <v>165</v>
      </c>
      <c r="I92" s="33" t="s">
        <v>166</v>
      </c>
      <c r="J92" s="34">
        <v>44211</v>
      </c>
      <c r="K92" s="34">
        <v>44561</v>
      </c>
      <c r="L92" s="90">
        <v>1</v>
      </c>
      <c r="M92" s="90">
        <v>1</v>
      </c>
      <c r="N92" s="84">
        <f t="shared" si="11"/>
        <v>1</v>
      </c>
      <c r="O92" s="13" t="s">
        <v>301</v>
      </c>
      <c r="P92" s="37">
        <f>30000000+12000000+35000000+20700000</f>
        <v>97700000</v>
      </c>
      <c r="Q92" s="37"/>
      <c r="R92" s="37"/>
      <c r="S92" s="37"/>
      <c r="T92" s="37"/>
      <c r="U92" s="94">
        <f>SUM(P92:T93)</f>
        <v>122000000</v>
      </c>
      <c r="V92" s="37">
        <f>23280000+2300000+29894388+2300000+1317354</f>
        <v>59091742</v>
      </c>
      <c r="W92" s="37"/>
      <c r="X92" s="37"/>
      <c r="Y92" s="37"/>
      <c r="Z92" s="37"/>
      <c r="AA92" s="94">
        <f>SUM(V92:Z93)</f>
        <v>59091742</v>
      </c>
      <c r="AB92" s="105">
        <f>IFERROR(AA92/U92,"-")</f>
        <v>0.48435854098360653</v>
      </c>
      <c r="AC92" s="80"/>
      <c r="AD92" s="78" t="s">
        <v>52</v>
      </c>
      <c r="AE92" s="78" t="s">
        <v>197</v>
      </c>
    </row>
    <row r="93" spans="1:31" ht="41.4" x14ac:dyDescent="0.25">
      <c r="A93" s="73">
        <v>271</v>
      </c>
      <c r="B93" s="42" t="s">
        <v>43</v>
      </c>
      <c r="C93" s="42" t="s">
        <v>153</v>
      </c>
      <c r="D93" s="43" t="s">
        <v>162</v>
      </c>
      <c r="E93" s="49" t="s">
        <v>183</v>
      </c>
      <c r="F93" s="50" t="s">
        <v>184</v>
      </c>
      <c r="G93" s="52"/>
      <c r="H93" s="48" t="s">
        <v>46</v>
      </c>
      <c r="I93" s="33"/>
      <c r="J93" s="34"/>
      <c r="K93" s="34"/>
      <c r="L93" s="90"/>
      <c r="M93" s="90"/>
      <c r="N93" s="84"/>
      <c r="O93" s="13" t="s">
        <v>237</v>
      </c>
      <c r="P93" s="37">
        <v>24300000</v>
      </c>
      <c r="Q93" s="37"/>
      <c r="R93" s="37"/>
      <c r="S93" s="37"/>
      <c r="T93" s="37"/>
      <c r="U93" s="96"/>
      <c r="V93" s="37"/>
      <c r="W93" s="37"/>
      <c r="X93" s="37"/>
      <c r="Y93" s="37"/>
      <c r="Z93" s="37"/>
      <c r="AA93" s="96"/>
      <c r="AB93" s="107"/>
      <c r="AC93" s="81"/>
      <c r="AD93" s="79"/>
      <c r="AE93" s="79"/>
    </row>
    <row r="94" spans="1:31" ht="49.2" customHeight="1" x14ac:dyDescent="0.25">
      <c r="A94" s="73">
        <v>272</v>
      </c>
      <c r="B94" s="42" t="s">
        <v>43</v>
      </c>
      <c r="C94" s="42" t="s">
        <v>153</v>
      </c>
      <c r="D94" s="43" t="s">
        <v>162</v>
      </c>
      <c r="E94" s="49" t="s">
        <v>181</v>
      </c>
      <c r="F94" s="50" t="s">
        <v>182</v>
      </c>
      <c r="G94" s="52">
        <v>2020680010052</v>
      </c>
      <c r="H94" s="32" t="s">
        <v>165</v>
      </c>
      <c r="I94" s="33" t="s">
        <v>166</v>
      </c>
      <c r="J94" s="34">
        <v>44211</v>
      </c>
      <c r="K94" s="34">
        <v>44561</v>
      </c>
      <c r="L94" s="85">
        <v>1</v>
      </c>
      <c r="M94" s="85">
        <v>1</v>
      </c>
      <c r="N94" s="84">
        <f t="shared" ref="N94" si="12">IFERROR(IF(M94/L94&gt;100%,100%,M94/L94),"-")</f>
        <v>1</v>
      </c>
      <c r="O94" s="13" t="s">
        <v>302</v>
      </c>
      <c r="P94" s="37">
        <f>110889502.99+25000000</f>
        <v>135889502.99000001</v>
      </c>
      <c r="Q94" s="37"/>
      <c r="R94" s="37"/>
      <c r="S94" s="37"/>
      <c r="T94" s="37"/>
      <c r="U94" s="94">
        <f>SUM(P94:T95)</f>
        <v>158816469</v>
      </c>
      <c r="V94" s="37">
        <v>120316469</v>
      </c>
      <c r="W94" s="37"/>
      <c r="X94" s="37"/>
      <c r="Y94" s="37"/>
      <c r="Z94" s="37"/>
      <c r="AA94" s="94">
        <f>SUM(V94:Z95)</f>
        <v>120316469</v>
      </c>
      <c r="AB94" s="105">
        <f>IFERROR(AA94/U94,"-")</f>
        <v>0.75758181602690089</v>
      </c>
      <c r="AC94" s="80"/>
      <c r="AD94" s="78" t="s">
        <v>52</v>
      </c>
      <c r="AE94" s="78" t="s">
        <v>197</v>
      </c>
    </row>
    <row r="95" spans="1:31" ht="41.4" x14ac:dyDescent="0.25">
      <c r="A95" s="73">
        <v>272</v>
      </c>
      <c r="B95" s="42" t="s">
        <v>43</v>
      </c>
      <c r="C95" s="42" t="s">
        <v>153</v>
      </c>
      <c r="D95" s="43" t="s">
        <v>162</v>
      </c>
      <c r="E95" s="49" t="s">
        <v>181</v>
      </c>
      <c r="F95" s="50" t="s">
        <v>182</v>
      </c>
      <c r="G95" s="52"/>
      <c r="H95" s="48" t="s">
        <v>46</v>
      </c>
      <c r="I95" s="33"/>
      <c r="J95" s="34"/>
      <c r="K95" s="34"/>
      <c r="L95" s="85"/>
      <c r="M95" s="85"/>
      <c r="N95" s="84"/>
      <c r="O95" s="13" t="s">
        <v>307</v>
      </c>
      <c r="P95" s="37">
        <f>13500000+9426966.01</f>
        <v>22926966.009999998</v>
      </c>
      <c r="Q95" s="37"/>
      <c r="R95" s="37"/>
      <c r="S95" s="37"/>
      <c r="T95" s="37"/>
      <c r="U95" s="96"/>
      <c r="V95" s="37"/>
      <c r="W95" s="37"/>
      <c r="X95" s="37"/>
      <c r="Y95" s="37"/>
      <c r="Z95" s="37"/>
      <c r="AA95" s="96"/>
      <c r="AB95" s="107"/>
      <c r="AC95" s="81"/>
      <c r="AD95" s="79"/>
      <c r="AE95" s="79"/>
    </row>
    <row r="96" spans="1:31" ht="55.2" x14ac:dyDescent="0.25">
      <c r="A96" s="73">
        <v>273</v>
      </c>
      <c r="B96" s="27" t="s">
        <v>43</v>
      </c>
      <c r="C96" s="27" t="s">
        <v>153</v>
      </c>
      <c r="D96" s="28" t="s">
        <v>185</v>
      </c>
      <c r="E96" s="29" t="s">
        <v>186</v>
      </c>
      <c r="F96" s="30" t="s">
        <v>187</v>
      </c>
      <c r="G96" s="35"/>
      <c r="H96" s="45" t="s">
        <v>157</v>
      </c>
      <c r="I96" s="55"/>
      <c r="J96" s="34"/>
      <c r="K96" s="34"/>
      <c r="L96" s="69">
        <v>1</v>
      </c>
      <c r="M96" s="69">
        <v>1</v>
      </c>
      <c r="N96" s="70">
        <f t="shared" si="11"/>
        <v>1</v>
      </c>
      <c r="O96" s="13"/>
      <c r="P96" s="37"/>
      <c r="Q96" s="37"/>
      <c r="R96" s="37"/>
      <c r="S96" s="37"/>
      <c r="T96" s="37"/>
      <c r="U96" s="38">
        <f>SUM(P96:T96)</f>
        <v>0</v>
      </c>
      <c r="V96" s="37"/>
      <c r="W96" s="37"/>
      <c r="X96" s="37"/>
      <c r="Y96" s="37"/>
      <c r="Z96" s="37"/>
      <c r="AA96" s="38">
        <f t="shared" si="9"/>
        <v>0</v>
      </c>
      <c r="AB96" s="39" t="str">
        <f>IFERROR(AA96/U96,"-")</f>
        <v>-</v>
      </c>
      <c r="AC96" s="40"/>
      <c r="AD96" s="41" t="s">
        <v>52</v>
      </c>
      <c r="AE96" s="41" t="s">
        <v>197</v>
      </c>
    </row>
    <row r="97" spans="1:31" ht="55.2" x14ac:dyDescent="0.25">
      <c r="A97" s="73">
        <v>274</v>
      </c>
      <c r="B97" s="27" t="s">
        <v>43</v>
      </c>
      <c r="C97" s="27" t="s">
        <v>153</v>
      </c>
      <c r="D97" s="28" t="s">
        <v>185</v>
      </c>
      <c r="E97" s="29" t="s">
        <v>188</v>
      </c>
      <c r="F97" s="30" t="s">
        <v>189</v>
      </c>
      <c r="G97" s="52">
        <v>20200680010164</v>
      </c>
      <c r="H97" s="32" t="s">
        <v>190</v>
      </c>
      <c r="I97" s="33" t="s">
        <v>191</v>
      </c>
      <c r="J97" s="34">
        <v>44245</v>
      </c>
      <c r="K97" s="34">
        <v>44561</v>
      </c>
      <c r="L97" s="85">
        <v>1</v>
      </c>
      <c r="M97" s="85">
        <v>1</v>
      </c>
      <c r="N97" s="84">
        <f t="shared" si="11"/>
        <v>1</v>
      </c>
      <c r="O97" s="13" t="s">
        <v>303</v>
      </c>
      <c r="P97" s="37">
        <f>144276988+53000000+2673930</f>
        <v>199950918</v>
      </c>
      <c r="Q97" s="37"/>
      <c r="R97" s="37"/>
      <c r="S97" s="37"/>
      <c r="T97" s="37"/>
      <c r="U97" s="94">
        <f>SUM(P97:T98)</f>
        <v>200000000</v>
      </c>
      <c r="V97" s="37">
        <f>43169856.11+1000000+53000000+22499507.2</f>
        <v>119669363.31</v>
      </c>
      <c r="W97" s="37"/>
      <c r="X97" s="37"/>
      <c r="Y97" s="37"/>
      <c r="Z97" s="37"/>
      <c r="AA97" s="94">
        <f>SUM(V97:Z98)</f>
        <v>119669363.31</v>
      </c>
      <c r="AB97" s="105">
        <f>IFERROR(AA97/U97,"-")</f>
        <v>0.59834681654999999</v>
      </c>
      <c r="AC97" s="80"/>
      <c r="AD97" s="78" t="s">
        <v>52</v>
      </c>
      <c r="AE97" s="78" t="s">
        <v>197</v>
      </c>
    </row>
    <row r="98" spans="1:31" ht="55.2" x14ac:dyDescent="0.25">
      <c r="A98" s="73">
        <v>274</v>
      </c>
      <c r="B98" s="27" t="s">
        <v>43</v>
      </c>
      <c r="C98" s="27" t="s">
        <v>153</v>
      </c>
      <c r="D98" s="28" t="s">
        <v>185</v>
      </c>
      <c r="E98" s="29" t="s">
        <v>188</v>
      </c>
      <c r="F98" s="30" t="s">
        <v>189</v>
      </c>
      <c r="G98" s="53"/>
      <c r="H98" s="45" t="s">
        <v>46</v>
      </c>
      <c r="I98" s="55"/>
      <c r="J98" s="34"/>
      <c r="K98" s="34"/>
      <c r="L98" s="85"/>
      <c r="M98" s="85"/>
      <c r="N98" s="84"/>
      <c r="O98" s="13" t="s">
        <v>239</v>
      </c>
      <c r="P98" s="37">
        <v>49082</v>
      </c>
      <c r="Q98" s="37"/>
      <c r="R98" s="37"/>
      <c r="S98" s="37"/>
      <c r="T98" s="37"/>
      <c r="U98" s="96"/>
      <c r="V98" s="37"/>
      <c r="W98" s="37"/>
      <c r="X98" s="37"/>
      <c r="Y98" s="37"/>
      <c r="Z98" s="37"/>
      <c r="AA98" s="96"/>
      <c r="AB98" s="107"/>
      <c r="AC98" s="81"/>
      <c r="AD98" s="79"/>
      <c r="AE98" s="79"/>
    </row>
    <row r="99" spans="1:31" ht="81.599999999999994" customHeight="1" x14ac:dyDescent="0.25">
      <c r="A99" s="73">
        <v>275</v>
      </c>
      <c r="B99" s="27" t="s">
        <v>43</v>
      </c>
      <c r="C99" s="27" t="s">
        <v>153</v>
      </c>
      <c r="D99" s="28" t="s">
        <v>192</v>
      </c>
      <c r="E99" s="29" t="s">
        <v>193</v>
      </c>
      <c r="F99" s="30" t="s">
        <v>194</v>
      </c>
      <c r="G99" s="52">
        <v>2021680010041</v>
      </c>
      <c r="H99" s="32" t="s">
        <v>90</v>
      </c>
      <c r="I99" s="33" t="s">
        <v>91</v>
      </c>
      <c r="J99" s="34">
        <v>44328</v>
      </c>
      <c r="K99" s="34">
        <v>44561</v>
      </c>
      <c r="L99" s="69">
        <v>1</v>
      </c>
      <c r="M99" s="71">
        <v>0.95</v>
      </c>
      <c r="N99" s="70">
        <f t="shared" si="11"/>
        <v>0.95</v>
      </c>
      <c r="O99" s="13" t="s">
        <v>218</v>
      </c>
      <c r="P99" s="37"/>
      <c r="Q99" s="37"/>
      <c r="R99" s="37"/>
      <c r="S99" s="37"/>
      <c r="T99" s="37">
        <v>17750000</v>
      </c>
      <c r="U99" s="38">
        <f>SUM(P99:T99)</f>
        <v>17750000</v>
      </c>
      <c r="V99" s="37"/>
      <c r="W99" s="37"/>
      <c r="X99" s="37"/>
      <c r="Y99" s="108"/>
      <c r="Z99" s="37">
        <v>17750000.300000001</v>
      </c>
      <c r="AA99" s="38">
        <f t="shared" si="9"/>
        <v>17750000.300000001</v>
      </c>
      <c r="AB99" s="39">
        <f>IFERROR(AA99/U99,"-")</f>
        <v>1.0000000169014085</v>
      </c>
      <c r="AC99" s="40"/>
      <c r="AD99" s="41" t="s">
        <v>52</v>
      </c>
      <c r="AE99" s="41" t="s">
        <v>197</v>
      </c>
    </row>
    <row r="100" spans="1:31" ht="91.2" customHeight="1" x14ac:dyDescent="0.25">
      <c r="A100" s="73">
        <v>300</v>
      </c>
      <c r="B100" s="27" t="s">
        <v>38</v>
      </c>
      <c r="C100" s="27" t="s">
        <v>39</v>
      </c>
      <c r="D100" s="28" t="s">
        <v>40</v>
      </c>
      <c r="E100" s="29" t="s">
        <v>50</v>
      </c>
      <c r="F100" s="30" t="s">
        <v>51</v>
      </c>
      <c r="G100" s="52">
        <v>2020680010035</v>
      </c>
      <c r="H100" s="32" t="s">
        <v>210</v>
      </c>
      <c r="I100" s="33" t="s">
        <v>195</v>
      </c>
      <c r="J100" s="34">
        <v>44202</v>
      </c>
      <c r="K100" s="34">
        <v>44561</v>
      </c>
      <c r="L100" s="72">
        <v>1</v>
      </c>
      <c r="M100" s="72">
        <v>1</v>
      </c>
      <c r="N100" s="70">
        <f t="shared" si="11"/>
        <v>1</v>
      </c>
      <c r="O100" s="22" t="s">
        <v>304</v>
      </c>
      <c r="P100" s="37">
        <f>490600000+19650000+379500000</f>
        <v>889750000</v>
      </c>
      <c r="Q100" s="37"/>
      <c r="R100" s="37"/>
      <c r="S100" s="108"/>
      <c r="T100" s="37"/>
      <c r="U100" s="68">
        <f>SUM(P100:T100)</f>
        <v>889750000</v>
      </c>
      <c r="V100" s="37">
        <f>504966667+4666666.67+375683333-3383334</f>
        <v>881933332.67000008</v>
      </c>
      <c r="W100" s="37"/>
      <c r="X100" s="37"/>
      <c r="Y100" s="108"/>
      <c r="Z100" s="37"/>
      <c r="AA100" s="38">
        <f>SUM(V100:Z100)</f>
        <v>881933332.67000008</v>
      </c>
      <c r="AB100" s="39">
        <f>IFERROR(AA100/U100,"-")</f>
        <v>0.9912147599550436</v>
      </c>
      <c r="AC100" s="40"/>
      <c r="AD100" s="41" t="s">
        <v>52</v>
      </c>
      <c r="AE100" s="41" t="s">
        <v>197</v>
      </c>
    </row>
    <row r="101" spans="1:31" ht="18.600000000000001" customHeight="1" x14ac:dyDescent="0.25">
      <c r="A101" s="1">
        <f>SUM(--(FREQUENCY(A9:A100,A9:A100)&gt;0))</f>
        <v>43</v>
      </c>
      <c r="B101" s="2"/>
      <c r="C101" s="3"/>
      <c r="D101" s="3"/>
      <c r="E101" s="9"/>
      <c r="F101" s="9"/>
      <c r="G101" s="3"/>
      <c r="H101" s="15"/>
      <c r="I101" s="58"/>
      <c r="J101" s="59"/>
      <c r="K101" s="14"/>
      <c r="L101" s="14"/>
      <c r="M101" s="11" t="s">
        <v>17</v>
      </c>
      <c r="N101" s="14">
        <f>IFERROR(AVERAGE(N9:N100),"-")</f>
        <v>0.86534883720930234</v>
      </c>
      <c r="O101" s="15"/>
      <c r="P101" s="16">
        <f t="shared" ref="P101:AA101" si="13">SUM(P9:P100)</f>
        <v>12473610739.969999</v>
      </c>
      <c r="Q101" s="16">
        <f t="shared" si="13"/>
        <v>0</v>
      </c>
      <c r="R101" s="16">
        <f t="shared" si="13"/>
        <v>0</v>
      </c>
      <c r="S101" s="16">
        <f t="shared" si="13"/>
        <v>0</v>
      </c>
      <c r="T101" s="16">
        <f t="shared" si="13"/>
        <v>24831627292.999996</v>
      </c>
      <c r="U101" s="64">
        <f>SUM(U9:U100)</f>
        <v>37305238032.969994</v>
      </c>
      <c r="V101" s="5">
        <f t="shared" si="13"/>
        <v>7241743745.3787804</v>
      </c>
      <c r="W101" s="5">
        <f t="shared" si="13"/>
        <v>0</v>
      </c>
      <c r="X101" s="5">
        <f t="shared" si="13"/>
        <v>0</v>
      </c>
      <c r="Y101" s="5">
        <f t="shared" si="13"/>
        <v>0</v>
      </c>
      <c r="Z101" s="5">
        <f t="shared" si="13"/>
        <v>17125204346.6467</v>
      </c>
      <c r="AA101" s="7">
        <f t="shared" si="13"/>
        <v>24366948092.025482</v>
      </c>
      <c r="AB101" s="6">
        <f>IFERROR(AA101/U101,"-")</f>
        <v>0.65317766021195789</v>
      </c>
      <c r="AC101" s="7">
        <f>SUM(AC9:AC100)</f>
        <v>17788666566</v>
      </c>
      <c r="AD101" s="4"/>
      <c r="AE101" s="4"/>
    </row>
    <row r="103" spans="1:31" x14ac:dyDescent="0.25">
      <c r="P103" s="65"/>
      <c r="U103" s="65"/>
      <c r="AA103" s="62"/>
    </row>
    <row r="104" spans="1:31" x14ac:dyDescent="0.25">
      <c r="P104" s="65"/>
      <c r="T104" s="25"/>
      <c r="AA104" s="26"/>
      <c r="AC104" s="65"/>
    </row>
    <row r="105" spans="1:31" x14ac:dyDescent="0.25">
      <c r="P105" s="66"/>
      <c r="T105" s="25"/>
      <c r="U105" s="77"/>
      <c r="Z105" s="25"/>
    </row>
    <row r="106" spans="1:31" x14ac:dyDescent="0.25">
      <c r="H106" s="63"/>
      <c r="T106" s="25"/>
    </row>
    <row r="107" spans="1:31" x14ac:dyDescent="0.25">
      <c r="T107" s="25"/>
      <c r="V107" s="25"/>
    </row>
    <row r="110" spans="1:31" x14ac:dyDescent="0.25">
      <c r="U110" s="25"/>
    </row>
  </sheetData>
  <mergeCells count="189">
    <mergeCell ref="AB80:AB81"/>
    <mergeCell ref="AA83:AA84"/>
    <mergeCell ref="AB83:AB84"/>
    <mergeCell ref="AA71:AA72"/>
    <mergeCell ref="AB71:AB72"/>
    <mergeCell ref="AA74:AA76"/>
    <mergeCell ref="AB74:AB76"/>
    <mergeCell ref="AA97:AA98"/>
    <mergeCell ref="AB97:AB98"/>
    <mergeCell ref="AA89:AA91"/>
    <mergeCell ref="AB89:AB91"/>
    <mergeCell ref="AA92:AA93"/>
    <mergeCell ref="AB92:AB93"/>
    <mergeCell ref="AA94:AA95"/>
    <mergeCell ref="AB94:AB95"/>
    <mergeCell ref="AB57:AB59"/>
    <mergeCell ref="AA62:AA65"/>
    <mergeCell ref="AB62:AB65"/>
    <mergeCell ref="AA66:AA69"/>
    <mergeCell ref="AB66:AB69"/>
    <mergeCell ref="AA30:AA32"/>
    <mergeCell ref="AB30:AB32"/>
    <mergeCell ref="AA33:AA35"/>
    <mergeCell ref="AB33:AB35"/>
    <mergeCell ref="AA36:AA56"/>
    <mergeCell ref="AB36:AB56"/>
    <mergeCell ref="AA23:AA26"/>
    <mergeCell ref="AB23:AB26"/>
    <mergeCell ref="AA28:AA29"/>
    <mergeCell ref="AB28:AB29"/>
    <mergeCell ref="AB10:AB11"/>
    <mergeCell ref="AA10:AA11"/>
    <mergeCell ref="AA18:AA19"/>
    <mergeCell ref="AA20:AA21"/>
    <mergeCell ref="AB20:AB21"/>
    <mergeCell ref="AB18:AB19"/>
    <mergeCell ref="U89:U91"/>
    <mergeCell ref="U92:U93"/>
    <mergeCell ref="U94:U95"/>
    <mergeCell ref="U97:U98"/>
    <mergeCell ref="U71:U72"/>
    <mergeCell ref="U74:U76"/>
    <mergeCell ref="U80:U81"/>
    <mergeCell ref="U83:U84"/>
    <mergeCell ref="AA57:AA59"/>
    <mergeCell ref="AA80:AA81"/>
    <mergeCell ref="U66:U69"/>
    <mergeCell ref="U57:U59"/>
    <mergeCell ref="U62:U65"/>
    <mergeCell ref="U20:U21"/>
    <mergeCell ref="U23:U26"/>
    <mergeCell ref="U28:U29"/>
    <mergeCell ref="U30:U32"/>
    <mergeCell ref="U33:U35"/>
    <mergeCell ref="L36:L56"/>
    <mergeCell ref="M36:M56"/>
    <mergeCell ref="N36:N56"/>
    <mergeCell ref="N30:N32"/>
    <mergeCell ref="M30:M32"/>
    <mergeCell ref="L30:L32"/>
    <mergeCell ref="U36:U56"/>
    <mergeCell ref="M33:M35"/>
    <mergeCell ref="L33:L35"/>
    <mergeCell ref="N33:N35"/>
    <mergeCell ref="M28:M29"/>
    <mergeCell ref="N28:N29"/>
    <mergeCell ref="N20:N21"/>
    <mergeCell ref="M20:M21"/>
    <mergeCell ref="L20:L21"/>
    <mergeCell ref="N71:N72"/>
    <mergeCell ref="M71:M72"/>
    <mergeCell ref="L71:L72"/>
    <mergeCell ref="N66:N69"/>
    <mergeCell ref="M66:M69"/>
    <mergeCell ref="L66:L69"/>
    <mergeCell ref="N57:N59"/>
    <mergeCell ref="M57:M59"/>
    <mergeCell ref="L57:L59"/>
    <mergeCell ref="N62:N65"/>
    <mergeCell ref="M62:M65"/>
    <mergeCell ref="L62:L65"/>
    <mergeCell ref="M94:M95"/>
    <mergeCell ref="L94:L95"/>
    <mergeCell ref="N83:N84"/>
    <mergeCell ref="M83:M84"/>
    <mergeCell ref="L83:L84"/>
    <mergeCell ref="N89:N91"/>
    <mergeCell ref="M89:M91"/>
    <mergeCell ref="L89:L91"/>
    <mergeCell ref="N92:N93"/>
    <mergeCell ref="M92:M93"/>
    <mergeCell ref="L92:L93"/>
    <mergeCell ref="A1:A4"/>
    <mergeCell ref="B1:AB4"/>
    <mergeCell ref="L10:L11"/>
    <mergeCell ref="N10:N11"/>
    <mergeCell ref="M10:M11"/>
    <mergeCell ref="U10:U11"/>
    <mergeCell ref="N18:N19"/>
    <mergeCell ref="M18:M19"/>
    <mergeCell ref="L18:L19"/>
    <mergeCell ref="U18:U19"/>
    <mergeCell ref="A5:C5"/>
    <mergeCell ref="D5:L5"/>
    <mergeCell ref="A6:C6"/>
    <mergeCell ref="D6:L6"/>
    <mergeCell ref="B7:F7"/>
    <mergeCell ref="G7:K7"/>
    <mergeCell ref="L7:N7"/>
    <mergeCell ref="O7:U7"/>
    <mergeCell ref="V7:AA7"/>
    <mergeCell ref="AE94:AE95"/>
    <mergeCell ref="AC92:AC93"/>
    <mergeCell ref="AD92:AD93"/>
    <mergeCell ref="AE92:AE93"/>
    <mergeCell ref="M97:M98"/>
    <mergeCell ref="L97:L98"/>
    <mergeCell ref="AC1:AE1"/>
    <mergeCell ref="AC2:AE2"/>
    <mergeCell ref="AC3:AE3"/>
    <mergeCell ref="AC4:AE4"/>
    <mergeCell ref="AB7:AB8"/>
    <mergeCell ref="AC7:AC8"/>
    <mergeCell ref="AD7:AE7"/>
    <mergeCell ref="N80:N81"/>
    <mergeCell ref="M80:M81"/>
    <mergeCell ref="L80:L81"/>
    <mergeCell ref="N23:N26"/>
    <mergeCell ref="M23:M26"/>
    <mergeCell ref="L23:L26"/>
    <mergeCell ref="N74:N76"/>
    <mergeCell ref="M74:M76"/>
    <mergeCell ref="L74:L76"/>
    <mergeCell ref="L28:L29"/>
    <mergeCell ref="N94:N95"/>
    <mergeCell ref="AC74:AC76"/>
    <mergeCell ref="AD74:AD76"/>
    <mergeCell ref="AE74:AE76"/>
    <mergeCell ref="AC71:AC72"/>
    <mergeCell ref="N97:N98"/>
    <mergeCell ref="AD71:AD72"/>
    <mergeCell ref="AE71:AE72"/>
    <mergeCell ref="AD66:AD69"/>
    <mergeCell ref="AC66:AC69"/>
    <mergeCell ref="AE66:AE69"/>
    <mergeCell ref="AD89:AD91"/>
    <mergeCell ref="AC89:AC91"/>
    <mergeCell ref="AE89:AE91"/>
    <mergeCell ref="AC83:AC84"/>
    <mergeCell ref="AD83:AD84"/>
    <mergeCell ref="AE83:AE84"/>
    <mergeCell ref="AC80:AC81"/>
    <mergeCell ref="AD80:AD81"/>
    <mergeCell ref="AE80:AE81"/>
    <mergeCell ref="AC97:AC98"/>
    <mergeCell ref="AD97:AD98"/>
    <mergeCell ref="AE97:AE98"/>
    <mergeCell ref="AC94:AC95"/>
    <mergeCell ref="AD94:AD95"/>
    <mergeCell ref="AC62:AC65"/>
    <mergeCell ref="AD62:AD65"/>
    <mergeCell ref="AE62:AE65"/>
    <mergeCell ref="AD57:AD59"/>
    <mergeCell ref="AC57:AC59"/>
    <mergeCell ref="AE57:AE59"/>
    <mergeCell ref="AC36:AC56"/>
    <mergeCell ref="AD36:AD56"/>
    <mergeCell ref="AE36:AE56"/>
    <mergeCell ref="AD33:AD35"/>
    <mergeCell ref="AC33:AC35"/>
    <mergeCell ref="AE33:AE35"/>
    <mergeCell ref="AC30:AC32"/>
    <mergeCell ref="AD30:AD32"/>
    <mergeCell ref="AE30:AE32"/>
    <mergeCell ref="AD28:AD29"/>
    <mergeCell ref="AE28:AE29"/>
    <mergeCell ref="AC28:AC29"/>
    <mergeCell ref="AD18:AD19"/>
    <mergeCell ref="AE18:AE19"/>
    <mergeCell ref="AC18:AC19"/>
    <mergeCell ref="AC10:AC11"/>
    <mergeCell ref="AD10:AD11"/>
    <mergeCell ref="AE10:AE11"/>
    <mergeCell ref="AC23:AC26"/>
    <mergeCell ref="AD23:AD26"/>
    <mergeCell ref="AE23:AE26"/>
    <mergeCell ref="AD20:AD21"/>
    <mergeCell ref="AE20:AE21"/>
    <mergeCell ref="AC20:AC21"/>
  </mergeCells>
  <conditionalFormatting sqref="N33 N9:N10 N71 N74 N96:N97 N12:N17 N20 N22 N99 N82:N83 N85:N89 N77:N80">
    <cfRule type="cellIs" dxfId="38" priority="91" operator="between">
      <formula>0.67</formula>
      <formula>1</formula>
    </cfRule>
    <cfRule type="cellIs" dxfId="37" priority="92" operator="between">
      <formula>0.34</formula>
      <formula>0.67</formula>
    </cfRule>
    <cfRule type="cellIs" dxfId="36" priority="93" operator="between">
      <formula>0</formula>
      <formula>0.34</formula>
    </cfRule>
  </conditionalFormatting>
  <conditionalFormatting sqref="N36">
    <cfRule type="cellIs" dxfId="35" priority="82" operator="between">
      <formula>0.67</formula>
      <formula>1</formula>
    </cfRule>
    <cfRule type="cellIs" dxfId="34" priority="83" operator="between">
      <formula>0.34</formula>
      <formula>0.67</formula>
    </cfRule>
    <cfRule type="cellIs" dxfId="33" priority="84" operator="between">
      <formula>0</formula>
      <formula>0.34</formula>
    </cfRule>
  </conditionalFormatting>
  <conditionalFormatting sqref="N30">
    <cfRule type="cellIs" dxfId="32" priority="79" operator="between">
      <formula>0.67</formula>
      <formula>1</formula>
    </cfRule>
    <cfRule type="cellIs" dxfId="31" priority="80" operator="between">
      <formula>0.34</formula>
      <formula>0.67</formula>
    </cfRule>
    <cfRule type="cellIs" dxfId="30" priority="81" operator="between">
      <formula>0</formula>
      <formula>0.34</formula>
    </cfRule>
  </conditionalFormatting>
  <conditionalFormatting sqref="N27:N28">
    <cfRule type="cellIs" dxfId="29" priority="76" operator="between">
      <formula>0.67</formula>
      <formula>1</formula>
    </cfRule>
    <cfRule type="cellIs" dxfId="28" priority="77" operator="between">
      <formula>0.34</formula>
      <formula>0.67</formula>
    </cfRule>
    <cfRule type="cellIs" dxfId="27" priority="78" operator="between">
      <formula>0</formula>
      <formula>0.34</formula>
    </cfRule>
  </conditionalFormatting>
  <conditionalFormatting sqref="N57 N66 N60:N61">
    <cfRule type="cellIs" dxfId="26" priority="73" operator="between">
      <formula>0.67</formula>
      <formula>1</formula>
    </cfRule>
    <cfRule type="cellIs" dxfId="25" priority="74" operator="between">
      <formula>0.34</formula>
      <formula>0.67</formula>
    </cfRule>
    <cfRule type="cellIs" dxfId="24" priority="75" operator="between">
      <formula>0</formula>
      <formula>0.34</formula>
    </cfRule>
  </conditionalFormatting>
  <conditionalFormatting sqref="N70">
    <cfRule type="cellIs" dxfId="23" priority="70" operator="between">
      <formula>0.67</formula>
      <formula>1</formula>
    </cfRule>
    <cfRule type="cellIs" dxfId="22" priority="71" operator="between">
      <formula>0.34</formula>
      <formula>0.67</formula>
    </cfRule>
    <cfRule type="cellIs" dxfId="21" priority="72" operator="between">
      <formula>0</formula>
      <formula>0.34</formula>
    </cfRule>
  </conditionalFormatting>
  <conditionalFormatting sqref="N73">
    <cfRule type="cellIs" dxfId="20" priority="67" operator="between">
      <formula>0.67</formula>
      <formula>1</formula>
    </cfRule>
    <cfRule type="cellIs" dxfId="19" priority="68" operator="between">
      <formula>0.34</formula>
      <formula>0.67</formula>
    </cfRule>
    <cfRule type="cellIs" dxfId="18" priority="69" operator="between">
      <formula>0</formula>
      <formula>0.34</formula>
    </cfRule>
  </conditionalFormatting>
  <conditionalFormatting sqref="N92">
    <cfRule type="cellIs" dxfId="17" priority="64" operator="between">
      <formula>0.67</formula>
      <formula>1</formula>
    </cfRule>
    <cfRule type="cellIs" dxfId="16" priority="65" operator="between">
      <formula>0.34</formula>
      <formula>0.67</formula>
    </cfRule>
    <cfRule type="cellIs" dxfId="15" priority="66" operator="between">
      <formula>0</formula>
      <formula>0.34</formula>
    </cfRule>
  </conditionalFormatting>
  <conditionalFormatting sqref="N62">
    <cfRule type="cellIs" dxfId="14" priority="61" operator="between">
      <formula>0.67</formula>
      <formula>1</formula>
    </cfRule>
    <cfRule type="cellIs" dxfId="13" priority="62" operator="between">
      <formula>0.34</formula>
      <formula>0.66</formula>
    </cfRule>
    <cfRule type="cellIs" dxfId="12" priority="63" operator="between">
      <formula>0</formula>
      <formula>0.33</formula>
    </cfRule>
  </conditionalFormatting>
  <conditionalFormatting sqref="N100">
    <cfRule type="cellIs" dxfId="11" priority="58" operator="between">
      <formula>0.67</formula>
      <formula>1</formula>
    </cfRule>
    <cfRule type="cellIs" dxfId="10" priority="59" operator="between">
      <formula>0.34</formula>
      <formula>0.67</formula>
    </cfRule>
    <cfRule type="cellIs" dxfId="9" priority="60" operator="between">
      <formula>0</formula>
      <formula>0.34</formula>
    </cfRule>
  </conditionalFormatting>
  <conditionalFormatting sqref="N18">
    <cfRule type="cellIs" dxfId="8" priority="49" operator="between">
      <formula>0.67</formula>
      <formula>1</formula>
    </cfRule>
    <cfRule type="cellIs" dxfId="7" priority="50" operator="between">
      <formula>0.34</formula>
      <formula>0.67</formula>
    </cfRule>
    <cfRule type="cellIs" dxfId="6" priority="51" operator="between">
      <formula>0</formula>
      <formula>0.34</formula>
    </cfRule>
  </conditionalFormatting>
  <conditionalFormatting sqref="N23">
    <cfRule type="cellIs" dxfId="5" priority="13" operator="between">
      <formula>0.67</formula>
      <formula>1</formula>
    </cfRule>
    <cfRule type="cellIs" dxfId="4" priority="14" operator="between">
      <formula>0.34</formula>
      <formula>0.67</formula>
    </cfRule>
    <cfRule type="cellIs" dxfId="3" priority="15" operator="between">
      <formula>0</formula>
      <formula>0.34</formula>
    </cfRule>
  </conditionalFormatting>
  <conditionalFormatting sqref="N94">
    <cfRule type="cellIs" dxfId="2" priority="19" operator="between">
      <formula>0.67</formula>
      <formula>1</formula>
    </cfRule>
    <cfRule type="cellIs" dxfId="1" priority="20" operator="between">
      <formula>0.34</formula>
      <formula>0.66</formula>
    </cfRule>
    <cfRule type="cellIs" dxfId="0" priority="21" operator="between">
      <formula>0</formula>
      <formula>0.33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2022-02-03T16:35:07Z</dcterms:modified>
</cp:coreProperties>
</file>