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1\1 - Planeación\1 - Seguimiento PDM\1 - Seguimiento 2021\1 - Plan de Acción\12 - Diciembre\Publicados\"/>
    </mc:Choice>
  </mc:AlternateContent>
  <xr:revisionPtr revIDLastSave="0" documentId="13_ncr:1_{565EA532-5ED2-41B0-8F62-0738772D2A0C}" xr6:coauthVersionLast="47" xr6:coauthVersionMax="47" xr10:uidLastSave="{00000000-0000-0000-0000-000000000000}"/>
  <bookViews>
    <workbookView xWindow="-25308" yWindow="288" windowWidth="25416" windowHeight="15252" xr2:uid="{00000000-000D-0000-FFFF-FFFF00000000}"/>
  </bookViews>
  <sheets>
    <sheet name="Plan de Acción" sheetId="14" r:id="rId1"/>
  </sheets>
  <definedNames>
    <definedName name="_xlnm._FilterDatabase" localSheetId="0" hidden="1">'Plan de Acción'!$A$8:$AA$74</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N74" i="14" l="1"/>
  <c r="AC74" i="14"/>
  <c r="AA63" i="14"/>
  <c r="U63" i="14"/>
  <c r="A74" i="14"/>
  <c r="U72" i="14" l="1"/>
  <c r="U66" i="14"/>
  <c r="U60" i="14"/>
  <c r="U58" i="14"/>
  <c r="U56" i="14"/>
  <c r="U54" i="14"/>
  <c r="U53" i="14"/>
  <c r="U52" i="14"/>
  <c r="U48" i="14"/>
  <c r="U47" i="14"/>
  <c r="U39" i="14"/>
  <c r="U27" i="14"/>
  <c r="U26" i="14"/>
  <c r="U24" i="14"/>
  <c r="U22" i="14"/>
  <c r="U20" i="14"/>
  <c r="U12" i="14"/>
  <c r="U9" i="14"/>
  <c r="Q10" i="14" l="1"/>
  <c r="U10" i="14" s="1"/>
  <c r="V31" i="14" l="1"/>
  <c r="N66" i="14" l="1"/>
  <c r="AC68" i="14" l="1"/>
  <c r="P46" i="14" l="1"/>
  <c r="P68" i="14" l="1"/>
  <c r="P62" i="14"/>
  <c r="P61" i="14"/>
  <c r="U61" i="14" s="1"/>
  <c r="AA58" i="14"/>
  <c r="AA56" i="14"/>
  <c r="W40" i="14" l="1"/>
  <c r="V40" i="14"/>
  <c r="AA40" i="14" s="1"/>
  <c r="P45" i="14" l="1"/>
  <c r="P43" i="14"/>
  <c r="P40" i="14"/>
  <c r="Q40" i="14"/>
  <c r="Q46" i="14"/>
  <c r="AA22" i="14" l="1"/>
  <c r="AA20" i="14"/>
  <c r="AA24" i="14"/>
  <c r="W19" i="14" l="1"/>
  <c r="Q41" i="14" l="1"/>
  <c r="U40" i="14" s="1"/>
  <c r="Q15" i="14" l="1"/>
  <c r="M49" i="14" l="1"/>
  <c r="P34" i="14" l="1"/>
  <c r="Q19" i="14" l="1"/>
  <c r="U15" i="14" s="1"/>
  <c r="AA35" i="14" l="1"/>
  <c r="AA15" i="14"/>
  <c r="AA10" i="14"/>
  <c r="AA48" i="14"/>
  <c r="W13" i="14" l="1"/>
  <c r="Q13" i="14"/>
  <c r="U13" i="14" s="1"/>
  <c r="V61" i="14" l="1"/>
  <c r="AA13" i="14" l="1"/>
  <c r="AA72" i="14" l="1"/>
  <c r="AA54" i="14" l="1"/>
  <c r="AB54" i="14" s="1"/>
  <c r="AA66" i="14" l="1"/>
  <c r="AA61" i="14"/>
  <c r="AA60" i="14"/>
  <c r="AA53" i="14"/>
  <c r="AA52" i="14"/>
  <c r="AA49" i="14"/>
  <c r="AA47" i="14"/>
  <c r="AA39" i="14"/>
  <c r="AA27" i="14"/>
  <c r="AA26" i="14"/>
  <c r="AA12" i="14"/>
  <c r="AA9" i="14"/>
  <c r="R74" i="14"/>
  <c r="S74" i="14"/>
  <c r="T74" i="14"/>
  <c r="X74" i="14"/>
  <c r="Y74" i="14"/>
  <c r="Z74" i="14"/>
  <c r="N72" i="14"/>
  <c r="W70" i="14"/>
  <c r="W74" i="14" s="1"/>
  <c r="V70" i="14"/>
  <c r="Q70" i="14"/>
  <c r="V69" i="14"/>
  <c r="P69" i="14"/>
  <c r="U68" i="14" s="1"/>
  <c r="N68" i="14"/>
  <c r="P63" i="14"/>
  <c r="N63" i="14"/>
  <c r="N61" i="14"/>
  <c r="N60" i="14"/>
  <c r="N58" i="14"/>
  <c r="N56" i="14"/>
  <c r="N54" i="14"/>
  <c r="N53" i="14"/>
  <c r="N52" i="14"/>
  <c r="P51" i="14"/>
  <c r="U49" i="14" s="1"/>
  <c r="N49" i="14"/>
  <c r="N48" i="14"/>
  <c r="N47" i="14"/>
  <c r="N40" i="14"/>
  <c r="N39" i="14"/>
  <c r="Q35" i="14"/>
  <c r="U35" i="14" s="1"/>
  <c r="N35" i="14"/>
  <c r="P32" i="14"/>
  <c r="AA28" i="14"/>
  <c r="P31" i="14"/>
  <c r="U28" i="14" s="1"/>
  <c r="N28" i="14"/>
  <c r="N27" i="14"/>
  <c r="N26" i="14"/>
  <c r="N24" i="14"/>
  <c r="N22" i="14"/>
  <c r="N20" i="14"/>
  <c r="N15" i="14"/>
  <c r="N13" i="14"/>
  <c r="N12" i="14"/>
  <c r="N10" i="14"/>
  <c r="N9" i="14"/>
  <c r="U74" i="14" l="1"/>
  <c r="AB35" i="14"/>
  <c r="AA68" i="14"/>
  <c r="AA74" i="14" s="1"/>
  <c r="AB74" i="14" s="1"/>
  <c r="Q74" i="14"/>
  <c r="AB40" i="14"/>
  <c r="AB52" i="14"/>
  <c r="P74" i="14"/>
  <c r="V74" i="14"/>
  <c r="AB10" i="14"/>
  <c r="AB12" i="14"/>
  <c r="AB22" i="14"/>
  <c r="AB56" i="14"/>
  <c r="AB26" i="14"/>
  <c r="AB39" i="14"/>
  <c r="AB66" i="14"/>
  <c r="AB61" i="14"/>
  <c r="AB48" i="14"/>
  <c r="AB24" i="14"/>
  <c r="AB53" i="14"/>
  <c r="AB58" i="14"/>
  <c r="AB15" i="14"/>
  <c r="AB27" i="14"/>
  <c r="AB49" i="14"/>
  <c r="AB63" i="14"/>
  <c r="AB47" i="14"/>
  <c r="AB20" i="14"/>
  <c r="AB13" i="14"/>
  <c r="AB60" i="14"/>
  <c r="AB72" i="14"/>
  <c r="AB9" i="14"/>
  <c r="AB28" i="14" l="1"/>
  <c r="AB68" i="14"/>
</calcChain>
</file>

<file path=xl/sharedStrings.xml><?xml version="1.0" encoding="utf-8"?>
<sst xmlns="http://schemas.openxmlformats.org/spreadsheetml/2006/main" count="602" uniqueCount="234">
  <si>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</si>
  <si>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</si>
  <si>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</si>
  <si>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</si>
  <si>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</si>
  <si>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</si>
  <si>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</si>
  <si>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</si>
  <si>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</si>
  <si>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</si>
  <si>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</si>
  <si>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</si>
  <si>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</si>
  <si>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</si>
  <si>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</si>
  <si>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</si>
  <si>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</si>
  <si>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</si>
  <si>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</si>
  <si>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</si>
  <si>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</si>
  <si>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</si>
  <si>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</si>
  <si>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</si>
  <si>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</si>
  <si>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</si>
  <si>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</si>
  <si>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</si>
  <si>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</si>
  <si>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</si>
  <si>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</si>
  <si>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</si>
  <si>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</si>
  <si>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</si>
  <si>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</si>
  <si>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</si>
  <si>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</si>
  <si>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EQUITATIVA E INCLUYENTE: UNA CIUDAD DE BIENESTAR</t>
  </si>
  <si>
    <t>BUCARAMANGA PRODUCTIVA Y COMPETITIVA: EMPRESAS INNOVADORAS, RESPONSABLES Y CONSCIENTES</t>
  </si>
  <si>
    <t>Educación De Calidad, Garantía De Una Ciudad De Oportunidades</t>
  </si>
  <si>
    <t>Cobertura Y Equidad De La Educación Preescolar, Básica Y Media</t>
  </si>
  <si>
    <t>Adecuar y/o dotar 10 ambientes escolares para la atención a la primera infancia (transición) con enfoque diferencial.</t>
  </si>
  <si>
    <t>Número de ambientes escolares adecuados y/o dotados para la atención a la primera infancia (transición) con enfoque diferencial.</t>
  </si>
  <si>
    <t>Sec. Educación</t>
  </si>
  <si>
    <t>Ana Leonor Ruedas Vivas</t>
  </si>
  <si>
    <t>Beneficiar anualmente 32.276 estudiantes con enfoque diferencial en el programa de alimentación escolar.</t>
  </si>
  <si>
    <t>Número de estudiantes con enfoque diferencial beneficiados anualmente con el programa de alimentación escolar.</t>
  </si>
  <si>
    <t>2.3.2.02.02.006.2201079.201
2.3.2.02.02.006.2201079.217
2.3.2.02.02.006.2201079.214
2.3.2.02.02.006.2201079.266</t>
  </si>
  <si>
    <t xml:space="preserve">FORTALECIMIENTO DEL PROGRAMA DE ALIMENTACIÓN ESCOLAR-PAE EN EL MUNICIPIO DE BUCARAMANGA  </t>
  </si>
  <si>
    <t>•Suministrar complementos alimentarios, ración preparada en sitio y ración industrializada a los escolares del municipio de Bucaramanga.
•Disponer de personal profesional que fortalezca el equipo PAE de la secretaria de educación del municipio de Bucaramanga.
•Disponer de los servicios de Interventoría en la ejecución del contrato.</t>
  </si>
  <si>
    <t>2.3.2.02.02.006.2201079.201
2.3.2.02.02.006.2201079.217
2.3.2.02.02.006.2201079.214
2.3.2.02.02.006.2201079.266
2.3.2.02.02.006.2201079.213
2.3.2.02.02.006.2201079.517
2.3.2.02.02.006.2201079.514
2.3.2.02.02.006.2201079.595</t>
  </si>
  <si>
    <t>Mantener al 100% de los estudiantes matriculados en los establecimientos educativos oficiales rurales con el programa de alimentación escolar.</t>
  </si>
  <si>
    <t>Porcentaje de estudiantes matriculados en los establecimientos educativos oficiales rurales mantenidos con el programa de alimentación escolar.</t>
  </si>
  <si>
    <t xml:space="preserve">2.3.2.02.02.006.2201079.217
</t>
  </si>
  <si>
    <t>Mantener 3.335 jovenes y adultos con modelos flexibles.</t>
  </si>
  <si>
    <t>Número de jóvenes y adultos mantenidos con modelos flexibles.</t>
  </si>
  <si>
    <r>
      <t xml:space="preserve">•Brindar el servicio educativo a través de modelos educativos flexibles en las IEO del municipio
</t>
    </r>
    <r>
      <rPr>
        <sz val="12"/>
        <rFont val="Arial"/>
        <family val="2"/>
      </rPr>
      <t>(Avance de Actividades con Gestión de la  Secretaría de Educación)</t>
    </r>
  </si>
  <si>
    <t>Entregar dotación de material didáctico y/o mobiliario escolar a 35 establecimientos educativos oficiales.</t>
  </si>
  <si>
    <t>Número de establecimientos educativos oficiales dotados con material didáctico y/o mobiliario escolar.</t>
  </si>
  <si>
    <t>FORTALECIMIENTO EN LA OPERATIVIDAD DE LAS INSTITUCIONES EDUCATIVAS OFICIALES CON RECURSOS DE CALIDAD GRATUIDAD EDUCATIVA EN EL MUNICIPIO DE BUCARAMANGA</t>
  </si>
  <si>
    <t>•Garantizar el  acceso y permanencia de los estudiantes de las IEO  en el sistema educativo por medio de la gestion  de los recursos de Calidad Gratuidad Educativa.</t>
  </si>
  <si>
    <t>2.3.2.02.02.009.2201061.207</t>
  </si>
  <si>
    <t>Mantener el 100% de los modelos lingüísticos, intérpretes de lengua de señas colombiana en la oferta Bilingüe y Bicultural  para estudiantes con discapacidad auditiva en la IE Normal Superior de Bucaramanga.</t>
  </si>
  <si>
    <t>Porcentaje de modelos lingüísticos, intérpretes de lengua de señas colombiana en la oferta Bilingüe y Bicultural mantenidos para estudiantes con discapacidad auditiva en la IE Normal Superior de Bucaramanga.</t>
  </si>
  <si>
    <t>APOYO PEDAGÓGICO EN EL PROCESO DE INCLUSIÓN DE LOS ESTUDIANTES CON DISCAPACIDAD Y/O TALENTOS EXCEPCIONALES BUCARAMANGA</t>
  </si>
  <si>
    <t>•Disponer de apoyos pedagógicos para fortalecer la permanencia y formación de los estudiantes con discapacidad y/o talentos excepcionales matriculados en el sistema escolar de Bucaramanga</t>
  </si>
  <si>
    <t xml:space="preserve">2.3.2.02.02.009.4599031.201
2.3.2.02.02.009.2203018.205
</t>
  </si>
  <si>
    <t>Mantener el 100% de los establecimientos educativos oficiales de educación formal, que reportan estudiantes con discapacidad y talentos excepcionales o capacidades, con los servicios profesionales de apoyo pedagógico para el proceso de inclusión y equidad en la educación, para la oferta general.</t>
  </si>
  <si>
    <t>Porcentaje de establecimientos educativos oficiales de educación formal mantenidos que reportan estudiantes con discapacidad y talentos excepcionales o capacidades, con los servicios profesionales de apoyo pedagógico para el proceso de inclusión y equidad en la educación, para la oferta general.</t>
  </si>
  <si>
    <t>2.3.2.02.02.009.2203018.205
2.3.2.02.02.009.2203018.277</t>
  </si>
  <si>
    <t>Mantener en funcionamiento 4 ludotecas.</t>
  </si>
  <si>
    <t>Número de Ludotecas mantenidas en funcionamiento.</t>
  </si>
  <si>
    <t>FORTALECIMIENTO DE LAS LUDOTECAS PARA EL DESARROLLO INTEGRAL DE LA NIÑEZ EN EL MUNICIPIO DE BUCARAMANGA</t>
  </si>
  <si>
    <t>Mantener en funcionamiento 4 ludotecas :
• Centro Cultural del Oriente 
•Kennedy – Centro Vida Norte
•Estación del Ferrocarril Café Madrid 
•Parque Metropolitano Bosque Encantado (La Ceiba)</t>
  </si>
  <si>
    <t>2.3.2.02.02.005.2202050.201
2.3.2.02.02.005.2202051.201</t>
  </si>
  <si>
    <t>Mantener 2.664 cupos de transporte escolar a estudiantes de zonas de difícil acceso con enfoque diferencial.</t>
  </si>
  <si>
    <t>Número de cupos de transporte escolar mantenidos a estudiantes de zonas de difícil acceso con enfoque diferencial.</t>
  </si>
  <si>
    <t>PRESTACIÓN DEL SERVICIO DE TRANSPORTE ESCOLAR PARA ESTUDIANTES DE LAS INSTITUCIONES EDUCATIVAS OFICIALES DE BUCARAMANGA</t>
  </si>
  <si>
    <t>•Prestar el servicio de transporte escolar terrestre a los niños, niñas, adolescentes y jóvenes  de bajos recursos de las IEO del municipio</t>
  </si>
  <si>
    <t>2.3.2.02.02.006.2201029.201</t>
  </si>
  <si>
    <t xml:space="preserve">Mantener 9.668 estudiantes con prestación del servicio educativo por el sistema de contratación del servicio educativo con enfoque diferencial. </t>
  </si>
  <si>
    <t>Número de estudiantes mantenidos con la prestación del servicio educativo por el sistema de contratación con enfoque diferencial.</t>
  </si>
  <si>
    <t>MEJORAMIENTO EN LA PRESTACIÓN DEL SERVICIO EDUCATIVO EN EL MUNICIPIO DE BUCARAMANGA</t>
  </si>
  <si>
    <t>•Disponer de la prestación oportuna del servicio educativo a escolares en el municipio (sistema de administración y/o concesiones)</t>
  </si>
  <si>
    <t xml:space="preserve">2.3.2.02.02.009.2201071.201
2.3.2.02.02.009.2201071.205
</t>
  </si>
  <si>
    <t>Realizar mantenimiento a 40 establecimientos educativos oficiales.</t>
  </si>
  <si>
    <t>Número de establecimientos educativos oficiales con reparaciones locativas realizadas.</t>
  </si>
  <si>
    <t>ACTUALIZACIÓN PARA EL PAGO DE VIGENCIAS EXPIRADAS DE LA SECRETARÍA DE EDUCACIÓN DEL MUNICIPIO DE BUCARAMANGA</t>
  </si>
  <si>
    <t xml:space="preserve">•Realizar pago vigencias expiradas del contrato 313 de 2019
•Realizar pago de vigencias expiradas del adicional No 2 en valor y plazo del contrato 242 de 2018 </t>
  </si>
  <si>
    <t>2.3.7.06.02.4599002.601</t>
  </si>
  <si>
    <t>COMPROMISO PARA EL PAGO DE VIGENCIAS EXPIRADAS DE LA SECRETARÍA DE EDUCACIÓN DEL MUNICIPIO DE   BUCARAMANGA</t>
  </si>
  <si>
    <t>•Realizar pago vigencias expiradas del contrato 291 de 2018
•Realizar pago de vigencias expiradas del adicional No 4 en valor y plazo del contrato 242 de 2018
•Realizar pago de vigencias expiradas del adicional en valor y plazo No 5 del contrato 252 de 2018</t>
  </si>
  <si>
    <t>2.3.2.02.02.005.2201052.594</t>
  </si>
  <si>
    <t>Realizar 25 intervenciones a colegios públicos de Bucaramanga.</t>
  </si>
  <si>
    <t>Número de intervenciones realizadas a colegios públicos de Bucaramanga.</t>
  </si>
  <si>
    <t>ADECUACIÓN DE LA INFRAESTRUCTURA DE LAS SEDES I: EL INICIO Y SEDE G: SAN PEDRO BAJO DE LA INSTITUCIÓN EDUCATIVA OFICIAL RURAL VIJAGUAL DEL MUNICIPIO DE BUCARAMANGA</t>
  </si>
  <si>
    <t>2.3.2.02.02.005.2201052.201
2.3.2.02.02.005.2201052.506
2.3.2.02.02.005.2201052.594
2.3.2.02.02.005.2201052.213</t>
  </si>
  <si>
    <t>2.3.2.02.02.005.2201052.213</t>
  </si>
  <si>
    <t>Calidad Y Fortalecimiento De La Educación Prescolar, Básica Y Media</t>
  </si>
  <si>
    <t>Mantener el apoyo a los proyectos transversales en los 47 establecimientos educativos oficiales.</t>
  </si>
  <si>
    <t>Número de establecimientos educativos oficiales mantenidos con apoyo a los proyectos transversales.</t>
  </si>
  <si>
    <t xml:space="preserve">•Desarrollar estrategias pedagógicas que permitan planear, desarrollar y evaluar el currículo en el establecimiento Educativo, para la  mejora de  la calidad del proceso de enseñanza y el desarrollo integral de los estudiantes.  </t>
  </si>
  <si>
    <t>Mantener los 47 establecimientos educativos oficiales optimizados con planta de personal docente, administrativa, servicios  públicos, aseo, vigilancia y arrendamientos.</t>
  </si>
  <si>
    <t>Número de establecimientos educativos oficiales mantenidos con planta de personal docente, administrativa, servicios  públicos, aseo, vigilancia y arrendamientos.</t>
  </si>
  <si>
    <t>MANTENIMIENTO DE LAS INSTITUCIONES EDUCATIVAS OFICIALES EN EL MUNICIPIO DE BUCARAMANGA</t>
  </si>
  <si>
    <t>•Disponer de espacios físicos adecuados y suficientes para la efectiva prestación del servicio educativo en el municipio.
•Contar con el servicio de aseo en las Instituciones Educativas del municipio.
•Disponer del servicio de vigilancia para la prestación del servicio educativo en las instituciones educativas.
•Disponer de los servicios públicos de agua y luz en los establecimientos educativos del municipio de Bucaramanga.</t>
  </si>
  <si>
    <t>ADMINISTRACIÓN DE LA PLANTA DE PERSONAL DOCENTE. DIRECTIVO DOCENTE. ADMINISTRATIVA DE LAS INSTITUCIONES EDUCATIVAS OFICIALES Y SECRETARÍA DE EDUCACIÓN DEL MUNICIPIO DE BUCARAMANGA</t>
  </si>
  <si>
    <t>•Fortalecer las 47 instituciones educativas oficiales con planta de personal docente. directivo docente y administrativa.</t>
  </si>
  <si>
    <t>SUMINISTRO DE ELEMENTOS DE PROTECCIÓN PERSONAL Y DE BIOSEGURIDAD PARA LA PROTECCIÓN, PREVENCIÓN Y MITIGACIÓN DEL VIRUS COVID 19 EN LAS INSTITUCIONES EDUCATIVAS OFICIALES DEL MUNICIPIO DE BUCARAMANGA</t>
  </si>
  <si>
    <t>•Disponer del suministro de elementos de protección personal y de bioseguridad para la protección, prevención y mitigación del virus COVID 19 en las IEO del municipio de Bucaramanga</t>
  </si>
  <si>
    <t>ADECUACIÓN DE BATERÍAS SANITARIAS Y ADQUISICIÓN DE SEÑALÉTICA PARA EL REGRESO A LA PRESENCIALIDAD DE LOS ESTUDIANTES DE LAS INSTITUCIONES EDUCATIVAS OFICIALES DEL MUNICIPIO DE BUCARAMANGA</t>
  </si>
  <si>
    <t>•Suministrar elementos de señalética necesaria para la marcación de la desinfección de manos, distanciamiento físico, flecha y pendones de las 4 instituciones educativas de la zona rural y la adecuación de baterías sanitarias en 39 IEO a través del suministro de elementos y mano de obra.</t>
  </si>
  <si>
    <t>2.3.2.02.02.009.2201069.293</t>
  </si>
  <si>
    <t>Capacitar a 900 docentes de los establecimientos educativos oficiales en el manejo de una segunda lengua.</t>
  </si>
  <si>
    <t>Número de docentes de los establecimientos educativos oficiales capacitados en el manejo de una segunda lengua.</t>
  </si>
  <si>
    <t>FORTALECIMIENTO DE LAS HABILIDADES LINGUISTICAS EN INGLES DE DOCENTES Y ESTUDIANTES DE LAS INSTITUCIONES EDUCATIVAS OFICIALES DEL MUNICIPIO DE BUCARAMANGA</t>
  </si>
  <si>
    <t xml:space="preserve">2.3.2.02.02.009.2201060.206
2.3.2.02.02.009.2201060.201
</t>
  </si>
  <si>
    <t>Beneficiar anualmente con estrategias de aprendizaje en una segunda lengua a 35.000 estudiantes de los establecimientos educativos oficiales con enfoque diferencial.</t>
  </si>
  <si>
    <t>Número de estudiantes de establecimientos educativos oficiales beneficiados anualmente con estrategias de aprendizaje en una segunda lengua con enfoque diferencial.</t>
  </si>
  <si>
    <t>Capacitar en evaluación por competencias a 1.500 docentes de los establecimientos educativos oficiales.</t>
  </si>
  <si>
    <t>Número de docentes de los establecimientos educativos oficiales capacitados en evaluacion por competencias.</t>
  </si>
  <si>
    <t>•Fortalecer y desarrollar conocimientos, habilidades, aptitudes y actitudes de los docentes de las IEO mediante la formación en evaluación por competencias para el mejoramiento de sus estrategias pedagógicas.</t>
  </si>
  <si>
    <t>2.3.2.02.02.009.2201074.506</t>
  </si>
  <si>
    <t>Mantener 20 sedes de establecimientos educativos rurales con acompañamiento integral para el mejoramiento de la gestón escolar.</t>
  </si>
  <si>
    <t>Número de sedes de establecimientos educativos rurales mantenidos con acompañamiento integral para el mejoramiento de la gestión escolar.</t>
  </si>
  <si>
    <t xml:space="preserve">•Desarrollar estrategias pedagógicas que permitan planear, desarrollar y evaluar el currículo en los  establecimientos Educativos Rurales, para la  mejora de  la calidad del proceso de enseñanza y el desarrollo integral de los estudiantes.  </t>
  </si>
  <si>
    <t>Realizar 4 foros educativos sobre experiencias significativas  artísticas y culturales.</t>
  </si>
  <si>
    <t>Número de foros educativos realizados sobre experiencias significativas artísticas y culturales.</t>
  </si>
  <si>
    <t>APOYO AL DESARROLLO DE PROCESOS DE INTERCAMBIO DE EXPERIENCIAS EDUCATIVAS SIGNIFICATIVAS EN EL MUNICIPIO DE BUCARAMANGA</t>
  </si>
  <si>
    <t xml:space="preserve">• Disponer de los servicios de capacitación y seguimiento a las experiencias educativas de las instituciones educativas participantes del foro educativo municipal.
</t>
  </si>
  <si>
    <t>2.3.2.02.02.009.2201074.206</t>
  </si>
  <si>
    <t>Mantener el 100% de los macroprocesos de la Secretaría de Educación.</t>
  </si>
  <si>
    <t>Porcentaje de macroprocesos de la Secretaría de Educación mantenidos.</t>
  </si>
  <si>
    <t>MEJORAMIENTO DE LOS MACROPROCESOS DE LA SECRETARÍA DE EDUCACIÓN DEL MUNICIPIO DE BUCARAMANGA</t>
  </si>
  <si>
    <t>• Mantener y fortalecer el 100% de los Macroprocesos de la Secretaría de Educación</t>
  </si>
  <si>
    <t>2.3.2.02.02.008.4599031.201</t>
  </si>
  <si>
    <t>Mantener en los establecimientos educativos oficiales el Programa de Bienestar Laboral dirigido al personal docente, directivo docente y administrativo.</t>
  </si>
  <si>
    <t xml:space="preserve">Número de programas de bienestar laboral dirigido al personal docente, directivo docente y administrativo mantenido en los establecimientos educativos oficiales. </t>
  </si>
  <si>
    <t>CONSOLIDACIÓN DEL PROGRAMA DE BIENESTAR LABORAL PARA PERSONAL DIRECTIVO DOCENTE DOCENTE Y ADMINISTRATIVO DE LAS INSTITUCIONES EDUCATIVAS OFICIALES DEL MUNICIPIO DE BUCARAMANGA</t>
  </si>
  <si>
    <t>•Desarrollar programas de bienestar laboral (formación integral e incentivos) que fomenten la excelencia en el desempeño del personal directivo docente, docente y administrativo de las IEO</t>
  </si>
  <si>
    <t>2.3.2.02.02.009.2201049.201</t>
  </si>
  <si>
    <t xml:space="preserve">Mantener el pago de ARL en el cumplimiento del decreto 055 de 2015 al 100% de los estudiantes de grados 10 y 11 que realizan las prácticas de la educación media técnica. </t>
  </si>
  <si>
    <t>Porcentaje de estudiantes de los grados 10 y 11 que realizan las prácticas de la educación media técnica mantenidos con el pago de ARL en el cumplimiento del decreto 055 de 2015.</t>
  </si>
  <si>
    <t>PRESTACIÓN DEL SERVICIO DE ASEGURAMIENTO EN RIESGOS LABORALES PARA LOS ESTUDIANTES EN PRÁCTICA ACADÉMICA ADSCRITOS A LAS INSTITUCIONES EDUCATIVAS DEL MUNICIPIO DE BUCARAMANGA</t>
  </si>
  <si>
    <t>•Disponer de la cobertura del servicio de riesgos laborales  para los estudiantes de grado 10 y 11  que se encuentran en práctica académica de las IE del municipio.</t>
  </si>
  <si>
    <t>2.3.2.02.02.009.2201043.201</t>
  </si>
  <si>
    <t>Realizar 1 caracterización del clima escolar y victimización que permita identificar los problemas de convivencia y seguridad del entorno escolar.</t>
  </si>
  <si>
    <t>Número de caracterizaciones del clima escolar y victimización que permita identificar los problemas de convivencia y seguridad del entorno escolar realizados.</t>
  </si>
  <si>
    <t>Calidad Y Fomento De La Educación Superior</t>
  </si>
  <si>
    <t>Otorgar 4.000 nuevos subsidios con enfoque diferencial para el acceso a la educación superior del nivel técnico, tecnológico y profesional.</t>
  </si>
  <si>
    <t>Número de nuevos subsidios otorgados con enfoque diferencial para el acceso a la educación superior del nivel técnico, tecnológico y profesional.</t>
  </si>
  <si>
    <t>FORTALECIMIENTO DEL PROGRAMA DE EDUCACIÓN SUPERIOR EN EL MUNICIPIO DE   BUCARAMANGA</t>
  </si>
  <si>
    <t>•Otorgar nuevos subsidios con enfoque diferencial para  el  acceso  a  la educaciónsuperior  del  nivel técnico, tecnológico y  profesional.</t>
  </si>
  <si>
    <t xml:space="preserve">2.3.2.02.02.009.2202009.224
2.3.2.02.02.009.2202009.201 
2.3.2.02.02.009.2202009.290
2.3.2.02.02.009.2202009.523
</t>
  </si>
  <si>
    <t>Mantener el 100% de los subsidios para el acceso a la educación superior del nivel técnico, profesional, tecnológico y profesional.</t>
  </si>
  <si>
    <t>Porcentaje de subsidios mantenidos para el acceso a la educación superior del nivel técnico, profesional, tecnológico y profesional.</t>
  </si>
  <si>
    <t>•Mantener el 100% de los subsidios para el acceso a la educación superior del nivel técnico. profesional. tecnológico y profesional.</t>
  </si>
  <si>
    <t>2.3.2.02.02.009.2202009.224
2.3.2.02.02.009.2202009.201
2.3.2.02.02.009.2202009.290
2.3.7.06.02.4599002.623</t>
  </si>
  <si>
    <t>APOYO PARA EL ACCESO Y PERMANENCIA EN UN PROGRAMA DE PREGRADO PARA EL MEJOR ESTUDIANTE EN LAS PRUEBAS SABER 11 Y EGRESADO DE LAS IEO DEL MUNICIPIO DE BUCARAMANGA</t>
  </si>
  <si>
    <t>• Realizar el pago de costes académicos (matrícula, seguro estudiantil y de movilidad, expediente académico y gastos de secretaría) para el beneficiario del programa "estudiante destacado"
• Financiar los costos de sostenimiento (alimentación, alojamiento, movilidad, y seguro) para la permanencia del estudiante destacado en el programa del nivel de pregrado.</t>
  </si>
  <si>
    <t>2.3.2.02.02.009.2202009.201</t>
  </si>
  <si>
    <t>Beneficiar 3.000 personas a través de un programa de educación virtual pos secundaria que proporcione conocimientos, competencias y habilidades para el empleo y el emprendimiento de acuerdo al perfil productivo de la región.</t>
  </si>
  <si>
    <t>Número de personas beneficiadas a través de un programa de educación virtual pos secundaria que proporcione conocimientos, competencias y habilidades para el empleo y el emprendimiento de acuerdo al perfil productivo de la región.</t>
  </si>
  <si>
    <t>Bucaramanga Ciudad De Innovación Educativa</t>
  </si>
  <si>
    <t>Innovación Y Uso De La Ciencia Y Tecnología En El Ambiente Escolar</t>
  </si>
  <si>
    <t>Dotar y/o repotenciar 70 aulas especializadas en los establecimientos educativos oficiales.</t>
  </si>
  <si>
    <t>Número de aulas especializadas dotadas y/o repotenciadas en los establecimientos educativos oficiales.</t>
  </si>
  <si>
    <t>FORTALECIMIENTO DE LA CAPACIDAD TECNOLÓGICA DE LAS INSTITUCIONES EDUCATIVAS OFICIALES DEL MUNICIPIO DE BUCARAMANGA</t>
  </si>
  <si>
    <t>• Disponer de la dotación de equipos tecnológicos (incluidas licencias y programas preinstalados) para las sedes educativas oficiales del municipio.</t>
  </si>
  <si>
    <t xml:space="preserve">2.3.2.02.01.004.2201070.289 
2.3.2.02.01.004.2201070.201 </t>
  </si>
  <si>
    <t>•Realizar pago de vigencias expiradas del contrato 360 de 2019</t>
  </si>
  <si>
    <t>2.3.7.06.02.4599002.688
2.3.7.06.02.4599002.601</t>
  </si>
  <si>
    <t>2.3.2.02.02.005.2201052.593
2.3.2.02.02.005.2201052.594</t>
  </si>
  <si>
    <t>2.3.2.02.01.004.2201070.201</t>
  </si>
  <si>
    <t>Mantener los 47 establecimientos educativos oficiales con conectividad.</t>
  </si>
  <si>
    <t>Número de establecimientos educativos oficiales mantenidos con conectividad.</t>
  </si>
  <si>
    <t>FORTALECIMIENTO DE LA CONECTIVIDAD Y EL ACCESO A NUEVAS TECNOLOGÍAS EN LAS INSTITUCIONES EDUCATIVAS OFICIALES DEL MUNICIPIO DE BUCARAMANGA</t>
  </si>
  <si>
    <t>•Contar con el servicio de conectividad a internet en las Instituciones Educativas Oficiales del municipio</t>
  </si>
  <si>
    <t>2.3.2.02.02.008.2201050.205</t>
  </si>
  <si>
    <t xml:space="preserve"> PLAN DE ACCIÓN - PLAN DE DESARROLLO MUNICIPAL
SECRETARÍA DE EDUCACIÓN</t>
  </si>
  <si>
    <t>•Desarrollar programas especiales de refuerzo para el aprendizaje de una segunda lengua en los estudiantes de las IEO.</t>
  </si>
  <si>
    <t>•Disponer del servicio de Capacitación a docentes en el manejo de una segunda lengua, para la mejora de sus competencias lingüísticas.</t>
  </si>
  <si>
    <t>2.3.2.02.02.009.2201077.205
2.3.2.02.02.009.2201030.206</t>
  </si>
  <si>
    <t>2.3.2.02.02.009.2201061.293 
2.3.2.02.02.009.2201069.293</t>
  </si>
  <si>
    <t>FORTALECIMIENTO DE LOS MODELOS EDUCATIVOS FLEXIBLES EN LAS INSTITUCIONES EDUCATIVAS OFICIALES DEL MUNICIPIO DE BUCARAMANGA</t>
  </si>
  <si>
    <t>2.3.2.02.02.009.2201030.206</t>
  </si>
  <si>
    <t>DOTACIÓN DE MATERIAL DIDÁCTICO Y PEDAGÓGICO PARA LA INCLUSIÓN DE LA POBLACIÓN CON DISCAPACIDAD DE LAS INSTITUCIONES EDUCATIVAS OFICIALES DEL MUNICIPIO DE BUCARAMANGA</t>
  </si>
  <si>
    <t>31/12/201</t>
  </si>
  <si>
    <t>•Dotar de materiales didácticos pertinentes que impacten de manera considerable la implementación de la propuesta pedagógica DUA.</t>
  </si>
  <si>
    <t>2.3.2.02.02.009.2203018.205</t>
  </si>
  <si>
    <t>FORTALECIMIENTO DEL PROCESO DE EVALUACIÓN POR COMPETENCIAS EN LAS INSTITUCIONES EDUCATIVAS OFICIALES DEL MUNICIPIO DE BUCARAMANGA</t>
  </si>
  <si>
    <t>DESARROLLO DE ACCIONES PARA LA IDENTIFICACIÓN Y PREVENCIÓN DE CASOS DE NIÑOS, NIÑAS Y ADOLESCENTES VINCULADOS A DELITOS Y CONTRAVENCIONES DENTRO Y FUERA DE LAS INSTITUCIONES EDUCATIVAS DEL MUNICIPIO DE BUCARAMANGA.</t>
  </si>
  <si>
    <t>2.3.2.02.02.009.4501046.201</t>
  </si>
  <si>
    <t>2.3.2.02.02.009.2201077.205</t>
  </si>
  <si>
    <t xml:space="preserve">•Brindar el servicio educativo a través de modelos educativos flexibles en las IEO del municipio 
•Realizar la dotación de material pedagógico
</t>
  </si>
  <si>
    <t xml:space="preserve">Realizar una caracterización del Clima Escolar en las IEO del municipio: 
•Identificar los riesgos asociados a casos de intolerancia social dentro y fuera de las instituciones educativas oficiales del Municipio de Bucaramanga 
•Realizar un Modelo de Investigación Acción Participativa -IAP para el diagnóstico de conflictividades escolares fuera de las instituciones educativas </t>
  </si>
  <si>
    <t>DOTACIÓN DE AMBIENTES ESCOLARES PARA LA ATENCIÓN A LA PRIMERA INFANCIA EN LAS INSTITUCIONES EDUCATIVAS OFICIALES DEL MUNICIPIO DE BUCARAMANGA</t>
  </si>
  <si>
    <t>•Dotar  de mobiliario escolar a 12 ambientes de transición.</t>
  </si>
  <si>
    <t>2.3.2.02.02.005.2201069.506</t>
  </si>
  <si>
    <t>FORTALECIMIENTO DEL PROCESO DE GESTIÓN DE LA CALIDAD DEL SERVICIO EDUCATIVO EN EL MUNICIPIO DE BUCARAMANGA</t>
  </si>
  <si>
    <t>2.3.2.02.02.009.2201006.201</t>
  </si>
  <si>
    <t>Disponer del servicio de acompañamiento a los procesos de formación docente que adelanta la SEB</t>
  </si>
  <si>
    <t>2.3.2.02.02.009.4599031.583 
2.3.2.02.02.009.4599031.283
2.3.2.02.02.009.2201074.506</t>
  </si>
  <si>
    <t>MANTENIMIENTO DE LA INFRAESTRUCTURA EDUCATIVA DEL COLEGIO AURELIO MARTÍNEZ MUTIS SEDE C DEL MUNICIPIO DE BUCARAMANGA</t>
  </si>
  <si>
    <t>•Desarrollar obras de reparación y mejoramiento en áreas específicas, en la sede C del Aurelio Martínez Mutis para garantizar el regreso seguro a la presencialidad de los estudiantes en el marco de la alternancia educativa.</t>
  </si>
  <si>
    <t>DOTACIÓN DE EQUIPOS, MULTIMEDIA , MATERIAL DIDÁCTICO Y MOBILIARIO ESCOLAR PARA LAS INSTITUCIONES EDUCATIVAS OFICIALES DEL MUNICIPIO DE BUCARAMANGA.</t>
  </si>
  <si>
    <t>•Realizar la dotación de equipos, multimedia, material didáctico y/o mobiliario escolar en las IEO del municipio.</t>
  </si>
  <si>
    <t>IMPLEMENTACIÓN DEL PROGRAMA DE EDUCACIÓN POSTSECUNDARIA EN EL MUNICIPIO DE BUCARAMANGA</t>
  </si>
  <si>
    <t>•Proporcionar conocimientos, competencias y habilidades para el empleo y el emprendimiento de los jóvenes y adultos del municipio
•Desarrollar acciones de apoyo y seguimiento a la ejecución del programa pos secundaria</t>
  </si>
  <si>
    <t xml:space="preserve">
2.3.2.02.02.009.2202016.201
</t>
  </si>
  <si>
    <t>2.3.2.02.02.005.2201069.289
2.3.2.02.02.005.2201069.213
2.3.2.02.02.005.2201069.265
2.3.2.02.02.005.2201069.506</t>
  </si>
  <si>
    <t>SUMINISTRO DE ELEMENTOS DE PROTECCIÓN PARA LA PREVENCIÓN Y MITIGACIÓN DEL COVID-SARS2 EN LAS INSTITUCIONES EDUCATIVAS OFICIALES DEL MUNICIPIO DE BUCARAMANGA</t>
  </si>
  <si>
    <t xml:space="preserve">•Dotar de insumos para la protección, prevención y mitigación del COVID-19 tales como caretas, tapabocas desechables y alcohol isopropílico para los estudiantes y personal docente, directivo docente y administrativo de las IEO del municipio. </t>
  </si>
  <si>
    <t xml:space="preserve">2.3.2.02.02.009.2201069.293
2.3.2.02.02.009.2201069.592  </t>
  </si>
  <si>
    <t xml:space="preserve">MEJORAMIENTO DE LA INFRAESTRUCTURA EDUCATIVA EN LAS INSTITUCIONES EDUCATIVAS OFICIALES DEL MUNICIPIO DE BUCARAMANGA </t>
  </si>
  <si>
    <t>• Desarrollar obras de reparación y mejoramiento especifico en las instituciones educativas oficiales de Bucaramanga</t>
  </si>
  <si>
    <t>MANTENIMIENTO YO ADECUACIONES LOCATIVAS DE LA PLANTA FÍSICA PARA EL REGRESO PRESENCIAL DE LOS ESTUDIANTES EN LAS INSTITUCIONES EDUCATIVAS OFICIALES DEL MUNICIPIO DE BUCARAMANGA</t>
  </si>
  <si>
    <t>•Mejorar las condiciones de las instalaciones físicas de las IEO del  municipio para la aplicación de los protocolos de bioseguridad por COVID-19.</t>
  </si>
  <si>
    <t>2.3.2.02.02.005.2201052.201 
2.3.2.02.02.005.2201052.289 
2.3.2.02.02.009.2201052.293 
2.3.2.02.02.005.2201052.206 
2.3.2.02.02.005.2201052.213 </t>
  </si>
  <si>
    <t>2.3.2.02.02.005.2201052.289 
2.3.2.02.02.009.2201052.293 
2.3.2.02.02.005.2201052.206 
2.3.2.02.02.005.2201052.213 </t>
  </si>
  <si>
    <t>2.3.2.02.02.005.2201052.201 
2.3.2.02.02.009.2201052.293
2.3.2.02.02.005.2201052.501  </t>
  </si>
  <si>
    <t>•Adecuar la infraestructura de las sede I: El Inicio y sede G: San Pedro Bajo de la institución educativa oficial rural IE Vijagual.</t>
  </si>
  <si>
    <t>2.3.2.02.02.005.2201052.289</t>
  </si>
  <si>
    <t xml:space="preserve">2.3.2.02.02.005.2201052.201 
2.3.7.06.02.4599002.601
</t>
  </si>
  <si>
    <t>2.3.2.02.01.004.2201070.201
2.3.2.02.02.005.2201069.506
2.3.2.02.02.005.2201069.265</t>
  </si>
  <si>
    <t>2.3.2.02.02.007.2201071.201 
2.3.2.02.02.008.2201071.201
2.3.2.02.02.008.2201071.293
2.3.2.02.02.009.2201069.293
2.3.2.02.02.008.2201071.501
2.3.2.02.02.006.2201071.206
2.3.2.02.02.006.2201071.213
2.3.2.02.02.008.2201071.213</t>
  </si>
  <si>
    <t>2.3.2.02.02.009.2201052.293
2.3.2.02.02.009.2201069.293
2.3.2.02.02.008.2201071.201
2.3.2.02.02.009.2201069.293
2.3.2.02.02.006.2201071.206
2.3.2.02.02.006.2201071.213</t>
  </si>
  <si>
    <t>2.3.2.02.02.009.2202009.201 
2.3.2.02.02.009.2202009.523
2.3.2.02.02.009.2202009.290</t>
  </si>
  <si>
    <t>2.3.1.01.01.001.01.2201071.205
2.3.1.01.01.001.01.2201071.201
2.3.1.01.01.001.06.2201071.205
2.3.1.01.01.001.07.2201071.205
2.3.1.01.01.001.08.01.2201071.205
2.3.1.01.01.001.08.02.2201071.205
2.3.1.01.02.001.2201071.205
2.3.1.01.02.003.2201071.205
2.3.1.01.02.002.2201071.205
2.3.1.01.02.004.2201071.205
2.3.1.01.02.005.2201071.205
2.3.1.01.02.006.2201071.205
2.3.1.01.02.007.2201071.205
2.3.1.01.02.008.2201071.205
2.3.1.01.02.009.2201071.205
2.3.1.01.03.001.01.2201071.205
2.3.1.01.03.001.03.2201071.205
2.3.1.01.03.009.2201071.205
2.3.1.01.01.001.02.2201071.205
2.3.1.01.01.001.04.2201071.205
2.3.1.01.01.001.05.2201071.205
2.3.2.02.02.006.2201071.205
2.3.1.01.01.001.01.2201071.505
2.3.1.01.01.001.01.2201071.277
2.3.1.01.03.001.02.2201071.205
2.3.2.02.01.002.2201071.205
2.3.2.02.02.009.2201071.205</t>
  </si>
  <si>
    <t>2.3.2.02.02.009.2202016.201</t>
  </si>
  <si>
    <t xml:space="preserve">Pendiente </t>
  </si>
  <si>
    <t>Pendiente</t>
  </si>
  <si>
    <t>Código BPIM</t>
  </si>
  <si>
    <r>
      <t xml:space="preserve">Código:  </t>
    </r>
    <r>
      <rPr>
        <sz val="11"/>
        <rFont val="Arial"/>
        <family val="2"/>
      </rPr>
      <t>F-DPM-1210-238,37-030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</si>
</sst>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 #,##0;\-&quot;$&quot;\ #,##0"/>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dd/mm/yyyy;@"/>
    <numFmt numFmtId="165" formatCode="_-&quot;$&quot;\ * #,##0_-;\-&quot;$&quot;\ * #,##0_-;_-&quot;$&quot;\ * &quot;-&quot;??_-;_-@_-"/>
    <numFmt numFmtId="166" formatCode="&quot;$&quot;\ #,##0"/>
    <numFmt numFmtId="167" formatCode="&quot;$&quot;\ #,##0.00"/>
    <numFmt numFmtId="168" formatCode="_-* #,##0_-;\-* #,##0_-;_-* &quot;-&quot;??_-;_-@_-"/>
  </numFmts>
  <fonts count="13"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2"/>
      <color theme="1"/>
      <name val="Arial"/>
      <family val="2"/>
    </font>
    <font>
      <sz val="12"/>
      <name val="Arial"/>
      <family val="2"/>
    </font>
    <font>
      <b/>
      <sz val="12"/>
      <name val="Arial"/>
      <family val="2"/>
    </font>
    <font>
      <sz val="12"/>
      <color indexed="8"/>
      <name val="Arial"/>
      <family val="2"/>
    </font>
    <font>
      <b/>
      <sz val="12"/>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top style="thin">
        <color auto="1"/>
      </top>
      <bottom style="thin">
        <color auto="1"/>
      </bottom>
      <diagonal/>
    </border>
  </borders>
  <cellStyleXfs count="11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xf numFmtId="43" fontId="3" fillId="0" borderId="0" applyFont="0" applyFill="0" applyBorder="0" applyAlignment="0" applyProtection="0"/>
    <xf numFmtId="42" fontId="3" fillId="0" borderId="0" applyFont="0" applyFill="0" applyBorder="0" applyAlignment="0" applyProtection="0"/>
  </cellStyleXfs>
  <cellXfs count="167">
    <xf numFmtId="0" fontId="0" fillId="0" borderId="0" xfId="0"/>
    <xf numFmtId="0" fontId="0" fillId="0" borderId="0" xfId="0" applyFont="1"/>
    <xf numFmtId="0" fontId="0" fillId="3" borderId="0" xfId="0" applyFont="1" applyFill="1" applyBorder="1" applyAlignment="1">
      <alignment vertical="top"/>
    </xf>
    <xf numFmtId="0" fontId="0" fillId="3" borderId="3" xfId="0" applyFont="1" applyFill="1" applyBorder="1" applyAlignment="1">
      <alignment vertical="top"/>
    </xf>
    <xf numFmtId="0" fontId="0" fillId="3" borderId="0" xfId="0" applyFont="1" applyFill="1" applyBorder="1"/>
    <xf numFmtId="0" fontId="0" fillId="3" borderId="3" xfId="0" applyFont="1" applyFill="1" applyBorder="1"/>
    <xf numFmtId="0" fontId="0" fillId="0" borderId="2" xfId="0" applyFont="1" applyBorder="1" applyAlignment="1">
      <alignment vertical="center"/>
    </xf>
    <xf numFmtId="0" fontId="7" fillId="2" borderId="1" xfId="0" applyFont="1" applyFill="1" applyBorder="1" applyAlignment="1">
      <alignment horizontal="center" vertical="center"/>
    </xf>
    <xf numFmtId="164" fontId="8" fillId="0" borderId="2" xfId="0" applyNumberFormat="1" applyFont="1" applyBorder="1" applyAlignment="1">
      <alignment horizontal="justify" vertical="center" wrapText="1"/>
    </xf>
    <xf numFmtId="5" fontId="9" fillId="0" borderId="2" xfId="108" applyNumberFormat="1" applyFont="1" applyFill="1" applyBorder="1" applyAlignment="1">
      <alignment horizontal="center" vertical="center" wrapText="1"/>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8" fillId="3" borderId="2" xfId="0" applyFont="1" applyFill="1" applyBorder="1" applyAlignment="1">
      <alignment horizontal="justify" vertical="center" wrapText="1"/>
    </xf>
    <xf numFmtId="164" fontId="8" fillId="0" borderId="2" xfId="0" applyNumberFormat="1" applyFont="1" applyBorder="1" applyAlignment="1">
      <alignment vertical="center" wrapText="1"/>
    </xf>
    <xf numFmtId="0" fontId="7" fillId="2" borderId="1" xfId="0" applyFont="1" applyFill="1" applyBorder="1" applyAlignment="1">
      <alignment horizontal="center" vertical="center" wrapText="1"/>
    </xf>
    <xf numFmtId="0" fontId="6" fillId="2" borderId="5" xfId="0" applyFont="1" applyFill="1" applyBorder="1" applyAlignment="1">
      <alignment horizontal="justify"/>
    </xf>
    <xf numFmtId="0" fontId="6" fillId="2" borderId="4" xfId="0" applyFont="1" applyFill="1" applyBorder="1"/>
    <xf numFmtId="9" fontId="7" fillId="2" borderId="4" xfId="0" applyNumberFormat="1" applyFont="1" applyFill="1" applyBorder="1" applyAlignment="1">
      <alignment horizontal="center" vertical="center"/>
    </xf>
    <xf numFmtId="0" fontId="7" fillId="2" borderId="4" xfId="0" applyFont="1" applyFill="1" applyBorder="1" applyAlignment="1">
      <alignment vertical="center"/>
    </xf>
    <xf numFmtId="0" fontId="6" fillId="2" borderId="4" xfId="0" applyFont="1" applyFill="1" applyBorder="1" applyAlignment="1">
      <alignment vertical="center"/>
    </xf>
    <xf numFmtId="165" fontId="6" fillId="2" borderId="4" xfId="108" applyNumberFormat="1" applyFont="1" applyFill="1" applyBorder="1" applyAlignment="1">
      <alignment vertical="center"/>
    </xf>
    <xf numFmtId="165" fontId="7" fillId="2" borderId="4" xfId="108" applyNumberFormat="1" applyFont="1" applyFill="1" applyBorder="1" applyAlignment="1">
      <alignment vertical="center"/>
    </xf>
    <xf numFmtId="0" fontId="7" fillId="2" borderId="1" xfId="0" applyFont="1" applyFill="1" applyBorder="1" applyAlignment="1">
      <alignment horizontal="center" vertical="center" wrapText="1"/>
    </xf>
    <xf numFmtId="164" fontId="8" fillId="0" borderId="2" xfId="0" applyNumberFormat="1" applyFont="1" applyBorder="1" applyAlignment="1">
      <alignment horizontal="left" vertical="center" wrapText="1"/>
    </xf>
    <xf numFmtId="3" fontId="11" fillId="0" borderId="2" xfId="0" applyNumberFormat="1" applyFont="1" applyBorder="1" applyAlignment="1">
      <alignment horizontal="center" vertical="center" wrapText="1"/>
    </xf>
    <xf numFmtId="9" fontId="8" fillId="0" borderId="2" xfId="0" applyNumberFormat="1" applyFont="1" applyBorder="1" applyAlignment="1">
      <alignment horizontal="center" vertical="center"/>
    </xf>
    <xf numFmtId="9" fontId="11" fillId="0" borderId="2" xfId="0" applyNumberFormat="1" applyFont="1" applyBorder="1" applyAlignment="1">
      <alignment horizontal="center" vertical="center" wrapText="1"/>
    </xf>
    <xf numFmtId="1" fontId="8" fillId="2" borderId="2" xfId="0" applyNumberFormat="1" applyFont="1" applyFill="1" applyBorder="1" applyAlignment="1">
      <alignment horizontal="center" vertical="center"/>
    </xf>
    <xf numFmtId="164" fontId="9" fillId="0" borderId="2" xfId="0" applyNumberFormat="1" applyFont="1" applyBorder="1" applyAlignment="1">
      <alignment vertical="center" wrapText="1"/>
    </xf>
    <xf numFmtId="0" fontId="8" fillId="0" borderId="2" xfId="0" applyFont="1" applyBorder="1" applyAlignment="1">
      <alignment horizontal="center" vertical="center"/>
    </xf>
    <xf numFmtId="1" fontId="9" fillId="2" borderId="2" xfId="0" applyNumberFormat="1" applyFont="1" applyFill="1" applyBorder="1" applyAlignment="1">
      <alignment horizontal="center" vertical="center"/>
    </xf>
    <xf numFmtId="164" fontId="9" fillId="0" borderId="2" xfId="0" applyNumberFormat="1" applyFont="1" applyBorder="1" applyAlignment="1">
      <alignment horizontal="left" vertical="center" wrapText="1"/>
    </xf>
    <xf numFmtId="164" fontId="9" fillId="0" borderId="2" xfId="0" applyNumberFormat="1" applyFont="1" applyBorder="1" applyAlignment="1">
      <alignment horizontal="justify" vertical="center" wrapText="1"/>
    </xf>
    <xf numFmtId="164" fontId="9" fillId="0" borderId="2" xfId="0" applyNumberFormat="1" applyFont="1" applyBorder="1" applyAlignment="1">
      <alignment horizontal="justify" wrapText="1"/>
    </xf>
    <xf numFmtId="164" fontId="9" fillId="0" borderId="2" xfId="0" applyNumberFormat="1" applyFont="1" applyBorder="1" applyAlignment="1">
      <alignment horizontal="left" wrapText="1"/>
    </xf>
    <xf numFmtId="3" fontId="9" fillId="0" borderId="2" xfId="0" applyNumberFormat="1" applyFont="1" applyBorder="1" applyAlignment="1">
      <alignment horizontal="center" vertical="center" wrapText="1"/>
    </xf>
    <xf numFmtId="0" fontId="8" fillId="0" borderId="2" xfId="0" applyFont="1" applyBorder="1" applyAlignment="1">
      <alignment horizontal="justify" vertical="center"/>
    </xf>
    <xf numFmtId="9" fontId="12" fillId="2" borderId="2" xfId="0" applyNumberFormat="1" applyFont="1" applyFill="1" applyBorder="1" applyAlignment="1">
      <alignment horizontal="justify" vertical="center" wrapText="1"/>
    </xf>
    <xf numFmtId="0" fontId="6" fillId="2" borderId="4" xfId="0" applyFont="1" applyFill="1" applyBorder="1" applyAlignment="1">
      <alignment wrapText="1"/>
    </xf>
    <xf numFmtId="0" fontId="0" fillId="0" borderId="0" xfId="0" applyFont="1" applyAlignment="1">
      <alignment wrapText="1"/>
    </xf>
    <xf numFmtId="0" fontId="0" fillId="0" borderId="0" xfId="0" applyFont="1" applyAlignment="1"/>
    <xf numFmtId="0" fontId="9" fillId="0" borderId="2" xfId="0" applyFont="1" applyBorder="1" applyAlignment="1">
      <alignment horizontal="justify" vertical="center"/>
    </xf>
    <xf numFmtId="0" fontId="11" fillId="0" borderId="2" xfId="0" applyFont="1" applyBorder="1" applyAlignment="1">
      <alignment horizontal="justify" vertical="center"/>
    </xf>
    <xf numFmtId="0" fontId="6" fillId="2" borderId="4" xfId="0" applyFont="1" applyFill="1" applyBorder="1" applyAlignment="1"/>
    <xf numFmtId="168" fontId="0" fillId="0" borderId="0" xfId="110" applyNumberFormat="1" applyFont="1"/>
    <xf numFmtId="5" fontId="0" fillId="0" borderId="0" xfId="0" applyNumberFormat="1" applyFont="1"/>
    <xf numFmtId="43" fontId="0" fillId="0" borderId="0" xfId="0" applyNumberFormat="1" applyFont="1"/>
    <xf numFmtId="168" fontId="0" fillId="0" borderId="0" xfId="0" applyNumberFormat="1" applyFont="1"/>
    <xf numFmtId="9" fontId="7" fillId="2" borderId="4" xfId="107" applyNumberFormat="1" applyFont="1" applyFill="1" applyBorder="1" applyAlignment="1">
      <alignment horizontal="center" vertical="center" wrapText="1"/>
    </xf>
    <xf numFmtId="164" fontId="8" fillId="0" borderId="2" xfId="0" applyNumberFormat="1" applyFont="1" applyFill="1" applyBorder="1" applyAlignment="1">
      <alignment horizontal="center" vertical="center" wrapText="1"/>
    </xf>
    <xf numFmtId="164" fontId="9" fillId="0" borderId="2" xfId="0"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3" borderId="0" xfId="0" applyFont="1" applyFill="1" applyBorder="1" applyAlignment="1">
      <alignment horizontal="center" vertical="top"/>
    </xf>
    <xf numFmtId="0" fontId="0" fillId="0" borderId="0" xfId="0" applyFont="1" applyAlignment="1">
      <alignment horizontal="center"/>
    </xf>
    <xf numFmtId="0" fontId="0" fillId="0" borderId="0" xfId="0" applyAlignment="1">
      <alignment horizontal="center"/>
    </xf>
    <xf numFmtId="0" fontId="6" fillId="2" borderId="4" xfId="0" applyFont="1" applyFill="1" applyBorder="1" applyAlignment="1">
      <alignment horizontal="center"/>
    </xf>
    <xf numFmtId="9" fontId="8" fillId="0" borderId="1" xfId="0" applyNumberFormat="1" applyFont="1" applyBorder="1" applyAlignment="1">
      <alignment horizontal="center" vertical="center"/>
    </xf>
    <xf numFmtId="3" fontId="11"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5" fontId="9" fillId="0" borderId="1" xfId="108" applyNumberFormat="1" applyFont="1" applyFill="1" applyBorder="1" applyAlignment="1">
      <alignment horizontal="center" vertical="center" wrapText="1"/>
    </xf>
    <xf numFmtId="164" fontId="8" fillId="0" borderId="4" xfId="0" applyNumberFormat="1" applyFont="1" applyBorder="1" applyAlignment="1">
      <alignment vertical="center" wrapText="1"/>
    </xf>
    <xf numFmtId="9" fontId="0" fillId="0" borderId="0" xfId="0" applyNumberFormat="1" applyFont="1"/>
    <xf numFmtId="10" fontId="0" fillId="0" borderId="0" xfId="107" applyNumberFormat="1" applyFont="1"/>
    <xf numFmtId="9" fontId="9" fillId="2" borderId="2" xfId="0" applyNumberFormat="1" applyFont="1" applyFill="1" applyBorder="1" applyAlignment="1">
      <alignment horizontal="center" vertical="center"/>
    </xf>
    <xf numFmtId="3" fontId="9" fillId="2" borderId="2" xfId="0" applyNumberFormat="1" applyFont="1" applyFill="1" applyBorder="1" applyAlignment="1">
      <alignment horizontal="center" vertical="center"/>
    </xf>
    <xf numFmtId="0" fontId="11" fillId="0" borderId="2" xfId="0" applyFont="1" applyFill="1" applyBorder="1" applyAlignment="1">
      <alignment horizontal="justify" vertical="center"/>
    </xf>
    <xf numFmtId="0" fontId="10" fillId="0" borderId="2" xfId="0" applyFont="1" applyFill="1" applyBorder="1" applyAlignment="1">
      <alignment horizontal="justify" vertical="center" wrapText="1"/>
    </xf>
    <xf numFmtId="0" fontId="8" fillId="0" borderId="2" xfId="0" applyFont="1" applyFill="1" applyBorder="1" applyAlignment="1">
      <alignment horizontal="justify" vertical="center" wrapText="1"/>
    </xf>
    <xf numFmtId="164" fontId="9" fillId="0" borderId="2" xfId="0" applyNumberFormat="1" applyFont="1" applyFill="1" applyBorder="1" applyAlignment="1">
      <alignment horizontal="justify" vertical="center" wrapText="1"/>
    </xf>
    <xf numFmtId="0" fontId="0" fillId="0" borderId="0" xfId="0" applyFill="1"/>
    <xf numFmtId="164" fontId="8" fillId="0" borderId="2" xfId="0" applyNumberFormat="1" applyFont="1" applyFill="1" applyBorder="1" applyAlignment="1">
      <alignment horizontal="justify" vertical="center" wrapText="1"/>
    </xf>
    <xf numFmtId="167" fontId="0" fillId="0" borderId="0" xfId="0" applyNumberFormat="1" applyAlignment="1">
      <alignment horizontal="center"/>
    </xf>
    <xf numFmtId="10" fontId="8" fillId="0" borderId="2" xfId="107" applyNumberFormat="1" applyFont="1" applyBorder="1" applyAlignment="1">
      <alignment horizontal="center" vertical="center" wrapText="1"/>
    </xf>
    <xf numFmtId="9" fontId="0" fillId="0" borderId="0" xfId="107" applyFont="1"/>
    <xf numFmtId="9" fontId="7" fillId="2" borderId="4" xfId="107" applyFont="1" applyFill="1" applyBorder="1" applyAlignment="1">
      <alignment horizontal="center" vertical="center" wrapText="1"/>
    </xf>
    <xf numFmtId="0" fontId="12" fillId="0" borderId="2"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1" xfId="0" applyFont="1" applyBorder="1" applyAlignment="1">
      <alignment horizontal="justify" vertical="center" wrapText="1"/>
    </xf>
    <xf numFmtId="1" fontId="9" fillId="0" borderId="2" xfId="110" applyNumberFormat="1" applyFont="1" applyFill="1" applyBorder="1" applyAlignment="1">
      <alignment horizontal="justify" vertical="center" wrapText="1"/>
    </xf>
    <xf numFmtId="6" fontId="9" fillId="0" borderId="2" xfId="108" applyNumberFormat="1" applyFont="1" applyFill="1" applyBorder="1" applyAlignment="1">
      <alignment horizontal="right" vertical="center" wrapText="1"/>
    </xf>
    <xf numFmtId="6" fontId="8" fillId="0" borderId="2" xfId="0" applyNumberFormat="1" applyFont="1" applyFill="1" applyBorder="1" applyAlignment="1">
      <alignment horizontal="right" vertical="center" wrapText="1"/>
    </xf>
    <xf numFmtId="6" fontId="0" fillId="0" borderId="2" xfId="0" applyNumberFormat="1" applyFont="1" applyFill="1" applyBorder="1" applyAlignment="1">
      <alignment horizontal="right"/>
    </xf>
    <xf numFmtId="6" fontId="10" fillId="2" borderId="2" xfId="108" applyNumberFormat="1" applyFont="1" applyFill="1" applyBorder="1" applyAlignment="1">
      <alignment horizontal="right" vertical="center" wrapText="1"/>
    </xf>
    <xf numFmtId="6" fontId="9" fillId="0" borderId="2" xfId="111" applyNumberFormat="1" applyFont="1" applyFill="1" applyBorder="1" applyAlignment="1">
      <alignment horizontal="right" vertical="center" wrapText="1"/>
    </xf>
    <xf numFmtId="6" fontId="9" fillId="0" borderId="2" xfId="0" applyNumberFormat="1" applyFont="1" applyFill="1" applyBorder="1" applyAlignment="1">
      <alignment horizontal="right" vertical="center"/>
    </xf>
    <xf numFmtId="6" fontId="9" fillId="0" borderId="2" xfId="108" applyNumberFormat="1" applyFont="1" applyFill="1" applyBorder="1" applyAlignment="1">
      <alignment horizontal="right" vertical="center"/>
    </xf>
    <xf numFmtId="6" fontId="10" fillId="2" borderId="1" xfId="108" applyNumberFormat="1" applyFont="1" applyFill="1" applyBorder="1" applyAlignment="1">
      <alignment horizontal="right" vertical="center" wrapText="1"/>
    </xf>
    <xf numFmtId="6" fontId="9" fillId="0" borderId="2" xfId="107" applyNumberFormat="1" applyFont="1" applyFill="1" applyBorder="1" applyAlignment="1">
      <alignment horizontal="right" vertical="center" wrapText="1"/>
    </xf>
    <xf numFmtId="6" fontId="0" fillId="0" borderId="0" xfId="0" applyNumberFormat="1" applyFont="1" applyFill="1" applyAlignment="1">
      <alignment horizontal="right"/>
    </xf>
    <xf numFmtId="6" fontId="8" fillId="0" borderId="2" xfId="108" applyNumberFormat="1" applyFont="1" applyFill="1" applyBorder="1" applyAlignment="1">
      <alignment horizontal="right" vertical="center" wrapText="1"/>
    </xf>
    <xf numFmtId="1" fontId="10" fillId="0" borderId="2" xfId="110" applyNumberFormat="1" applyFont="1" applyFill="1" applyBorder="1" applyAlignment="1">
      <alignment horizontal="right" vertical="center" wrapText="1"/>
    </xf>
    <xf numFmtId="1" fontId="9" fillId="0" borderId="2" xfId="110" applyNumberFormat="1" applyFont="1" applyFill="1" applyBorder="1" applyAlignment="1">
      <alignment horizontal="right" vertical="center" wrapText="1"/>
    </xf>
    <xf numFmtId="1" fontId="8" fillId="0" borderId="2" xfId="110" applyNumberFormat="1" applyFont="1" applyFill="1" applyBorder="1" applyAlignment="1">
      <alignment horizontal="right" vertical="center" wrapText="1"/>
    </xf>
    <xf numFmtId="1" fontId="12" fillId="0" borderId="2" xfId="110" applyNumberFormat="1" applyFont="1" applyFill="1" applyBorder="1" applyAlignment="1">
      <alignment horizontal="right" vertical="center" wrapText="1"/>
    </xf>
    <xf numFmtId="9" fontId="9" fillId="0" borderId="2" xfId="107" applyFont="1" applyFill="1" applyBorder="1" applyAlignment="1">
      <alignment horizontal="center" vertical="center" wrapText="1"/>
    </xf>
    <xf numFmtId="9" fontId="9" fillId="0" borderId="1" xfId="107" applyFont="1" applyFill="1" applyBorder="1" applyAlignment="1">
      <alignment horizontal="center" vertical="center" wrapText="1"/>
    </xf>
    <xf numFmtId="166" fontId="6" fillId="2" borderId="4" xfId="108" applyNumberFormat="1" applyFont="1" applyFill="1" applyBorder="1" applyAlignment="1">
      <alignment vertical="center"/>
    </xf>
    <xf numFmtId="0" fontId="7" fillId="2" borderId="5" xfId="0" applyFont="1" applyFill="1" applyBorder="1" applyAlignment="1">
      <alignment horizontal="center" vertical="center"/>
    </xf>
    <xf numFmtId="0" fontId="4" fillId="2" borderId="2" xfId="0" applyFont="1" applyFill="1" applyBorder="1" applyAlignment="1">
      <alignment horizontal="center" vertical="center"/>
    </xf>
    <xf numFmtId="166" fontId="10" fillId="2" borderId="4" xfId="108" applyNumberFormat="1" applyFont="1" applyFill="1" applyBorder="1" applyAlignment="1">
      <alignment horizontal="right" vertical="center"/>
    </xf>
    <xf numFmtId="3" fontId="9" fillId="2"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9" fontId="9" fillId="0" borderId="1" xfId="107" applyFont="1" applyFill="1" applyBorder="1" applyAlignment="1">
      <alignment horizontal="center" vertical="center" wrapText="1"/>
    </xf>
    <xf numFmtId="9" fontId="9" fillId="0" borderId="4" xfId="107" applyFont="1" applyFill="1" applyBorder="1" applyAlignment="1">
      <alignment horizontal="center" vertical="center" wrapText="1"/>
    </xf>
    <xf numFmtId="5" fontId="9" fillId="0" borderId="1" xfId="108" applyNumberFormat="1" applyFont="1" applyFill="1" applyBorder="1" applyAlignment="1">
      <alignment horizontal="center" vertical="center" wrapText="1"/>
    </xf>
    <xf numFmtId="5" fontId="9" fillId="0" borderId="4" xfId="108" applyNumberFormat="1" applyFont="1" applyFill="1" applyBorder="1" applyAlignment="1">
      <alignment horizontal="center" vertical="center" wrapText="1"/>
    </xf>
    <xf numFmtId="9" fontId="9" fillId="0" borderId="8" xfId="107"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5" fontId="9" fillId="0" borderId="8" xfId="108" applyNumberFormat="1" applyFont="1" applyFill="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4" xfId="0" applyNumberFormat="1" applyFont="1" applyBorder="1" applyAlignment="1">
      <alignment horizontal="center" vertical="center" wrapText="1"/>
    </xf>
    <xf numFmtId="9" fontId="9" fillId="2" borderId="1" xfId="0" applyNumberFormat="1" applyFont="1" applyFill="1" applyBorder="1" applyAlignment="1">
      <alignment horizontal="center" vertical="center"/>
    </xf>
    <xf numFmtId="9" fontId="9" fillId="2" borderId="4" xfId="0" applyNumberFormat="1" applyFont="1" applyFill="1" applyBorder="1" applyAlignment="1">
      <alignment horizontal="center" vertical="center"/>
    </xf>
    <xf numFmtId="9" fontId="8" fillId="0" borderId="1" xfId="0" applyNumberFormat="1" applyFont="1" applyBorder="1" applyAlignment="1">
      <alignment horizontal="center" vertical="center"/>
    </xf>
    <xf numFmtId="9" fontId="8" fillId="0" borderId="4" xfId="0" applyNumberFormat="1" applyFont="1" applyBorder="1" applyAlignment="1">
      <alignment horizontal="center" vertical="center"/>
    </xf>
    <xf numFmtId="6" fontId="10" fillId="2" borderId="1" xfId="108" applyNumberFormat="1" applyFont="1" applyFill="1" applyBorder="1" applyAlignment="1">
      <alignment horizontal="right" vertical="center" wrapText="1"/>
    </xf>
    <xf numFmtId="6" fontId="10" fillId="2" borderId="4" xfId="108" applyNumberFormat="1" applyFont="1" applyFill="1" applyBorder="1" applyAlignment="1">
      <alignment horizontal="right" vertical="center" wrapText="1"/>
    </xf>
    <xf numFmtId="3" fontId="9" fillId="0" borderId="1"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xf numFmtId="1" fontId="9" fillId="2" borderId="1" xfId="0" applyNumberFormat="1" applyFont="1" applyFill="1" applyBorder="1" applyAlignment="1">
      <alignment horizontal="center" vertical="center"/>
    </xf>
    <xf numFmtId="1" fontId="9" fillId="2" borderId="4" xfId="0" applyNumberFormat="1" applyFont="1" applyFill="1" applyBorder="1" applyAlignment="1">
      <alignment horizontal="center" vertical="center"/>
    </xf>
    <xf numFmtId="3" fontId="11" fillId="0" borderId="1" xfId="0" applyNumberFormat="1" applyFont="1" applyBorder="1" applyAlignment="1">
      <alignment horizontal="center" vertical="center" wrapText="1"/>
    </xf>
    <xf numFmtId="3" fontId="11" fillId="0" borderId="4" xfId="0" applyNumberFormat="1" applyFont="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6" fontId="10" fillId="2" borderId="8" xfId="108" applyNumberFormat="1" applyFont="1" applyFill="1" applyBorder="1" applyAlignment="1">
      <alignment horizontal="right" vertical="center" wrapText="1"/>
    </xf>
    <xf numFmtId="3" fontId="9" fillId="2" borderId="1" xfId="0" applyNumberFormat="1" applyFont="1" applyFill="1" applyBorder="1" applyAlignment="1">
      <alignment horizontal="center" vertical="center"/>
    </xf>
    <xf numFmtId="3" fontId="9" fillId="2" borderId="4" xfId="0" applyNumberFormat="1" applyFont="1" applyFill="1" applyBorder="1" applyAlignment="1">
      <alignment horizontal="center" vertical="center"/>
    </xf>
    <xf numFmtId="2" fontId="6" fillId="0" borderId="1" xfId="109" applyNumberFormat="1" applyFont="1" applyBorder="1" applyAlignment="1">
      <alignment horizontal="center" vertical="center" wrapText="1"/>
    </xf>
    <xf numFmtId="2" fontId="6" fillId="0" borderId="8" xfId="109" applyNumberFormat="1" applyFont="1" applyBorder="1" applyAlignment="1">
      <alignment horizontal="center" vertical="center" wrapText="1"/>
    </xf>
    <xf numFmtId="2" fontId="6" fillId="0" borderId="4" xfId="109" applyNumberFormat="1" applyFont="1" applyBorder="1" applyAlignment="1">
      <alignment horizontal="center" vertical="center" wrapText="1"/>
    </xf>
    <xf numFmtId="0" fontId="4" fillId="0" borderId="7" xfId="0" applyFont="1" applyFill="1" applyBorder="1" applyAlignment="1">
      <alignment horizontal="left" vertical="center"/>
    </xf>
    <xf numFmtId="0" fontId="4" fillId="0" borderId="13" xfId="0" applyFont="1" applyFill="1" applyBorder="1" applyAlignment="1">
      <alignment horizontal="left" vertical="center"/>
    </xf>
    <xf numFmtId="0" fontId="4" fillId="0" borderId="6" xfId="0" applyFont="1" applyFill="1" applyBorder="1" applyAlignment="1">
      <alignment horizontal="left" vertical="center"/>
    </xf>
    <xf numFmtId="14" fontId="0" fillId="0" borderId="7" xfId="0" applyNumberFormat="1" applyFont="1" applyFill="1" applyBorder="1" applyAlignment="1">
      <alignment horizontal="center" vertical="top"/>
    </xf>
    <xf numFmtId="14" fontId="0" fillId="0" borderId="13" xfId="0" applyNumberFormat="1" applyFont="1" applyFill="1" applyBorder="1" applyAlignment="1">
      <alignment horizontal="center" vertical="top"/>
    </xf>
    <xf numFmtId="14" fontId="0" fillId="0" borderId="6" xfId="0" applyNumberFormat="1" applyFont="1" applyFill="1" applyBorder="1" applyAlignment="1">
      <alignment horizontal="center" vertical="top"/>
    </xf>
    <xf numFmtId="2" fontId="7" fillId="0" borderId="9" xfId="109" applyNumberFormat="1" applyFont="1" applyBorder="1" applyAlignment="1">
      <alignment horizontal="center" vertical="center" wrapText="1"/>
    </xf>
    <xf numFmtId="2" fontId="7" fillId="0" borderId="11" xfId="109" applyNumberFormat="1" applyFont="1" applyBorder="1" applyAlignment="1">
      <alignment horizontal="center" vertical="center" wrapText="1"/>
    </xf>
    <xf numFmtId="2" fontId="7" fillId="0" borderId="10" xfId="109" applyNumberFormat="1" applyFont="1" applyBorder="1" applyAlignment="1">
      <alignment horizontal="center" vertical="center" wrapText="1"/>
    </xf>
    <xf numFmtId="2" fontId="7" fillId="0" borderId="12" xfId="109" applyNumberFormat="1" applyFont="1" applyBorder="1" applyAlignment="1">
      <alignment horizontal="center" vertical="center" wrapText="1"/>
    </xf>
    <xf numFmtId="2" fontId="7" fillId="0" borderId="0" xfId="109" applyNumberFormat="1" applyFont="1" applyBorder="1" applyAlignment="1">
      <alignment horizontal="center" vertical="center" wrapText="1"/>
    </xf>
    <xf numFmtId="2" fontId="7" fillId="0" borderId="3" xfId="109" applyNumberFormat="1" applyFont="1" applyBorder="1" applyAlignment="1">
      <alignment horizontal="center" vertical="center" wrapText="1"/>
    </xf>
    <xf numFmtId="3" fontId="9" fillId="0" borderId="8" xfId="0" applyNumberFormat="1" applyFont="1" applyBorder="1" applyAlignment="1">
      <alignment horizontal="center" vertical="center" wrapText="1"/>
    </xf>
    <xf numFmtId="1" fontId="9" fillId="2" borderId="8" xfId="0" applyNumberFormat="1" applyFont="1" applyFill="1" applyBorder="1" applyAlignment="1">
      <alignment horizontal="center" vertical="center"/>
    </xf>
    <xf numFmtId="9" fontId="8" fillId="0" borderId="8" xfId="0" applyNumberFormat="1" applyFont="1" applyBorder="1" applyAlignment="1">
      <alignment horizontal="center" vertical="center"/>
    </xf>
    <xf numFmtId="0" fontId="7" fillId="2" borderId="7"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4" xfId="0" applyFont="1" applyFill="1" applyBorder="1" applyAlignment="1">
      <alignment horizontal="center" vertical="center" wrapText="1"/>
    </xf>
    <xf numFmtId="3" fontId="11" fillId="0" borderId="8" xfId="0" applyNumberFormat="1" applyFont="1" applyBorder="1" applyAlignment="1">
      <alignment horizontal="center" vertical="center" wrapText="1"/>
    </xf>
    <xf numFmtId="9" fontId="11" fillId="0" borderId="8" xfId="0" applyNumberFormat="1" applyFont="1" applyBorder="1" applyAlignment="1">
      <alignment horizontal="center" vertical="center" wrapText="1"/>
    </xf>
    <xf numFmtId="9" fontId="9" fillId="2" borderId="8" xfId="0" applyNumberFormat="1" applyFont="1" applyFill="1" applyBorder="1" applyAlignment="1">
      <alignment horizontal="center" vertical="center"/>
    </xf>
  </cellXfs>
  <cellStyles count="112">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10" builtinId="3"/>
    <cellStyle name="Moneda" xfId="108" builtinId="4"/>
    <cellStyle name="Moneda [0]" xfId="111" builtinId="7"/>
    <cellStyle name="Normal" xfId="0" builtinId="0"/>
    <cellStyle name="Normal 2" xfId="109" xr:uid="{00000000-0005-0000-0000-00006E000000}"/>
    <cellStyle name="Porcentaje" xfId="107" builtinId="5"/>
  </cellStyles>
  <dxfs count="8">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color rgb="FF9C0006"/>
      </font>
      <fill>
        <patternFill>
          <bgColor rgb="FFFFC7CE"/>
        </patternFill>
      </fill>
    </dxf>
    <dxf>
      <font>
        <color rgb="FF9C0006"/>
      </font>
      <fill>
        <patternFill>
          <bgColor rgb="FFFFC7CE"/>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CCFF"/>
      <color rgb="FFFFCCFF"/>
      <color rgb="FFFFCCCC"/>
      <color rgb="FF99FFCC"/>
      <color rgb="FFFFFF00"/>
      <color rgb="FFFFFF66"/>
      <color rgb="FFCCFFFF"/>
      <color rgb="FFDEBDFF"/>
      <color rgb="FFFF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324850</xdr:colOff>
      <xdr:row>3</xdr:row>
      <xdr:rowOff>134973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6"/>
  <sheetViews>
    <sheetView tabSelected="1" zoomScale="70" zoomScaleNormal="70" workbookViewId="0">
      <selection activeCell="V64" sqref="V64"/>
    </sheetView>
  </sheetViews>
  <sheetFormatPr baseColWidth="10" defaultColWidth="11.19921875" defaultRowHeight="13.8" x14ac:dyDescent="0.25"/>
  <cols>
    <col min="1" max="1" width="9.69921875" style="1" customWidth="1"/>
    <col min="2" max="2" width="26.69921875" style="1" customWidth="1"/>
    <col min="3" max="4" width="22.69921875" style="1" customWidth="1"/>
    <col min="5" max="5" width="50.59765625" style="40" customWidth="1"/>
    <col min="6" max="6" width="50.59765625" style="41" customWidth="1"/>
    <col min="7" max="7" width="19.8984375" style="55" customWidth="1"/>
    <col min="8" max="8" width="50.3984375" style="1" customWidth="1"/>
    <col min="9" max="9" width="53.19921875" style="1" customWidth="1"/>
    <col min="10" max="10" width="15.8984375" style="1" customWidth="1"/>
    <col min="11" max="11" width="16" style="1" customWidth="1"/>
    <col min="12" max="13" width="14.8984375" style="1" customWidth="1"/>
    <col min="14" max="14" width="11.19921875" style="1" bestFit="1" customWidth="1"/>
    <col min="15" max="15" width="35.69921875" style="1" customWidth="1"/>
    <col min="16" max="17" width="23.5" style="1" customWidth="1"/>
    <col min="18" max="20" width="14.5" style="1" customWidth="1"/>
    <col min="21" max="21" width="19.59765625" style="55" customWidth="1"/>
    <col min="22" max="23" width="23.5" style="1" customWidth="1"/>
    <col min="24" max="24" width="14.5" style="1" customWidth="1"/>
    <col min="25" max="25" width="17.69921875" style="1" customWidth="1"/>
    <col min="26" max="26" width="14.5" style="1" customWidth="1"/>
    <col min="27" max="27" width="19.59765625" style="55" customWidth="1"/>
    <col min="28" max="28" width="15.69921875" style="1" customWidth="1"/>
    <col min="29" max="29" width="21.19921875" style="1" customWidth="1"/>
    <col min="30" max="31" width="22" style="1" customWidth="1"/>
    <col min="32" max="16384" width="11.19921875" style="1"/>
  </cols>
  <sheetData>
    <row r="1" spans="1:31" x14ac:dyDescent="0.25">
      <c r="A1" s="142"/>
      <c r="B1" s="151" t="s">
        <v>179</v>
      </c>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3"/>
      <c r="AC1" s="135" t="s">
        <v>233</v>
      </c>
      <c r="AD1" s="135"/>
      <c r="AE1" s="135"/>
    </row>
    <row r="2" spans="1:31" x14ac:dyDescent="0.25">
      <c r="A2" s="143"/>
      <c r="B2" s="154"/>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6"/>
      <c r="AC2" s="136" t="s">
        <v>36</v>
      </c>
      <c r="AD2" s="136"/>
      <c r="AE2" s="136"/>
    </row>
    <row r="3" spans="1:31" x14ac:dyDescent="0.25">
      <c r="A3" s="143"/>
      <c r="B3" s="154"/>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6"/>
      <c r="AC3" s="136" t="s">
        <v>33</v>
      </c>
      <c r="AD3" s="136"/>
      <c r="AE3" s="136"/>
    </row>
    <row r="4" spans="1:31" x14ac:dyDescent="0.25">
      <c r="A4" s="144"/>
      <c r="B4" s="154"/>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6"/>
      <c r="AC4" s="136" t="s">
        <v>32</v>
      </c>
      <c r="AD4" s="136"/>
      <c r="AE4" s="136"/>
    </row>
    <row r="5" spans="1:31" x14ac:dyDescent="0.25">
      <c r="A5" s="145" t="s">
        <v>30</v>
      </c>
      <c r="B5" s="146"/>
      <c r="C5" s="147"/>
      <c r="D5" s="148">
        <v>44586</v>
      </c>
      <c r="E5" s="149"/>
      <c r="F5" s="149"/>
      <c r="G5" s="149"/>
      <c r="H5" s="149"/>
      <c r="I5" s="149"/>
      <c r="J5" s="149"/>
      <c r="K5" s="149"/>
      <c r="L5" s="150"/>
      <c r="M5" s="2"/>
      <c r="N5" s="2"/>
      <c r="O5" s="2"/>
      <c r="P5" s="2"/>
      <c r="Q5" s="2"/>
      <c r="R5" s="2"/>
      <c r="S5" s="2"/>
      <c r="T5" s="2"/>
      <c r="U5" s="54"/>
      <c r="V5" s="2"/>
      <c r="W5" s="2"/>
      <c r="X5" s="2"/>
      <c r="Y5" s="2"/>
      <c r="Z5" s="2"/>
      <c r="AA5" s="54"/>
      <c r="AB5" s="2"/>
      <c r="AC5" s="2"/>
      <c r="AD5" s="2"/>
      <c r="AE5" s="3"/>
    </row>
    <row r="6" spans="1:31" x14ac:dyDescent="0.25">
      <c r="A6" s="145" t="s">
        <v>31</v>
      </c>
      <c r="B6" s="146"/>
      <c r="C6" s="147"/>
      <c r="D6" s="148">
        <v>44561</v>
      </c>
      <c r="E6" s="149"/>
      <c r="F6" s="149"/>
      <c r="G6" s="149"/>
      <c r="H6" s="149"/>
      <c r="I6" s="149"/>
      <c r="J6" s="149"/>
      <c r="K6" s="149"/>
      <c r="L6" s="150"/>
      <c r="M6" s="2"/>
      <c r="N6" s="2"/>
      <c r="O6" s="2"/>
      <c r="P6" s="2"/>
      <c r="Q6" s="2"/>
      <c r="R6" s="2"/>
      <c r="S6" s="2"/>
      <c r="T6" s="2"/>
      <c r="U6" s="54"/>
      <c r="V6" s="2"/>
      <c r="W6" s="2"/>
      <c r="X6" s="2"/>
      <c r="Y6" s="2"/>
      <c r="Z6" s="2"/>
      <c r="AA6" s="54"/>
      <c r="AB6" s="2"/>
      <c r="AC6" s="2"/>
      <c r="AD6" s="4"/>
      <c r="AE6" s="5"/>
    </row>
    <row r="7" spans="1:31" x14ac:dyDescent="0.25">
      <c r="A7" s="6"/>
      <c r="B7" s="160" t="s">
        <v>10</v>
      </c>
      <c r="C7" s="161"/>
      <c r="D7" s="161"/>
      <c r="E7" s="161"/>
      <c r="F7" s="162"/>
      <c r="G7" s="160" t="s">
        <v>11</v>
      </c>
      <c r="H7" s="161"/>
      <c r="I7" s="161"/>
      <c r="J7" s="161"/>
      <c r="K7" s="162"/>
      <c r="L7" s="160" t="s">
        <v>25</v>
      </c>
      <c r="M7" s="161"/>
      <c r="N7" s="162"/>
      <c r="O7" s="160" t="s">
        <v>23</v>
      </c>
      <c r="P7" s="161"/>
      <c r="Q7" s="161"/>
      <c r="R7" s="161"/>
      <c r="S7" s="161"/>
      <c r="T7" s="161"/>
      <c r="U7" s="162"/>
      <c r="V7" s="160" t="s">
        <v>17</v>
      </c>
      <c r="W7" s="161"/>
      <c r="X7" s="161"/>
      <c r="Y7" s="161"/>
      <c r="Z7" s="161"/>
      <c r="AA7" s="162"/>
      <c r="AB7" s="138" t="s">
        <v>18</v>
      </c>
      <c r="AC7" s="137" t="s">
        <v>26</v>
      </c>
      <c r="AD7" s="137" t="s">
        <v>24</v>
      </c>
      <c r="AE7" s="137"/>
    </row>
    <row r="8" spans="1:31" ht="41.4" x14ac:dyDescent="0.25">
      <c r="A8" s="7" t="s">
        <v>29</v>
      </c>
      <c r="B8" s="23" t="s">
        <v>1</v>
      </c>
      <c r="C8" s="7" t="s">
        <v>6</v>
      </c>
      <c r="D8" s="7" t="s">
        <v>2</v>
      </c>
      <c r="E8" s="23" t="s">
        <v>7</v>
      </c>
      <c r="F8" s="7" t="s">
        <v>19</v>
      </c>
      <c r="G8" s="53" t="s">
        <v>232</v>
      </c>
      <c r="H8" s="23" t="s">
        <v>3</v>
      </c>
      <c r="I8" s="23" t="s">
        <v>15</v>
      </c>
      <c r="J8" s="23" t="s">
        <v>21</v>
      </c>
      <c r="K8" s="23" t="s">
        <v>22</v>
      </c>
      <c r="L8" s="23" t="s">
        <v>4</v>
      </c>
      <c r="M8" s="23" t="s">
        <v>5</v>
      </c>
      <c r="N8" s="23" t="s">
        <v>0</v>
      </c>
      <c r="O8" s="7" t="s">
        <v>9</v>
      </c>
      <c r="P8" s="23" t="s">
        <v>35</v>
      </c>
      <c r="Q8" s="23" t="s">
        <v>8</v>
      </c>
      <c r="R8" s="23" t="s">
        <v>27</v>
      </c>
      <c r="S8" s="23" t="s">
        <v>34</v>
      </c>
      <c r="T8" s="23" t="s">
        <v>12</v>
      </c>
      <c r="U8" s="52" t="s">
        <v>20</v>
      </c>
      <c r="V8" s="23" t="s">
        <v>35</v>
      </c>
      <c r="W8" s="23" t="s">
        <v>8</v>
      </c>
      <c r="X8" s="23" t="s">
        <v>27</v>
      </c>
      <c r="Y8" s="23" t="s">
        <v>34</v>
      </c>
      <c r="Z8" s="23" t="s">
        <v>12</v>
      </c>
      <c r="AA8" s="52" t="s">
        <v>28</v>
      </c>
      <c r="AB8" s="163"/>
      <c r="AC8" s="138"/>
      <c r="AD8" s="15" t="s">
        <v>13</v>
      </c>
      <c r="AE8" s="15" t="s">
        <v>14</v>
      </c>
    </row>
    <row r="9" spans="1:31" customFormat="1" ht="89.25" customHeight="1" x14ac:dyDescent="0.25">
      <c r="A9" s="101">
        <v>1</v>
      </c>
      <c r="B9" s="12" t="s">
        <v>37</v>
      </c>
      <c r="C9" s="12" t="s">
        <v>39</v>
      </c>
      <c r="D9" s="12" t="s">
        <v>40</v>
      </c>
      <c r="E9" s="38" t="s">
        <v>41</v>
      </c>
      <c r="F9" s="42" t="s">
        <v>42</v>
      </c>
      <c r="G9" s="93">
        <v>20210680010192</v>
      </c>
      <c r="H9" s="78" t="s">
        <v>196</v>
      </c>
      <c r="I9" s="8" t="s">
        <v>197</v>
      </c>
      <c r="J9" s="11">
        <v>44497</v>
      </c>
      <c r="K9" s="11">
        <v>44561</v>
      </c>
      <c r="L9" s="25">
        <v>0</v>
      </c>
      <c r="M9" s="28">
        <v>12</v>
      </c>
      <c r="N9" s="26" t="str">
        <f>IFERROR(IF(M9/L9&gt;100%,100%,M9/L9),"-")</f>
        <v>-</v>
      </c>
      <c r="O9" s="24" t="s">
        <v>198</v>
      </c>
      <c r="P9" s="82"/>
      <c r="Q9" s="83">
        <v>62230912.310000002</v>
      </c>
      <c r="R9" s="83"/>
      <c r="S9" s="83"/>
      <c r="T9" s="84"/>
      <c r="U9" s="85">
        <f>SUM(P9:T9)</f>
        <v>62230912.310000002</v>
      </c>
      <c r="V9" s="82"/>
      <c r="W9" s="82">
        <v>62230912.310000002</v>
      </c>
      <c r="X9" s="82"/>
      <c r="Y9" s="82"/>
      <c r="Z9" s="84"/>
      <c r="AA9" s="85">
        <f>SUM(V9:Z9)</f>
        <v>62230912.310000002</v>
      </c>
      <c r="AB9" s="97">
        <f>IFERROR(AA9/U9,"-")</f>
        <v>1</v>
      </c>
      <c r="AC9" s="9"/>
      <c r="AD9" s="10" t="s">
        <v>43</v>
      </c>
      <c r="AE9" s="10" t="s">
        <v>44</v>
      </c>
    </row>
    <row r="10" spans="1:31" customFormat="1" ht="63.75" customHeight="1" x14ac:dyDescent="0.25">
      <c r="A10" s="101">
        <v>2</v>
      </c>
      <c r="B10" s="12" t="s">
        <v>37</v>
      </c>
      <c r="C10" s="12" t="s">
        <v>39</v>
      </c>
      <c r="D10" s="12" t="s">
        <v>40</v>
      </c>
      <c r="E10" s="38" t="s">
        <v>45</v>
      </c>
      <c r="F10" s="42" t="s">
        <v>46</v>
      </c>
      <c r="G10" s="94"/>
      <c r="H10" s="79" t="s">
        <v>230</v>
      </c>
      <c r="I10" s="8"/>
      <c r="J10" s="119">
        <v>44210</v>
      </c>
      <c r="K10" s="119">
        <v>44561</v>
      </c>
      <c r="L10" s="133">
        <v>32276</v>
      </c>
      <c r="M10" s="140">
        <v>34854</v>
      </c>
      <c r="N10" s="125">
        <f>IFERROR(IF(M10/L10&gt;100%,100%,M10/L10),"-")</f>
        <v>1</v>
      </c>
      <c r="O10" s="24" t="s">
        <v>47</v>
      </c>
      <c r="P10" s="86">
        <v>337316568.69999999</v>
      </c>
      <c r="Q10" s="83">
        <f>111367300+32982901.5</f>
        <v>144350201.5</v>
      </c>
      <c r="R10" s="83"/>
      <c r="S10" s="83"/>
      <c r="T10" s="84"/>
      <c r="U10" s="127">
        <f>SUM(P10:T11)</f>
        <v>20657593894.300003</v>
      </c>
      <c r="V10" s="82"/>
      <c r="W10" s="82"/>
      <c r="X10" s="82"/>
      <c r="Y10" s="82"/>
      <c r="Z10" s="84"/>
      <c r="AA10" s="127">
        <f>SUM(V10:Z11)</f>
        <v>19893899686.590004</v>
      </c>
      <c r="AB10" s="108">
        <f>IFERROR(AA10/U10,"-")</f>
        <v>0.96303082480865676</v>
      </c>
      <c r="AC10" s="110"/>
      <c r="AD10" s="104" t="s">
        <v>43</v>
      </c>
      <c r="AE10" s="106" t="s">
        <v>44</v>
      </c>
    </row>
    <row r="11" spans="1:31" customFormat="1" ht="163.19999999999999" customHeight="1" x14ac:dyDescent="0.25">
      <c r="A11" s="101">
        <v>2</v>
      </c>
      <c r="B11" s="12" t="s">
        <v>37</v>
      </c>
      <c r="C11" s="12" t="s">
        <v>39</v>
      </c>
      <c r="D11" s="12" t="s">
        <v>40</v>
      </c>
      <c r="E11" s="38" t="s">
        <v>45</v>
      </c>
      <c r="F11" s="42" t="s">
        <v>46</v>
      </c>
      <c r="G11" s="93">
        <v>20200680010064</v>
      </c>
      <c r="H11" s="78" t="s">
        <v>48</v>
      </c>
      <c r="I11" s="8" t="s">
        <v>49</v>
      </c>
      <c r="J11" s="120"/>
      <c r="K11" s="120"/>
      <c r="L11" s="134"/>
      <c r="M11" s="141"/>
      <c r="N11" s="126"/>
      <c r="O11" s="14" t="s">
        <v>50</v>
      </c>
      <c r="P11" s="86">
        <v>9239064251.2999992</v>
      </c>
      <c r="Q11" s="86">
        <v>10936862872.800001</v>
      </c>
      <c r="R11" s="86"/>
      <c r="S11" s="86"/>
      <c r="T11" s="84"/>
      <c r="U11" s="128"/>
      <c r="V11" s="86">
        <v>8957036813.7900009</v>
      </c>
      <c r="W11" s="86">
        <v>10936862872.800001</v>
      </c>
      <c r="X11" s="82"/>
      <c r="Y11" s="82"/>
      <c r="Z11" s="84"/>
      <c r="AA11" s="128"/>
      <c r="AB11" s="109"/>
      <c r="AC11" s="111"/>
      <c r="AD11" s="105"/>
      <c r="AE11" s="107"/>
    </row>
    <row r="12" spans="1:31" customFormat="1" ht="159.6" customHeight="1" x14ac:dyDescent="0.25">
      <c r="A12" s="101">
        <v>3</v>
      </c>
      <c r="B12" s="12" t="s">
        <v>37</v>
      </c>
      <c r="C12" s="12" t="s">
        <v>39</v>
      </c>
      <c r="D12" s="12" t="s">
        <v>40</v>
      </c>
      <c r="E12" s="38" t="s">
        <v>51</v>
      </c>
      <c r="F12" s="42" t="s">
        <v>52</v>
      </c>
      <c r="G12" s="93">
        <v>20200680010064</v>
      </c>
      <c r="H12" s="78" t="s">
        <v>48</v>
      </c>
      <c r="I12" s="8" t="s">
        <v>49</v>
      </c>
      <c r="J12" s="11">
        <v>44210</v>
      </c>
      <c r="K12" s="11">
        <v>44561</v>
      </c>
      <c r="L12" s="27">
        <v>1</v>
      </c>
      <c r="M12" s="66">
        <v>1</v>
      </c>
      <c r="N12" s="26">
        <f>IFERROR(IF(M12/L12&gt;100%,100%,M12/L12),"-")</f>
        <v>1</v>
      </c>
      <c r="O12" s="29" t="s">
        <v>53</v>
      </c>
      <c r="P12" s="82"/>
      <c r="Q12" s="86">
        <v>783626041.39999998</v>
      </c>
      <c r="R12" s="86"/>
      <c r="S12" s="86"/>
      <c r="T12" s="84"/>
      <c r="U12" s="85">
        <f>SUM(P12:T12)</f>
        <v>783626041.39999998</v>
      </c>
      <c r="V12" s="82"/>
      <c r="W12" s="86">
        <v>783626041.39999998</v>
      </c>
      <c r="X12" s="82"/>
      <c r="Y12" s="82"/>
      <c r="Z12" s="84"/>
      <c r="AA12" s="85">
        <f>SUM(V12:Z12)</f>
        <v>783626041.39999998</v>
      </c>
      <c r="AB12" s="97">
        <f>IFERROR(AA12/U12,"-")</f>
        <v>1</v>
      </c>
      <c r="AC12" s="9"/>
      <c r="AD12" s="30" t="s">
        <v>43</v>
      </c>
      <c r="AE12" s="10" t="s">
        <v>44</v>
      </c>
    </row>
    <row r="13" spans="1:31" customFormat="1" ht="81.75" customHeight="1" x14ac:dyDescent="0.25">
      <c r="A13" s="101">
        <v>4</v>
      </c>
      <c r="B13" s="12" t="s">
        <v>37</v>
      </c>
      <c r="C13" s="12" t="s">
        <v>39</v>
      </c>
      <c r="D13" s="12" t="s">
        <v>40</v>
      </c>
      <c r="E13" s="38" t="s">
        <v>54</v>
      </c>
      <c r="F13" s="43" t="s">
        <v>55</v>
      </c>
      <c r="G13" s="93">
        <v>20210680010073</v>
      </c>
      <c r="H13" s="78" t="s">
        <v>184</v>
      </c>
      <c r="I13" s="8" t="s">
        <v>56</v>
      </c>
      <c r="J13" s="11">
        <v>44426</v>
      </c>
      <c r="K13" s="11">
        <v>44561</v>
      </c>
      <c r="L13" s="133">
        <v>3335</v>
      </c>
      <c r="M13" s="140">
        <v>3421</v>
      </c>
      <c r="N13" s="125">
        <f>IFERROR(IF(M13/L13&gt;100%,100%,M13/L13),"-")</f>
        <v>1</v>
      </c>
      <c r="O13" s="32" t="s">
        <v>182</v>
      </c>
      <c r="P13" s="82"/>
      <c r="Q13" s="82">
        <f>89410888</f>
        <v>89410888</v>
      </c>
      <c r="R13" s="82"/>
      <c r="S13" s="82"/>
      <c r="T13" s="84"/>
      <c r="U13" s="127">
        <f>SUM(P13:T14)</f>
        <v>89571452</v>
      </c>
      <c r="V13" s="82"/>
      <c r="W13" s="82">
        <f>89410888</f>
        <v>89410888</v>
      </c>
      <c r="X13" s="82"/>
      <c r="Y13" s="82"/>
      <c r="Z13" s="84"/>
      <c r="AA13" s="127">
        <f>SUM(V13:Z14)</f>
        <v>89410888</v>
      </c>
      <c r="AB13" s="108">
        <f>IFERROR(AA13/U13,"-")</f>
        <v>0.99820741992660789</v>
      </c>
      <c r="AC13" s="110"/>
      <c r="AD13" s="104" t="s">
        <v>43</v>
      </c>
      <c r="AE13" s="106" t="s">
        <v>44</v>
      </c>
    </row>
    <row r="14" spans="1:31" customFormat="1" ht="60" x14ac:dyDescent="0.25">
      <c r="A14" s="101">
        <v>4</v>
      </c>
      <c r="B14" s="12" t="s">
        <v>37</v>
      </c>
      <c r="C14" s="12" t="s">
        <v>39</v>
      </c>
      <c r="D14" s="12" t="s">
        <v>40</v>
      </c>
      <c r="E14" s="38" t="s">
        <v>54</v>
      </c>
      <c r="F14" s="43" t="s">
        <v>55</v>
      </c>
      <c r="G14" s="93"/>
      <c r="H14" s="79" t="s">
        <v>230</v>
      </c>
      <c r="I14" s="8"/>
      <c r="J14" s="11"/>
      <c r="K14" s="11"/>
      <c r="L14" s="134"/>
      <c r="M14" s="141"/>
      <c r="N14" s="126"/>
      <c r="O14" s="32" t="s">
        <v>185</v>
      </c>
      <c r="P14" s="82"/>
      <c r="Q14" s="82">
        <v>160564</v>
      </c>
      <c r="R14" s="82"/>
      <c r="S14" s="82"/>
      <c r="T14" s="84"/>
      <c r="U14" s="128"/>
      <c r="V14" s="82"/>
      <c r="W14" s="82"/>
      <c r="X14" s="82"/>
      <c r="Y14" s="82"/>
      <c r="Z14" s="84"/>
      <c r="AA14" s="128"/>
      <c r="AB14" s="109"/>
      <c r="AC14" s="111"/>
      <c r="AD14" s="105"/>
      <c r="AE14" s="107"/>
    </row>
    <row r="15" spans="1:31" customFormat="1" ht="69.75" customHeight="1" x14ac:dyDescent="0.25">
      <c r="A15" s="101">
        <v>5</v>
      </c>
      <c r="B15" s="12" t="s">
        <v>37</v>
      </c>
      <c r="C15" s="12" t="s">
        <v>39</v>
      </c>
      <c r="D15" s="12" t="s">
        <v>40</v>
      </c>
      <c r="E15" s="38" t="s">
        <v>57</v>
      </c>
      <c r="F15" s="43" t="s">
        <v>58</v>
      </c>
      <c r="G15" s="95"/>
      <c r="H15" s="79" t="s">
        <v>230</v>
      </c>
      <c r="I15" s="8"/>
      <c r="J15" s="14"/>
      <c r="K15" s="14"/>
      <c r="L15" s="133">
        <v>10</v>
      </c>
      <c r="M15" s="131">
        <v>31</v>
      </c>
      <c r="N15" s="125">
        <f>IFERROR(IF(M15/L15&gt;100%,100%,M15/L15),"-")</f>
        <v>1</v>
      </c>
      <c r="O15" s="32" t="s">
        <v>224</v>
      </c>
      <c r="P15" s="82">
        <v>137163.53000000099</v>
      </c>
      <c r="Q15" s="82">
        <f>201470.46+229393430-21919432.05</f>
        <v>207675468.41</v>
      </c>
      <c r="R15" s="82"/>
      <c r="S15" s="82"/>
      <c r="T15" s="84"/>
      <c r="U15" s="127">
        <f>SUM(P15:T19)</f>
        <v>3808886597.1103497</v>
      </c>
      <c r="V15" s="82"/>
      <c r="W15" s="82"/>
      <c r="X15" s="82"/>
      <c r="Y15" s="82"/>
      <c r="Z15" s="84"/>
      <c r="AA15" s="127">
        <f>SUM(V15:Z19)</f>
        <v>3601073965.1503506</v>
      </c>
      <c r="AB15" s="108">
        <f>IFERROR(AA15/U15,"-")</f>
        <v>0.94544005796401021</v>
      </c>
      <c r="AC15" s="110"/>
      <c r="AD15" s="104" t="s">
        <v>43</v>
      </c>
      <c r="AE15" s="106" t="s">
        <v>44</v>
      </c>
    </row>
    <row r="16" spans="1:31" customFormat="1" ht="69.75" customHeight="1" x14ac:dyDescent="0.25">
      <c r="A16" s="101">
        <v>5</v>
      </c>
      <c r="B16" s="12" t="s">
        <v>37</v>
      </c>
      <c r="C16" s="12" t="s">
        <v>39</v>
      </c>
      <c r="D16" s="12" t="s">
        <v>40</v>
      </c>
      <c r="E16" s="38" t="s">
        <v>57</v>
      </c>
      <c r="F16" s="43" t="s">
        <v>58</v>
      </c>
      <c r="G16" s="93">
        <v>20210680010073</v>
      </c>
      <c r="H16" s="78" t="s">
        <v>184</v>
      </c>
      <c r="I16" s="8" t="s">
        <v>194</v>
      </c>
      <c r="J16" s="11">
        <v>44426</v>
      </c>
      <c r="K16" s="11">
        <v>44561</v>
      </c>
      <c r="L16" s="164"/>
      <c r="M16" s="158"/>
      <c r="N16" s="159"/>
      <c r="O16" s="32" t="s">
        <v>193</v>
      </c>
      <c r="P16" s="82"/>
      <c r="Q16" s="82">
        <v>97570864</v>
      </c>
      <c r="R16" s="82"/>
      <c r="S16" s="82"/>
      <c r="T16" s="84"/>
      <c r="U16" s="139"/>
      <c r="V16" s="82"/>
      <c r="W16" s="82">
        <v>97570864</v>
      </c>
      <c r="X16" s="82"/>
      <c r="Y16" s="82"/>
      <c r="Z16" s="84"/>
      <c r="AA16" s="139"/>
      <c r="AB16" s="112"/>
      <c r="AC16" s="118"/>
      <c r="AD16" s="117"/>
      <c r="AE16" s="116"/>
    </row>
    <row r="17" spans="1:31" customFormat="1" ht="102" customHeight="1" x14ac:dyDescent="0.25">
      <c r="A17" s="101">
        <v>5</v>
      </c>
      <c r="B17" s="12" t="s">
        <v>37</v>
      </c>
      <c r="C17" s="12" t="s">
        <v>39</v>
      </c>
      <c r="D17" s="12" t="s">
        <v>40</v>
      </c>
      <c r="E17" s="38" t="s">
        <v>57</v>
      </c>
      <c r="F17" s="43" t="s">
        <v>58</v>
      </c>
      <c r="G17" s="96">
        <v>20210680010032</v>
      </c>
      <c r="H17" s="69" t="s">
        <v>59</v>
      </c>
      <c r="I17" s="8" t="s">
        <v>60</v>
      </c>
      <c r="J17" s="11">
        <v>44278</v>
      </c>
      <c r="K17" s="11">
        <v>44561</v>
      </c>
      <c r="L17" s="164"/>
      <c r="M17" s="158"/>
      <c r="N17" s="159"/>
      <c r="O17" s="32" t="s">
        <v>61</v>
      </c>
      <c r="P17" s="82"/>
      <c r="Q17" s="82">
        <v>1839538026.72035</v>
      </c>
      <c r="R17" s="82"/>
      <c r="S17" s="82"/>
      <c r="T17" s="84"/>
      <c r="U17" s="139"/>
      <c r="V17" s="82"/>
      <c r="W17" s="82">
        <v>1839538026.72035</v>
      </c>
      <c r="X17" s="82"/>
      <c r="Y17" s="82"/>
      <c r="Z17" s="84"/>
      <c r="AA17" s="139"/>
      <c r="AB17" s="112"/>
      <c r="AC17" s="118"/>
      <c r="AD17" s="117"/>
      <c r="AE17" s="116"/>
    </row>
    <row r="18" spans="1:31" customFormat="1" ht="135" customHeight="1" x14ac:dyDescent="0.25">
      <c r="A18" s="101">
        <v>5</v>
      </c>
      <c r="B18" s="12" t="s">
        <v>37</v>
      </c>
      <c r="C18" s="12" t="s">
        <v>39</v>
      </c>
      <c r="D18" s="12" t="s">
        <v>40</v>
      </c>
      <c r="E18" s="38" t="s">
        <v>57</v>
      </c>
      <c r="F18" s="43" t="s">
        <v>58</v>
      </c>
      <c r="G18" s="96">
        <v>20210680010084</v>
      </c>
      <c r="H18" s="69" t="s">
        <v>186</v>
      </c>
      <c r="I18" s="8" t="s">
        <v>188</v>
      </c>
      <c r="J18" s="11">
        <v>44435</v>
      </c>
      <c r="K18" s="11" t="s">
        <v>187</v>
      </c>
      <c r="L18" s="164"/>
      <c r="M18" s="158"/>
      <c r="N18" s="159"/>
      <c r="O18" s="32" t="s">
        <v>173</v>
      </c>
      <c r="P18" s="82">
        <v>68656819.170000002</v>
      </c>
      <c r="Q18" s="82"/>
      <c r="R18" s="82"/>
      <c r="S18" s="82"/>
      <c r="T18" s="84"/>
      <c r="U18" s="139"/>
      <c r="V18" s="82">
        <v>68656819.170000002</v>
      </c>
      <c r="W18" s="82"/>
      <c r="X18" s="82"/>
      <c r="Y18" s="82"/>
      <c r="Z18" s="84"/>
      <c r="AA18" s="139"/>
      <c r="AB18" s="112"/>
      <c r="AC18" s="118"/>
      <c r="AD18" s="117"/>
      <c r="AE18" s="116"/>
    </row>
    <row r="19" spans="1:31" customFormat="1" ht="90.75" customHeight="1" x14ac:dyDescent="0.25">
      <c r="A19" s="101">
        <v>5</v>
      </c>
      <c r="B19" s="12" t="s">
        <v>37</v>
      </c>
      <c r="C19" s="12" t="s">
        <v>39</v>
      </c>
      <c r="D19" s="12" t="s">
        <v>40</v>
      </c>
      <c r="E19" s="38" t="s">
        <v>57</v>
      </c>
      <c r="F19" s="43" t="s">
        <v>58</v>
      </c>
      <c r="G19" s="96">
        <v>20210680010117</v>
      </c>
      <c r="H19" s="69" t="s">
        <v>205</v>
      </c>
      <c r="I19" s="8" t="s">
        <v>206</v>
      </c>
      <c r="J19" s="50">
        <v>44477</v>
      </c>
      <c r="K19" s="50">
        <v>44561</v>
      </c>
      <c r="L19" s="134"/>
      <c r="M19" s="132"/>
      <c r="N19" s="126"/>
      <c r="O19" s="51" t="s">
        <v>210</v>
      </c>
      <c r="P19" s="82">
        <v>1040144569</v>
      </c>
      <c r="Q19" s="87">
        <f>95676637+21919432.05+437567617.23</f>
        <v>555163686.27999997</v>
      </c>
      <c r="R19" s="87"/>
      <c r="S19" s="87"/>
      <c r="T19" s="84"/>
      <c r="U19" s="128"/>
      <c r="V19" s="82">
        <v>1040144569</v>
      </c>
      <c r="W19" s="82">
        <f>117596069.03+437567617.23</f>
        <v>555163686.25999999</v>
      </c>
      <c r="X19" s="82"/>
      <c r="Y19" s="82"/>
      <c r="Z19" s="84"/>
      <c r="AA19" s="128"/>
      <c r="AB19" s="109"/>
      <c r="AC19" s="111"/>
      <c r="AD19" s="105"/>
      <c r="AE19" s="107"/>
    </row>
    <row r="20" spans="1:31" customFormat="1" ht="78" x14ac:dyDescent="0.25">
      <c r="A20" s="101">
        <v>6</v>
      </c>
      <c r="B20" s="12" t="s">
        <v>37</v>
      </c>
      <c r="C20" s="12" t="s">
        <v>39</v>
      </c>
      <c r="D20" s="12" t="s">
        <v>40</v>
      </c>
      <c r="E20" s="38" t="s">
        <v>62</v>
      </c>
      <c r="F20" s="43" t="s">
        <v>63</v>
      </c>
      <c r="G20" s="96">
        <v>20200680010026</v>
      </c>
      <c r="H20" s="78" t="s">
        <v>64</v>
      </c>
      <c r="I20" s="80" t="s">
        <v>65</v>
      </c>
      <c r="J20" s="11">
        <v>44210</v>
      </c>
      <c r="K20" s="11">
        <v>44561</v>
      </c>
      <c r="L20" s="121">
        <v>1</v>
      </c>
      <c r="M20" s="123">
        <v>1</v>
      </c>
      <c r="N20" s="125">
        <f>IFERROR(IF(M20/L20&gt;100%,100%,M20/L20),"-")</f>
        <v>1</v>
      </c>
      <c r="O20" s="32" t="s">
        <v>66</v>
      </c>
      <c r="P20" s="88">
        <v>249284228.30000001</v>
      </c>
      <c r="Q20" s="87">
        <v>31440771.699999999</v>
      </c>
      <c r="R20" s="82"/>
      <c r="S20" s="82"/>
      <c r="T20" s="84"/>
      <c r="U20" s="127">
        <f>SUM(P20:T21)</f>
        <v>283165087.49000001</v>
      </c>
      <c r="V20" s="87">
        <v>249284227.63999999</v>
      </c>
      <c r="W20" s="87">
        <v>31440771.699999999</v>
      </c>
      <c r="X20" s="82"/>
      <c r="Y20" s="82"/>
      <c r="Z20" s="84"/>
      <c r="AA20" s="127">
        <f>SUM(V20:Z21)</f>
        <v>280724999.33999997</v>
      </c>
      <c r="AB20" s="108">
        <f>IFERROR(AA20/U20,"-")</f>
        <v>0.99138280721105421</v>
      </c>
      <c r="AC20" s="110"/>
      <c r="AD20" s="104" t="s">
        <v>43</v>
      </c>
      <c r="AE20" s="106" t="s">
        <v>44</v>
      </c>
    </row>
    <row r="21" spans="1:31" customFormat="1" ht="78" x14ac:dyDescent="0.25">
      <c r="A21" s="101">
        <v>6</v>
      </c>
      <c r="B21" s="12" t="s">
        <v>37</v>
      </c>
      <c r="C21" s="12" t="s">
        <v>39</v>
      </c>
      <c r="D21" s="12" t="s">
        <v>40</v>
      </c>
      <c r="E21" s="38" t="s">
        <v>62</v>
      </c>
      <c r="F21" s="43" t="s">
        <v>63</v>
      </c>
      <c r="G21" s="96"/>
      <c r="H21" s="79" t="s">
        <v>230</v>
      </c>
      <c r="I21" s="80"/>
      <c r="J21" s="11"/>
      <c r="K21" s="11"/>
      <c r="L21" s="122"/>
      <c r="M21" s="124"/>
      <c r="N21" s="126"/>
      <c r="O21" s="32" t="s">
        <v>189</v>
      </c>
      <c r="P21" s="88"/>
      <c r="Q21" s="87">
        <v>2440087.4899999984</v>
      </c>
      <c r="R21" s="82"/>
      <c r="S21" s="82"/>
      <c r="T21" s="84"/>
      <c r="U21" s="128"/>
      <c r="V21" s="82"/>
      <c r="W21" s="87"/>
      <c r="X21" s="82"/>
      <c r="Y21" s="82"/>
      <c r="Z21" s="84"/>
      <c r="AA21" s="128"/>
      <c r="AB21" s="109"/>
      <c r="AC21" s="111"/>
      <c r="AD21" s="105"/>
      <c r="AE21" s="107"/>
    </row>
    <row r="22" spans="1:31" customFormat="1" ht="109.2" x14ac:dyDescent="0.25">
      <c r="A22" s="101">
        <v>7</v>
      </c>
      <c r="B22" s="12" t="s">
        <v>37</v>
      </c>
      <c r="C22" s="12" t="s">
        <v>39</v>
      </c>
      <c r="D22" s="12" t="s">
        <v>40</v>
      </c>
      <c r="E22" s="38" t="s">
        <v>67</v>
      </c>
      <c r="F22" s="43" t="s">
        <v>68</v>
      </c>
      <c r="G22" s="96">
        <v>20200680010026</v>
      </c>
      <c r="H22" s="78" t="s">
        <v>64</v>
      </c>
      <c r="I22" s="80" t="s">
        <v>65</v>
      </c>
      <c r="J22" s="11">
        <v>44210</v>
      </c>
      <c r="K22" s="11">
        <v>44561</v>
      </c>
      <c r="L22" s="121">
        <v>1</v>
      </c>
      <c r="M22" s="123">
        <v>1</v>
      </c>
      <c r="N22" s="125">
        <f>IFERROR(IF(M22/L22&gt;100%,100%,M22/L22),"-")</f>
        <v>1</v>
      </c>
      <c r="O22" s="32" t="s">
        <v>69</v>
      </c>
      <c r="P22" s="87"/>
      <c r="Q22" s="82">
        <v>779426669.29999995</v>
      </c>
      <c r="R22" s="82"/>
      <c r="S22" s="82"/>
      <c r="T22" s="84"/>
      <c r="U22" s="127">
        <f>SUM(P22:T23)</f>
        <v>815795745.80999994</v>
      </c>
      <c r="V22" s="82"/>
      <c r="W22" s="82">
        <v>771120002.30999994</v>
      </c>
      <c r="X22" s="82"/>
      <c r="Y22" s="82"/>
      <c r="Z22" s="84"/>
      <c r="AA22" s="127">
        <f>SUM(V22:Z23)</f>
        <v>771120002.30999994</v>
      </c>
      <c r="AB22" s="108">
        <f>IFERROR(AA22/U22,"-")</f>
        <v>0.94523660643064322</v>
      </c>
      <c r="AC22" s="110"/>
      <c r="AD22" s="104" t="s">
        <v>43</v>
      </c>
      <c r="AE22" s="106" t="s">
        <v>44</v>
      </c>
    </row>
    <row r="23" spans="1:31" customFormat="1" ht="109.2" x14ac:dyDescent="0.25">
      <c r="A23" s="101">
        <v>7</v>
      </c>
      <c r="B23" s="12" t="s">
        <v>37</v>
      </c>
      <c r="C23" s="12" t="s">
        <v>39</v>
      </c>
      <c r="D23" s="12" t="s">
        <v>40</v>
      </c>
      <c r="E23" s="38" t="s">
        <v>67</v>
      </c>
      <c r="F23" s="43" t="s">
        <v>68</v>
      </c>
      <c r="G23" s="96"/>
      <c r="H23" s="79" t="s">
        <v>230</v>
      </c>
      <c r="I23" s="80"/>
      <c r="J23" s="63"/>
      <c r="K23" s="63"/>
      <c r="L23" s="122"/>
      <c r="M23" s="124"/>
      <c r="N23" s="126"/>
      <c r="O23" s="32" t="s">
        <v>189</v>
      </c>
      <c r="P23" s="87"/>
      <c r="Q23" s="87">
        <v>36369076.510000005</v>
      </c>
      <c r="R23" s="82"/>
      <c r="S23" s="82"/>
      <c r="T23" s="84"/>
      <c r="U23" s="128"/>
      <c r="V23" s="82"/>
      <c r="W23" s="82"/>
      <c r="X23" s="82"/>
      <c r="Y23" s="82"/>
      <c r="Z23" s="84"/>
      <c r="AA23" s="128"/>
      <c r="AB23" s="109"/>
      <c r="AC23" s="111"/>
      <c r="AD23" s="105"/>
      <c r="AE23" s="107"/>
    </row>
    <row r="24" spans="1:31" customFormat="1" ht="83.4" customHeight="1" x14ac:dyDescent="0.25">
      <c r="A24" s="101">
        <v>8</v>
      </c>
      <c r="B24" s="12" t="s">
        <v>37</v>
      </c>
      <c r="C24" s="12" t="s">
        <v>39</v>
      </c>
      <c r="D24" s="12" t="s">
        <v>40</v>
      </c>
      <c r="E24" s="38" t="s">
        <v>70</v>
      </c>
      <c r="F24" s="43" t="s">
        <v>71</v>
      </c>
      <c r="G24" s="93">
        <v>20200680010135</v>
      </c>
      <c r="H24" s="69" t="s">
        <v>72</v>
      </c>
      <c r="I24" s="13" t="s">
        <v>73</v>
      </c>
      <c r="J24" s="11">
        <v>44218</v>
      </c>
      <c r="K24" s="11">
        <v>44561</v>
      </c>
      <c r="L24" s="133">
        <v>4</v>
      </c>
      <c r="M24" s="131">
        <v>4</v>
      </c>
      <c r="N24" s="125">
        <f>IFERROR(IF(M24/L24&gt;100%,100%,M24/L24),"-")</f>
        <v>1</v>
      </c>
      <c r="O24" s="33" t="s">
        <v>74</v>
      </c>
      <c r="P24" s="82">
        <v>242857335.31</v>
      </c>
      <c r="Q24" s="87"/>
      <c r="R24" s="87"/>
      <c r="S24" s="87"/>
      <c r="T24" s="84"/>
      <c r="U24" s="127">
        <f>SUM(P24:T25)</f>
        <v>310004000</v>
      </c>
      <c r="V24" s="82">
        <v>242857335.31</v>
      </c>
      <c r="W24" s="87"/>
      <c r="X24" s="87"/>
      <c r="Y24" s="87"/>
      <c r="Z24" s="84"/>
      <c r="AA24" s="127">
        <f>SUM(V24:Z25)</f>
        <v>242857335.31</v>
      </c>
      <c r="AB24" s="108">
        <f>IFERROR(AA24/U24,"-")</f>
        <v>0.78340065066902365</v>
      </c>
      <c r="AC24" s="110"/>
      <c r="AD24" s="104" t="s">
        <v>43</v>
      </c>
      <c r="AE24" s="106" t="s">
        <v>44</v>
      </c>
    </row>
    <row r="25" spans="1:31" customFormat="1" ht="83.4" customHeight="1" x14ac:dyDescent="0.25">
      <c r="A25" s="101">
        <v>8</v>
      </c>
      <c r="B25" s="12" t="s">
        <v>37</v>
      </c>
      <c r="C25" s="12" t="s">
        <v>39</v>
      </c>
      <c r="D25" s="12" t="s">
        <v>40</v>
      </c>
      <c r="E25" s="38" t="s">
        <v>70</v>
      </c>
      <c r="F25" s="43" t="s">
        <v>71</v>
      </c>
      <c r="G25" s="93"/>
      <c r="H25" s="79" t="s">
        <v>230</v>
      </c>
      <c r="I25" s="13"/>
      <c r="J25" s="11"/>
      <c r="K25" s="11"/>
      <c r="L25" s="134"/>
      <c r="M25" s="132"/>
      <c r="N25" s="126"/>
      <c r="O25" s="33" t="s">
        <v>74</v>
      </c>
      <c r="P25" s="82">
        <v>67146664.689999998</v>
      </c>
      <c r="Q25" s="87"/>
      <c r="R25" s="87"/>
      <c r="S25" s="87"/>
      <c r="T25" s="84"/>
      <c r="U25" s="128"/>
      <c r="V25" s="82"/>
      <c r="W25" s="87"/>
      <c r="X25" s="87"/>
      <c r="Y25" s="87"/>
      <c r="Z25" s="84"/>
      <c r="AA25" s="128"/>
      <c r="AB25" s="109"/>
      <c r="AC25" s="111"/>
      <c r="AD25" s="105"/>
      <c r="AE25" s="107"/>
    </row>
    <row r="26" spans="1:31" customFormat="1" ht="84.75" customHeight="1" x14ac:dyDescent="0.25">
      <c r="A26" s="101">
        <v>9</v>
      </c>
      <c r="B26" s="12" t="s">
        <v>37</v>
      </c>
      <c r="C26" s="12" t="s">
        <v>39</v>
      </c>
      <c r="D26" s="12" t="s">
        <v>40</v>
      </c>
      <c r="E26" s="38" t="s">
        <v>75</v>
      </c>
      <c r="F26" s="43" t="s">
        <v>76</v>
      </c>
      <c r="G26" s="93">
        <v>20200680010092</v>
      </c>
      <c r="H26" s="69" t="s">
        <v>77</v>
      </c>
      <c r="I26" s="8" t="s">
        <v>78</v>
      </c>
      <c r="J26" s="11">
        <v>44208</v>
      </c>
      <c r="K26" s="11">
        <v>44561</v>
      </c>
      <c r="L26" s="59">
        <v>2664</v>
      </c>
      <c r="M26" s="103">
        <v>2556</v>
      </c>
      <c r="N26" s="58">
        <f>IFERROR(IF(M26/L26&gt;100%,100%,M26/L26),"-")</f>
        <v>0.95945945945945943</v>
      </c>
      <c r="O26" s="32" t="s">
        <v>79</v>
      </c>
      <c r="P26" s="82">
        <v>3321331218</v>
      </c>
      <c r="Q26" s="87"/>
      <c r="R26" s="87"/>
      <c r="S26" s="87"/>
      <c r="T26" s="84"/>
      <c r="U26" s="89">
        <f>SUM(P26:T26)</f>
        <v>3321331218</v>
      </c>
      <c r="V26" s="82">
        <v>2087050088</v>
      </c>
      <c r="W26" s="87"/>
      <c r="X26" s="87"/>
      <c r="Y26" s="87"/>
      <c r="Z26" s="84"/>
      <c r="AA26" s="89">
        <f>SUM(V26:Z26)</f>
        <v>2087050088</v>
      </c>
      <c r="AB26" s="98">
        <f>IFERROR(AA26/U26,"-")</f>
        <v>0.62837758447251613</v>
      </c>
      <c r="AC26" s="62"/>
      <c r="AD26" s="60" t="s">
        <v>43</v>
      </c>
      <c r="AE26" s="61" t="s">
        <v>44</v>
      </c>
    </row>
    <row r="27" spans="1:31" customFormat="1" ht="75" customHeight="1" x14ac:dyDescent="0.25">
      <c r="A27" s="101">
        <v>10</v>
      </c>
      <c r="B27" s="12" t="s">
        <v>37</v>
      </c>
      <c r="C27" s="12" t="s">
        <v>39</v>
      </c>
      <c r="D27" s="12" t="s">
        <v>40</v>
      </c>
      <c r="E27" s="38" t="s">
        <v>80</v>
      </c>
      <c r="F27" s="43" t="s">
        <v>81</v>
      </c>
      <c r="G27" s="93">
        <v>20200680010090</v>
      </c>
      <c r="H27" s="69" t="s">
        <v>82</v>
      </c>
      <c r="I27" s="13" t="s">
        <v>83</v>
      </c>
      <c r="J27" s="11">
        <v>44208</v>
      </c>
      <c r="K27" s="11">
        <v>44561</v>
      </c>
      <c r="L27" s="25">
        <v>9668</v>
      </c>
      <c r="M27" s="67">
        <v>9978</v>
      </c>
      <c r="N27" s="26">
        <f>IFERROR(IF(M27/L27&gt;100%,100%,M27/L27),"-")</f>
        <v>1</v>
      </c>
      <c r="O27" s="33" t="s">
        <v>84</v>
      </c>
      <c r="P27" s="82">
        <v>1212000000</v>
      </c>
      <c r="Q27" s="82">
        <v>13147919116</v>
      </c>
      <c r="R27" s="87"/>
      <c r="S27" s="87"/>
      <c r="T27" s="84"/>
      <c r="U27" s="85">
        <f>SUM(P27:T27)</f>
        <v>14359919116</v>
      </c>
      <c r="V27" s="82">
        <v>1161315332</v>
      </c>
      <c r="W27" s="82">
        <v>13107955935</v>
      </c>
      <c r="X27" s="87"/>
      <c r="Y27" s="87"/>
      <c r="Z27" s="84"/>
      <c r="AA27" s="85">
        <f>SUM(V27:Z27)</f>
        <v>14269271267</v>
      </c>
      <c r="AB27" s="97">
        <f>IFERROR(AA27/U27,"-")</f>
        <v>0.99368744014031396</v>
      </c>
      <c r="AC27" s="9"/>
      <c r="AD27" s="30" t="s">
        <v>43</v>
      </c>
      <c r="AE27" s="10" t="s">
        <v>44</v>
      </c>
    </row>
    <row r="28" spans="1:31" customFormat="1" ht="75" x14ac:dyDescent="0.25">
      <c r="A28" s="101">
        <v>11</v>
      </c>
      <c r="B28" s="12" t="s">
        <v>37</v>
      </c>
      <c r="C28" s="12" t="s">
        <v>39</v>
      </c>
      <c r="D28" s="12" t="s">
        <v>40</v>
      </c>
      <c r="E28" s="38" t="s">
        <v>85</v>
      </c>
      <c r="F28" s="43" t="s">
        <v>86</v>
      </c>
      <c r="G28" s="93">
        <v>20210680010103</v>
      </c>
      <c r="H28" s="69" t="s">
        <v>214</v>
      </c>
      <c r="I28" s="70" t="s">
        <v>215</v>
      </c>
      <c r="J28" s="50">
        <v>44526</v>
      </c>
      <c r="K28" s="50">
        <v>44561</v>
      </c>
      <c r="L28" s="133">
        <v>7</v>
      </c>
      <c r="M28" s="131">
        <v>24</v>
      </c>
      <c r="N28" s="125">
        <f>IFERROR(IF(M28/L28&gt;100%,100%,M28/L28),"-")</f>
        <v>1</v>
      </c>
      <c r="O28" s="34" t="s">
        <v>218</v>
      </c>
      <c r="P28" s="82">
        <v>454336191.83999997</v>
      </c>
      <c r="Q28" s="82">
        <v>931401434.54999995</v>
      </c>
      <c r="R28" s="87"/>
      <c r="S28" s="87"/>
      <c r="T28" s="84"/>
      <c r="U28" s="127">
        <f>SUM(P28:T34)</f>
        <v>4837793938.3020906</v>
      </c>
      <c r="V28" s="82">
        <v>454336191.83999997</v>
      </c>
      <c r="W28" s="82">
        <v>931401434.54999995</v>
      </c>
      <c r="X28" s="82"/>
      <c r="Y28" s="82"/>
      <c r="Z28" s="84"/>
      <c r="AA28" s="127">
        <f>SUM(V28:Z34)</f>
        <v>4437074119.7420902</v>
      </c>
      <c r="AB28" s="108">
        <f>IFERROR(AA28/U28,"-")</f>
        <v>0.91716889481641706</v>
      </c>
      <c r="AC28" s="110"/>
      <c r="AD28" s="104" t="s">
        <v>43</v>
      </c>
      <c r="AE28" s="106" t="s">
        <v>44</v>
      </c>
    </row>
    <row r="29" spans="1:31" customFormat="1" ht="102" customHeight="1" x14ac:dyDescent="0.25">
      <c r="A29" s="101">
        <v>11</v>
      </c>
      <c r="B29" s="12" t="s">
        <v>37</v>
      </c>
      <c r="C29" s="12" t="s">
        <v>39</v>
      </c>
      <c r="D29" s="12" t="s">
        <v>40</v>
      </c>
      <c r="E29" s="38" t="s">
        <v>85</v>
      </c>
      <c r="F29" s="43" t="s">
        <v>86</v>
      </c>
      <c r="G29" s="93">
        <v>20210680010204</v>
      </c>
      <c r="H29" s="69" t="s">
        <v>216</v>
      </c>
      <c r="I29" s="73" t="s">
        <v>217</v>
      </c>
      <c r="J29" s="50">
        <v>44526</v>
      </c>
      <c r="K29" s="50">
        <v>44561</v>
      </c>
      <c r="L29" s="164"/>
      <c r="M29" s="158"/>
      <c r="N29" s="159"/>
      <c r="O29" s="33" t="s">
        <v>220</v>
      </c>
      <c r="P29" s="82">
        <v>1174418045.3599999</v>
      </c>
      <c r="Q29" s="82"/>
      <c r="R29" s="87"/>
      <c r="S29" s="87"/>
      <c r="T29" s="84"/>
      <c r="U29" s="139"/>
      <c r="V29" s="82">
        <v>1174418045.3599999</v>
      </c>
      <c r="W29" s="82"/>
      <c r="X29" s="82"/>
      <c r="Y29" s="82"/>
      <c r="Z29" s="84"/>
      <c r="AA29" s="139"/>
      <c r="AB29" s="112"/>
      <c r="AC29" s="118"/>
      <c r="AD29" s="117"/>
      <c r="AE29" s="116"/>
    </row>
    <row r="30" spans="1:31" customFormat="1" ht="102.6" customHeight="1" x14ac:dyDescent="0.25">
      <c r="A30" s="101">
        <v>11</v>
      </c>
      <c r="B30" s="12" t="s">
        <v>37</v>
      </c>
      <c r="C30" s="12" t="s">
        <v>39</v>
      </c>
      <c r="D30" s="12" t="s">
        <v>40</v>
      </c>
      <c r="E30" s="38" t="s">
        <v>85</v>
      </c>
      <c r="F30" s="43" t="s">
        <v>86</v>
      </c>
      <c r="G30" s="93">
        <v>20210680010032</v>
      </c>
      <c r="H30" s="69" t="s">
        <v>59</v>
      </c>
      <c r="I30" s="13" t="s">
        <v>60</v>
      </c>
      <c r="J30" s="11">
        <v>44278</v>
      </c>
      <c r="K30" s="11">
        <v>44561</v>
      </c>
      <c r="L30" s="164"/>
      <c r="M30" s="158"/>
      <c r="N30" s="159"/>
      <c r="O30" s="33" t="s">
        <v>61</v>
      </c>
      <c r="P30" s="82"/>
      <c r="Q30" s="82">
        <v>1821881063.49209</v>
      </c>
      <c r="R30" s="87"/>
      <c r="S30" s="87"/>
      <c r="T30" s="84"/>
      <c r="U30" s="139"/>
      <c r="V30" s="82"/>
      <c r="W30" s="82">
        <v>1821881063.49209</v>
      </c>
      <c r="X30" s="82"/>
      <c r="Y30" s="82"/>
      <c r="Z30" s="84"/>
      <c r="AA30" s="139"/>
      <c r="AB30" s="112"/>
      <c r="AC30" s="118"/>
      <c r="AD30" s="117"/>
      <c r="AE30" s="116"/>
    </row>
    <row r="31" spans="1:31" customFormat="1" ht="91.95" customHeight="1" x14ac:dyDescent="0.25">
      <c r="A31" s="101">
        <v>11</v>
      </c>
      <c r="B31" s="12" t="s">
        <v>37</v>
      </c>
      <c r="C31" s="12" t="s">
        <v>39</v>
      </c>
      <c r="D31" s="12" t="s">
        <v>40</v>
      </c>
      <c r="E31" s="38" t="s">
        <v>85</v>
      </c>
      <c r="F31" s="43" t="s">
        <v>86</v>
      </c>
      <c r="G31" s="93">
        <v>20210680010053</v>
      </c>
      <c r="H31" s="69" t="s">
        <v>87</v>
      </c>
      <c r="I31" s="13" t="s">
        <v>88</v>
      </c>
      <c r="J31" s="11">
        <v>44371</v>
      </c>
      <c r="K31" s="11">
        <v>44500</v>
      </c>
      <c r="L31" s="164"/>
      <c r="M31" s="158"/>
      <c r="N31" s="159"/>
      <c r="O31" s="33" t="s">
        <v>89</v>
      </c>
      <c r="P31" s="82">
        <f>40885320.77+54780161.31</f>
        <v>95665482.080000013</v>
      </c>
      <c r="Q31" s="87"/>
      <c r="R31" s="87"/>
      <c r="S31" s="87"/>
      <c r="T31" s="84"/>
      <c r="U31" s="139"/>
      <c r="V31" s="82">
        <f>40885320.77-16933.36</f>
        <v>40868387.410000004</v>
      </c>
      <c r="W31" s="82"/>
      <c r="X31" s="82"/>
      <c r="Y31" s="82"/>
      <c r="Z31" s="84"/>
      <c r="AA31" s="139"/>
      <c r="AB31" s="112"/>
      <c r="AC31" s="118"/>
      <c r="AD31" s="117"/>
      <c r="AE31" s="116"/>
    </row>
    <row r="32" spans="1:31" customFormat="1" ht="91.95" customHeight="1" x14ac:dyDescent="0.25">
      <c r="A32" s="101">
        <v>11</v>
      </c>
      <c r="B32" s="12" t="s">
        <v>37</v>
      </c>
      <c r="C32" s="12" t="s">
        <v>39</v>
      </c>
      <c r="D32" s="12" t="s">
        <v>40</v>
      </c>
      <c r="E32" s="38" t="s">
        <v>85</v>
      </c>
      <c r="F32" s="43" t="s">
        <v>86</v>
      </c>
      <c r="G32" s="93">
        <v>20210680010054</v>
      </c>
      <c r="H32" s="69" t="s">
        <v>90</v>
      </c>
      <c r="I32" s="13" t="s">
        <v>91</v>
      </c>
      <c r="J32" s="11">
        <v>44371</v>
      </c>
      <c r="K32" s="11">
        <v>44500</v>
      </c>
      <c r="L32" s="164"/>
      <c r="M32" s="158"/>
      <c r="N32" s="159"/>
      <c r="O32" s="33" t="s">
        <v>92</v>
      </c>
      <c r="P32" s="82">
        <f>92973193.83+22026837+26000921.72+12600315</f>
        <v>153601267.55000001</v>
      </c>
      <c r="Q32" s="82"/>
      <c r="R32" s="87"/>
      <c r="S32" s="87"/>
      <c r="T32" s="84"/>
      <c r="U32" s="139"/>
      <c r="V32" s="82"/>
      <c r="W32" s="82"/>
      <c r="X32" s="82"/>
      <c r="Y32" s="82"/>
      <c r="Z32" s="84"/>
      <c r="AA32" s="139"/>
      <c r="AB32" s="112"/>
      <c r="AC32" s="118"/>
      <c r="AD32" s="117"/>
      <c r="AE32" s="116"/>
    </row>
    <row r="33" spans="1:31" s="72" customFormat="1" ht="91.95" customHeight="1" x14ac:dyDescent="0.25">
      <c r="A33" s="101">
        <v>11</v>
      </c>
      <c r="B33" s="70" t="s">
        <v>37</v>
      </c>
      <c r="C33" s="70" t="s">
        <v>39</v>
      </c>
      <c r="D33" s="70" t="s">
        <v>40</v>
      </c>
      <c r="E33" s="38" t="s">
        <v>85</v>
      </c>
      <c r="F33" s="68" t="s">
        <v>86</v>
      </c>
      <c r="G33" s="93">
        <v>20210680010183</v>
      </c>
      <c r="H33" s="69" t="s">
        <v>203</v>
      </c>
      <c r="I33" s="70" t="s">
        <v>204</v>
      </c>
      <c r="J33" s="50">
        <v>44473</v>
      </c>
      <c r="K33" s="50">
        <v>44561</v>
      </c>
      <c r="L33" s="164"/>
      <c r="M33" s="158"/>
      <c r="N33" s="159"/>
      <c r="O33" s="71" t="s">
        <v>97</v>
      </c>
      <c r="P33" s="82"/>
      <c r="Q33" s="82">
        <v>14168997.09</v>
      </c>
      <c r="R33" s="87"/>
      <c r="S33" s="87"/>
      <c r="T33" s="84"/>
      <c r="U33" s="139"/>
      <c r="V33" s="82"/>
      <c r="W33" s="82">
        <v>14168997.09</v>
      </c>
      <c r="X33" s="82"/>
      <c r="Y33" s="82"/>
      <c r="Z33" s="84"/>
      <c r="AA33" s="139"/>
      <c r="AB33" s="112"/>
      <c r="AC33" s="118"/>
      <c r="AD33" s="117"/>
      <c r="AE33" s="116"/>
    </row>
    <row r="34" spans="1:31" customFormat="1" ht="60" x14ac:dyDescent="0.25">
      <c r="A34" s="101">
        <v>11</v>
      </c>
      <c r="B34" s="12" t="s">
        <v>37</v>
      </c>
      <c r="C34" s="12" t="s">
        <v>39</v>
      </c>
      <c r="D34" s="12" t="s">
        <v>40</v>
      </c>
      <c r="E34" s="38" t="s">
        <v>85</v>
      </c>
      <c r="F34" s="43" t="s">
        <v>86</v>
      </c>
      <c r="G34" s="93"/>
      <c r="H34" s="79" t="s">
        <v>230</v>
      </c>
      <c r="I34" s="13"/>
      <c r="J34" s="11"/>
      <c r="K34" s="11"/>
      <c r="L34" s="134"/>
      <c r="M34" s="132"/>
      <c r="N34" s="126"/>
      <c r="O34" s="33" t="s">
        <v>223</v>
      </c>
      <c r="P34" s="82">
        <f>192271456.32+50000.02</f>
        <v>192321456.34</v>
      </c>
      <c r="Q34" s="82"/>
      <c r="R34" s="87"/>
      <c r="S34" s="87"/>
      <c r="T34" s="84"/>
      <c r="U34" s="128"/>
      <c r="V34" s="82"/>
      <c r="W34" s="82"/>
      <c r="X34" s="87"/>
      <c r="Y34" s="87"/>
      <c r="Z34" s="84"/>
      <c r="AA34" s="128"/>
      <c r="AB34" s="109"/>
      <c r="AC34" s="111"/>
      <c r="AD34" s="105"/>
      <c r="AE34" s="107"/>
    </row>
    <row r="35" spans="1:31" customFormat="1" ht="96.75" customHeight="1" x14ac:dyDescent="0.25">
      <c r="A35" s="101">
        <v>12</v>
      </c>
      <c r="B35" s="12" t="s">
        <v>37</v>
      </c>
      <c r="C35" s="12" t="s">
        <v>39</v>
      </c>
      <c r="D35" s="12" t="s">
        <v>40</v>
      </c>
      <c r="E35" s="38" t="s">
        <v>93</v>
      </c>
      <c r="F35" s="43" t="s">
        <v>94</v>
      </c>
      <c r="G35" s="93">
        <v>20210680010057</v>
      </c>
      <c r="H35" s="69" t="s">
        <v>95</v>
      </c>
      <c r="I35" s="33" t="s">
        <v>221</v>
      </c>
      <c r="J35" s="11">
        <v>44372</v>
      </c>
      <c r="K35" s="11">
        <v>44561</v>
      </c>
      <c r="L35" s="129">
        <v>7</v>
      </c>
      <c r="M35" s="131">
        <v>14</v>
      </c>
      <c r="N35" s="125">
        <f>IFERROR(IF(M35/L35&gt;100%,100%,M35/L35),"-")</f>
        <v>1</v>
      </c>
      <c r="O35" s="33" t="s">
        <v>96</v>
      </c>
      <c r="P35" s="82">
        <v>242808278</v>
      </c>
      <c r="Q35" s="82">
        <f>1243761503.24+21049985.5+245706286.99</f>
        <v>1510517775.73</v>
      </c>
      <c r="R35" s="87"/>
      <c r="S35" s="87"/>
      <c r="T35" s="84"/>
      <c r="U35" s="127">
        <f>SUM(P35:T38)</f>
        <v>3434775399.0199995</v>
      </c>
      <c r="V35" s="82">
        <v>179824252.27000001</v>
      </c>
      <c r="W35" s="82">
        <v>1510517775.73</v>
      </c>
      <c r="X35" s="87"/>
      <c r="Y35" s="87"/>
      <c r="Z35" s="84"/>
      <c r="AA35" s="127">
        <f>SUM(V35:Z38)</f>
        <v>3014048273.5</v>
      </c>
      <c r="AB35" s="108">
        <f>IFERROR(AA35/U35,"-")</f>
        <v>0.8775095671058899</v>
      </c>
      <c r="AC35" s="110"/>
      <c r="AD35" s="104" t="s">
        <v>43</v>
      </c>
      <c r="AE35" s="104" t="s">
        <v>44</v>
      </c>
    </row>
    <row r="36" spans="1:31" customFormat="1" ht="81.75" customHeight="1" x14ac:dyDescent="0.25">
      <c r="A36" s="101">
        <v>12</v>
      </c>
      <c r="B36" s="12" t="s">
        <v>37</v>
      </c>
      <c r="C36" s="12" t="s">
        <v>39</v>
      </c>
      <c r="D36" s="12" t="s">
        <v>40</v>
      </c>
      <c r="E36" s="38" t="s">
        <v>93</v>
      </c>
      <c r="F36" s="43" t="s">
        <v>94</v>
      </c>
      <c r="G36" s="93">
        <v>20210680010103</v>
      </c>
      <c r="H36" s="69" t="s">
        <v>214</v>
      </c>
      <c r="I36" s="70" t="s">
        <v>215</v>
      </c>
      <c r="J36" s="50">
        <v>44526</v>
      </c>
      <c r="K36" s="50">
        <v>44561</v>
      </c>
      <c r="L36" s="157"/>
      <c r="M36" s="158"/>
      <c r="N36" s="159"/>
      <c r="O36" s="35" t="s">
        <v>219</v>
      </c>
      <c r="P36" s="82">
        <v>675709479.18000007</v>
      </c>
      <c r="Q36" s="87">
        <v>288075260.37</v>
      </c>
      <c r="R36" s="87"/>
      <c r="S36" s="87"/>
      <c r="T36" s="84"/>
      <c r="U36" s="139"/>
      <c r="V36" s="82">
        <v>675709479.18000007</v>
      </c>
      <c r="W36" s="87">
        <v>288075260.37</v>
      </c>
      <c r="X36" s="87"/>
      <c r="Y36" s="87"/>
      <c r="Z36" s="84"/>
      <c r="AA36" s="139"/>
      <c r="AB36" s="112"/>
      <c r="AC36" s="118"/>
      <c r="AD36" s="117"/>
      <c r="AE36" s="117"/>
    </row>
    <row r="37" spans="1:31" customFormat="1" ht="100.5" customHeight="1" x14ac:dyDescent="0.25">
      <c r="A37" s="101">
        <v>12</v>
      </c>
      <c r="B37" s="12" t="s">
        <v>37</v>
      </c>
      <c r="C37" s="12" t="s">
        <v>39</v>
      </c>
      <c r="D37" s="12" t="s">
        <v>40</v>
      </c>
      <c r="E37" s="38" t="s">
        <v>93</v>
      </c>
      <c r="F37" s="43" t="s">
        <v>94</v>
      </c>
      <c r="G37" s="93">
        <v>20210680010204</v>
      </c>
      <c r="H37" s="69" t="s">
        <v>216</v>
      </c>
      <c r="I37" s="73" t="s">
        <v>217</v>
      </c>
      <c r="J37" s="50">
        <v>44526</v>
      </c>
      <c r="K37" s="50">
        <v>44561</v>
      </c>
      <c r="L37" s="157"/>
      <c r="M37" s="158"/>
      <c r="N37" s="159"/>
      <c r="O37" s="51" t="s">
        <v>220</v>
      </c>
      <c r="P37" s="82">
        <v>359921505.95000005</v>
      </c>
      <c r="Q37" s="87"/>
      <c r="R37" s="87"/>
      <c r="S37" s="87"/>
      <c r="T37" s="84"/>
      <c r="U37" s="139"/>
      <c r="V37" s="82">
        <v>359921505.95000005</v>
      </c>
      <c r="W37" s="87"/>
      <c r="X37" s="87"/>
      <c r="Y37" s="87"/>
      <c r="Z37" s="84"/>
      <c r="AA37" s="139"/>
      <c r="AB37" s="112"/>
      <c r="AC37" s="118"/>
      <c r="AD37" s="117"/>
      <c r="AE37" s="117"/>
    </row>
    <row r="38" spans="1:31" customFormat="1" ht="60" x14ac:dyDescent="0.25">
      <c r="A38" s="101">
        <v>12</v>
      </c>
      <c r="B38" s="12" t="s">
        <v>37</v>
      </c>
      <c r="C38" s="12" t="s">
        <v>39</v>
      </c>
      <c r="D38" s="12" t="s">
        <v>40</v>
      </c>
      <c r="E38" s="38" t="s">
        <v>93</v>
      </c>
      <c r="F38" s="43" t="s">
        <v>94</v>
      </c>
      <c r="G38" s="94"/>
      <c r="H38" s="79" t="s">
        <v>230</v>
      </c>
      <c r="I38" s="33"/>
      <c r="J38" s="11"/>
      <c r="K38" s="11"/>
      <c r="L38" s="130"/>
      <c r="M38" s="132"/>
      <c r="N38" s="126"/>
      <c r="O38" s="51" t="s">
        <v>222</v>
      </c>
      <c r="P38" s="82">
        <v>357743099.79000002</v>
      </c>
      <c r="Q38" s="82"/>
      <c r="R38" s="87"/>
      <c r="S38" s="87"/>
      <c r="T38" s="84"/>
      <c r="U38" s="128"/>
      <c r="V38" s="82"/>
      <c r="W38" s="87"/>
      <c r="X38" s="87"/>
      <c r="Y38" s="87"/>
      <c r="Z38" s="84"/>
      <c r="AA38" s="128"/>
      <c r="AB38" s="109"/>
      <c r="AC38" s="111"/>
      <c r="AD38" s="105"/>
      <c r="AE38" s="105"/>
    </row>
    <row r="39" spans="1:31" customFormat="1" ht="82.2" customHeight="1" x14ac:dyDescent="0.25">
      <c r="A39" s="101">
        <v>13</v>
      </c>
      <c r="B39" s="12" t="s">
        <v>37</v>
      </c>
      <c r="C39" s="12" t="s">
        <v>39</v>
      </c>
      <c r="D39" s="12" t="s">
        <v>98</v>
      </c>
      <c r="E39" s="38" t="s">
        <v>99</v>
      </c>
      <c r="F39" s="43" t="s">
        <v>100</v>
      </c>
      <c r="G39" s="93">
        <v>20210680010100</v>
      </c>
      <c r="H39" s="78" t="s">
        <v>199</v>
      </c>
      <c r="I39" s="33" t="s">
        <v>101</v>
      </c>
      <c r="J39" s="11">
        <v>44221</v>
      </c>
      <c r="K39" s="11">
        <v>44528</v>
      </c>
      <c r="L39" s="25">
        <v>47</v>
      </c>
      <c r="M39" s="31">
        <v>47</v>
      </c>
      <c r="N39" s="26">
        <f>IFERROR(IF(M39/L39&gt;100%,100%,M39/L39),"-")</f>
        <v>1</v>
      </c>
      <c r="O39" s="51" t="s">
        <v>200</v>
      </c>
      <c r="P39" s="82">
        <v>1000000</v>
      </c>
      <c r="Q39" s="87"/>
      <c r="R39" s="87"/>
      <c r="S39" s="87"/>
      <c r="T39" s="84"/>
      <c r="U39" s="85">
        <f>SUM(P39:T39)</f>
        <v>1000000</v>
      </c>
      <c r="V39" s="82">
        <v>1000000</v>
      </c>
      <c r="W39" s="87"/>
      <c r="X39" s="87"/>
      <c r="Y39" s="87"/>
      <c r="Z39" s="84"/>
      <c r="AA39" s="85">
        <f>SUM(V39:Z39)</f>
        <v>1000000</v>
      </c>
      <c r="AB39" s="97">
        <f>IFERROR(AA39/U39,"-")</f>
        <v>1</v>
      </c>
      <c r="AC39" s="9"/>
      <c r="AD39" s="30" t="s">
        <v>43</v>
      </c>
      <c r="AE39" s="10" t="s">
        <v>44</v>
      </c>
    </row>
    <row r="40" spans="1:31" customFormat="1" ht="171.6" customHeight="1" x14ac:dyDescent="0.25">
      <c r="A40" s="101">
        <v>14</v>
      </c>
      <c r="B40" s="12" t="s">
        <v>37</v>
      </c>
      <c r="C40" s="12" t="s">
        <v>39</v>
      </c>
      <c r="D40" s="12" t="s">
        <v>98</v>
      </c>
      <c r="E40" s="38" t="s">
        <v>102</v>
      </c>
      <c r="F40" s="43" t="s">
        <v>103</v>
      </c>
      <c r="G40" s="96">
        <v>20200680010076</v>
      </c>
      <c r="H40" s="78" t="s">
        <v>104</v>
      </c>
      <c r="I40" s="13" t="s">
        <v>105</v>
      </c>
      <c r="J40" s="11">
        <v>44210</v>
      </c>
      <c r="K40" s="11">
        <v>44561</v>
      </c>
      <c r="L40" s="133">
        <v>47</v>
      </c>
      <c r="M40" s="131">
        <v>47</v>
      </c>
      <c r="N40" s="125">
        <f>IFERROR(IF(M40/L40&gt;100%,100%,M40/L40),"-")</f>
        <v>1</v>
      </c>
      <c r="O40" s="29" t="s">
        <v>225</v>
      </c>
      <c r="P40" s="82">
        <f>76566312+9006121826+417383651.71+148085996.26+2927988572</f>
        <v>12576146357.969999</v>
      </c>
      <c r="Q40" s="82">
        <f>2079319364+280571789+1274304910</f>
        <v>3634196063</v>
      </c>
      <c r="R40" s="87"/>
      <c r="S40" s="87"/>
      <c r="T40" s="84"/>
      <c r="U40" s="127">
        <f>SUM(P40:T46)</f>
        <v>248292587851.98758</v>
      </c>
      <c r="V40" s="82">
        <f>76566312+3506864730.97+8992715315</f>
        <v>12576146357.969999</v>
      </c>
      <c r="W40" s="82">
        <f>2079319364+280571789+1274304910</f>
        <v>3634196063</v>
      </c>
      <c r="X40" s="87"/>
      <c r="Y40" s="87"/>
      <c r="Z40" s="84"/>
      <c r="AA40" s="127">
        <f>SUM(V40:Z46)</f>
        <v>241449691061.95758</v>
      </c>
      <c r="AB40" s="108">
        <f>IFERROR(AA40/U40,"-")</f>
        <v>0.97244018901559315</v>
      </c>
      <c r="AC40" s="110"/>
      <c r="AD40" s="104" t="s">
        <v>43</v>
      </c>
      <c r="AE40" s="106" t="s">
        <v>44</v>
      </c>
    </row>
    <row r="41" spans="1:31" customFormat="1" ht="409.5" customHeight="1" x14ac:dyDescent="0.25">
      <c r="A41" s="101">
        <v>14</v>
      </c>
      <c r="B41" s="12" t="s">
        <v>37</v>
      </c>
      <c r="C41" s="12" t="s">
        <v>39</v>
      </c>
      <c r="D41" s="12" t="s">
        <v>98</v>
      </c>
      <c r="E41" s="38" t="s">
        <v>102</v>
      </c>
      <c r="F41" s="43" t="s">
        <v>103</v>
      </c>
      <c r="G41" s="96">
        <v>20200680010027</v>
      </c>
      <c r="H41" s="78" t="s">
        <v>106</v>
      </c>
      <c r="I41" s="13" t="s">
        <v>107</v>
      </c>
      <c r="J41" s="11">
        <v>44210</v>
      </c>
      <c r="K41" s="11">
        <v>44561</v>
      </c>
      <c r="L41" s="164"/>
      <c r="M41" s="158"/>
      <c r="N41" s="159"/>
      <c r="O41" s="32" t="s">
        <v>228</v>
      </c>
      <c r="P41" s="82">
        <v>1139356981</v>
      </c>
      <c r="Q41" s="82">
        <f>227806563744.3+11695199+10632000+3259928918.5+280746171.7-11695199-33040051-30000000-9700080-1624699861.8-393187608-202183043-1007741139-42581547-24156871-241923467.78-329610610-11518800-247412720-41237340-41237340-82427840-348408463-4313597-33216716-51980409.72-3173598-15993888-147614798</f>
        <v>226390511046.20001</v>
      </c>
      <c r="R41" s="87"/>
      <c r="S41" s="87"/>
      <c r="T41" s="84"/>
      <c r="U41" s="139"/>
      <c r="V41" s="82">
        <v>532056132</v>
      </c>
      <c r="W41" s="82">
        <v>221396223606.22</v>
      </c>
      <c r="X41" s="87"/>
      <c r="Y41" s="87"/>
      <c r="Z41" s="84"/>
      <c r="AA41" s="139"/>
      <c r="AB41" s="112"/>
      <c r="AC41" s="118"/>
      <c r="AD41" s="117"/>
      <c r="AE41" s="116"/>
    </row>
    <row r="42" spans="1:31" customFormat="1" ht="110.4" customHeight="1" x14ac:dyDescent="0.25">
      <c r="A42" s="101">
        <v>14</v>
      </c>
      <c r="B42" s="12" t="s">
        <v>37</v>
      </c>
      <c r="C42" s="12" t="s">
        <v>39</v>
      </c>
      <c r="D42" s="12" t="s">
        <v>98</v>
      </c>
      <c r="E42" s="38" t="s">
        <v>102</v>
      </c>
      <c r="F42" s="43" t="s">
        <v>103</v>
      </c>
      <c r="G42" s="93">
        <v>20210680010032</v>
      </c>
      <c r="H42" s="69" t="s">
        <v>59</v>
      </c>
      <c r="I42" s="13" t="s">
        <v>60</v>
      </c>
      <c r="J42" s="11">
        <v>44278</v>
      </c>
      <c r="K42" s="11">
        <v>44561</v>
      </c>
      <c r="L42" s="164"/>
      <c r="M42" s="158"/>
      <c r="N42" s="159"/>
      <c r="O42" s="33" t="s">
        <v>61</v>
      </c>
      <c r="P42" s="82"/>
      <c r="Q42" s="82">
        <v>1183210654.78756</v>
      </c>
      <c r="R42" s="87"/>
      <c r="S42" s="87"/>
      <c r="T42" s="84"/>
      <c r="U42" s="139"/>
      <c r="V42" s="87"/>
      <c r="W42" s="82">
        <v>1183210654.78756</v>
      </c>
      <c r="X42" s="87"/>
      <c r="Y42" s="87"/>
      <c r="Z42" s="84"/>
      <c r="AA42" s="139"/>
      <c r="AB42" s="112"/>
      <c r="AC42" s="118"/>
      <c r="AD42" s="117"/>
      <c r="AE42" s="116"/>
    </row>
    <row r="43" spans="1:31" customFormat="1" ht="131.4" customHeight="1" x14ac:dyDescent="0.25">
      <c r="A43" s="101">
        <v>14</v>
      </c>
      <c r="B43" s="12" t="s">
        <v>37</v>
      </c>
      <c r="C43" s="12" t="s">
        <v>39</v>
      </c>
      <c r="D43" s="12" t="s">
        <v>98</v>
      </c>
      <c r="E43" s="38" t="s">
        <v>102</v>
      </c>
      <c r="F43" s="43" t="s">
        <v>103</v>
      </c>
      <c r="G43" s="96">
        <v>20210680010027</v>
      </c>
      <c r="H43" s="69" t="s">
        <v>108</v>
      </c>
      <c r="I43" s="8" t="s">
        <v>109</v>
      </c>
      <c r="J43" s="11">
        <v>44267</v>
      </c>
      <c r="K43" s="11">
        <v>44530</v>
      </c>
      <c r="L43" s="164"/>
      <c r="M43" s="158"/>
      <c r="N43" s="159"/>
      <c r="O43" s="32" t="s">
        <v>183</v>
      </c>
      <c r="P43" s="82">
        <f>492131285.15+217690502.19</f>
        <v>709821787.33999991</v>
      </c>
      <c r="Q43" s="82"/>
      <c r="R43" s="87"/>
      <c r="S43" s="87"/>
      <c r="T43" s="84"/>
      <c r="U43" s="139"/>
      <c r="V43" s="87">
        <v>709821787.34000003</v>
      </c>
      <c r="W43" s="87"/>
      <c r="X43" s="87"/>
      <c r="Y43" s="87"/>
      <c r="Z43" s="84"/>
      <c r="AA43" s="139"/>
      <c r="AB43" s="112"/>
      <c r="AC43" s="118"/>
      <c r="AD43" s="117"/>
      <c r="AE43" s="116"/>
    </row>
    <row r="44" spans="1:31" customFormat="1" ht="119.25" customHeight="1" x14ac:dyDescent="0.25">
      <c r="A44" s="101">
        <v>14</v>
      </c>
      <c r="B44" s="12" t="s">
        <v>37</v>
      </c>
      <c r="C44" s="12" t="s">
        <v>39</v>
      </c>
      <c r="D44" s="12" t="s">
        <v>98</v>
      </c>
      <c r="E44" s="38" t="s">
        <v>102</v>
      </c>
      <c r="F44" s="43" t="s">
        <v>103</v>
      </c>
      <c r="G44" s="96">
        <v>20210680010042</v>
      </c>
      <c r="H44" s="69" t="s">
        <v>110</v>
      </c>
      <c r="I44" s="8" t="s">
        <v>111</v>
      </c>
      <c r="J44" s="11">
        <v>44330</v>
      </c>
      <c r="K44" s="11">
        <v>44408</v>
      </c>
      <c r="L44" s="164"/>
      <c r="M44" s="158"/>
      <c r="N44" s="159"/>
      <c r="O44" s="32" t="s">
        <v>112</v>
      </c>
      <c r="P44" s="82">
        <v>324849221</v>
      </c>
      <c r="Q44" s="82"/>
      <c r="R44" s="87"/>
      <c r="S44" s="87"/>
      <c r="T44" s="84"/>
      <c r="U44" s="139"/>
      <c r="V44" s="87">
        <v>324849221</v>
      </c>
      <c r="W44" s="87"/>
      <c r="X44" s="87"/>
      <c r="Y44" s="87"/>
      <c r="Z44" s="84"/>
      <c r="AA44" s="139"/>
      <c r="AB44" s="112"/>
      <c r="AC44" s="118"/>
      <c r="AD44" s="117"/>
      <c r="AE44" s="116"/>
    </row>
    <row r="45" spans="1:31" customFormat="1" ht="119.25" customHeight="1" x14ac:dyDescent="0.25">
      <c r="A45" s="101">
        <v>14</v>
      </c>
      <c r="B45" s="12" t="s">
        <v>37</v>
      </c>
      <c r="C45" s="12" t="s">
        <v>39</v>
      </c>
      <c r="D45" s="12" t="s">
        <v>98</v>
      </c>
      <c r="E45" s="38" t="s">
        <v>102</v>
      </c>
      <c r="F45" s="43" t="s">
        <v>103</v>
      </c>
      <c r="G45" s="96">
        <v>20210680010203</v>
      </c>
      <c r="H45" s="69" t="s">
        <v>211</v>
      </c>
      <c r="I45" s="73" t="s">
        <v>212</v>
      </c>
      <c r="J45" s="50">
        <v>44525</v>
      </c>
      <c r="K45" s="50">
        <v>44561</v>
      </c>
      <c r="L45" s="164"/>
      <c r="M45" s="158"/>
      <c r="N45" s="159"/>
      <c r="O45" s="32" t="s">
        <v>213</v>
      </c>
      <c r="P45" s="82">
        <f>1032286557.64+60900682</f>
        <v>1093187239.6399999</v>
      </c>
      <c r="Q45" s="82"/>
      <c r="R45" s="87"/>
      <c r="S45" s="87"/>
      <c r="T45" s="84"/>
      <c r="U45" s="139"/>
      <c r="V45" s="87">
        <v>1093187239.6399999</v>
      </c>
      <c r="W45" s="87"/>
      <c r="X45" s="87"/>
      <c r="Y45" s="87"/>
      <c r="Z45" s="84"/>
      <c r="AA45" s="139"/>
      <c r="AB45" s="112"/>
      <c r="AC45" s="118"/>
      <c r="AD45" s="117"/>
      <c r="AE45" s="116"/>
    </row>
    <row r="46" spans="1:31" customFormat="1" ht="114.75" customHeight="1" x14ac:dyDescent="0.25">
      <c r="A46" s="101">
        <v>14</v>
      </c>
      <c r="B46" s="12" t="s">
        <v>37</v>
      </c>
      <c r="C46" s="12" t="s">
        <v>39</v>
      </c>
      <c r="D46" s="12" t="s">
        <v>98</v>
      </c>
      <c r="E46" s="38" t="s">
        <v>102</v>
      </c>
      <c r="F46" s="43" t="s">
        <v>103</v>
      </c>
      <c r="G46" s="95"/>
      <c r="H46" s="73" t="s">
        <v>230</v>
      </c>
      <c r="I46" s="73"/>
      <c r="J46" s="50"/>
      <c r="K46" s="50"/>
      <c r="L46" s="134"/>
      <c r="M46" s="132"/>
      <c r="N46" s="126"/>
      <c r="O46" s="51" t="s">
        <v>226</v>
      </c>
      <c r="P46" s="82">
        <f>755209.50999999+30033.4399999976+1006552.9599998+5776889.14000002+47437121</f>
        <v>55005806.049999811</v>
      </c>
      <c r="Q46" s="82">
        <f>756266091+430036604</f>
        <v>1186302695</v>
      </c>
      <c r="R46" s="87"/>
      <c r="S46" s="87"/>
      <c r="T46" s="84"/>
      <c r="U46" s="128"/>
      <c r="V46" s="87"/>
      <c r="W46" s="87"/>
      <c r="X46" s="87"/>
      <c r="Y46" s="87"/>
      <c r="Z46" s="84"/>
      <c r="AA46" s="128"/>
      <c r="AB46" s="109"/>
      <c r="AC46" s="111"/>
      <c r="AD46" s="105"/>
      <c r="AE46" s="107"/>
    </row>
    <row r="47" spans="1:31" customFormat="1" ht="120" customHeight="1" x14ac:dyDescent="0.25">
      <c r="A47" s="101">
        <v>15</v>
      </c>
      <c r="B47" s="12" t="s">
        <v>37</v>
      </c>
      <c r="C47" s="12" t="s">
        <v>39</v>
      </c>
      <c r="D47" s="12" t="s">
        <v>98</v>
      </c>
      <c r="E47" s="38" t="s">
        <v>113</v>
      </c>
      <c r="F47" s="43" t="s">
        <v>114</v>
      </c>
      <c r="G47" s="93">
        <v>20200680010132</v>
      </c>
      <c r="H47" s="78" t="s">
        <v>115</v>
      </c>
      <c r="I47" s="8" t="s">
        <v>181</v>
      </c>
      <c r="J47" s="11">
        <v>44312</v>
      </c>
      <c r="K47" s="11">
        <v>44561</v>
      </c>
      <c r="L47" s="25">
        <v>250</v>
      </c>
      <c r="M47" s="31">
        <v>465</v>
      </c>
      <c r="N47" s="26">
        <f>IFERROR(IF(M47/L47&gt;100%,100%,M47/L47),"-")</f>
        <v>1</v>
      </c>
      <c r="O47" s="33" t="s">
        <v>116</v>
      </c>
      <c r="P47" s="82">
        <v>65555266.710224703</v>
      </c>
      <c r="Q47" s="82">
        <v>193579664.79662499</v>
      </c>
      <c r="R47" s="82"/>
      <c r="S47" s="82"/>
      <c r="T47" s="84"/>
      <c r="U47" s="85">
        <f>SUM(P47:T47)</f>
        <v>259134931.50684971</v>
      </c>
      <c r="V47" s="82">
        <v>65555266.710224703</v>
      </c>
      <c r="W47" s="82">
        <v>193579664.79662499</v>
      </c>
      <c r="X47" s="82"/>
      <c r="Y47" s="82"/>
      <c r="Z47" s="84"/>
      <c r="AA47" s="85">
        <f>SUM(V47:Z47)</f>
        <v>259134931.50684971</v>
      </c>
      <c r="AB47" s="97">
        <f>IFERROR(AA47/U47,"-")</f>
        <v>1</v>
      </c>
      <c r="AC47" s="9">
        <v>71021196.369863003</v>
      </c>
      <c r="AD47" s="30" t="s">
        <v>43</v>
      </c>
      <c r="AE47" s="10" t="s">
        <v>44</v>
      </c>
    </row>
    <row r="48" spans="1:31" customFormat="1" ht="114.75" customHeight="1" x14ac:dyDescent="0.25">
      <c r="A48" s="101">
        <v>16</v>
      </c>
      <c r="B48" s="12" t="s">
        <v>37</v>
      </c>
      <c r="C48" s="12" t="s">
        <v>39</v>
      </c>
      <c r="D48" s="12" t="s">
        <v>98</v>
      </c>
      <c r="E48" s="38" t="s">
        <v>117</v>
      </c>
      <c r="F48" s="43" t="s">
        <v>118</v>
      </c>
      <c r="G48" s="93">
        <v>20200680010132</v>
      </c>
      <c r="H48" s="78" t="s">
        <v>115</v>
      </c>
      <c r="I48" s="8" t="s">
        <v>180</v>
      </c>
      <c r="J48" s="11">
        <v>44312</v>
      </c>
      <c r="K48" s="11">
        <v>44561</v>
      </c>
      <c r="L48" s="25">
        <v>35000</v>
      </c>
      <c r="M48" s="67">
        <v>45631</v>
      </c>
      <c r="N48" s="26">
        <f>IFERROR(IF(M48/L48&gt;100%,100%,M48/L48),"-")</f>
        <v>1</v>
      </c>
      <c r="O48" s="33" t="s">
        <v>116</v>
      </c>
      <c r="P48" s="82">
        <v>60933405.289999999</v>
      </c>
      <c r="Q48" s="82">
        <v>179931663.20315099</v>
      </c>
      <c r="R48" s="82"/>
      <c r="S48" s="82"/>
      <c r="T48" s="84"/>
      <c r="U48" s="85">
        <f>SUM(P48:T48)</f>
        <v>240865068.49315098</v>
      </c>
      <c r="V48" s="82">
        <v>60933405.289999999</v>
      </c>
      <c r="W48" s="82">
        <v>179931663.20315099</v>
      </c>
      <c r="X48" s="82"/>
      <c r="Y48" s="82"/>
      <c r="Z48" s="84"/>
      <c r="AA48" s="85">
        <f>SUM(V48:Z48)</f>
        <v>240865068.49315098</v>
      </c>
      <c r="AB48" s="97">
        <f>IFERROR(AA48/U48,"-")</f>
        <v>1</v>
      </c>
      <c r="AC48" s="9">
        <v>186086298.630137</v>
      </c>
      <c r="AD48" s="30" t="s">
        <v>43</v>
      </c>
      <c r="AE48" s="10" t="s">
        <v>44</v>
      </c>
    </row>
    <row r="49" spans="1:31" customFormat="1" ht="81.75" customHeight="1" x14ac:dyDescent="0.25">
      <c r="A49" s="101">
        <v>17</v>
      </c>
      <c r="B49" s="12" t="s">
        <v>37</v>
      </c>
      <c r="C49" s="12" t="s">
        <v>39</v>
      </c>
      <c r="D49" s="12" t="s">
        <v>98</v>
      </c>
      <c r="E49" s="38" t="s">
        <v>119</v>
      </c>
      <c r="F49" s="37" t="s">
        <v>120</v>
      </c>
      <c r="G49" s="93">
        <v>20210680010083</v>
      </c>
      <c r="H49" s="78" t="s">
        <v>190</v>
      </c>
      <c r="I49" s="8" t="s">
        <v>121</v>
      </c>
      <c r="J49" s="11">
        <v>44435</v>
      </c>
      <c r="K49" s="11">
        <v>44561</v>
      </c>
      <c r="L49" s="133">
        <v>500</v>
      </c>
      <c r="M49" s="131">
        <f>253+420</f>
        <v>673</v>
      </c>
      <c r="N49" s="125">
        <f>IFERROR(IF(M49/L49&gt;100%,100%,M49/L49),"-")</f>
        <v>1</v>
      </c>
      <c r="O49" s="33" t="s">
        <v>122</v>
      </c>
      <c r="P49" s="82"/>
      <c r="Q49" s="82">
        <v>138515053</v>
      </c>
      <c r="R49" s="82"/>
      <c r="S49" s="82"/>
      <c r="T49" s="84"/>
      <c r="U49" s="127">
        <f>SUM(P49:T51)</f>
        <v>933387153.12</v>
      </c>
      <c r="V49" s="82"/>
      <c r="W49" s="82">
        <v>138515053</v>
      </c>
      <c r="X49" s="82"/>
      <c r="Y49" s="82"/>
      <c r="Z49" s="84"/>
      <c r="AA49" s="127">
        <f>SUM(V49:Z51)</f>
        <v>139265053</v>
      </c>
      <c r="AB49" s="108">
        <f>IFERROR(AA49/U49,"-")</f>
        <v>0.14920395308043791</v>
      </c>
      <c r="AC49" s="110"/>
      <c r="AD49" s="104" t="s">
        <v>43</v>
      </c>
      <c r="AE49" s="106" t="s">
        <v>44</v>
      </c>
    </row>
    <row r="50" spans="1:31" customFormat="1" ht="81.75" customHeight="1" x14ac:dyDescent="0.25">
      <c r="A50" s="101">
        <v>17</v>
      </c>
      <c r="B50" s="12" t="s">
        <v>37</v>
      </c>
      <c r="C50" s="12" t="s">
        <v>39</v>
      </c>
      <c r="D50" s="12" t="s">
        <v>98</v>
      </c>
      <c r="E50" s="38" t="s">
        <v>119</v>
      </c>
      <c r="F50" s="37" t="s">
        <v>120</v>
      </c>
      <c r="G50" s="93">
        <v>20210680010100</v>
      </c>
      <c r="H50" s="78" t="s">
        <v>199</v>
      </c>
      <c r="I50" s="8" t="s">
        <v>201</v>
      </c>
      <c r="J50" s="11">
        <v>44495</v>
      </c>
      <c r="K50" s="11">
        <v>44561</v>
      </c>
      <c r="L50" s="164"/>
      <c r="M50" s="158"/>
      <c r="N50" s="159"/>
      <c r="O50" s="71" t="s">
        <v>122</v>
      </c>
      <c r="P50" s="82"/>
      <c r="Q50" s="82">
        <v>750000</v>
      </c>
      <c r="R50" s="82"/>
      <c r="S50" s="82"/>
      <c r="T50" s="84"/>
      <c r="U50" s="139"/>
      <c r="V50" s="82"/>
      <c r="W50" s="82">
        <v>750000</v>
      </c>
      <c r="X50" s="82"/>
      <c r="Y50" s="82"/>
      <c r="Z50" s="84"/>
      <c r="AA50" s="139"/>
      <c r="AB50" s="112"/>
      <c r="AC50" s="118"/>
      <c r="AD50" s="117"/>
      <c r="AE50" s="116"/>
    </row>
    <row r="51" spans="1:31" customFormat="1" ht="60" x14ac:dyDescent="0.25">
      <c r="A51" s="101">
        <v>17</v>
      </c>
      <c r="B51" s="12" t="s">
        <v>37</v>
      </c>
      <c r="C51" s="12" t="s">
        <v>39</v>
      </c>
      <c r="D51" s="12" t="s">
        <v>98</v>
      </c>
      <c r="E51" s="38" t="s">
        <v>119</v>
      </c>
      <c r="F51" s="37" t="s">
        <v>120</v>
      </c>
      <c r="G51" s="94"/>
      <c r="H51" s="81" t="s">
        <v>231</v>
      </c>
      <c r="I51" s="8"/>
      <c r="J51" s="14"/>
      <c r="K51" s="14"/>
      <c r="L51" s="134"/>
      <c r="M51" s="132"/>
      <c r="N51" s="126"/>
      <c r="O51" s="51" t="s">
        <v>202</v>
      </c>
      <c r="P51" s="82">
        <f>720712175+12674978.12</f>
        <v>733387153.12</v>
      </c>
      <c r="Q51" s="82">
        <v>60734947</v>
      </c>
      <c r="R51" s="82"/>
      <c r="S51" s="90"/>
      <c r="T51" s="84"/>
      <c r="U51" s="128"/>
      <c r="V51" s="82"/>
      <c r="W51" s="82"/>
      <c r="X51" s="82"/>
      <c r="Y51" s="82"/>
      <c r="Z51" s="84"/>
      <c r="AA51" s="128"/>
      <c r="AB51" s="109"/>
      <c r="AC51" s="111"/>
      <c r="AD51" s="105"/>
      <c r="AE51" s="107"/>
    </row>
    <row r="52" spans="1:31" customFormat="1" ht="75" x14ac:dyDescent="0.25">
      <c r="A52" s="101">
        <v>18</v>
      </c>
      <c r="B52" s="12" t="s">
        <v>37</v>
      </c>
      <c r="C52" s="12" t="s">
        <v>39</v>
      </c>
      <c r="D52" s="12" t="s">
        <v>98</v>
      </c>
      <c r="E52" s="38" t="s">
        <v>123</v>
      </c>
      <c r="F52" s="43" t="s">
        <v>124</v>
      </c>
      <c r="G52" s="93">
        <v>20210680010100</v>
      </c>
      <c r="H52" s="78" t="s">
        <v>199</v>
      </c>
      <c r="I52" s="8" t="s">
        <v>125</v>
      </c>
      <c r="J52" s="11">
        <v>44221</v>
      </c>
      <c r="K52" s="11">
        <v>44528</v>
      </c>
      <c r="L52" s="25">
        <v>20</v>
      </c>
      <c r="M52" s="31">
        <v>20</v>
      </c>
      <c r="N52" s="26">
        <f t="shared" ref="N52:N61" si="0">IFERROR(IF(M52/L52&gt;100%,100%,M52/L52),"-")</f>
        <v>1</v>
      </c>
      <c r="O52" s="51" t="s">
        <v>200</v>
      </c>
      <c r="P52" s="82">
        <v>1000000</v>
      </c>
      <c r="Q52" s="82"/>
      <c r="R52" s="82"/>
      <c r="S52" s="82"/>
      <c r="T52" s="84"/>
      <c r="U52" s="85">
        <f>SUM(P52:T52)</f>
        <v>1000000</v>
      </c>
      <c r="V52" s="82">
        <v>1000000</v>
      </c>
      <c r="W52" s="82"/>
      <c r="X52" s="82"/>
      <c r="Y52" s="82"/>
      <c r="Z52" s="84"/>
      <c r="AA52" s="85">
        <f t="shared" ref="AA52:AA60" si="1">SUM(V52:Z52)</f>
        <v>1000000</v>
      </c>
      <c r="AB52" s="97">
        <f t="shared" ref="AB52:AB61" si="2">IFERROR(AA52/U52,"-")</f>
        <v>1</v>
      </c>
      <c r="AC52" s="9"/>
      <c r="AD52" s="30" t="s">
        <v>43</v>
      </c>
      <c r="AE52" s="10" t="s">
        <v>44</v>
      </c>
    </row>
    <row r="53" spans="1:31" customFormat="1" ht="79.5" customHeight="1" x14ac:dyDescent="0.25">
      <c r="A53" s="101">
        <v>19</v>
      </c>
      <c r="B53" s="12" t="s">
        <v>37</v>
      </c>
      <c r="C53" s="12" t="s">
        <v>39</v>
      </c>
      <c r="D53" s="12" t="s">
        <v>98</v>
      </c>
      <c r="E53" s="38" t="s">
        <v>126</v>
      </c>
      <c r="F53" s="43" t="s">
        <v>127</v>
      </c>
      <c r="G53" s="93">
        <v>20200680010107</v>
      </c>
      <c r="H53" s="78" t="s">
        <v>128</v>
      </c>
      <c r="I53" s="8" t="s">
        <v>129</v>
      </c>
      <c r="J53" s="11">
        <v>44356</v>
      </c>
      <c r="K53" s="11">
        <v>44561</v>
      </c>
      <c r="L53" s="25">
        <v>1</v>
      </c>
      <c r="M53" s="31">
        <v>1</v>
      </c>
      <c r="N53" s="26">
        <f t="shared" si="0"/>
        <v>1</v>
      </c>
      <c r="O53" s="33" t="s">
        <v>130</v>
      </c>
      <c r="P53" s="91"/>
      <c r="Q53" s="82">
        <v>50000000</v>
      </c>
      <c r="R53" s="82"/>
      <c r="S53" s="82"/>
      <c r="T53" s="84"/>
      <c r="U53" s="85">
        <f>SUM(Q53:T53)</f>
        <v>50000000</v>
      </c>
      <c r="V53" s="91"/>
      <c r="W53" s="82">
        <v>50000000</v>
      </c>
      <c r="X53" s="82"/>
      <c r="Y53" s="82"/>
      <c r="Z53" s="84"/>
      <c r="AA53" s="85">
        <f>SUM(W53:Z53)</f>
        <v>50000000</v>
      </c>
      <c r="AB53" s="97">
        <f t="shared" si="2"/>
        <v>1</v>
      </c>
      <c r="AC53" s="9">
        <v>29000000</v>
      </c>
      <c r="AD53" s="30" t="s">
        <v>43</v>
      </c>
      <c r="AE53" s="10" t="s">
        <v>44</v>
      </c>
    </row>
    <row r="54" spans="1:31" customFormat="1" ht="75.75" customHeight="1" x14ac:dyDescent="0.25">
      <c r="A54" s="101">
        <v>20</v>
      </c>
      <c r="B54" s="12" t="s">
        <v>37</v>
      </c>
      <c r="C54" s="12" t="s">
        <v>39</v>
      </c>
      <c r="D54" s="12" t="s">
        <v>98</v>
      </c>
      <c r="E54" s="38" t="s">
        <v>131</v>
      </c>
      <c r="F54" s="43" t="s">
        <v>132</v>
      </c>
      <c r="G54" s="93">
        <v>20200680010028</v>
      </c>
      <c r="H54" s="69" t="s">
        <v>133</v>
      </c>
      <c r="I54" s="13" t="s">
        <v>134</v>
      </c>
      <c r="J54" s="119">
        <v>44210</v>
      </c>
      <c r="K54" s="119">
        <v>44561</v>
      </c>
      <c r="L54" s="121">
        <v>1</v>
      </c>
      <c r="M54" s="123">
        <v>1</v>
      </c>
      <c r="N54" s="125">
        <f t="shared" si="0"/>
        <v>1</v>
      </c>
      <c r="O54" s="33" t="s">
        <v>135</v>
      </c>
      <c r="P54" s="82">
        <v>1073186666</v>
      </c>
      <c r="Q54" s="82"/>
      <c r="R54" s="82"/>
      <c r="S54" s="82"/>
      <c r="T54" s="84"/>
      <c r="U54" s="127">
        <f>SUM(P54:T55)</f>
        <v>1210000000</v>
      </c>
      <c r="V54" s="82">
        <v>1067490000</v>
      </c>
      <c r="W54" s="82"/>
      <c r="X54" s="82"/>
      <c r="Y54" s="82"/>
      <c r="Z54" s="84"/>
      <c r="AA54" s="127">
        <f>SUM(V54:Z55)</f>
        <v>1067490000</v>
      </c>
      <c r="AB54" s="108">
        <f>IFERROR(AA54/U54,"-")</f>
        <v>0.88222314049586781</v>
      </c>
      <c r="AC54" s="110"/>
      <c r="AD54" s="104" t="s">
        <v>43</v>
      </c>
      <c r="AE54" s="106" t="s">
        <v>44</v>
      </c>
    </row>
    <row r="55" spans="1:31" customFormat="1" ht="63.75" customHeight="1" x14ac:dyDescent="0.25">
      <c r="A55" s="101">
        <v>20</v>
      </c>
      <c r="B55" s="12" t="s">
        <v>37</v>
      </c>
      <c r="C55" s="12" t="s">
        <v>39</v>
      </c>
      <c r="D55" s="12" t="s">
        <v>98</v>
      </c>
      <c r="E55" s="38" t="s">
        <v>131</v>
      </c>
      <c r="F55" s="43" t="s">
        <v>132</v>
      </c>
      <c r="G55" s="93"/>
      <c r="H55" s="81" t="s">
        <v>230</v>
      </c>
      <c r="I55" s="13"/>
      <c r="J55" s="120"/>
      <c r="K55" s="120"/>
      <c r="L55" s="122"/>
      <c r="M55" s="124"/>
      <c r="N55" s="126"/>
      <c r="O55" s="33" t="s">
        <v>135</v>
      </c>
      <c r="P55" s="82">
        <v>136813334</v>
      </c>
      <c r="Q55" s="82"/>
      <c r="R55" s="82"/>
      <c r="S55" s="82"/>
      <c r="T55" s="84"/>
      <c r="U55" s="128"/>
      <c r="V55" s="82"/>
      <c r="W55" s="82"/>
      <c r="X55" s="82"/>
      <c r="Y55" s="82"/>
      <c r="Z55" s="84"/>
      <c r="AA55" s="128"/>
      <c r="AB55" s="109"/>
      <c r="AC55" s="111"/>
      <c r="AD55" s="105"/>
      <c r="AE55" s="107"/>
    </row>
    <row r="56" spans="1:31" customFormat="1" ht="78" x14ac:dyDescent="0.25">
      <c r="A56" s="101">
        <v>21</v>
      </c>
      <c r="B56" s="12" t="s">
        <v>37</v>
      </c>
      <c r="C56" s="12" t="s">
        <v>39</v>
      </c>
      <c r="D56" s="12" t="s">
        <v>98</v>
      </c>
      <c r="E56" s="38" t="s">
        <v>136</v>
      </c>
      <c r="F56" s="43" t="s">
        <v>137</v>
      </c>
      <c r="G56" s="93">
        <v>20200680010154</v>
      </c>
      <c r="H56" s="69" t="s">
        <v>138</v>
      </c>
      <c r="I56" s="8" t="s">
        <v>139</v>
      </c>
      <c r="J56" s="11">
        <v>44372</v>
      </c>
      <c r="K56" s="11">
        <v>44561</v>
      </c>
      <c r="L56" s="133">
        <v>1</v>
      </c>
      <c r="M56" s="131">
        <v>1</v>
      </c>
      <c r="N56" s="125">
        <f t="shared" si="0"/>
        <v>1</v>
      </c>
      <c r="O56" s="33" t="s">
        <v>140</v>
      </c>
      <c r="P56" s="82">
        <v>44716552</v>
      </c>
      <c r="Q56" s="82"/>
      <c r="R56" s="82"/>
      <c r="S56" s="82"/>
      <c r="T56" s="84"/>
      <c r="U56" s="127">
        <f>SUM(P56:T57)</f>
        <v>50000000</v>
      </c>
      <c r="V56" s="82">
        <v>44716552</v>
      </c>
      <c r="W56" s="82"/>
      <c r="X56" s="82"/>
      <c r="Y56" s="82"/>
      <c r="Z56" s="84"/>
      <c r="AA56" s="127">
        <f>SUM(V56:Z57)</f>
        <v>44716552</v>
      </c>
      <c r="AB56" s="108">
        <f t="shared" si="2"/>
        <v>0.89433103999999997</v>
      </c>
      <c r="AC56" s="110"/>
      <c r="AD56" s="104" t="s">
        <v>43</v>
      </c>
      <c r="AE56" s="106" t="s">
        <v>44</v>
      </c>
    </row>
    <row r="57" spans="1:31" customFormat="1" ht="79.5" customHeight="1" x14ac:dyDescent="0.25">
      <c r="A57" s="101">
        <v>21</v>
      </c>
      <c r="B57" s="12" t="s">
        <v>37</v>
      </c>
      <c r="C57" s="12" t="s">
        <v>39</v>
      </c>
      <c r="D57" s="12" t="s">
        <v>98</v>
      </c>
      <c r="E57" s="38" t="s">
        <v>136</v>
      </c>
      <c r="F57" s="43" t="s">
        <v>137</v>
      </c>
      <c r="G57" s="93"/>
      <c r="H57" s="79" t="s">
        <v>230</v>
      </c>
      <c r="I57" s="8"/>
      <c r="J57" s="11"/>
      <c r="K57" s="11"/>
      <c r="L57" s="134"/>
      <c r="M57" s="132"/>
      <c r="N57" s="126"/>
      <c r="O57" s="33" t="s">
        <v>140</v>
      </c>
      <c r="P57" s="82">
        <v>5283448</v>
      </c>
      <c r="Q57" s="82"/>
      <c r="R57" s="82"/>
      <c r="S57" s="82"/>
      <c r="T57" s="84"/>
      <c r="U57" s="128"/>
      <c r="V57" s="82"/>
      <c r="W57" s="82"/>
      <c r="X57" s="82"/>
      <c r="Y57" s="82"/>
      <c r="Z57" s="84"/>
      <c r="AA57" s="128"/>
      <c r="AB57" s="109"/>
      <c r="AC57" s="111"/>
      <c r="AD57" s="105"/>
      <c r="AE57" s="107"/>
    </row>
    <row r="58" spans="1:31" customFormat="1" ht="105.75" customHeight="1" x14ac:dyDescent="0.25">
      <c r="A58" s="101">
        <v>22</v>
      </c>
      <c r="B58" s="12" t="s">
        <v>37</v>
      </c>
      <c r="C58" s="12" t="s">
        <v>39</v>
      </c>
      <c r="D58" s="12" t="s">
        <v>98</v>
      </c>
      <c r="E58" s="38" t="s">
        <v>141</v>
      </c>
      <c r="F58" s="43" t="s">
        <v>142</v>
      </c>
      <c r="G58" s="93">
        <v>20200680010115</v>
      </c>
      <c r="H58" s="69" t="s">
        <v>143</v>
      </c>
      <c r="I58" s="13" t="s">
        <v>144</v>
      </c>
      <c r="J58" s="11">
        <v>44217</v>
      </c>
      <c r="K58" s="11">
        <v>44561</v>
      </c>
      <c r="L58" s="121">
        <v>1</v>
      </c>
      <c r="M58" s="123">
        <v>1</v>
      </c>
      <c r="N58" s="125">
        <f t="shared" si="0"/>
        <v>1</v>
      </c>
      <c r="O58" s="33" t="s">
        <v>145</v>
      </c>
      <c r="P58" s="82">
        <v>194356800</v>
      </c>
      <c r="Q58" s="82"/>
      <c r="R58" s="82"/>
      <c r="S58" s="82"/>
      <c r="T58" s="84"/>
      <c r="U58" s="127">
        <f>SUM(P58:T59)</f>
        <v>206000002.94</v>
      </c>
      <c r="V58" s="82">
        <v>194356800</v>
      </c>
      <c r="W58" s="82"/>
      <c r="X58" s="82"/>
      <c r="Y58" s="82"/>
      <c r="Z58" s="84"/>
      <c r="AA58" s="127">
        <f>SUM(V58:Z59)</f>
        <v>194356800</v>
      </c>
      <c r="AB58" s="108">
        <f t="shared" si="2"/>
        <v>0.94347959818529115</v>
      </c>
      <c r="AC58" s="110"/>
      <c r="AD58" s="104" t="s">
        <v>43</v>
      </c>
      <c r="AE58" s="106" t="s">
        <v>44</v>
      </c>
    </row>
    <row r="59" spans="1:31" customFormat="1" ht="105.75" customHeight="1" x14ac:dyDescent="0.25">
      <c r="A59" s="101">
        <v>22</v>
      </c>
      <c r="B59" s="12" t="s">
        <v>37</v>
      </c>
      <c r="C59" s="12" t="s">
        <v>39</v>
      </c>
      <c r="D59" s="12" t="s">
        <v>98</v>
      </c>
      <c r="E59" s="38" t="s">
        <v>141</v>
      </c>
      <c r="F59" s="43" t="s">
        <v>142</v>
      </c>
      <c r="G59" s="93"/>
      <c r="H59" s="79" t="s">
        <v>230</v>
      </c>
      <c r="I59" s="13"/>
      <c r="J59" s="11"/>
      <c r="K59" s="11"/>
      <c r="L59" s="122"/>
      <c r="M59" s="124"/>
      <c r="N59" s="126"/>
      <c r="O59" s="33"/>
      <c r="P59" s="82">
        <v>11643202.939999999</v>
      </c>
      <c r="Q59" s="82"/>
      <c r="R59" s="82"/>
      <c r="S59" s="82"/>
      <c r="T59" s="84"/>
      <c r="U59" s="128"/>
      <c r="V59" s="82"/>
      <c r="W59" s="82"/>
      <c r="X59" s="82"/>
      <c r="Y59" s="82"/>
      <c r="Z59" s="84"/>
      <c r="AA59" s="128"/>
      <c r="AB59" s="109"/>
      <c r="AC59" s="111"/>
      <c r="AD59" s="105"/>
      <c r="AE59" s="107"/>
    </row>
    <row r="60" spans="1:31" customFormat="1" ht="138" customHeight="1" x14ac:dyDescent="0.25">
      <c r="A60" s="101">
        <v>23</v>
      </c>
      <c r="B60" s="12" t="s">
        <v>37</v>
      </c>
      <c r="C60" s="12" t="s">
        <v>39</v>
      </c>
      <c r="D60" s="12" t="s">
        <v>98</v>
      </c>
      <c r="E60" s="38" t="s">
        <v>146</v>
      </c>
      <c r="F60" s="43" t="s">
        <v>147</v>
      </c>
      <c r="G60" s="93">
        <v>20210680010126</v>
      </c>
      <c r="H60" s="69" t="s">
        <v>191</v>
      </c>
      <c r="I60" s="13" t="s">
        <v>195</v>
      </c>
      <c r="J60" s="11">
        <v>44463</v>
      </c>
      <c r="K60" s="11">
        <v>44561</v>
      </c>
      <c r="L60" s="36">
        <v>1</v>
      </c>
      <c r="M60" s="31">
        <v>1</v>
      </c>
      <c r="N60" s="26">
        <f t="shared" si="0"/>
        <v>1</v>
      </c>
      <c r="O60" s="32" t="s">
        <v>192</v>
      </c>
      <c r="P60" s="82">
        <v>20000000</v>
      </c>
      <c r="Q60" s="82"/>
      <c r="R60" s="82"/>
      <c r="S60" s="82"/>
      <c r="T60" s="84"/>
      <c r="U60" s="85">
        <f>SUM(P60:T60)</f>
        <v>20000000</v>
      </c>
      <c r="V60" s="82">
        <v>20000000</v>
      </c>
      <c r="W60" s="82"/>
      <c r="X60" s="82"/>
      <c r="Y60" s="82"/>
      <c r="Z60" s="84"/>
      <c r="AA60" s="85">
        <f t="shared" si="1"/>
        <v>20000000</v>
      </c>
      <c r="AB60" s="97">
        <f t="shared" si="2"/>
        <v>1</v>
      </c>
      <c r="AC60" s="9"/>
      <c r="AD60" s="30" t="s">
        <v>43</v>
      </c>
      <c r="AE60" s="10" t="s">
        <v>44</v>
      </c>
    </row>
    <row r="61" spans="1:31" customFormat="1" ht="90" x14ac:dyDescent="0.25">
      <c r="A61" s="101">
        <v>24</v>
      </c>
      <c r="B61" s="12" t="s">
        <v>37</v>
      </c>
      <c r="C61" s="37" t="s">
        <v>39</v>
      </c>
      <c r="D61" s="37" t="s">
        <v>148</v>
      </c>
      <c r="E61" s="38" t="s">
        <v>149</v>
      </c>
      <c r="F61" s="37" t="s">
        <v>150</v>
      </c>
      <c r="G61" s="93">
        <v>20200680010099</v>
      </c>
      <c r="H61" s="69" t="s">
        <v>151</v>
      </c>
      <c r="I61" s="13" t="s">
        <v>152</v>
      </c>
      <c r="J61" s="119">
        <v>44208</v>
      </c>
      <c r="K61" s="119">
        <v>44561</v>
      </c>
      <c r="L61" s="129">
        <v>500</v>
      </c>
      <c r="M61" s="131">
        <v>514</v>
      </c>
      <c r="N61" s="125">
        <f t="shared" si="0"/>
        <v>1</v>
      </c>
      <c r="O61" s="33" t="s">
        <v>153</v>
      </c>
      <c r="P61" s="92">
        <f>3800000+66718850+440757873+374888075</f>
        <v>886164798</v>
      </c>
      <c r="Q61" s="82"/>
      <c r="R61" s="82"/>
      <c r="S61" s="82"/>
      <c r="T61" s="84"/>
      <c r="U61" s="127">
        <f>SUM(P61:T62)</f>
        <v>2023613979.9000001</v>
      </c>
      <c r="V61" s="82">
        <f>29456000+32490995+374453400+116062580+304174728+29527095</f>
        <v>886164798</v>
      </c>
      <c r="W61" s="82"/>
      <c r="X61" s="82"/>
      <c r="Y61" s="82"/>
      <c r="Z61" s="84"/>
      <c r="AA61" s="127">
        <f>SUM(V61:Z62)</f>
        <v>886164798</v>
      </c>
      <c r="AB61" s="108">
        <f t="shared" si="2"/>
        <v>0.43791197669221044</v>
      </c>
      <c r="AC61" s="110">
        <v>284463387</v>
      </c>
      <c r="AD61" s="104" t="s">
        <v>43</v>
      </c>
      <c r="AE61" s="106" t="s">
        <v>44</v>
      </c>
    </row>
    <row r="62" spans="1:31" customFormat="1" ht="61.8" customHeight="1" x14ac:dyDescent="0.25">
      <c r="A62" s="101">
        <v>24</v>
      </c>
      <c r="B62" s="12" t="s">
        <v>37</v>
      </c>
      <c r="C62" s="37" t="s">
        <v>39</v>
      </c>
      <c r="D62" s="37" t="s">
        <v>148</v>
      </c>
      <c r="E62" s="38" t="s">
        <v>149</v>
      </c>
      <c r="F62" s="37" t="s">
        <v>150</v>
      </c>
      <c r="G62" s="93"/>
      <c r="H62" s="79" t="s">
        <v>230</v>
      </c>
      <c r="I62" s="13"/>
      <c r="J62" s="120"/>
      <c r="K62" s="120"/>
      <c r="L62" s="130"/>
      <c r="M62" s="132"/>
      <c r="N62" s="126"/>
      <c r="O62" s="33" t="s">
        <v>227</v>
      </c>
      <c r="P62" s="82">
        <f>485568143.53+1105+651879933.37</f>
        <v>1137449181.9000001</v>
      </c>
      <c r="Q62" s="82"/>
      <c r="R62" s="82"/>
      <c r="S62" s="82"/>
      <c r="T62" s="84"/>
      <c r="U62" s="128"/>
      <c r="V62" s="82"/>
      <c r="W62" s="82"/>
      <c r="X62" s="82"/>
      <c r="Y62" s="82"/>
      <c r="Z62" s="84"/>
      <c r="AA62" s="128"/>
      <c r="AB62" s="109"/>
      <c r="AC62" s="111"/>
      <c r="AD62" s="105"/>
      <c r="AE62" s="107"/>
    </row>
    <row r="63" spans="1:31" customFormat="1" ht="65.25" customHeight="1" x14ac:dyDescent="0.25">
      <c r="A63" s="101">
        <v>25</v>
      </c>
      <c r="B63" s="12" t="s">
        <v>37</v>
      </c>
      <c r="C63" s="12" t="s">
        <v>39</v>
      </c>
      <c r="D63" s="12" t="s">
        <v>148</v>
      </c>
      <c r="E63" s="38" t="s">
        <v>154</v>
      </c>
      <c r="F63" s="43" t="s">
        <v>155</v>
      </c>
      <c r="G63" s="93">
        <v>20200680010099</v>
      </c>
      <c r="H63" s="69" t="s">
        <v>151</v>
      </c>
      <c r="I63" s="12" t="s">
        <v>156</v>
      </c>
      <c r="J63" s="11">
        <v>44208</v>
      </c>
      <c r="K63" s="11">
        <v>44561</v>
      </c>
      <c r="L63" s="121">
        <v>1</v>
      </c>
      <c r="M63" s="123">
        <v>1</v>
      </c>
      <c r="N63" s="125">
        <f>IFERROR(IF(M63/L63&gt;100%,100%,M63/L63),"-")</f>
        <v>1</v>
      </c>
      <c r="O63" s="24" t="s">
        <v>157</v>
      </c>
      <c r="P63" s="92">
        <f>2422978032+20398035</f>
        <v>2443376067</v>
      </c>
      <c r="Q63" s="82"/>
      <c r="R63" s="82"/>
      <c r="S63" s="82"/>
      <c r="T63" s="84"/>
      <c r="U63" s="127">
        <f>SUM(P63:T65)</f>
        <v>2545465649</v>
      </c>
      <c r="V63" s="82">
        <v>2436512496</v>
      </c>
      <c r="W63" s="82"/>
      <c r="X63" s="82"/>
      <c r="Y63" s="82"/>
      <c r="Z63" s="84"/>
      <c r="AA63" s="127">
        <f>SUM(V63:Z65)</f>
        <v>2538066176.6300001</v>
      </c>
      <c r="AB63" s="108">
        <f>IFERROR(AA63/U63,"-")</f>
        <v>0.99709307710638062</v>
      </c>
      <c r="AC63" s="110">
        <v>914379645</v>
      </c>
      <c r="AD63" s="104" t="s">
        <v>43</v>
      </c>
      <c r="AE63" s="106" t="s">
        <v>44</v>
      </c>
    </row>
    <row r="64" spans="1:31" customFormat="1" ht="120" x14ac:dyDescent="0.25">
      <c r="A64" s="101">
        <v>25</v>
      </c>
      <c r="B64" s="12" t="s">
        <v>37</v>
      </c>
      <c r="C64" s="12" t="s">
        <v>39</v>
      </c>
      <c r="D64" s="12" t="s">
        <v>148</v>
      </c>
      <c r="E64" s="38" t="s">
        <v>154</v>
      </c>
      <c r="F64" s="43" t="s">
        <v>155</v>
      </c>
      <c r="G64" s="93">
        <v>20200680010060</v>
      </c>
      <c r="H64" s="69" t="s">
        <v>158</v>
      </c>
      <c r="I64" s="13" t="s">
        <v>159</v>
      </c>
      <c r="J64" s="11">
        <v>44412</v>
      </c>
      <c r="K64" s="11">
        <v>44561</v>
      </c>
      <c r="L64" s="165"/>
      <c r="M64" s="166"/>
      <c r="N64" s="159"/>
      <c r="O64" s="33" t="s">
        <v>160</v>
      </c>
      <c r="P64" s="82">
        <v>101553680.63</v>
      </c>
      <c r="Q64" s="82"/>
      <c r="R64" s="82"/>
      <c r="S64" s="82"/>
      <c r="T64" s="84"/>
      <c r="U64" s="139"/>
      <c r="V64" s="82">
        <v>101553680.63</v>
      </c>
      <c r="W64" s="82"/>
      <c r="X64" s="82"/>
      <c r="Y64" s="82"/>
      <c r="Z64" s="84"/>
      <c r="AA64" s="139"/>
      <c r="AB64" s="112"/>
      <c r="AC64" s="118"/>
      <c r="AD64" s="117"/>
      <c r="AE64" s="116"/>
    </row>
    <row r="65" spans="1:31" customFormat="1" ht="60" x14ac:dyDescent="0.25">
      <c r="A65" s="101">
        <v>25</v>
      </c>
      <c r="B65" s="12" t="s">
        <v>37</v>
      </c>
      <c r="C65" s="12" t="s">
        <v>39</v>
      </c>
      <c r="D65" s="12" t="s">
        <v>148</v>
      </c>
      <c r="E65" s="38" t="s">
        <v>154</v>
      </c>
      <c r="F65" s="43" t="s">
        <v>155</v>
      </c>
      <c r="G65" s="93"/>
      <c r="H65" s="79" t="s">
        <v>230</v>
      </c>
      <c r="I65" s="13"/>
      <c r="J65" s="11"/>
      <c r="K65" s="11"/>
      <c r="L65" s="122"/>
      <c r="M65" s="124"/>
      <c r="N65" s="126"/>
      <c r="O65" s="33"/>
      <c r="P65" s="82">
        <v>535901.37000000477</v>
      </c>
      <c r="Q65" s="82"/>
      <c r="R65" s="82"/>
      <c r="S65" s="82"/>
      <c r="T65" s="84"/>
      <c r="U65" s="128"/>
      <c r="V65" s="82"/>
      <c r="W65" s="82"/>
      <c r="X65" s="82"/>
      <c r="Y65" s="82"/>
      <c r="Z65" s="84"/>
      <c r="AA65" s="128"/>
      <c r="AB65" s="109"/>
      <c r="AC65" s="111"/>
      <c r="AD65" s="105"/>
      <c r="AE65" s="107"/>
    </row>
    <row r="66" spans="1:31" customFormat="1" ht="120" customHeight="1" x14ac:dyDescent="0.25">
      <c r="A66" s="101">
        <v>26</v>
      </c>
      <c r="B66" s="12" t="s">
        <v>37</v>
      </c>
      <c r="C66" s="12" t="s">
        <v>39</v>
      </c>
      <c r="D66" s="12" t="s">
        <v>148</v>
      </c>
      <c r="E66" s="38" t="s">
        <v>161</v>
      </c>
      <c r="F66" s="43" t="s">
        <v>162</v>
      </c>
      <c r="G66" s="93">
        <v>20210680010116</v>
      </c>
      <c r="H66" s="69" t="s">
        <v>207</v>
      </c>
      <c r="I66" s="13" t="s">
        <v>208</v>
      </c>
      <c r="J66" s="11">
        <v>44474</v>
      </c>
      <c r="K66" s="11">
        <v>44561</v>
      </c>
      <c r="L66" s="129">
        <v>1000</v>
      </c>
      <c r="M66" s="131">
        <v>40</v>
      </c>
      <c r="N66" s="125">
        <f>IFERROR(IF(M66/L66&gt;100%,100%,M66/L66),"-")</f>
        <v>0.04</v>
      </c>
      <c r="O66" s="32" t="s">
        <v>209</v>
      </c>
      <c r="P66" s="82">
        <v>6066666.6600000001</v>
      </c>
      <c r="Q66" s="82"/>
      <c r="R66" s="82"/>
      <c r="S66" s="82"/>
      <c r="T66" s="84"/>
      <c r="U66" s="127">
        <f>SUM(P66:T67)</f>
        <v>7000000</v>
      </c>
      <c r="V66" s="82">
        <v>6066666.6600000001</v>
      </c>
      <c r="W66" s="82"/>
      <c r="X66" s="82"/>
      <c r="Y66" s="82"/>
      <c r="Z66" s="84"/>
      <c r="AA66" s="127">
        <f>SUM(V66:Z66)</f>
        <v>6066666.6600000001</v>
      </c>
      <c r="AB66" s="108">
        <f>IFERROR(AA66/U66,"-")</f>
        <v>0.86666666571428574</v>
      </c>
      <c r="AC66" s="110"/>
      <c r="AD66" s="104" t="s">
        <v>43</v>
      </c>
      <c r="AE66" s="106" t="s">
        <v>44</v>
      </c>
    </row>
    <row r="67" spans="1:31" customFormat="1" ht="126" customHeight="1" x14ac:dyDescent="0.25">
      <c r="A67" s="101">
        <v>26</v>
      </c>
      <c r="B67" s="12" t="s">
        <v>37</v>
      </c>
      <c r="C67" s="12" t="s">
        <v>39</v>
      </c>
      <c r="D67" s="12" t="s">
        <v>148</v>
      </c>
      <c r="E67" s="38" t="s">
        <v>161</v>
      </c>
      <c r="F67" s="43" t="s">
        <v>162</v>
      </c>
      <c r="G67" s="93"/>
      <c r="H67" s="79" t="s">
        <v>230</v>
      </c>
      <c r="I67" s="13"/>
      <c r="J67" s="11"/>
      <c r="K67" s="75"/>
      <c r="L67" s="130"/>
      <c r="M67" s="132"/>
      <c r="N67" s="126"/>
      <c r="O67" s="32" t="s">
        <v>229</v>
      </c>
      <c r="P67" s="82">
        <v>933333.34</v>
      </c>
      <c r="Q67" s="82"/>
      <c r="R67" s="82"/>
      <c r="S67" s="82"/>
      <c r="T67" s="84"/>
      <c r="U67" s="128"/>
      <c r="V67" s="82"/>
      <c r="W67" s="82"/>
      <c r="X67" s="82"/>
      <c r="Y67" s="82"/>
      <c r="Z67" s="84"/>
      <c r="AA67" s="128"/>
      <c r="AB67" s="109"/>
      <c r="AC67" s="111"/>
      <c r="AD67" s="105"/>
      <c r="AE67" s="107"/>
    </row>
    <row r="68" spans="1:31" customFormat="1" ht="105" x14ac:dyDescent="0.25">
      <c r="A68" s="101">
        <v>195</v>
      </c>
      <c r="B68" s="12" t="s">
        <v>38</v>
      </c>
      <c r="C68" s="12" t="s">
        <v>163</v>
      </c>
      <c r="D68" s="12" t="s">
        <v>164</v>
      </c>
      <c r="E68" s="38" t="s">
        <v>165</v>
      </c>
      <c r="F68" s="43" t="s">
        <v>166</v>
      </c>
      <c r="G68" s="93">
        <v>20210680010016</v>
      </c>
      <c r="H68" s="69" t="s">
        <v>167</v>
      </c>
      <c r="I68" s="13" t="s">
        <v>168</v>
      </c>
      <c r="J68" s="11">
        <v>44243</v>
      </c>
      <c r="K68" s="11">
        <v>44561</v>
      </c>
      <c r="L68" s="133">
        <v>12</v>
      </c>
      <c r="M68" s="131">
        <v>127</v>
      </c>
      <c r="N68" s="125">
        <f>IFERROR(IF(M68/L68&gt;100%,100%,M68/L68),"-")</f>
        <v>1</v>
      </c>
      <c r="O68" s="33" t="s">
        <v>169</v>
      </c>
      <c r="P68" s="82">
        <f>800000000+1998371566.72</f>
        <v>2798371566.7200003</v>
      </c>
      <c r="Q68" s="82"/>
      <c r="R68" s="82"/>
      <c r="S68" s="82"/>
      <c r="T68" s="84"/>
      <c r="U68" s="127">
        <f>SUM(P68:T71)</f>
        <v>3144977639</v>
      </c>
      <c r="V68" s="82">
        <v>2798371566.7199998</v>
      </c>
      <c r="W68" s="82"/>
      <c r="X68" s="82"/>
      <c r="Y68" s="82"/>
      <c r="Z68" s="84"/>
      <c r="AA68" s="127">
        <f>SUM(V68:Z71)</f>
        <v>3143349205.7199998</v>
      </c>
      <c r="AB68" s="108">
        <f>IFERROR(AA68/U68,"-")</f>
        <v>0.99948221149180638</v>
      </c>
      <c r="AC68" s="110">
        <f>791222711+904415040</f>
        <v>1695637751</v>
      </c>
      <c r="AD68" s="113" t="s">
        <v>43</v>
      </c>
      <c r="AE68" s="106" t="s">
        <v>44</v>
      </c>
    </row>
    <row r="69" spans="1:31" customFormat="1" ht="105" x14ac:dyDescent="0.25">
      <c r="A69" s="101">
        <v>195</v>
      </c>
      <c r="B69" s="12" t="s">
        <v>38</v>
      </c>
      <c r="C69" s="12" t="s">
        <v>163</v>
      </c>
      <c r="D69" s="12" t="s">
        <v>164</v>
      </c>
      <c r="E69" s="38" t="s">
        <v>165</v>
      </c>
      <c r="F69" s="43" t="s">
        <v>166</v>
      </c>
      <c r="G69" s="93">
        <v>20210680010053</v>
      </c>
      <c r="H69" s="69" t="s">
        <v>87</v>
      </c>
      <c r="I69" s="13" t="s">
        <v>170</v>
      </c>
      <c r="J69" s="11">
        <v>44371</v>
      </c>
      <c r="K69" s="11">
        <v>44500</v>
      </c>
      <c r="L69" s="164"/>
      <c r="M69" s="158"/>
      <c r="N69" s="159"/>
      <c r="O69" s="33" t="s">
        <v>171</v>
      </c>
      <c r="P69" s="82">
        <f>185022377.55+2031817</f>
        <v>187054194.55000001</v>
      </c>
      <c r="Q69" s="82"/>
      <c r="R69" s="82"/>
      <c r="S69" s="82"/>
      <c r="T69" s="84"/>
      <c r="U69" s="139"/>
      <c r="V69" s="82">
        <f>185022377.55+2031817</f>
        <v>187054194.55000001</v>
      </c>
      <c r="W69" s="82"/>
      <c r="X69" s="82"/>
      <c r="Y69" s="82"/>
      <c r="Z69" s="84"/>
      <c r="AA69" s="139"/>
      <c r="AB69" s="112"/>
      <c r="AC69" s="118"/>
      <c r="AD69" s="114"/>
      <c r="AE69" s="116"/>
    </row>
    <row r="70" spans="1:31" customFormat="1" ht="105" x14ac:dyDescent="0.25">
      <c r="A70" s="101">
        <v>195</v>
      </c>
      <c r="B70" s="12" t="s">
        <v>38</v>
      </c>
      <c r="C70" s="12" t="s">
        <v>163</v>
      </c>
      <c r="D70" s="12" t="s">
        <v>164</v>
      </c>
      <c r="E70" s="38" t="s">
        <v>165</v>
      </c>
      <c r="F70" s="43" t="s">
        <v>166</v>
      </c>
      <c r="G70" s="93">
        <v>20210680010054</v>
      </c>
      <c r="H70" s="69" t="s">
        <v>90</v>
      </c>
      <c r="I70" s="13" t="s">
        <v>170</v>
      </c>
      <c r="J70" s="11">
        <v>44371</v>
      </c>
      <c r="K70" s="11">
        <v>44500</v>
      </c>
      <c r="L70" s="164"/>
      <c r="M70" s="158"/>
      <c r="N70" s="159"/>
      <c r="O70" s="33" t="s">
        <v>172</v>
      </c>
      <c r="P70" s="82">
        <v>124621932.45</v>
      </c>
      <c r="Q70" s="82">
        <f>33301512</f>
        <v>33301512</v>
      </c>
      <c r="R70" s="82"/>
      <c r="S70" s="82"/>
      <c r="T70" s="84"/>
      <c r="U70" s="139"/>
      <c r="V70" s="82">
        <f>124621932.45</f>
        <v>124621932.45</v>
      </c>
      <c r="W70" s="82">
        <f>33301512</f>
        <v>33301512</v>
      </c>
      <c r="X70" s="82"/>
      <c r="Y70" s="82"/>
      <c r="Z70" s="84"/>
      <c r="AA70" s="139"/>
      <c r="AB70" s="112"/>
      <c r="AC70" s="118"/>
      <c r="AD70" s="114"/>
      <c r="AE70" s="116"/>
    </row>
    <row r="71" spans="1:31" customFormat="1" ht="105" x14ac:dyDescent="0.25">
      <c r="A71" s="101">
        <v>195</v>
      </c>
      <c r="B71" s="12" t="s">
        <v>38</v>
      </c>
      <c r="C71" s="12" t="s">
        <v>163</v>
      </c>
      <c r="D71" s="12" t="s">
        <v>164</v>
      </c>
      <c r="E71" s="38" t="s">
        <v>165</v>
      </c>
      <c r="F71" s="43" t="s">
        <v>166</v>
      </c>
      <c r="G71" s="93"/>
      <c r="H71" s="79" t="s">
        <v>231</v>
      </c>
      <c r="I71" s="13"/>
      <c r="J71" s="11"/>
      <c r="K71" s="11"/>
      <c r="L71" s="134"/>
      <c r="M71" s="132"/>
      <c r="N71" s="126"/>
      <c r="O71" s="33" t="s">
        <v>173</v>
      </c>
      <c r="P71" s="82">
        <v>1628433.27999995</v>
      </c>
      <c r="Q71" s="82"/>
      <c r="R71" s="82"/>
      <c r="S71" s="82"/>
      <c r="T71" s="84"/>
      <c r="U71" s="128"/>
      <c r="V71" s="82"/>
      <c r="W71" s="82"/>
      <c r="X71" s="82"/>
      <c r="Y71" s="82"/>
      <c r="Z71" s="84"/>
      <c r="AA71" s="128"/>
      <c r="AB71" s="109"/>
      <c r="AC71" s="111"/>
      <c r="AD71" s="115"/>
      <c r="AE71" s="107"/>
    </row>
    <row r="72" spans="1:31" customFormat="1" ht="105" x14ac:dyDescent="0.25">
      <c r="A72" s="101">
        <v>196</v>
      </c>
      <c r="B72" s="12" t="s">
        <v>38</v>
      </c>
      <c r="C72" s="12" t="s">
        <v>163</v>
      </c>
      <c r="D72" s="12" t="s">
        <v>164</v>
      </c>
      <c r="E72" s="38" t="s">
        <v>174</v>
      </c>
      <c r="F72" s="43" t="s">
        <v>175</v>
      </c>
      <c r="G72" s="93">
        <v>20200680010145</v>
      </c>
      <c r="H72" s="69" t="s">
        <v>176</v>
      </c>
      <c r="I72" s="8" t="s">
        <v>177</v>
      </c>
      <c r="J72" s="11">
        <v>44313</v>
      </c>
      <c r="K72" s="11">
        <v>44561</v>
      </c>
      <c r="L72" s="133">
        <v>47</v>
      </c>
      <c r="M72" s="131">
        <v>47</v>
      </c>
      <c r="N72" s="125">
        <f>IFERROR(IF(M72/L72&gt;100%,100%,M72/L72),"-")</f>
        <v>1</v>
      </c>
      <c r="O72" s="33" t="s">
        <v>178</v>
      </c>
      <c r="P72" s="82"/>
      <c r="Q72" s="82">
        <v>853521647</v>
      </c>
      <c r="R72" s="82"/>
      <c r="S72" s="82"/>
      <c r="T72" s="84"/>
      <c r="U72" s="127">
        <f>SUM(P72:T73)</f>
        <v>865629616</v>
      </c>
      <c r="V72" s="82"/>
      <c r="W72" s="82">
        <v>853521647</v>
      </c>
      <c r="X72" s="82"/>
      <c r="Y72" s="82"/>
      <c r="Z72" s="84"/>
      <c r="AA72" s="127">
        <f>SUM(V72:Z73)</f>
        <v>853521647</v>
      </c>
      <c r="AB72" s="108">
        <f>IFERROR(AA72/U72,"-")</f>
        <v>0.98601252917390936</v>
      </c>
      <c r="AC72" s="110"/>
      <c r="AD72" s="104" t="s">
        <v>43</v>
      </c>
      <c r="AE72" s="106" t="s">
        <v>44</v>
      </c>
    </row>
    <row r="73" spans="1:31" customFormat="1" ht="105" x14ac:dyDescent="0.25">
      <c r="A73" s="101">
        <v>196</v>
      </c>
      <c r="B73" s="12" t="s">
        <v>38</v>
      </c>
      <c r="C73" s="12" t="s">
        <v>163</v>
      </c>
      <c r="D73" s="12" t="s">
        <v>164</v>
      </c>
      <c r="E73" s="38" t="s">
        <v>174</v>
      </c>
      <c r="F73" s="43" t="s">
        <v>175</v>
      </c>
      <c r="G73" s="93"/>
      <c r="H73" s="79" t="s">
        <v>230</v>
      </c>
      <c r="I73" s="8"/>
      <c r="J73" s="11"/>
      <c r="K73" s="11"/>
      <c r="L73" s="134"/>
      <c r="M73" s="132"/>
      <c r="N73" s="126"/>
      <c r="O73" s="33" t="s">
        <v>178</v>
      </c>
      <c r="P73" s="82"/>
      <c r="Q73" s="82">
        <v>12107969</v>
      </c>
      <c r="R73" s="82"/>
      <c r="S73" s="82"/>
      <c r="T73" s="84"/>
      <c r="U73" s="128"/>
      <c r="V73" s="82"/>
      <c r="W73" s="82"/>
      <c r="X73" s="82"/>
      <c r="Y73" s="82"/>
      <c r="Z73" s="84"/>
      <c r="AA73" s="128"/>
      <c r="AB73" s="109"/>
      <c r="AC73" s="111"/>
      <c r="AD73" s="105"/>
      <c r="AE73" s="107"/>
    </row>
    <row r="74" spans="1:31" ht="15.6" x14ac:dyDescent="0.25">
      <c r="A74" s="100">
        <f>SUM(--(FREQUENCY(A9:A73,A9:A73)&gt;0))</f>
        <v>28</v>
      </c>
      <c r="B74" s="16"/>
      <c r="C74" s="17"/>
      <c r="D74" s="17"/>
      <c r="E74" s="39"/>
      <c r="F74" s="44"/>
      <c r="G74" s="57"/>
      <c r="H74" s="17"/>
      <c r="I74" s="17"/>
      <c r="J74" s="17"/>
      <c r="K74" s="18"/>
      <c r="L74" s="18"/>
      <c r="M74" s="19" t="s">
        <v>16</v>
      </c>
      <c r="N74" s="18">
        <f>IFERROR(AVERAGE(N9:N73),"-")</f>
        <v>0.96294294294294291</v>
      </c>
      <c r="O74" s="20"/>
      <c r="P74" s="21">
        <f>SUM(P9:P73)</f>
        <v>45418462601.050247</v>
      </c>
      <c r="Q74" s="21">
        <f t="shared" ref="Q74:Z74" si="3">SUM(Q9:Q73)</f>
        <v>267196892692.6398</v>
      </c>
      <c r="R74" s="21">
        <f t="shared" si="3"/>
        <v>0</v>
      </c>
      <c r="S74" s="21">
        <f t="shared" si="3"/>
        <v>0</v>
      </c>
      <c r="T74" s="21">
        <f t="shared" si="3"/>
        <v>0</v>
      </c>
      <c r="U74" s="102">
        <f>SUM(U9:U73)</f>
        <v>312615355293.69006</v>
      </c>
      <c r="V74" s="99">
        <f t="shared" si="3"/>
        <v>39922881143.880226</v>
      </c>
      <c r="W74" s="99">
        <f t="shared" si="3"/>
        <v>260504194395.73981</v>
      </c>
      <c r="X74" s="99">
        <f t="shared" si="3"/>
        <v>0</v>
      </c>
      <c r="Y74" s="99">
        <f t="shared" si="3"/>
        <v>0</v>
      </c>
      <c r="Z74" s="99">
        <f t="shared" si="3"/>
        <v>0</v>
      </c>
      <c r="AA74" s="102">
        <f>SUM(AA9:AA73)</f>
        <v>300427075539.62</v>
      </c>
      <c r="AB74" s="49">
        <f>IFERROR(AA74/U74,"-")</f>
        <v>0.96101189673610354</v>
      </c>
      <c r="AC74" s="22">
        <f>SUM(AC9:AC73)</f>
        <v>3180588278</v>
      </c>
      <c r="AD74" s="77"/>
      <c r="AE74" s="20"/>
    </row>
    <row r="76" spans="1:31" x14ac:dyDescent="0.25">
      <c r="Q76" s="45"/>
      <c r="AA76" s="56"/>
    </row>
    <row r="77" spans="1:31" x14ac:dyDescent="0.25">
      <c r="N77" s="64"/>
      <c r="Q77" s="46"/>
      <c r="U77" s="74"/>
      <c r="V77"/>
      <c r="AA77" s="56"/>
    </row>
    <row r="78" spans="1:31" x14ac:dyDescent="0.25">
      <c r="N78" s="65"/>
      <c r="U78" s="56"/>
      <c r="V78"/>
      <c r="AA78"/>
    </row>
    <row r="79" spans="1:31" x14ac:dyDescent="0.25">
      <c r="N79" s="64"/>
      <c r="Q79" s="45"/>
      <c r="U79"/>
      <c r="V79"/>
      <c r="AA79"/>
    </row>
    <row r="80" spans="1:31" x14ac:dyDescent="0.25">
      <c r="N80" s="76"/>
      <c r="Q80" s="47"/>
      <c r="U80"/>
      <c r="V80"/>
      <c r="AA80"/>
    </row>
    <row r="81" spans="17:27" x14ac:dyDescent="0.25">
      <c r="Q81" s="45"/>
      <c r="U81"/>
      <c r="V81"/>
      <c r="AA81"/>
    </row>
    <row r="82" spans="17:27" x14ac:dyDescent="0.25">
      <c r="Q82" s="48"/>
      <c r="U82"/>
      <c r="V82"/>
    </row>
    <row r="83" spans="17:27" x14ac:dyDescent="0.25">
      <c r="U83"/>
      <c r="V83"/>
    </row>
    <row r="84" spans="17:27" x14ac:dyDescent="0.25">
      <c r="U84"/>
    </row>
    <row r="85" spans="17:27" x14ac:dyDescent="0.25">
      <c r="U85"/>
    </row>
    <row r="86" spans="17:27" x14ac:dyDescent="0.25">
      <c r="U86"/>
    </row>
  </sheetData>
  <mergeCells count="186">
    <mergeCell ref="U66:U67"/>
    <mergeCell ref="AA66:AA67"/>
    <mergeCell ref="L24:L25"/>
    <mergeCell ref="M24:M25"/>
    <mergeCell ref="N24:N25"/>
    <mergeCell ref="U24:U25"/>
    <mergeCell ref="AA24:AA25"/>
    <mergeCell ref="AA58:AA59"/>
    <mergeCell ref="M66:M67"/>
    <mergeCell ref="N66:N67"/>
    <mergeCell ref="L66:L67"/>
    <mergeCell ref="N63:N65"/>
    <mergeCell ref="U63:U65"/>
    <mergeCell ref="AA63:AA65"/>
    <mergeCell ref="L63:L65"/>
    <mergeCell ref="M63:M65"/>
    <mergeCell ref="AA61:AA62"/>
    <mergeCell ref="AA56:AA57"/>
    <mergeCell ref="AC49:AC51"/>
    <mergeCell ref="AA35:AA38"/>
    <mergeCell ref="AB35:AB38"/>
    <mergeCell ref="AC35:AC38"/>
    <mergeCell ref="AA49:AA51"/>
    <mergeCell ref="AB49:AB51"/>
    <mergeCell ref="AB54:AB55"/>
    <mergeCell ref="AC54:AC55"/>
    <mergeCell ref="AA54:AA55"/>
    <mergeCell ref="U49:U51"/>
    <mergeCell ref="L49:L51"/>
    <mergeCell ref="M49:M51"/>
    <mergeCell ref="N49:N51"/>
    <mergeCell ref="L28:L34"/>
    <mergeCell ref="M28:M34"/>
    <mergeCell ref="N28:N34"/>
    <mergeCell ref="AD28:AD34"/>
    <mergeCell ref="AE28:AE34"/>
    <mergeCell ref="AC28:AC34"/>
    <mergeCell ref="AD35:AD38"/>
    <mergeCell ref="AE35:AE38"/>
    <mergeCell ref="AD40:AD46"/>
    <mergeCell ref="AE40:AE46"/>
    <mergeCell ref="L20:L21"/>
    <mergeCell ref="M20:M21"/>
    <mergeCell ref="L22:L23"/>
    <mergeCell ref="M22:M23"/>
    <mergeCell ref="N20:N21"/>
    <mergeCell ref="N22:N23"/>
    <mergeCell ref="U22:U23"/>
    <mergeCell ref="U20:U21"/>
    <mergeCell ref="AB22:AB23"/>
    <mergeCell ref="AA20:AA21"/>
    <mergeCell ref="AA22:AA23"/>
    <mergeCell ref="AC22:AC23"/>
    <mergeCell ref="N72:N73"/>
    <mergeCell ref="L72:L73"/>
    <mergeCell ref="M72:M73"/>
    <mergeCell ref="AA72:AA73"/>
    <mergeCell ref="AD72:AD73"/>
    <mergeCell ref="AE72:AE73"/>
    <mergeCell ref="AB72:AB73"/>
    <mergeCell ref="AC72:AC73"/>
    <mergeCell ref="L40:L46"/>
    <mergeCell ref="M40:M46"/>
    <mergeCell ref="N40:N46"/>
    <mergeCell ref="U40:U46"/>
    <mergeCell ref="AA40:AA46"/>
    <mergeCell ref="AB40:AB46"/>
    <mergeCell ref="AC40:AC46"/>
    <mergeCell ref="L68:L71"/>
    <mergeCell ref="M68:M71"/>
    <mergeCell ref="N68:N71"/>
    <mergeCell ref="U68:U71"/>
    <mergeCell ref="AA68:AA71"/>
    <mergeCell ref="AB68:AB71"/>
    <mergeCell ref="AC68:AC71"/>
    <mergeCell ref="U72:U73"/>
    <mergeCell ref="AC61:AC62"/>
    <mergeCell ref="A1:A4"/>
    <mergeCell ref="A5:C5"/>
    <mergeCell ref="A6:C6"/>
    <mergeCell ref="D5:L5"/>
    <mergeCell ref="D6:L6"/>
    <mergeCell ref="B1:AB4"/>
    <mergeCell ref="L35:L38"/>
    <mergeCell ref="M35:M38"/>
    <mergeCell ref="N35:N38"/>
    <mergeCell ref="U35:U38"/>
    <mergeCell ref="L7:N7"/>
    <mergeCell ref="O7:U7"/>
    <mergeCell ref="V7:AA7"/>
    <mergeCell ref="AB7:AB8"/>
    <mergeCell ref="B7:F7"/>
    <mergeCell ref="G7:K7"/>
    <mergeCell ref="J10:J11"/>
    <mergeCell ref="K10:K11"/>
    <mergeCell ref="U28:U34"/>
    <mergeCell ref="AA28:AA34"/>
    <mergeCell ref="AB28:AB34"/>
    <mergeCell ref="L15:L19"/>
    <mergeCell ref="M15:M19"/>
    <mergeCell ref="N15:N19"/>
    <mergeCell ref="U15:U19"/>
    <mergeCell ref="AA15:AA19"/>
    <mergeCell ref="U10:U11"/>
    <mergeCell ref="L10:L11"/>
    <mergeCell ref="M10:M11"/>
    <mergeCell ref="N10:N11"/>
    <mergeCell ref="AA10:AA11"/>
    <mergeCell ref="L13:L14"/>
    <mergeCell ref="M13:M14"/>
    <mergeCell ref="N13:N14"/>
    <mergeCell ref="U13:U14"/>
    <mergeCell ref="AA13:AA14"/>
    <mergeCell ref="AC1:AE1"/>
    <mergeCell ref="AC2:AE2"/>
    <mergeCell ref="AC3:AE3"/>
    <mergeCell ref="AC4:AE4"/>
    <mergeCell ref="AC7:AC8"/>
    <mergeCell ref="AD7:AE7"/>
    <mergeCell ref="AC10:AC11"/>
    <mergeCell ref="AB15:AB19"/>
    <mergeCell ref="AC15:AC19"/>
    <mergeCell ref="AB10:AB11"/>
    <mergeCell ref="AD10:AD11"/>
    <mergeCell ref="AE10:AE11"/>
    <mergeCell ref="AD15:AD19"/>
    <mergeCell ref="AE15:AE19"/>
    <mergeCell ref="AB13:AB14"/>
    <mergeCell ref="AC13:AC14"/>
    <mergeCell ref="AD13:AD14"/>
    <mergeCell ref="AE13:AE14"/>
    <mergeCell ref="J54:J55"/>
    <mergeCell ref="K54:K55"/>
    <mergeCell ref="L54:L55"/>
    <mergeCell ref="M54:M55"/>
    <mergeCell ref="N54:N55"/>
    <mergeCell ref="U54:U55"/>
    <mergeCell ref="J61:J62"/>
    <mergeCell ref="K61:K62"/>
    <mergeCell ref="L61:L62"/>
    <mergeCell ref="M61:M62"/>
    <mergeCell ref="N61:N62"/>
    <mergeCell ref="U61:U62"/>
    <mergeCell ref="M58:M59"/>
    <mergeCell ref="N58:N59"/>
    <mergeCell ref="U58:U59"/>
    <mergeCell ref="L56:L57"/>
    <mergeCell ref="L58:L59"/>
    <mergeCell ref="M56:M57"/>
    <mergeCell ref="N56:N57"/>
    <mergeCell ref="U56:U57"/>
    <mergeCell ref="AD68:AD71"/>
    <mergeCell ref="AE68:AE71"/>
    <mergeCell ref="AD49:AD51"/>
    <mergeCell ref="AE49:AE51"/>
    <mergeCell ref="AD61:AD62"/>
    <mergeCell ref="AE61:AE62"/>
    <mergeCell ref="AD54:AD55"/>
    <mergeCell ref="AE54:AE55"/>
    <mergeCell ref="AC66:AC67"/>
    <mergeCell ref="AC63:AC65"/>
    <mergeCell ref="AD63:AD65"/>
    <mergeCell ref="AE63:AE65"/>
    <mergeCell ref="AB66:AB67"/>
    <mergeCell ref="AD66:AD67"/>
    <mergeCell ref="AE66:AE67"/>
    <mergeCell ref="AB58:AB59"/>
    <mergeCell ref="AC58:AC59"/>
    <mergeCell ref="AD58:AD59"/>
    <mergeCell ref="AE58:AE59"/>
    <mergeCell ref="AB56:AB57"/>
    <mergeCell ref="AC56:AC57"/>
    <mergeCell ref="AD56:AD57"/>
    <mergeCell ref="AE56:AE57"/>
    <mergeCell ref="AB63:AB65"/>
    <mergeCell ref="AB61:AB62"/>
    <mergeCell ref="AD22:AD23"/>
    <mergeCell ref="AE22:AE23"/>
    <mergeCell ref="AB20:AB21"/>
    <mergeCell ref="AC20:AC21"/>
    <mergeCell ref="AE20:AE21"/>
    <mergeCell ref="AD20:AD21"/>
    <mergeCell ref="AB24:AB25"/>
    <mergeCell ref="AC24:AC25"/>
    <mergeCell ref="AD24:AD25"/>
    <mergeCell ref="AE24:AE25"/>
  </mergeCells>
  <conditionalFormatting sqref="N56 N9:N13 N15:N20 N22 N24 N26:N54 N58 N60:N63 N68:N73">
    <cfRule type="cellIs" dxfId="7" priority="9" operator="between">
      <formula>0.66</formula>
      <formula>1</formula>
    </cfRule>
    <cfRule type="cellIs" dxfId="6" priority="10" operator="between">
      <formula>0.33</formula>
      <formula>0.66</formula>
    </cfRule>
    <cfRule type="cellIs" dxfId="5" priority="11" operator="between">
      <formula>0</formula>
      <formula>0.33</formula>
    </cfRule>
  </conditionalFormatting>
  <conditionalFormatting sqref="W9:W10 W12:W65 V66:W73">
    <cfRule type="cellIs" dxfId="4" priority="8" operator="greaterThan">
      <formula>P9</formula>
    </cfRule>
  </conditionalFormatting>
  <conditionalFormatting sqref="V9:V63">
    <cfRule type="cellIs" dxfId="3" priority="7" operator="greaterThan">
      <formula>P9</formula>
    </cfRule>
  </conditionalFormatting>
  <conditionalFormatting sqref="N66">
    <cfRule type="cellIs" dxfId="2" priority="1" operator="between">
      <formula>0.66</formula>
      <formula>1</formula>
    </cfRule>
    <cfRule type="cellIs" dxfId="1" priority="2" operator="between">
      <formula>0.33</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2021-02-09T14:28:18Z</cp:lastPrinted>
  <dcterms:created xsi:type="dcterms:W3CDTF">2008-07-08T21:30:46Z</dcterms:created>
  <dcterms:modified xsi:type="dcterms:W3CDTF">2022-02-03T16:44:49Z</dcterms:modified>
</cp:coreProperties>
</file>