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2 - Diciembre\Publicados\"/>
    </mc:Choice>
  </mc:AlternateContent>
  <xr:revisionPtr revIDLastSave="0" documentId="13_ncr:1_{565EA532-5ED2-41B0-8F62-0738772D2A0C}"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Acción'!$A$8:$AA$74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74" i="14" l="1"/>
  <c r="AC74" i="14"/>
  <c r="AA63" i="14"/>
  <c r="U63" i="14"/>
  <c r="A74" i="14"/>
  <c r="U72" i="14" l="1"/>
  <c r="U66" i="14"/>
  <c r="U60" i="14"/>
  <c r="U58" i="14"/>
  <c r="U56" i="14"/>
  <c r="U54" i="14"/>
  <c r="U53" i="14"/>
  <c r="U52" i="14"/>
  <c r="U48" i="14"/>
  <c r="U47" i="14"/>
  <c r="U39" i="14"/>
  <c r="U27" i="14"/>
  <c r="U26" i="14"/>
  <c r="U24" i="14"/>
  <c r="U22" i="14"/>
  <c r="U20" i="14"/>
  <c r="U12" i="14"/>
  <c r="U9" i="14"/>
  <c r="Q10" i="14" l="1"/>
  <c r="U10" i="14" s="1"/>
  <c r="V31" i="14" l="1"/>
  <c r="N66" i="14" l="1"/>
  <c r="AC68" i="14" l="1"/>
  <c r="P46" i="14" l="1"/>
  <c r="P68" i="14" l="1"/>
  <c r="P62" i="14"/>
  <c r="P61" i="14"/>
  <c r="U61" i="14" s="1"/>
  <c r="AA58" i="14"/>
  <c r="AA56" i="14"/>
  <c r="W40" i="14" l="1"/>
  <c r="V40" i="14"/>
  <c r="AA40" i="14" s="1"/>
  <c r="P45" i="14" l="1"/>
  <c r="P43" i="14"/>
  <c r="P40" i="14"/>
  <c r="Q40" i="14"/>
  <c r="Q46" i="14"/>
  <c r="AA22" i="14" l="1"/>
  <c r="AA20" i="14"/>
  <c r="AA24" i="14"/>
  <c r="W19" i="14" l="1"/>
  <c r="Q41" i="14" l="1"/>
  <c r="U40" i="14" s="1"/>
  <c r="Q15" i="14" l="1"/>
  <c r="M49" i="14" l="1"/>
  <c r="P34" i="14" l="1"/>
  <c r="Q19" i="14" l="1"/>
  <c r="U15" i="14" s="1"/>
  <c r="AA35" i="14" l="1"/>
  <c r="AA15" i="14"/>
  <c r="AA10" i="14"/>
  <c r="AA48" i="14"/>
  <c r="W13" i="14" l="1"/>
  <c r="Q13" i="14"/>
  <c r="U13" i="14" s="1"/>
  <c r="V61" i="14" l="1"/>
  <c r="AA13" i="14" l="1"/>
  <c r="AA72" i="14" l="1"/>
  <c r="AA54" i="14" l="1"/>
  <c r="AB54" i="14" s="1"/>
  <c r="AA66" i="14" l="1"/>
  <c r="AA61" i="14"/>
  <c r="AA60" i="14"/>
  <c r="AA53" i="14"/>
  <c r="AA52" i="14"/>
  <c r="AA49" i="14"/>
  <c r="AA47" i="14"/>
  <c r="AA39" i="14"/>
  <c r="AA27" i="14"/>
  <c r="AA26" i="14"/>
  <c r="AA12" i="14"/>
  <c r="AA9" i="14"/>
  <c r="R74" i="14"/>
  <c r="S74" i="14"/>
  <c r="T74" i="14"/>
  <c r="X74" i="14"/>
  <c r="Y74" i="14"/>
  <c r="Z74" i="14"/>
  <c r="N72" i="14"/>
  <c r="W70" i="14"/>
  <c r="W74" i="14" s="1"/>
  <c r="V70" i="14"/>
  <c r="Q70" i="14"/>
  <c r="V69" i="14"/>
  <c r="P69" i="14"/>
  <c r="U68" i="14" s="1"/>
  <c r="N68" i="14"/>
  <c r="P63" i="14"/>
  <c r="N63" i="14"/>
  <c r="N61" i="14"/>
  <c r="N60" i="14"/>
  <c r="N58" i="14"/>
  <c r="N56" i="14"/>
  <c r="N54" i="14"/>
  <c r="N53" i="14"/>
  <c r="N52" i="14"/>
  <c r="P51" i="14"/>
  <c r="U49" i="14" s="1"/>
  <c r="N49" i="14"/>
  <c r="N48" i="14"/>
  <c r="N47" i="14"/>
  <c r="N40" i="14"/>
  <c r="N39" i="14"/>
  <c r="Q35" i="14"/>
  <c r="U35" i="14" s="1"/>
  <c r="N35" i="14"/>
  <c r="P32" i="14"/>
  <c r="AA28" i="14"/>
  <c r="P31" i="14"/>
  <c r="U28" i="14" s="1"/>
  <c r="N28" i="14"/>
  <c r="N27" i="14"/>
  <c r="N26" i="14"/>
  <c r="N24" i="14"/>
  <c r="N22" i="14"/>
  <c r="N20" i="14"/>
  <c r="N15" i="14"/>
  <c r="N13" i="14"/>
  <c r="N12" i="14"/>
  <c r="N10" i="14"/>
  <c r="N9" i="14"/>
  <c r="U74" i="14" l="1"/>
  <c r="AB35" i="14"/>
  <c r="AA68" i="14"/>
  <c r="AA74" i="14" s="1"/>
  <c r="AB74" i="14" s="1"/>
  <c r="Q74" i="14"/>
  <c r="AB40" i="14"/>
  <c r="AB52" i="14"/>
  <c r="P74" i="14"/>
  <c r="V74" i="14"/>
  <c r="AB10" i="14"/>
  <c r="AB12" i="14"/>
  <c r="AB22" i="14"/>
  <c r="AB56" i="14"/>
  <c r="AB26" i="14"/>
  <c r="AB39" i="14"/>
  <c r="AB66" i="14"/>
  <c r="AB61" i="14"/>
  <c r="AB48" i="14"/>
  <c r="AB24" i="14"/>
  <c r="AB53" i="14"/>
  <c r="AB58" i="14"/>
  <c r="AB15" i="14"/>
  <c r="AB27" i="14"/>
  <c r="AB49" i="14"/>
  <c r="AB63" i="14"/>
  <c r="AB47" i="14"/>
  <c r="AB20" i="14"/>
  <c r="AB13" i="14"/>
  <c r="AB60" i="14"/>
  <c r="AB72" i="14"/>
  <c r="AB9" i="14"/>
  <c r="AB28" i="14" l="1"/>
  <c r="AB68" i="14"/>
</calcChain>
</file>

<file path=xl/sharedStrings.xml><?xml version="1.0" encoding="utf-8"?>
<sst xmlns="http://schemas.openxmlformats.org/spreadsheetml/2006/main" count="602" uniqueCount="234">
  <si>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</si>
  <si>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</si>
  <si>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</si>
  <si>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</si>
  <si>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</si>
  <si>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</si>
  <si>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</si>
  <si>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</si>
  <si>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</si>
  <si>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</si>
  <si>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</si>
  <si>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</si>
  <si>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</si>
  <si>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</si>
  <si>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</si>
  <si>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</si>
  <si>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</si>
  <si>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</si>
  <si>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</si>
  <si>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</si>
  <si>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</si>
  <si>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</si>
  <si>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</si>
  <si>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</si>
  <si>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</si>
  <si>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</si>
  <si>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</si>
  <si>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</si>
  <si>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</si>
  <si>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</si>
  <si>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</si>
  <si>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</si>
  <si>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</si>
  <si>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</si>
  <si>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</si>
  <si>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</si>
  <si>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</si>
  <si>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</si>
  <si>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</si>
  <si>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</si>
  <si>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</si>
  <si>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</si>
  <si>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</si>
  <si>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</si>
  <si>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</si>
  <si>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</si>
  <si>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</si>
  <si>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2.3.2.02.02.006.2201079.201
2.3.2.02.02.006.2201079.217
2.3.2.02.02.006.2201079.214
2.3.2.02.02.006.2201079.266</t>
  </si>
  <si>
    <t xml:space="preserve">FORTALECIMIENTO DEL PROGRAMA DE ALIMENTACIÓN ESCOLAR-PAE EN EL MUNICIPIO DE BUCARAMANGA  </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</si>
  <si>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</si>
  <si>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
2.3.2.02.02.006.2201079.517
2.3.2.02.02.006.2201079.514
2.3.2.02.02.006.2201079.595</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</si>
  <si>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</si>
  <si>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</si>
  <si>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 xml:space="preserve">2.3.2.02.02.006.2201079.217
</t>
  </si>
  <si>
    <t>Mantener 3.335 jovenes y adultos con modelos flexibles.</t>
  </si>
  <si>
    <t>Número de jóvenes y adultos mantenidos con modelos flexibles.</t>
  </si>
  <si>
    <r>
      <t xml:space="preserve">•Brindar el servicio educativo a través de modelos educativos flexibles en las IEO del municipio
</t>
    </r>
    <r>
      <rPr>
        <sz val="12"/>
        <rFont val="Arial"/>
        <family val="2"/>
      </rPr>
      <t>(Avance de Actividades con Gestión de la  Secretaría de Educación)</t>
    </r>
  </si>
  <si>
    <t>Entregar dotación de material didáctico y/o mobiliario escolar a 35 establecimientos educativos oficiales.</t>
  </si>
  <si>
    <t>Número de establecimientos educativos oficiales dotados con material didáctico y/o mobiliario escolar.</t>
  </si>
  <si>
    <t>FORTALECIMIENTO EN LA OPERATIVIDAD DE LAS INSTITUCIONES EDUCATIVAS OFICIALES CON RECURSOS DE CALIDAD GRATUIDAD EDUCATIVA EN EL MUNICIPIO DE BUCARAMANGA</t>
  </si>
  <si>
    <t>•Garantizar el  acceso y permanencia de los estudiantes de las IEO  en el sistema educativo por medio de la gestion  de los recursos de Calidad Gratuidad Educativa.</t>
  </si>
  <si>
    <t>2.3.2.02.02.009.2201061.207</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</si>
  <si>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</si>
  <si>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</si>
  <si>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</si>
  <si>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•Disponer de apoyos pedagógicos para fortalecer la permanencia y formación de los estudiantes con discapacidad y/o talentos excepcionales matriculados en el sistema escolar de Bucaramanga</t>
  </si>
  <si>
    <t xml:space="preserve">2.3.2.02.02.009.4599031.201
2.3.2.02.02.009.2203018.205
</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</si>
  <si>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</si>
  <si>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</si>
  <si>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2.3.2.02.02.009.2203018.205
2.3.2.02.02.009.2203018.277</t>
  </si>
  <si>
    <t>Mantener en funcionamiento 4 ludotecas.</t>
  </si>
  <si>
    <t>Número de Ludotecas mantenidas en funcionamiento.</t>
  </si>
  <si>
    <t>FORTALECIMIENTO DE LAS LUDOTECAS PARA EL DESARROLLO INTEGRAL DE LA NIÑEZ EN EL MUNICIPIO DE BUCARAMANGA</t>
  </si>
  <si>
    <t>Mantener en funcionamiento 4 ludotecas :
• Centro Cultural del Oriente 
•Kennedy – Centro Vida Norte
•Estación del Ferrocarril Café Madrid 
•Parque Metropolitano Bosque Encantado (La Ceiba)</t>
  </si>
  <si>
    <t>2.3.2.02.02.005.2202050.201
2.3.2.02.02.005.2202051.201</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</si>
  <si>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</si>
  <si>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</si>
  <si>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</si>
  <si>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•Prestar el servicio de transporte escolar terrestre a los niños, niñas, adolescentes y jóvenes  de bajos recursos de las IEO del municipio</t>
  </si>
  <si>
    <t>2.3.2.02.02.006.2201029.201</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</si>
  <si>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</si>
  <si>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</si>
  <si>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</si>
  <si>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•Disponer de la prestación oportuna del servicio educativo a escolares en el municipio (sistema de administración y/o concesiones)</t>
  </si>
  <si>
    <t xml:space="preserve">2.3.2.02.02.009.2201071.201
2.3.2.02.02.009.2201071.205
</t>
  </si>
  <si>
    <t>Realizar mantenimiento a 40 establecimientos educativos oficiales.</t>
  </si>
  <si>
    <t>Número de establecimientos educativos oficiales con reparaciones locativas realizadas.</t>
  </si>
  <si>
    <t>ACTUALIZACIÓN PARA EL PAGO DE VIGENCIAS EXPIRADAS DE LA SECRETARÍA DE EDUCACIÓN DEL MUNICIPIO DE BUCARAMANGA</t>
  </si>
  <si>
    <t xml:space="preserve">•Realizar pago vigencias expiradas del contrato 313 de 2019
•Realizar pago de vigencias expiradas del adicional No 2 en valor y plazo del contrato 242 de 2018 </t>
  </si>
  <si>
    <t>2.3.7.06.02.4599002.601</t>
  </si>
  <si>
    <t>COMPROMISO PARA EL PAGO DE VIGENCIAS EXPIRADAS DE LA SECRETARÍA DE EDUCACIÓN DEL MUNICIPIO DE   BUCARAMANGA</t>
  </si>
  <si>
    <t>•Realizar pago vigencias expiradas del contrato 291 de 2018
•Realizar pago de vigencias expiradas del adicional No 4 en valor y plazo del contrato 242 de 2018
•Realizar pago de vigencias expiradas del adicional en valor y plazo No 5 del contrato 252 de 2018</t>
  </si>
  <si>
    <t>2.3.2.02.02.005.2201052.594</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</si>
  <si>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</si>
  <si>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</si>
  <si>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</si>
  <si>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2.3.2.02.02.005.2201052.201
2.3.2.02.02.005.2201052.506
2.3.2.02.02.005.2201052.594
2.3.2.02.02.005.2201052.213</t>
  </si>
  <si>
    <t>2.3.2.02.02.005.2201052.213</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</si>
  <si>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</si>
  <si>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</si>
  <si>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</si>
  <si>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 xml:space="preserve">•Desarrollar estrategias pedagógicas que permitan planear, desarrollar y evaluar el currículo en el establecimiento Educativo, para la  mejora de  la calidad del proceso de enseñanza y el desarrollo integral de los estudiantes.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</si>
  <si>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</si>
  <si>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</si>
  <si>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</si>
  <si>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</si>
  <si>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ADMINISTRACIÓN DE LA PLANTA DE PERSONAL DOCENTE. DIRECTIVO DOCENTE. ADMINISTRATIVA DE LAS INSTITUCIONES EDUCATIVAS OFICIALES Y SECRETARÍA DE EDUCACIÓN DEL MUNICIPIO DE BUCARAMANGA</t>
  </si>
  <si>
    <t>•Fortalecer las 47 instituciones educativas oficiales con planta de personal docente. directivo docente y administrativa.</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</si>
  <si>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</si>
  <si>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</si>
  <si>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</si>
  <si>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</si>
  <si>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</si>
  <si>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</si>
  <si>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</si>
  <si>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</si>
  <si>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 xml:space="preserve">2.3.2.02.02.009.2201060.206
2.3.2.02.02.009.2201060.201
</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</si>
  <si>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</si>
  <si>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</si>
  <si>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</si>
  <si>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</si>
  <si>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•Fortalecer y desarrollar conocimientos, habilidades, aptitudes y actitudes de los docentes de las IEO mediante la formación en evaluación por competencias para el mejoramiento de sus estrategias pedagógicas.</t>
  </si>
  <si>
    <t>2.3.2.02.02.009.2201074.506</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</si>
  <si>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</si>
  <si>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</si>
  <si>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 xml:space="preserve">•Desarrollar estrategias pedagógicas que permitan planear, desarrollar y evaluar el currículo en los  establecimientos Educativos Rurales, para la  mejora de  la calidad del proceso de enseñanza y el desarrollo integral de los estudiantes.  </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</si>
  <si>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</si>
  <si>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</si>
  <si>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</si>
  <si>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 xml:space="preserve">• Disponer de los servicios de capacitación y seguimiento a las experiencias educativas de las instituciones educativas participantes del foro educativo municipal.
</t>
  </si>
  <si>
    <t>2.3.2.02.02.009.2201074.206</t>
  </si>
  <si>
    <t>Mantener el 100% de los macroprocesos de la Secretaría de Educación.</t>
  </si>
  <si>
    <t>Porcentaje de macroprocesos de la Secretaría de Educación mantenidos.</t>
  </si>
  <si>
    <t>MEJORAMIENTO DE LOS MACROPROCESOS DE LA SECRETARÍA DE EDUCACIÓN DEL MUNICIPIO DE BUCARAMANGA</t>
  </si>
  <si>
    <t>• Mantener y fortalecer el 100% de los Macroprocesos de la Secretaría de Educación</t>
  </si>
  <si>
    <t>2.3.2.02.02.008.4599031.201</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</si>
  <si>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</si>
  <si>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</si>
  <si>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</si>
  <si>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•Desarrollar programas de bienestar laboral (formación integral e incentivos) que fomenten la excelencia en el desempeño del personal directivo docente, docente y administrativo de las IEO</t>
  </si>
  <si>
    <t>2.3.2.02.02.009.2201049.201</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</si>
  <si>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</si>
  <si>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</si>
  <si>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</si>
  <si>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•Disponer de la cobertura del servicio de riesgos laborales  para los estudiantes de grado 10 y 11  que se encuentran en práctica académica de las IE del municipio.</t>
  </si>
  <si>
    <t>2.3.2.02.02.009.2201043.201</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</si>
  <si>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</si>
  <si>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</si>
  <si>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</si>
  <si>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</si>
  <si>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</si>
  <si>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</si>
  <si>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•Otorgar nuevos subsidios con enfoque diferencial para  el  acceso  a  la educaciónsuperior  del  nivel técnico, tecnológico y  profesional.</t>
  </si>
  <si>
    <t xml:space="preserve">2.3.2.02.02.009.2202009.224
2.3.2.02.02.009.2202009.201 
2.3.2.02.02.009.2202009.290
2.3.2.02.02.009.2202009.523
</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</si>
  <si>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</si>
  <si>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</si>
  <si>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•Mantener el 100% de los subsidios para el acceso a la educación superior del nivel técnico. profesional. tecnológico y profesional.</t>
  </si>
  <si>
    <t>2.3.2.02.02.009.2202009.224
2.3.2.02.02.009.2202009.201
2.3.2.02.02.009.2202009.290
2.3.7.06.02.4599002.623</t>
  </si>
  <si>
    <t>APOYO PARA EL ACCESO Y PERMANENCIA EN UN PROGRAMA DE PREGRADO PARA EL MEJOR ESTUDIANTE EN LAS PRUEBAS SABER 11 Y EGRESADO DE LAS IEO DEL MUNICIPIO DE BUCARAMANGA</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</si>
  <si>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</si>
  <si>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2.3.2.02.02.009.2202009.201</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</si>
  <si>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</si>
  <si>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</si>
  <si>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</si>
  <si>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</si>
  <si>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</si>
  <si>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</si>
  <si>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</si>
  <si>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 Disponer de la dotación de equipos tecnológicos (incluidas licencias y programas preinstalados) para las sedes educativas oficiales del municipio.</t>
  </si>
  <si>
    <t xml:space="preserve">2.3.2.02.01.004.2201070.289 
2.3.2.02.01.004.2201070.201 </t>
  </si>
  <si>
    <t>•Realizar pago de vigencias expiradas del contrato 360 de 2019</t>
  </si>
  <si>
    <t>2.3.7.06.02.4599002.688
2.3.7.06.02.4599002.601</t>
  </si>
  <si>
    <t>2.3.2.02.02.005.2201052.593
2.3.2.02.02.005.2201052.594</t>
  </si>
  <si>
    <t>2.3.2.02.01.004.2201070.201</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</si>
  <si>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</si>
  <si>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</si>
  <si>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</si>
  <si>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•Contar con el servicio de conectividad a internet en las Instituciones Educativas Oficiales del municipio</t>
  </si>
  <si>
    <t>2.3.2.02.02.008.2201050.205</t>
  </si>
  <si>
    <t xml:space="preserve"> PLAN DE ACCIÓN - PLAN DE DESARROLLO MUNICIPAL
SECRETARÍA DE EDUCACIÓN</t>
  </si>
  <si>
    <t>•Desarrollar programas especiales de refuerzo para el aprendizaje de una segunda lengua en los estudiantes de las IEO.</t>
  </si>
  <si>
    <t>•Disponer del servicio de Capacitación a docentes en el manejo de una segunda lengua, para la mejora de sus competencias lingüísticas.</t>
  </si>
  <si>
    <t>2.3.2.02.02.009.2201077.205
2.3.2.02.02.009.2201030.206</t>
  </si>
  <si>
    <t>2.3.2.02.02.009.2201061.293 
2.3.2.02.02.009.2201069.293</t>
  </si>
  <si>
    <t>FORTALECIMIENTO DE LOS MODELOS EDUCATIVOS FLEXIBLES EN LAS INSTITUCIONES EDUCATIVAS OFICIALES DEL MUNICIPIO DE BUCARAMANGA</t>
  </si>
  <si>
    <t>2.3.2.02.02.009.2201030.206</t>
  </si>
  <si>
    <t>DOTACIÓN DE MATERIAL DIDÁCTICO Y PEDAGÓGICO PARA LA INCLUSIÓN DE LA POBLACIÓN CON DISCAPACIDAD DE LAS INSTITUCIONES EDUCATIVAS OFICIALES DEL MUNICIPIO DE BUCARAMANGA</t>
  </si>
  <si>
    <t>31/12/201</t>
  </si>
  <si>
    <t>•Dotar de materiales didácticos pertinentes que impacten de manera considerable la implementación de la propuesta pedagógica DUA.</t>
  </si>
  <si>
    <t>2.3.2.02.02.009.2203018.205</t>
  </si>
  <si>
    <t>FORTALECIMIENTO DEL PROCESO DE EVALUACIÓN POR COMPETENCIAS EN LAS INSTITUCIONES EDUCATIVAS OFICIALES DEL MUNICIPIO DE BUCARAMANGA</t>
  </si>
  <si>
    <t>DESARROLLO DE ACCIONES PARA LA IDENTIFICACIÓN Y PREVENCIÓN DE CASOS DE NIÑOS, NIÑAS Y ADOLESCENTES VINCULADOS A DELITOS Y CONTRAVENCIONES DENTRO Y FUERA DE LAS INSTITUCIONES EDUCATIVAS DEL MUNICIPIO DE BUCARAMANGA.</t>
  </si>
  <si>
    <t>2.3.2.02.02.009.4501046.201</t>
  </si>
  <si>
    <t>2.3.2.02.02.009.2201077.205</t>
  </si>
  <si>
    <t xml:space="preserve">•Brindar el servicio educativo a través de modelos educativos flexibles en las IEO del municipio 
•Realizar la dotación de material pedagógico
</t>
  </si>
  <si>
    <t xml:space="preserve">Realizar una caracterización del Clima Escolar en las IEO del municipio: 
•Identificar los riesgos asociados a casos de intolerancia social dentro y fuera de las instituciones educativas oficiales del Municipio de Bucaramanga 
•Realizar un Modelo de Investigación Acción Participativa -IAP para el diagnóstico de conflictividades escolares fuera de las instituciones educativas </t>
  </si>
  <si>
    <t>DOTACIÓN DE AMBIENTES ESCOLARES PARA LA ATENCIÓN A LA PRIMERA INFANCIA EN LAS INSTITUCIONES EDUCATIVAS OFICIALES DEL MUNICIPIO DE BUCARAMANGA</t>
  </si>
  <si>
    <t>•Dotar  de mobiliario escolar a 12 ambientes de transición.</t>
  </si>
  <si>
    <t>2.3.2.02.02.005.2201069.506</t>
  </si>
  <si>
    <t>FORTALECIMIENTO DEL PROCESO DE GESTIÓN DE LA CALIDAD DEL SERVICIO EDUCATIVO EN EL MUNICIPIO DE BUCARAMANGA</t>
  </si>
  <si>
    <t>2.3.2.02.02.009.2201006.201</t>
  </si>
  <si>
    <t>Disponer del servicio de acompañamiento a los procesos de formación docente que adelanta la SEB</t>
  </si>
  <si>
    <t>2.3.2.02.02.009.4599031.583 
2.3.2.02.02.009.4599031.283
2.3.2.02.02.009.2201074.506</t>
  </si>
  <si>
    <t>MANTENIMIENTO DE LA INFRAESTRUCTURA EDUCATIVA DEL COLEGIO AURELIO MARTÍNEZ MUTIS SEDE C DEL MUNICIPIO DE BUCARAMANGA</t>
  </si>
  <si>
    <t>•Desarrollar obras de reparación y mejoramiento en áreas específicas, en la sede C del Aurelio Martínez Mutis para garantizar el regreso seguro a la presencialidad de los estudiantes en el marco de la alternancia educativa.</t>
  </si>
  <si>
    <t>DOTACIÓN DE EQUIPOS, MULTIMEDIA , MATERIAL DIDÁCTICO Y MOBILIARIO ESCOLAR PARA LAS INSTITUCIONES EDUCATIVAS OFICIALES DEL MUNICIPIO DE BUCARAMANGA.</t>
  </si>
  <si>
    <t>•Realizar la dotación de equipos, multimedia, material didáctico y/o mobiliario escolar en las IEO del municipio.</t>
  </si>
  <si>
    <t>IMPLEMENTACIÓN DEL PROGRAMA DE EDUCACIÓN POSTSECUNDARIA EN EL MUNICIPIO DE BUCARAMANGA</t>
  </si>
  <si>
    <t>•Proporcionar conocimientos, competencias y habilidades para el empleo y el emprendimiento de los jóvenes y adultos del municipio
•Desarrollar acciones de apoyo y seguimiento a la ejecución del programa pos secundaria</t>
  </si>
  <si>
    <t xml:space="preserve">
2.3.2.02.02.009.2202016.201
</t>
  </si>
  <si>
    <t>2.3.2.02.02.005.2201069.289
2.3.2.02.02.005.2201069.213
2.3.2.02.02.005.2201069.265
2.3.2.02.02.005.2201069.506</t>
  </si>
  <si>
    <t>SUMINISTRO DE ELEMENTOS DE PROTECCIÓN PARA LA PREVENCIÓN Y MITIGACIÓN DEL COVID-SARS2 EN LAS INSTITUCIONES EDUCATIVAS OFICIALES DEL MUNICIPIO DE BUCARAMANGA</t>
  </si>
  <si>
    <t xml:space="preserve">•Dotar de insumos para la protección, prevención y mitigación del COVID-19 tales como caretas, tapabocas desechables y alcohol isopropílico para los estudiantes y personal docente, directivo docente y administrativo de las IEO del municipio. </t>
  </si>
  <si>
    <t xml:space="preserve">2.3.2.02.02.009.2201069.293
2.3.2.02.02.009.2201069.592  </t>
  </si>
  <si>
    <t xml:space="preserve">MEJORAMIENTO DE LA INFRAESTRUCTURA EDUCATIVA EN LAS INSTITUCIONES EDUCATIVAS OFICIALES DEL MUNICIPIO DE BUCARAMANGA </t>
  </si>
  <si>
    <t>• Desarrollar obras de reparación y mejoramiento especifico en las instituciones educativas oficiales de Bucaramanga</t>
  </si>
  <si>
    <t>MANTENIMIENTO YO ADECUACIONES LOCATIVAS DE LA PLANTA FÍSICA PARA EL REGRESO PRESENCIAL DE LOS ESTUDIANTES EN LAS INSTITUCIONES EDUCATIVAS OFICIALES DEL MUNICIPIO DE BUCARAMANGA</t>
  </si>
  <si>
    <t>•Mejorar las condiciones de las instalaciones físicas de las IEO del  municipio para la aplicación de los protocolos de bioseguridad por COVID-19.</t>
  </si>
  <si>
    <t>2.3.2.02.02.005.2201052.201 
2.3.2.02.02.005.2201052.289 
2.3.2.02.02.009.2201052.293 
2.3.2.02.02.005.2201052.206 
2.3.2.02.02.005.2201052.213 </t>
  </si>
  <si>
    <t>2.3.2.02.02.005.2201052.289 
2.3.2.02.02.009.2201052.293 
2.3.2.02.02.005.2201052.206 
2.3.2.02.02.005.2201052.213 </t>
  </si>
  <si>
    <t>2.3.2.02.02.005.2201052.201 
2.3.2.02.02.009.2201052.293
2.3.2.02.02.005.2201052.501  </t>
  </si>
  <si>
    <t>•Adecuar la infraestructura de las sede I: El Inicio y sede G: San Pedro Bajo de la institución educativa oficial rural IE Vijagual.</t>
  </si>
  <si>
    <t>2.3.2.02.02.005.2201052.289</t>
  </si>
  <si>
    <t xml:space="preserve">2.3.2.02.02.005.2201052.201 
2.3.7.06.02.4599002.601
</t>
  </si>
  <si>
    <t>2.3.2.02.01.004.2201070.201
2.3.2.02.02.005.2201069.506
2.3.2.02.02.005.2201069.265</t>
  </si>
  <si>
    <t>2.3.2.02.02.007.2201071.201 
2.3.2.02.02.008.2201071.201
2.3.2.02.02.008.2201071.293
2.3.2.02.02.009.2201069.293
2.3.2.02.02.008.2201071.501
2.3.2.02.02.006.2201071.206
2.3.2.02.02.006.2201071.213
2.3.2.02.02.008.2201071.213</t>
  </si>
  <si>
    <t>2.3.2.02.02.009.2201052.293
2.3.2.02.02.009.2201069.293
2.3.2.02.02.008.2201071.201
2.3.2.02.02.009.2201069.293
2.3.2.02.02.006.2201071.206
2.3.2.02.02.006.2201071.213</t>
  </si>
  <si>
    <t>2.3.2.02.02.009.2202009.201 
2.3.2.02.02.009.2202009.523
2.3.2.02.02.009.2202009.290</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</si>
  <si>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2.3.1.01.03.001.03.2201071.205
2.3.1.01.03.009.2201071.205
2.3.1.01.01.001.02.2201071.205
2.3.1.01.01.001.04.2201071.205
2.3.1.01.01.001.05.2201071.205
2.3.2.02.02.006.2201071.205
2.3.1.01.01.001.01.2201071.505
2.3.1.01.01.001.01.2201071.277
2.3.1.01.03.001.02.2201071.205
2.3.2.02.01.002.2201071.205
2.3.2.02.02.009.2201071.205</t>
  </si>
  <si>
    <t>2.3.2.02.02.009.2202016.201</t>
  </si>
  <si>
    <t xml:space="preserve">Pendiente </t>
  </si>
  <si>
    <t>Pendiente</t>
  </si>
  <si>
    <t>Código BPIM</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</si>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</sst>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_-* #,##0_-;\-* #,##0_-;_-* &quot;-&quot;??_-;_-@_-"/>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cellStyleXfs>
  <cellXfs count="167">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64" fontId="8" fillId="0" borderId="2" xfId="0" applyNumberFormat="1" applyFont="1" applyBorder="1" applyAlignment="1">
      <alignment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165" fontId="7" fillId="2" borderId="4" xfId="108" applyNumberFormat="1" applyFont="1" applyFill="1" applyBorder="1" applyAlignment="1">
      <alignment vertical="center"/>
    </xf>
    <xf numFmtId="0" fontId="7" fillId="2" borderId="1"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1" fillId="0" borderId="2" xfId="0" applyNumberFormat="1" applyFont="1" applyBorder="1" applyAlignment="1">
      <alignment horizontal="center" vertical="center" wrapText="1"/>
    </xf>
    <xf numFmtId="1" fontId="8" fillId="2" borderId="2" xfId="0" applyNumberFormat="1" applyFont="1" applyFill="1" applyBorder="1" applyAlignment="1">
      <alignment horizontal="center"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xf>
    <xf numFmtId="1" fontId="9" fillId="2" borderId="2" xfId="0" applyNumberFormat="1" applyFont="1" applyFill="1" applyBorder="1" applyAlignment="1">
      <alignment horizontal="center" vertical="center"/>
    </xf>
    <xf numFmtId="164" fontId="9" fillId="0" borderId="2" xfId="0" applyNumberFormat="1" applyFont="1" applyBorder="1" applyAlignment="1">
      <alignment horizontal="left" vertical="center" wrapText="1"/>
    </xf>
    <xf numFmtId="164" fontId="9" fillId="0" borderId="2" xfId="0" applyNumberFormat="1" applyFont="1" applyBorder="1" applyAlignment="1">
      <alignment horizontal="justify" vertical="center" wrapText="1"/>
    </xf>
    <xf numFmtId="164" fontId="9" fillId="0" borderId="2" xfId="0" applyNumberFormat="1" applyFont="1" applyBorder="1" applyAlignment="1">
      <alignment horizontal="justify" wrapText="1"/>
    </xf>
    <xf numFmtId="164" fontId="9" fillId="0" borderId="2" xfId="0" applyNumberFormat="1" applyFont="1" applyBorder="1" applyAlignment="1">
      <alignment horizontal="left" wrapText="1"/>
    </xf>
    <xf numFmtId="3" fontId="9" fillId="0" borderId="2" xfId="0" applyNumberFormat="1" applyFont="1" applyBorder="1" applyAlignment="1">
      <alignment horizontal="center" vertical="center" wrapText="1"/>
    </xf>
    <xf numFmtId="0" fontId="8" fillId="0" borderId="2" xfId="0" applyFont="1" applyBorder="1" applyAlignment="1">
      <alignment horizontal="justify" vertical="center"/>
    </xf>
    <xf numFmtId="9" fontId="12" fillId="2" borderId="2" xfId="0" applyNumberFormat="1" applyFont="1" applyFill="1" applyBorder="1" applyAlignment="1">
      <alignment horizontal="justify" vertical="center" wrapText="1"/>
    </xf>
    <xf numFmtId="0" fontId="6" fillId="2" borderId="4" xfId="0" applyFont="1" applyFill="1" applyBorder="1" applyAlignment="1">
      <alignment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6" fillId="2" borderId="4" xfId="0" applyFont="1" applyFill="1" applyBorder="1" applyAlignment="1"/>
    <xf numFmtId="168" fontId="0" fillId="0" borderId="0" xfId="110" applyNumberFormat="1" applyFont="1"/>
    <xf numFmtId="5" fontId="0" fillId="0" borderId="0" xfId="0" applyNumberFormat="1" applyFont="1"/>
    <xf numFmtId="43" fontId="0" fillId="0" borderId="0" xfId="0" applyNumberFormat="1" applyFont="1"/>
    <xf numFmtId="168" fontId="0" fillId="0" borderId="0" xfId="0" applyNumberFormat="1" applyFont="1"/>
    <xf numFmtId="9" fontId="7" fillId="2" borderId="4" xfId="107"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0" fillId="0" borderId="0" xfId="0" applyAlignment="1">
      <alignment horizontal="center"/>
    </xf>
    <xf numFmtId="0" fontId="6" fillId="2" borderId="4" xfId="0" applyFont="1" applyFill="1" applyBorder="1" applyAlignment="1">
      <alignment horizontal="center"/>
    </xf>
    <xf numFmtId="9" fontId="8" fillId="0" borderId="1"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5" fontId="9" fillId="0" borderId="1" xfId="108" applyNumberFormat="1" applyFont="1" applyFill="1" applyBorder="1" applyAlignment="1">
      <alignment horizontal="center" vertical="center" wrapText="1"/>
    </xf>
    <xf numFmtId="164" fontId="8" fillId="0" borderId="4" xfId="0" applyNumberFormat="1" applyFont="1" applyBorder="1" applyAlignment="1">
      <alignment vertical="center" wrapText="1"/>
    </xf>
    <xf numFmtId="9" fontId="0" fillId="0" borderId="0" xfId="0" applyNumberFormat="1" applyFont="1"/>
    <xf numFmtId="10" fontId="0" fillId="0" borderId="0" xfId="107" applyNumberFormat="1" applyFont="1"/>
    <xf numFmtId="9" fontId="9" fillId="2" borderId="2"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11" fillId="0" borderId="2" xfId="0" applyFont="1" applyFill="1" applyBorder="1" applyAlignment="1">
      <alignment horizontal="justify" vertical="center"/>
    </xf>
    <xf numFmtId="0" fontId="10"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0" fontId="0" fillId="0" borderId="0" xfId="0" applyFill="1"/>
    <xf numFmtId="164" fontId="8" fillId="0" borderId="2" xfId="0" applyNumberFormat="1" applyFont="1" applyFill="1" applyBorder="1" applyAlignment="1">
      <alignment horizontal="justify" vertical="center" wrapText="1"/>
    </xf>
    <xf numFmtId="167" fontId="0" fillId="0" borderId="0" xfId="0" applyNumberFormat="1" applyAlignment="1">
      <alignment horizontal="center"/>
    </xf>
    <xf numFmtId="10" fontId="8" fillId="0" borderId="2" xfId="107" applyNumberFormat="1" applyFont="1" applyBorder="1" applyAlignment="1">
      <alignment horizontal="center" vertical="center" wrapText="1"/>
    </xf>
    <xf numFmtId="9" fontId="0" fillId="0" borderId="0" xfId="107" applyFont="1"/>
    <xf numFmtId="9" fontId="7" fillId="2" borderId="4" xfId="107" applyFont="1" applyFill="1" applyBorder="1" applyAlignment="1">
      <alignment horizontal="center" vertical="center" wrapText="1"/>
    </xf>
    <xf numFmtId="0" fontId="12"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1" xfId="0" applyFont="1" applyBorder="1" applyAlignment="1">
      <alignment horizontal="justify" vertical="center" wrapText="1"/>
    </xf>
    <xf numFmtId="1" fontId="9" fillId="0" borderId="2" xfId="110" applyNumberFormat="1" applyFont="1" applyFill="1" applyBorder="1" applyAlignment="1">
      <alignment horizontal="justify" vertical="center" wrapText="1"/>
    </xf>
    <xf numFmtId="6" fontId="9" fillId="0" borderId="2" xfId="108" applyNumberFormat="1" applyFont="1" applyFill="1" applyBorder="1" applyAlignment="1">
      <alignment horizontal="right" vertical="center" wrapText="1"/>
    </xf>
    <xf numFmtId="6" fontId="8" fillId="0" borderId="2" xfId="0" applyNumberFormat="1" applyFont="1" applyFill="1" applyBorder="1" applyAlignment="1">
      <alignment horizontal="right" vertical="center" wrapText="1"/>
    </xf>
    <xf numFmtId="6" fontId="0" fillId="0" borderId="2" xfId="0" applyNumberFormat="1" applyFont="1" applyFill="1" applyBorder="1" applyAlignment="1">
      <alignment horizontal="right"/>
    </xf>
    <xf numFmtId="6" fontId="10" fillId="2" borderId="2" xfId="108" applyNumberFormat="1" applyFont="1" applyFill="1" applyBorder="1" applyAlignment="1">
      <alignment horizontal="right" vertical="center" wrapText="1"/>
    </xf>
    <xf numFmtId="6" fontId="9" fillId="0" borderId="2" xfId="111" applyNumberFormat="1" applyFont="1" applyFill="1" applyBorder="1" applyAlignment="1">
      <alignment horizontal="right" vertical="center" wrapText="1"/>
    </xf>
    <xf numFmtId="6" fontId="9" fillId="0" borderId="2" xfId="0" applyNumberFormat="1" applyFont="1" applyFill="1" applyBorder="1" applyAlignment="1">
      <alignment horizontal="right" vertical="center"/>
    </xf>
    <xf numFmtId="6" fontId="9" fillId="0" borderId="2" xfId="108" applyNumberFormat="1" applyFont="1" applyFill="1" applyBorder="1" applyAlignment="1">
      <alignment horizontal="right" vertical="center"/>
    </xf>
    <xf numFmtId="6" fontId="10" fillId="2" borderId="1" xfId="108" applyNumberFormat="1" applyFont="1" applyFill="1" applyBorder="1" applyAlignment="1">
      <alignment horizontal="right" vertical="center" wrapText="1"/>
    </xf>
    <xf numFmtId="6" fontId="9" fillId="0" borderId="2" xfId="107" applyNumberFormat="1" applyFont="1" applyFill="1" applyBorder="1" applyAlignment="1">
      <alignment horizontal="right" vertical="center" wrapText="1"/>
    </xf>
    <xf numFmtId="6" fontId="0" fillId="0" borderId="0" xfId="0" applyNumberFormat="1" applyFont="1" applyFill="1" applyAlignment="1">
      <alignment horizontal="right"/>
    </xf>
    <xf numFmtId="6" fontId="8" fillId="0" borderId="2" xfId="108" applyNumberFormat="1" applyFont="1" applyFill="1" applyBorder="1" applyAlignment="1">
      <alignment horizontal="right" vertical="center" wrapText="1"/>
    </xf>
    <xf numFmtId="1" fontId="10" fillId="0" borderId="2" xfId="110" applyNumberFormat="1" applyFont="1" applyFill="1" applyBorder="1" applyAlignment="1">
      <alignment horizontal="right" vertical="center" wrapText="1"/>
    </xf>
    <xf numFmtId="1" fontId="9" fillId="0" borderId="2" xfId="110" applyNumberFormat="1" applyFont="1" applyFill="1" applyBorder="1" applyAlignment="1">
      <alignment horizontal="right" vertical="center" wrapText="1"/>
    </xf>
    <xf numFmtId="1" fontId="8" fillId="0" borderId="2" xfId="110" applyNumberFormat="1" applyFont="1" applyFill="1" applyBorder="1" applyAlignment="1">
      <alignment horizontal="right" vertical="center" wrapText="1"/>
    </xf>
    <xf numFmtId="1" fontId="12" fillId="0" borderId="2" xfId="110" applyNumberFormat="1" applyFont="1" applyFill="1" applyBorder="1" applyAlignment="1">
      <alignment horizontal="right" vertical="center" wrapText="1"/>
    </xf>
    <xf numFmtId="9" fontId="9" fillId="0" borderId="2" xfId="107" applyFont="1" applyFill="1" applyBorder="1" applyAlignment="1">
      <alignment horizontal="center" vertical="center" wrapText="1"/>
    </xf>
    <xf numFmtId="9" fontId="9" fillId="0" borderId="1" xfId="107" applyFont="1" applyFill="1" applyBorder="1" applyAlignment="1">
      <alignment horizontal="center" vertical="center" wrapText="1"/>
    </xf>
    <xf numFmtId="166" fontId="6" fillId="2" borderId="4" xfId="108" applyNumberFormat="1" applyFont="1" applyFill="1" applyBorder="1" applyAlignment="1">
      <alignment vertical="center"/>
    </xf>
    <xf numFmtId="0" fontId="7" fillId="2" borderId="5" xfId="0" applyFont="1" applyFill="1" applyBorder="1" applyAlignment="1">
      <alignment horizontal="center" vertical="center"/>
    </xf>
    <xf numFmtId="0" fontId="4" fillId="2" borderId="2" xfId="0" applyFont="1" applyFill="1" applyBorder="1" applyAlignment="1">
      <alignment horizontal="center" vertical="center"/>
    </xf>
    <xf numFmtId="166" fontId="10" fillId="2" borderId="4" xfId="108" applyNumberFormat="1" applyFont="1" applyFill="1" applyBorder="1" applyAlignment="1">
      <alignment horizontal="right" vertical="center"/>
    </xf>
    <xf numFmtId="3" fontId="9"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9" fontId="9" fillId="0" borderId="8" xfId="107"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 fontId="9" fillId="0" borderId="8" xfId="108"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9" fillId="2" borderId="1" xfId="0" applyNumberFormat="1" applyFont="1" applyFill="1" applyBorder="1" applyAlignment="1">
      <alignment horizontal="center" vertical="center"/>
    </xf>
    <xf numFmtId="9" fontId="9" fillId="2"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6" fontId="10" fillId="2" borderId="1" xfId="108" applyNumberFormat="1" applyFont="1" applyFill="1" applyBorder="1" applyAlignment="1">
      <alignment horizontal="right" vertical="center" wrapText="1"/>
    </xf>
    <xf numFmtId="6" fontId="10" fillId="2" borderId="4" xfId="108" applyNumberFormat="1" applyFont="1" applyFill="1" applyBorder="1" applyAlignment="1">
      <alignment horizontal="right" vertical="center" wrapText="1"/>
    </xf>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3" fontId="11" fillId="0" borderId="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6" fontId="10" fillId="2" borderId="8" xfId="108" applyNumberFormat="1" applyFont="1" applyFill="1" applyBorder="1" applyAlignment="1">
      <alignment horizontal="right" vertical="center" wrapText="1"/>
    </xf>
    <xf numFmtId="3" fontId="9"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14" fontId="0" fillId="0" borderId="7" xfId="0" applyNumberFormat="1" applyFont="1" applyFill="1" applyBorder="1" applyAlignment="1">
      <alignment horizontal="center" vertical="top"/>
    </xf>
    <xf numFmtId="14" fontId="0" fillId="0" borderId="13" xfId="0" applyNumberFormat="1" applyFont="1" applyFill="1" applyBorder="1" applyAlignment="1">
      <alignment horizontal="center" vertical="top"/>
    </xf>
    <xf numFmtId="14" fontId="0" fillId="0" borderId="6"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1" fontId="9" fillId="2" borderId="8" xfId="0" applyNumberFormat="1" applyFont="1" applyFill="1" applyBorder="1" applyAlignment="1">
      <alignment horizontal="center" vertical="center"/>
    </xf>
    <xf numFmtId="9" fontId="8" fillId="0" borderId="8" xfId="0" applyNumberFormat="1" applyFont="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wrapText="1"/>
    </xf>
    <xf numFmtId="3" fontId="11" fillId="0" borderId="8" xfId="0" applyNumberFormat="1" applyFont="1" applyBorder="1" applyAlignment="1">
      <alignment horizontal="center" vertical="center" wrapText="1"/>
    </xf>
    <xf numFmtId="9" fontId="11" fillId="0" borderId="8" xfId="0" applyNumberFormat="1" applyFont="1" applyBorder="1" applyAlignment="1">
      <alignment horizontal="center" vertical="center" wrapText="1"/>
    </xf>
    <xf numFmtId="9" fontId="9" fillId="2" borderId="8" xfId="0" applyNumberFormat="1" applyFont="1" applyFill="1" applyBorder="1" applyAlignment="1">
      <alignment horizontal="center" vertical="center"/>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Normal" xfId="0" builtinId="0"/>
    <cellStyle name="Normal 2" xfId="109" xr:uid="{00000000-0005-0000-0000-00006E000000}"/>
    <cellStyle name="Porcentaje" xfId="107" builtinId="5"/>
  </cellStyles>
  <dxfs count="8">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color rgb="FF9C0006"/>
      </font>
      <fill>
        <patternFill>
          <bgColor rgb="FFFFC7CE"/>
        </patternFill>
      </fill>
    </dxf>
    <dxf>
      <font>
        <color rgb="FF9C0006"/>
      </font>
      <fill>
        <patternFill>
          <bgColor rgb="FFFFC7CE"/>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FFCCFF"/>
      <color rgb="FFFFCCCC"/>
      <color rgb="FF99FFCC"/>
      <color rgb="FFFFFF00"/>
      <color rgb="FFFFFF66"/>
      <color rgb="FFCCFFFF"/>
      <color rgb="FFDEBDFF"/>
      <color rgb="FFFF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324850</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6"/>
  <sheetViews>
    <sheetView tabSelected="1" zoomScale="70" zoomScaleNormal="70" workbookViewId="0">
      <selection activeCell="V64" sqref="V64"/>
    </sheetView>
  </sheetViews>
  <sheetFormatPr baseColWidth="10" defaultColWidth="11.19921875" defaultRowHeight="13.8" x14ac:dyDescent="0.25"/>
  <cols>
    <col min="1" max="1" width="9.69921875" style="1" customWidth="1"/>
    <col min="2" max="2" width="26.69921875" style="1" customWidth="1"/>
    <col min="3" max="4" width="22.69921875" style="1" customWidth="1"/>
    <col min="5" max="5" width="50.59765625" style="40" customWidth="1"/>
    <col min="6" max="6" width="50.59765625" style="41" customWidth="1"/>
    <col min="7" max="7" width="19.8984375" style="55" customWidth="1"/>
    <col min="8" max="8" width="50.3984375" style="1" customWidth="1"/>
    <col min="9" max="9" width="53.19921875" style="1" customWidth="1"/>
    <col min="10" max="10" width="15.8984375" style="1" customWidth="1"/>
    <col min="11" max="11" width="16" style="1" customWidth="1"/>
    <col min="12" max="13" width="14.8984375" style="1" customWidth="1"/>
    <col min="14" max="14" width="11.19921875" style="1" bestFit="1" customWidth="1"/>
    <col min="15" max="15" width="35.69921875" style="1" customWidth="1"/>
    <col min="16" max="17" width="23.5" style="1" customWidth="1"/>
    <col min="18" max="20" width="14.5" style="1" customWidth="1"/>
    <col min="21" max="21" width="19.59765625" style="55" customWidth="1"/>
    <col min="22" max="23" width="23.5" style="1" customWidth="1"/>
    <col min="24" max="24" width="14.5" style="1" customWidth="1"/>
    <col min="25" max="25" width="17.69921875" style="1" customWidth="1"/>
    <col min="26" max="26" width="14.5" style="1" customWidth="1"/>
    <col min="27" max="27" width="19.59765625" style="55" customWidth="1"/>
    <col min="28" max="28" width="15.69921875" style="1" customWidth="1"/>
    <col min="29" max="29" width="21.19921875" style="1" customWidth="1"/>
    <col min="30" max="31" width="22" style="1" customWidth="1"/>
    <col min="32" max="16384" width="11.19921875" style="1"/>
  </cols>
  <sheetData>
    <row r="1" spans="1:31" x14ac:dyDescent="0.25">
      <c r="A1" s="142"/>
      <c r="B1" s="151" t="s">
        <v>179</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3"/>
      <c r="AC1" s="135" t="s">
        <v>233</v>
      </c>
      <c r="AD1" s="135"/>
      <c r="AE1" s="135"/>
    </row>
    <row r="2" spans="1:31" x14ac:dyDescent="0.25">
      <c r="A2" s="143"/>
      <c r="B2" s="154"/>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6"/>
      <c r="AC2" s="136" t="s">
        <v>36</v>
      </c>
      <c r="AD2" s="136"/>
      <c r="AE2" s="136"/>
    </row>
    <row r="3" spans="1:31" x14ac:dyDescent="0.25">
      <c r="A3" s="143"/>
      <c r="B3" s="154"/>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6"/>
      <c r="AC3" s="136" t="s">
        <v>33</v>
      </c>
      <c r="AD3" s="136"/>
      <c r="AE3" s="136"/>
    </row>
    <row r="4" spans="1:31" x14ac:dyDescent="0.25">
      <c r="A4" s="144"/>
      <c r="B4" s="154"/>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6"/>
      <c r="AC4" s="136" t="s">
        <v>32</v>
      </c>
      <c r="AD4" s="136"/>
      <c r="AE4" s="136"/>
    </row>
    <row r="5" spans="1:31" x14ac:dyDescent="0.25">
      <c r="A5" s="145" t="s">
        <v>30</v>
      </c>
      <c r="B5" s="146"/>
      <c r="C5" s="147"/>
      <c r="D5" s="148">
        <v>44586</v>
      </c>
      <c r="E5" s="149"/>
      <c r="F5" s="149"/>
      <c r="G5" s="149"/>
      <c r="H5" s="149"/>
      <c r="I5" s="149"/>
      <c r="J5" s="149"/>
      <c r="K5" s="149"/>
      <c r="L5" s="150"/>
      <c r="M5" s="2"/>
      <c r="N5" s="2"/>
      <c r="O5" s="2"/>
      <c r="P5" s="2"/>
      <c r="Q5" s="2"/>
      <c r="R5" s="2"/>
      <c r="S5" s="2"/>
      <c r="T5" s="2"/>
      <c r="U5" s="54"/>
      <c r="V5" s="2"/>
      <c r="W5" s="2"/>
      <c r="X5" s="2"/>
      <c r="Y5" s="2"/>
      <c r="Z5" s="2"/>
      <c r="AA5" s="54"/>
      <c r="AB5" s="2"/>
      <c r="AC5" s="2"/>
      <c r="AD5" s="2"/>
      <c r="AE5" s="3"/>
    </row>
    <row r="6" spans="1:31" x14ac:dyDescent="0.25">
      <c r="A6" s="145" t="s">
        <v>31</v>
      </c>
      <c r="B6" s="146"/>
      <c r="C6" s="147"/>
      <c r="D6" s="148">
        <v>44561</v>
      </c>
      <c r="E6" s="149"/>
      <c r="F6" s="149"/>
      <c r="G6" s="149"/>
      <c r="H6" s="149"/>
      <c r="I6" s="149"/>
      <c r="J6" s="149"/>
      <c r="K6" s="149"/>
      <c r="L6" s="150"/>
      <c r="M6" s="2"/>
      <c r="N6" s="2"/>
      <c r="O6" s="2"/>
      <c r="P6" s="2"/>
      <c r="Q6" s="2"/>
      <c r="R6" s="2"/>
      <c r="S6" s="2"/>
      <c r="T6" s="2"/>
      <c r="U6" s="54"/>
      <c r="V6" s="2"/>
      <c r="W6" s="2"/>
      <c r="X6" s="2"/>
      <c r="Y6" s="2"/>
      <c r="Z6" s="2"/>
      <c r="AA6" s="54"/>
      <c r="AB6" s="2"/>
      <c r="AC6" s="2"/>
      <c r="AD6" s="4"/>
      <c r="AE6" s="5"/>
    </row>
    <row r="7" spans="1:31" x14ac:dyDescent="0.25">
      <c r="A7" s="6"/>
      <c r="B7" s="160" t="s">
        <v>10</v>
      </c>
      <c r="C7" s="161"/>
      <c r="D7" s="161"/>
      <c r="E7" s="161"/>
      <c r="F7" s="162"/>
      <c r="G7" s="160" t="s">
        <v>11</v>
      </c>
      <c r="H7" s="161"/>
      <c r="I7" s="161"/>
      <c r="J7" s="161"/>
      <c r="K7" s="162"/>
      <c r="L7" s="160" t="s">
        <v>25</v>
      </c>
      <c r="M7" s="161"/>
      <c r="N7" s="162"/>
      <c r="O7" s="160" t="s">
        <v>23</v>
      </c>
      <c r="P7" s="161"/>
      <c r="Q7" s="161"/>
      <c r="R7" s="161"/>
      <c r="S7" s="161"/>
      <c r="T7" s="161"/>
      <c r="U7" s="162"/>
      <c r="V7" s="160" t="s">
        <v>17</v>
      </c>
      <c r="W7" s="161"/>
      <c r="X7" s="161"/>
      <c r="Y7" s="161"/>
      <c r="Z7" s="161"/>
      <c r="AA7" s="162"/>
      <c r="AB7" s="138" t="s">
        <v>18</v>
      </c>
      <c r="AC7" s="137" t="s">
        <v>26</v>
      </c>
      <c r="AD7" s="137" t="s">
        <v>24</v>
      </c>
      <c r="AE7" s="137"/>
    </row>
    <row r="8" spans="1:31" ht="41.4" x14ac:dyDescent="0.25">
      <c r="A8" s="7" t="s">
        <v>29</v>
      </c>
      <c r="B8" s="23" t="s">
        <v>1</v>
      </c>
      <c r="C8" s="7" t="s">
        <v>6</v>
      </c>
      <c r="D8" s="7" t="s">
        <v>2</v>
      </c>
      <c r="E8" s="23" t="s">
        <v>7</v>
      </c>
      <c r="F8" s="7" t="s">
        <v>19</v>
      </c>
      <c r="G8" s="53" t="s">
        <v>232</v>
      </c>
      <c r="H8" s="23" t="s">
        <v>3</v>
      </c>
      <c r="I8" s="23" t="s">
        <v>15</v>
      </c>
      <c r="J8" s="23" t="s">
        <v>21</v>
      </c>
      <c r="K8" s="23" t="s">
        <v>22</v>
      </c>
      <c r="L8" s="23" t="s">
        <v>4</v>
      </c>
      <c r="M8" s="23" t="s">
        <v>5</v>
      </c>
      <c r="N8" s="23" t="s">
        <v>0</v>
      </c>
      <c r="O8" s="7" t="s">
        <v>9</v>
      </c>
      <c r="P8" s="23" t="s">
        <v>35</v>
      </c>
      <c r="Q8" s="23" t="s">
        <v>8</v>
      </c>
      <c r="R8" s="23" t="s">
        <v>27</v>
      </c>
      <c r="S8" s="23" t="s">
        <v>34</v>
      </c>
      <c r="T8" s="23" t="s">
        <v>12</v>
      </c>
      <c r="U8" s="52" t="s">
        <v>20</v>
      </c>
      <c r="V8" s="23" t="s">
        <v>35</v>
      </c>
      <c r="W8" s="23" t="s">
        <v>8</v>
      </c>
      <c r="X8" s="23" t="s">
        <v>27</v>
      </c>
      <c r="Y8" s="23" t="s">
        <v>34</v>
      </c>
      <c r="Z8" s="23" t="s">
        <v>12</v>
      </c>
      <c r="AA8" s="52" t="s">
        <v>28</v>
      </c>
      <c r="AB8" s="163"/>
      <c r="AC8" s="138"/>
      <c r="AD8" s="15" t="s">
        <v>13</v>
      </c>
      <c r="AE8" s="15" t="s">
        <v>14</v>
      </c>
    </row>
    <row r="9" spans="1:31" customFormat="1" ht="89.25" customHeight="1" x14ac:dyDescent="0.25">
      <c r="A9" s="101">
        <v>1</v>
      </c>
      <c r="B9" s="12" t="s">
        <v>37</v>
      </c>
      <c r="C9" s="12" t="s">
        <v>39</v>
      </c>
      <c r="D9" s="12" t="s">
        <v>40</v>
      </c>
      <c r="E9" s="38" t="s">
        <v>41</v>
      </c>
      <c r="F9" s="42" t="s">
        <v>42</v>
      </c>
      <c r="G9" s="93">
        <v>20210680010192</v>
      </c>
      <c r="H9" s="78" t="s">
        <v>196</v>
      </c>
      <c r="I9" s="8" t="s">
        <v>197</v>
      </c>
      <c r="J9" s="11">
        <v>44497</v>
      </c>
      <c r="K9" s="11">
        <v>44561</v>
      </c>
      <c r="L9" s="25">
        <v>0</v>
      </c>
      <c r="M9" s="28">
        <v>12</v>
      </c>
      <c r="N9" s="26" t="str">
        <f>IFERROR(IF(M9/L9&gt;100%,100%,M9/L9),"-")</f>
        <v>-</v>
      </c>
      <c r="O9" s="24" t="s">
        <v>198</v>
      </c>
      <c r="P9" s="82"/>
      <c r="Q9" s="83">
        <v>62230912.310000002</v>
      </c>
      <c r="R9" s="83"/>
      <c r="S9" s="83"/>
      <c r="T9" s="84"/>
      <c r="U9" s="85">
        <f>SUM(P9:T9)</f>
        <v>62230912.310000002</v>
      </c>
      <c r="V9" s="82"/>
      <c r="W9" s="82">
        <v>62230912.310000002</v>
      </c>
      <c r="X9" s="82"/>
      <c r="Y9" s="82"/>
      <c r="Z9" s="84"/>
      <c r="AA9" s="85">
        <f>SUM(V9:Z9)</f>
        <v>62230912.310000002</v>
      </c>
      <c r="AB9" s="97">
        <f>IFERROR(AA9/U9,"-")</f>
        <v>1</v>
      </c>
      <c r="AC9" s="9"/>
      <c r="AD9" s="10" t="s">
        <v>43</v>
      </c>
      <c r="AE9" s="10" t="s">
        <v>44</v>
      </c>
    </row>
    <row r="10" spans="1:31" customFormat="1" ht="63.75" customHeight="1" x14ac:dyDescent="0.25">
      <c r="A10" s="101">
        <v>2</v>
      </c>
      <c r="B10" s="12" t="s">
        <v>37</v>
      </c>
      <c r="C10" s="12" t="s">
        <v>39</v>
      </c>
      <c r="D10" s="12" t="s">
        <v>40</v>
      </c>
      <c r="E10" s="38" t="s">
        <v>45</v>
      </c>
      <c r="F10" s="42" t="s">
        <v>46</v>
      </c>
      <c r="G10" s="94"/>
      <c r="H10" s="79" t="s">
        <v>230</v>
      </c>
      <c r="I10" s="8"/>
      <c r="J10" s="119">
        <v>44210</v>
      </c>
      <c r="K10" s="119">
        <v>44561</v>
      </c>
      <c r="L10" s="133">
        <v>32276</v>
      </c>
      <c r="M10" s="140">
        <v>34854</v>
      </c>
      <c r="N10" s="125">
        <f>IFERROR(IF(M10/L10&gt;100%,100%,M10/L10),"-")</f>
        <v>1</v>
      </c>
      <c r="O10" s="24" t="s">
        <v>47</v>
      </c>
      <c r="P10" s="86">
        <v>337316568.69999999</v>
      </c>
      <c r="Q10" s="83">
        <f>111367300+32982901.5</f>
        <v>144350201.5</v>
      </c>
      <c r="R10" s="83"/>
      <c r="S10" s="83"/>
      <c r="T10" s="84"/>
      <c r="U10" s="127">
        <f>SUM(P10:T11)</f>
        <v>20657593894.300003</v>
      </c>
      <c r="V10" s="82"/>
      <c r="W10" s="82"/>
      <c r="X10" s="82"/>
      <c r="Y10" s="82"/>
      <c r="Z10" s="84"/>
      <c r="AA10" s="127">
        <f>SUM(V10:Z11)</f>
        <v>19893899686.590004</v>
      </c>
      <c r="AB10" s="108">
        <f>IFERROR(AA10/U10,"-")</f>
        <v>0.96303082480865676</v>
      </c>
      <c r="AC10" s="110"/>
      <c r="AD10" s="104" t="s">
        <v>43</v>
      </c>
      <c r="AE10" s="106" t="s">
        <v>44</v>
      </c>
    </row>
    <row r="11" spans="1:31" customFormat="1" ht="163.19999999999999" customHeight="1" x14ac:dyDescent="0.25">
      <c r="A11" s="101">
        <v>2</v>
      </c>
      <c r="B11" s="12" t="s">
        <v>37</v>
      </c>
      <c r="C11" s="12" t="s">
        <v>39</v>
      </c>
      <c r="D11" s="12" t="s">
        <v>40</v>
      </c>
      <c r="E11" s="38" t="s">
        <v>45</v>
      </c>
      <c r="F11" s="42" t="s">
        <v>46</v>
      </c>
      <c r="G11" s="93">
        <v>20200680010064</v>
      </c>
      <c r="H11" s="78" t="s">
        <v>48</v>
      </c>
      <c r="I11" s="8" t="s">
        <v>49</v>
      </c>
      <c r="J11" s="120"/>
      <c r="K11" s="120"/>
      <c r="L11" s="134"/>
      <c r="M11" s="141"/>
      <c r="N11" s="126"/>
      <c r="O11" s="14" t="s">
        <v>50</v>
      </c>
      <c r="P11" s="86">
        <v>9239064251.2999992</v>
      </c>
      <c r="Q11" s="86">
        <v>10936862872.800001</v>
      </c>
      <c r="R11" s="86"/>
      <c r="S11" s="86"/>
      <c r="T11" s="84"/>
      <c r="U11" s="128"/>
      <c r="V11" s="86">
        <v>8957036813.7900009</v>
      </c>
      <c r="W11" s="86">
        <v>10936862872.800001</v>
      </c>
      <c r="X11" s="82"/>
      <c r="Y11" s="82"/>
      <c r="Z11" s="84"/>
      <c r="AA11" s="128"/>
      <c r="AB11" s="109"/>
      <c r="AC11" s="111"/>
      <c r="AD11" s="105"/>
      <c r="AE11" s="107"/>
    </row>
    <row r="12" spans="1:31" customFormat="1" ht="159.6" customHeight="1" x14ac:dyDescent="0.25">
      <c r="A12" s="101">
        <v>3</v>
      </c>
      <c r="B12" s="12" t="s">
        <v>37</v>
      </c>
      <c r="C12" s="12" t="s">
        <v>39</v>
      </c>
      <c r="D12" s="12" t="s">
        <v>40</v>
      </c>
      <c r="E12" s="38" t="s">
        <v>51</v>
      </c>
      <c r="F12" s="42" t="s">
        <v>52</v>
      </c>
      <c r="G12" s="93">
        <v>20200680010064</v>
      </c>
      <c r="H12" s="78" t="s">
        <v>48</v>
      </c>
      <c r="I12" s="8" t="s">
        <v>49</v>
      </c>
      <c r="J12" s="11">
        <v>44210</v>
      </c>
      <c r="K12" s="11">
        <v>44561</v>
      </c>
      <c r="L12" s="27">
        <v>1</v>
      </c>
      <c r="M12" s="66">
        <v>1</v>
      </c>
      <c r="N12" s="26">
        <f>IFERROR(IF(M12/L12&gt;100%,100%,M12/L12),"-")</f>
        <v>1</v>
      </c>
      <c r="O12" s="29" t="s">
        <v>53</v>
      </c>
      <c r="P12" s="82"/>
      <c r="Q12" s="86">
        <v>783626041.39999998</v>
      </c>
      <c r="R12" s="86"/>
      <c r="S12" s="86"/>
      <c r="T12" s="84"/>
      <c r="U12" s="85">
        <f>SUM(P12:T12)</f>
        <v>783626041.39999998</v>
      </c>
      <c r="V12" s="82"/>
      <c r="W12" s="86">
        <v>783626041.39999998</v>
      </c>
      <c r="X12" s="82"/>
      <c r="Y12" s="82"/>
      <c r="Z12" s="84"/>
      <c r="AA12" s="85">
        <f>SUM(V12:Z12)</f>
        <v>783626041.39999998</v>
      </c>
      <c r="AB12" s="97">
        <f>IFERROR(AA12/U12,"-")</f>
        <v>1</v>
      </c>
      <c r="AC12" s="9"/>
      <c r="AD12" s="30" t="s">
        <v>43</v>
      </c>
      <c r="AE12" s="10" t="s">
        <v>44</v>
      </c>
    </row>
    <row r="13" spans="1:31" customFormat="1" ht="81.75" customHeight="1" x14ac:dyDescent="0.25">
      <c r="A13" s="101">
        <v>4</v>
      </c>
      <c r="B13" s="12" t="s">
        <v>37</v>
      </c>
      <c r="C13" s="12" t="s">
        <v>39</v>
      </c>
      <c r="D13" s="12" t="s">
        <v>40</v>
      </c>
      <c r="E13" s="38" t="s">
        <v>54</v>
      </c>
      <c r="F13" s="43" t="s">
        <v>55</v>
      </c>
      <c r="G13" s="93">
        <v>20210680010073</v>
      </c>
      <c r="H13" s="78" t="s">
        <v>184</v>
      </c>
      <c r="I13" s="8" t="s">
        <v>56</v>
      </c>
      <c r="J13" s="11">
        <v>44426</v>
      </c>
      <c r="K13" s="11">
        <v>44561</v>
      </c>
      <c r="L13" s="133">
        <v>3335</v>
      </c>
      <c r="M13" s="140">
        <v>3421</v>
      </c>
      <c r="N13" s="125">
        <f>IFERROR(IF(M13/L13&gt;100%,100%,M13/L13),"-")</f>
        <v>1</v>
      </c>
      <c r="O13" s="32" t="s">
        <v>182</v>
      </c>
      <c r="P13" s="82"/>
      <c r="Q13" s="82">
        <f>89410888</f>
        <v>89410888</v>
      </c>
      <c r="R13" s="82"/>
      <c r="S13" s="82"/>
      <c r="T13" s="84"/>
      <c r="U13" s="127">
        <f>SUM(P13:T14)</f>
        <v>89571452</v>
      </c>
      <c r="V13" s="82"/>
      <c r="W13" s="82">
        <f>89410888</f>
        <v>89410888</v>
      </c>
      <c r="X13" s="82"/>
      <c r="Y13" s="82"/>
      <c r="Z13" s="84"/>
      <c r="AA13" s="127">
        <f>SUM(V13:Z14)</f>
        <v>89410888</v>
      </c>
      <c r="AB13" s="108">
        <f>IFERROR(AA13/U13,"-")</f>
        <v>0.99820741992660789</v>
      </c>
      <c r="AC13" s="110"/>
      <c r="AD13" s="104" t="s">
        <v>43</v>
      </c>
      <c r="AE13" s="106" t="s">
        <v>44</v>
      </c>
    </row>
    <row r="14" spans="1:31" customFormat="1" ht="60" x14ac:dyDescent="0.25">
      <c r="A14" s="101">
        <v>4</v>
      </c>
      <c r="B14" s="12" t="s">
        <v>37</v>
      </c>
      <c r="C14" s="12" t="s">
        <v>39</v>
      </c>
      <c r="D14" s="12" t="s">
        <v>40</v>
      </c>
      <c r="E14" s="38" t="s">
        <v>54</v>
      </c>
      <c r="F14" s="43" t="s">
        <v>55</v>
      </c>
      <c r="G14" s="93"/>
      <c r="H14" s="79" t="s">
        <v>230</v>
      </c>
      <c r="I14" s="8"/>
      <c r="J14" s="11"/>
      <c r="K14" s="11"/>
      <c r="L14" s="134"/>
      <c r="M14" s="141"/>
      <c r="N14" s="126"/>
      <c r="O14" s="32" t="s">
        <v>185</v>
      </c>
      <c r="P14" s="82"/>
      <c r="Q14" s="82">
        <v>160564</v>
      </c>
      <c r="R14" s="82"/>
      <c r="S14" s="82"/>
      <c r="T14" s="84"/>
      <c r="U14" s="128"/>
      <c r="V14" s="82"/>
      <c r="W14" s="82"/>
      <c r="X14" s="82"/>
      <c r="Y14" s="82"/>
      <c r="Z14" s="84"/>
      <c r="AA14" s="128"/>
      <c r="AB14" s="109"/>
      <c r="AC14" s="111"/>
      <c r="AD14" s="105"/>
      <c r="AE14" s="107"/>
    </row>
    <row r="15" spans="1:31" customFormat="1" ht="69.75" customHeight="1" x14ac:dyDescent="0.25">
      <c r="A15" s="101">
        <v>5</v>
      </c>
      <c r="B15" s="12" t="s">
        <v>37</v>
      </c>
      <c r="C15" s="12" t="s">
        <v>39</v>
      </c>
      <c r="D15" s="12" t="s">
        <v>40</v>
      </c>
      <c r="E15" s="38" t="s">
        <v>57</v>
      </c>
      <c r="F15" s="43" t="s">
        <v>58</v>
      </c>
      <c r="G15" s="95"/>
      <c r="H15" s="79" t="s">
        <v>230</v>
      </c>
      <c r="I15" s="8"/>
      <c r="J15" s="14"/>
      <c r="K15" s="14"/>
      <c r="L15" s="133">
        <v>10</v>
      </c>
      <c r="M15" s="131">
        <v>31</v>
      </c>
      <c r="N15" s="125">
        <f>IFERROR(IF(M15/L15&gt;100%,100%,M15/L15),"-")</f>
        <v>1</v>
      </c>
      <c r="O15" s="32" t="s">
        <v>224</v>
      </c>
      <c r="P15" s="82">
        <v>137163.53000000099</v>
      </c>
      <c r="Q15" s="82">
        <f>201470.46+229393430-21919432.05</f>
        <v>207675468.41</v>
      </c>
      <c r="R15" s="82"/>
      <c r="S15" s="82"/>
      <c r="T15" s="84"/>
      <c r="U15" s="127">
        <f>SUM(P15:T19)</f>
        <v>3808886597.1103497</v>
      </c>
      <c r="V15" s="82"/>
      <c r="W15" s="82"/>
      <c r="X15" s="82"/>
      <c r="Y15" s="82"/>
      <c r="Z15" s="84"/>
      <c r="AA15" s="127">
        <f>SUM(V15:Z19)</f>
        <v>3601073965.1503506</v>
      </c>
      <c r="AB15" s="108">
        <f>IFERROR(AA15/U15,"-")</f>
        <v>0.94544005796401021</v>
      </c>
      <c r="AC15" s="110"/>
      <c r="AD15" s="104" t="s">
        <v>43</v>
      </c>
      <c r="AE15" s="106" t="s">
        <v>44</v>
      </c>
    </row>
    <row r="16" spans="1:31" customFormat="1" ht="69.75" customHeight="1" x14ac:dyDescent="0.25">
      <c r="A16" s="101">
        <v>5</v>
      </c>
      <c r="B16" s="12" t="s">
        <v>37</v>
      </c>
      <c r="C16" s="12" t="s">
        <v>39</v>
      </c>
      <c r="D16" s="12" t="s">
        <v>40</v>
      </c>
      <c r="E16" s="38" t="s">
        <v>57</v>
      </c>
      <c r="F16" s="43" t="s">
        <v>58</v>
      </c>
      <c r="G16" s="93">
        <v>20210680010073</v>
      </c>
      <c r="H16" s="78" t="s">
        <v>184</v>
      </c>
      <c r="I16" s="8" t="s">
        <v>194</v>
      </c>
      <c r="J16" s="11">
        <v>44426</v>
      </c>
      <c r="K16" s="11">
        <v>44561</v>
      </c>
      <c r="L16" s="164"/>
      <c r="M16" s="158"/>
      <c r="N16" s="159"/>
      <c r="O16" s="32" t="s">
        <v>193</v>
      </c>
      <c r="P16" s="82"/>
      <c r="Q16" s="82">
        <v>97570864</v>
      </c>
      <c r="R16" s="82"/>
      <c r="S16" s="82"/>
      <c r="T16" s="84"/>
      <c r="U16" s="139"/>
      <c r="V16" s="82"/>
      <c r="W16" s="82">
        <v>97570864</v>
      </c>
      <c r="X16" s="82"/>
      <c r="Y16" s="82"/>
      <c r="Z16" s="84"/>
      <c r="AA16" s="139"/>
      <c r="AB16" s="112"/>
      <c r="AC16" s="118"/>
      <c r="AD16" s="117"/>
      <c r="AE16" s="116"/>
    </row>
    <row r="17" spans="1:31" customFormat="1" ht="102" customHeight="1" x14ac:dyDescent="0.25">
      <c r="A17" s="101">
        <v>5</v>
      </c>
      <c r="B17" s="12" t="s">
        <v>37</v>
      </c>
      <c r="C17" s="12" t="s">
        <v>39</v>
      </c>
      <c r="D17" s="12" t="s">
        <v>40</v>
      </c>
      <c r="E17" s="38" t="s">
        <v>57</v>
      </c>
      <c r="F17" s="43" t="s">
        <v>58</v>
      </c>
      <c r="G17" s="96">
        <v>20210680010032</v>
      </c>
      <c r="H17" s="69" t="s">
        <v>59</v>
      </c>
      <c r="I17" s="8" t="s">
        <v>60</v>
      </c>
      <c r="J17" s="11">
        <v>44278</v>
      </c>
      <c r="K17" s="11">
        <v>44561</v>
      </c>
      <c r="L17" s="164"/>
      <c r="M17" s="158"/>
      <c r="N17" s="159"/>
      <c r="O17" s="32" t="s">
        <v>61</v>
      </c>
      <c r="P17" s="82"/>
      <c r="Q17" s="82">
        <v>1839538026.72035</v>
      </c>
      <c r="R17" s="82"/>
      <c r="S17" s="82"/>
      <c r="T17" s="84"/>
      <c r="U17" s="139"/>
      <c r="V17" s="82"/>
      <c r="W17" s="82">
        <v>1839538026.72035</v>
      </c>
      <c r="X17" s="82"/>
      <c r="Y17" s="82"/>
      <c r="Z17" s="84"/>
      <c r="AA17" s="139"/>
      <c r="AB17" s="112"/>
      <c r="AC17" s="118"/>
      <c r="AD17" s="117"/>
      <c r="AE17" s="116"/>
    </row>
    <row r="18" spans="1:31" customFormat="1" ht="135" customHeight="1" x14ac:dyDescent="0.25">
      <c r="A18" s="101">
        <v>5</v>
      </c>
      <c r="B18" s="12" t="s">
        <v>37</v>
      </c>
      <c r="C18" s="12" t="s">
        <v>39</v>
      </c>
      <c r="D18" s="12" t="s">
        <v>40</v>
      </c>
      <c r="E18" s="38" t="s">
        <v>57</v>
      </c>
      <c r="F18" s="43" t="s">
        <v>58</v>
      </c>
      <c r="G18" s="96">
        <v>20210680010084</v>
      </c>
      <c r="H18" s="69" t="s">
        <v>186</v>
      </c>
      <c r="I18" s="8" t="s">
        <v>188</v>
      </c>
      <c r="J18" s="11">
        <v>44435</v>
      </c>
      <c r="K18" s="11" t="s">
        <v>187</v>
      </c>
      <c r="L18" s="164"/>
      <c r="M18" s="158"/>
      <c r="N18" s="159"/>
      <c r="O18" s="32" t="s">
        <v>173</v>
      </c>
      <c r="P18" s="82">
        <v>68656819.170000002</v>
      </c>
      <c r="Q18" s="82"/>
      <c r="R18" s="82"/>
      <c r="S18" s="82"/>
      <c r="T18" s="84"/>
      <c r="U18" s="139"/>
      <c r="V18" s="82">
        <v>68656819.170000002</v>
      </c>
      <c r="W18" s="82"/>
      <c r="X18" s="82"/>
      <c r="Y18" s="82"/>
      <c r="Z18" s="84"/>
      <c r="AA18" s="139"/>
      <c r="AB18" s="112"/>
      <c r="AC18" s="118"/>
      <c r="AD18" s="117"/>
      <c r="AE18" s="116"/>
    </row>
    <row r="19" spans="1:31" customFormat="1" ht="90.75" customHeight="1" x14ac:dyDescent="0.25">
      <c r="A19" s="101">
        <v>5</v>
      </c>
      <c r="B19" s="12" t="s">
        <v>37</v>
      </c>
      <c r="C19" s="12" t="s">
        <v>39</v>
      </c>
      <c r="D19" s="12" t="s">
        <v>40</v>
      </c>
      <c r="E19" s="38" t="s">
        <v>57</v>
      </c>
      <c r="F19" s="43" t="s">
        <v>58</v>
      </c>
      <c r="G19" s="96">
        <v>20210680010117</v>
      </c>
      <c r="H19" s="69" t="s">
        <v>205</v>
      </c>
      <c r="I19" s="8" t="s">
        <v>206</v>
      </c>
      <c r="J19" s="50">
        <v>44477</v>
      </c>
      <c r="K19" s="50">
        <v>44561</v>
      </c>
      <c r="L19" s="134"/>
      <c r="M19" s="132"/>
      <c r="N19" s="126"/>
      <c r="O19" s="51" t="s">
        <v>210</v>
      </c>
      <c r="P19" s="82">
        <v>1040144569</v>
      </c>
      <c r="Q19" s="87">
        <f>95676637+21919432.05+437567617.23</f>
        <v>555163686.27999997</v>
      </c>
      <c r="R19" s="87"/>
      <c r="S19" s="87"/>
      <c r="T19" s="84"/>
      <c r="U19" s="128"/>
      <c r="V19" s="82">
        <v>1040144569</v>
      </c>
      <c r="W19" s="82">
        <f>117596069.03+437567617.23</f>
        <v>555163686.25999999</v>
      </c>
      <c r="X19" s="82"/>
      <c r="Y19" s="82"/>
      <c r="Z19" s="84"/>
      <c r="AA19" s="128"/>
      <c r="AB19" s="109"/>
      <c r="AC19" s="111"/>
      <c r="AD19" s="105"/>
      <c r="AE19" s="107"/>
    </row>
    <row r="20" spans="1:31" customFormat="1" ht="78" x14ac:dyDescent="0.25">
      <c r="A20" s="101">
        <v>6</v>
      </c>
      <c r="B20" s="12" t="s">
        <v>37</v>
      </c>
      <c r="C20" s="12" t="s">
        <v>39</v>
      </c>
      <c r="D20" s="12" t="s">
        <v>40</v>
      </c>
      <c r="E20" s="38" t="s">
        <v>62</v>
      </c>
      <c r="F20" s="43" t="s">
        <v>63</v>
      </c>
      <c r="G20" s="96">
        <v>20200680010026</v>
      </c>
      <c r="H20" s="78" t="s">
        <v>64</v>
      </c>
      <c r="I20" s="80" t="s">
        <v>65</v>
      </c>
      <c r="J20" s="11">
        <v>44210</v>
      </c>
      <c r="K20" s="11">
        <v>44561</v>
      </c>
      <c r="L20" s="121">
        <v>1</v>
      </c>
      <c r="M20" s="123">
        <v>1</v>
      </c>
      <c r="N20" s="125">
        <f>IFERROR(IF(M20/L20&gt;100%,100%,M20/L20),"-")</f>
        <v>1</v>
      </c>
      <c r="O20" s="32" t="s">
        <v>66</v>
      </c>
      <c r="P20" s="88">
        <v>249284228.30000001</v>
      </c>
      <c r="Q20" s="87">
        <v>31440771.699999999</v>
      </c>
      <c r="R20" s="82"/>
      <c r="S20" s="82"/>
      <c r="T20" s="84"/>
      <c r="U20" s="127">
        <f>SUM(P20:T21)</f>
        <v>283165087.49000001</v>
      </c>
      <c r="V20" s="87">
        <v>249284227.63999999</v>
      </c>
      <c r="W20" s="87">
        <v>31440771.699999999</v>
      </c>
      <c r="X20" s="82"/>
      <c r="Y20" s="82"/>
      <c r="Z20" s="84"/>
      <c r="AA20" s="127">
        <f>SUM(V20:Z21)</f>
        <v>280724999.33999997</v>
      </c>
      <c r="AB20" s="108">
        <f>IFERROR(AA20/U20,"-")</f>
        <v>0.99138280721105421</v>
      </c>
      <c r="AC20" s="110"/>
      <c r="AD20" s="104" t="s">
        <v>43</v>
      </c>
      <c r="AE20" s="106" t="s">
        <v>44</v>
      </c>
    </row>
    <row r="21" spans="1:31" customFormat="1" ht="78" x14ac:dyDescent="0.25">
      <c r="A21" s="101">
        <v>6</v>
      </c>
      <c r="B21" s="12" t="s">
        <v>37</v>
      </c>
      <c r="C21" s="12" t="s">
        <v>39</v>
      </c>
      <c r="D21" s="12" t="s">
        <v>40</v>
      </c>
      <c r="E21" s="38" t="s">
        <v>62</v>
      </c>
      <c r="F21" s="43" t="s">
        <v>63</v>
      </c>
      <c r="G21" s="96"/>
      <c r="H21" s="79" t="s">
        <v>230</v>
      </c>
      <c r="I21" s="80"/>
      <c r="J21" s="11"/>
      <c r="K21" s="11"/>
      <c r="L21" s="122"/>
      <c r="M21" s="124"/>
      <c r="N21" s="126"/>
      <c r="O21" s="32" t="s">
        <v>189</v>
      </c>
      <c r="P21" s="88"/>
      <c r="Q21" s="87">
        <v>2440087.4899999984</v>
      </c>
      <c r="R21" s="82"/>
      <c r="S21" s="82"/>
      <c r="T21" s="84"/>
      <c r="U21" s="128"/>
      <c r="V21" s="82"/>
      <c r="W21" s="87"/>
      <c r="X21" s="82"/>
      <c r="Y21" s="82"/>
      <c r="Z21" s="84"/>
      <c r="AA21" s="128"/>
      <c r="AB21" s="109"/>
      <c r="AC21" s="111"/>
      <c r="AD21" s="105"/>
      <c r="AE21" s="107"/>
    </row>
    <row r="22" spans="1:31" customFormat="1" ht="109.2" x14ac:dyDescent="0.25">
      <c r="A22" s="101">
        <v>7</v>
      </c>
      <c r="B22" s="12" t="s">
        <v>37</v>
      </c>
      <c r="C22" s="12" t="s">
        <v>39</v>
      </c>
      <c r="D22" s="12" t="s">
        <v>40</v>
      </c>
      <c r="E22" s="38" t="s">
        <v>67</v>
      </c>
      <c r="F22" s="43" t="s">
        <v>68</v>
      </c>
      <c r="G22" s="96">
        <v>20200680010026</v>
      </c>
      <c r="H22" s="78" t="s">
        <v>64</v>
      </c>
      <c r="I22" s="80" t="s">
        <v>65</v>
      </c>
      <c r="J22" s="11">
        <v>44210</v>
      </c>
      <c r="K22" s="11">
        <v>44561</v>
      </c>
      <c r="L22" s="121">
        <v>1</v>
      </c>
      <c r="M22" s="123">
        <v>1</v>
      </c>
      <c r="N22" s="125">
        <f>IFERROR(IF(M22/L22&gt;100%,100%,M22/L22),"-")</f>
        <v>1</v>
      </c>
      <c r="O22" s="32" t="s">
        <v>69</v>
      </c>
      <c r="P22" s="87"/>
      <c r="Q22" s="82">
        <v>779426669.29999995</v>
      </c>
      <c r="R22" s="82"/>
      <c r="S22" s="82"/>
      <c r="T22" s="84"/>
      <c r="U22" s="127">
        <f>SUM(P22:T23)</f>
        <v>815795745.80999994</v>
      </c>
      <c r="V22" s="82"/>
      <c r="W22" s="82">
        <v>771120002.30999994</v>
      </c>
      <c r="X22" s="82"/>
      <c r="Y22" s="82"/>
      <c r="Z22" s="84"/>
      <c r="AA22" s="127">
        <f>SUM(V22:Z23)</f>
        <v>771120002.30999994</v>
      </c>
      <c r="AB22" s="108">
        <f>IFERROR(AA22/U22,"-")</f>
        <v>0.94523660643064322</v>
      </c>
      <c r="AC22" s="110"/>
      <c r="AD22" s="104" t="s">
        <v>43</v>
      </c>
      <c r="AE22" s="106" t="s">
        <v>44</v>
      </c>
    </row>
    <row r="23" spans="1:31" customFormat="1" ht="109.2" x14ac:dyDescent="0.25">
      <c r="A23" s="101">
        <v>7</v>
      </c>
      <c r="B23" s="12" t="s">
        <v>37</v>
      </c>
      <c r="C23" s="12" t="s">
        <v>39</v>
      </c>
      <c r="D23" s="12" t="s">
        <v>40</v>
      </c>
      <c r="E23" s="38" t="s">
        <v>67</v>
      </c>
      <c r="F23" s="43" t="s">
        <v>68</v>
      </c>
      <c r="G23" s="96"/>
      <c r="H23" s="79" t="s">
        <v>230</v>
      </c>
      <c r="I23" s="80"/>
      <c r="J23" s="63"/>
      <c r="K23" s="63"/>
      <c r="L23" s="122"/>
      <c r="M23" s="124"/>
      <c r="N23" s="126"/>
      <c r="O23" s="32" t="s">
        <v>189</v>
      </c>
      <c r="P23" s="87"/>
      <c r="Q23" s="87">
        <v>36369076.510000005</v>
      </c>
      <c r="R23" s="82"/>
      <c r="S23" s="82"/>
      <c r="T23" s="84"/>
      <c r="U23" s="128"/>
      <c r="V23" s="82"/>
      <c r="W23" s="82"/>
      <c r="X23" s="82"/>
      <c r="Y23" s="82"/>
      <c r="Z23" s="84"/>
      <c r="AA23" s="128"/>
      <c r="AB23" s="109"/>
      <c r="AC23" s="111"/>
      <c r="AD23" s="105"/>
      <c r="AE23" s="107"/>
    </row>
    <row r="24" spans="1:31" customFormat="1" ht="83.4" customHeight="1" x14ac:dyDescent="0.25">
      <c r="A24" s="101">
        <v>8</v>
      </c>
      <c r="B24" s="12" t="s">
        <v>37</v>
      </c>
      <c r="C24" s="12" t="s">
        <v>39</v>
      </c>
      <c r="D24" s="12" t="s">
        <v>40</v>
      </c>
      <c r="E24" s="38" t="s">
        <v>70</v>
      </c>
      <c r="F24" s="43" t="s">
        <v>71</v>
      </c>
      <c r="G24" s="93">
        <v>20200680010135</v>
      </c>
      <c r="H24" s="69" t="s">
        <v>72</v>
      </c>
      <c r="I24" s="13" t="s">
        <v>73</v>
      </c>
      <c r="J24" s="11">
        <v>44218</v>
      </c>
      <c r="K24" s="11">
        <v>44561</v>
      </c>
      <c r="L24" s="133">
        <v>4</v>
      </c>
      <c r="M24" s="131">
        <v>4</v>
      </c>
      <c r="N24" s="125">
        <f>IFERROR(IF(M24/L24&gt;100%,100%,M24/L24),"-")</f>
        <v>1</v>
      </c>
      <c r="O24" s="33" t="s">
        <v>74</v>
      </c>
      <c r="P24" s="82">
        <v>242857335.31</v>
      </c>
      <c r="Q24" s="87"/>
      <c r="R24" s="87"/>
      <c r="S24" s="87"/>
      <c r="T24" s="84"/>
      <c r="U24" s="127">
        <f>SUM(P24:T25)</f>
        <v>310004000</v>
      </c>
      <c r="V24" s="82">
        <v>242857335.31</v>
      </c>
      <c r="W24" s="87"/>
      <c r="X24" s="87"/>
      <c r="Y24" s="87"/>
      <c r="Z24" s="84"/>
      <c r="AA24" s="127">
        <f>SUM(V24:Z25)</f>
        <v>242857335.31</v>
      </c>
      <c r="AB24" s="108">
        <f>IFERROR(AA24/U24,"-")</f>
        <v>0.78340065066902365</v>
      </c>
      <c r="AC24" s="110"/>
      <c r="AD24" s="104" t="s">
        <v>43</v>
      </c>
      <c r="AE24" s="106" t="s">
        <v>44</v>
      </c>
    </row>
    <row r="25" spans="1:31" customFormat="1" ht="83.4" customHeight="1" x14ac:dyDescent="0.25">
      <c r="A25" s="101">
        <v>8</v>
      </c>
      <c r="B25" s="12" t="s">
        <v>37</v>
      </c>
      <c r="C25" s="12" t="s">
        <v>39</v>
      </c>
      <c r="D25" s="12" t="s">
        <v>40</v>
      </c>
      <c r="E25" s="38" t="s">
        <v>70</v>
      </c>
      <c r="F25" s="43" t="s">
        <v>71</v>
      </c>
      <c r="G25" s="93"/>
      <c r="H25" s="79" t="s">
        <v>230</v>
      </c>
      <c r="I25" s="13"/>
      <c r="J25" s="11"/>
      <c r="K25" s="11"/>
      <c r="L25" s="134"/>
      <c r="M25" s="132"/>
      <c r="N25" s="126"/>
      <c r="O25" s="33" t="s">
        <v>74</v>
      </c>
      <c r="P25" s="82">
        <v>67146664.689999998</v>
      </c>
      <c r="Q25" s="87"/>
      <c r="R25" s="87"/>
      <c r="S25" s="87"/>
      <c r="T25" s="84"/>
      <c r="U25" s="128"/>
      <c r="V25" s="82"/>
      <c r="W25" s="87"/>
      <c r="X25" s="87"/>
      <c r="Y25" s="87"/>
      <c r="Z25" s="84"/>
      <c r="AA25" s="128"/>
      <c r="AB25" s="109"/>
      <c r="AC25" s="111"/>
      <c r="AD25" s="105"/>
      <c r="AE25" s="107"/>
    </row>
    <row r="26" spans="1:31" customFormat="1" ht="84.75" customHeight="1" x14ac:dyDescent="0.25">
      <c r="A26" s="101">
        <v>9</v>
      </c>
      <c r="B26" s="12" t="s">
        <v>37</v>
      </c>
      <c r="C26" s="12" t="s">
        <v>39</v>
      </c>
      <c r="D26" s="12" t="s">
        <v>40</v>
      </c>
      <c r="E26" s="38" t="s">
        <v>75</v>
      </c>
      <c r="F26" s="43" t="s">
        <v>76</v>
      </c>
      <c r="G26" s="93">
        <v>20200680010092</v>
      </c>
      <c r="H26" s="69" t="s">
        <v>77</v>
      </c>
      <c r="I26" s="8" t="s">
        <v>78</v>
      </c>
      <c r="J26" s="11">
        <v>44208</v>
      </c>
      <c r="K26" s="11">
        <v>44561</v>
      </c>
      <c r="L26" s="59">
        <v>2664</v>
      </c>
      <c r="M26" s="103">
        <v>2556</v>
      </c>
      <c r="N26" s="58">
        <f>IFERROR(IF(M26/L26&gt;100%,100%,M26/L26),"-")</f>
        <v>0.95945945945945943</v>
      </c>
      <c r="O26" s="32" t="s">
        <v>79</v>
      </c>
      <c r="P26" s="82">
        <v>3321331218</v>
      </c>
      <c r="Q26" s="87"/>
      <c r="R26" s="87"/>
      <c r="S26" s="87"/>
      <c r="T26" s="84"/>
      <c r="U26" s="89">
        <f>SUM(P26:T26)</f>
        <v>3321331218</v>
      </c>
      <c r="V26" s="82">
        <v>2087050088</v>
      </c>
      <c r="W26" s="87"/>
      <c r="X26" s="87"/>
      <c r="Y26" s="87"/>
      <c r="Z26" s="84"/>
      <c r="AA26" s="89">
        <f>SUM(V26:Z26)</f>
        <v>2087050088</v>
      </c>
      <c r="AB26" s="98">
        <f>IFERROR(AA26/U26,"-")</f>
        <v>0.62837758447251613</v>
      </c>
      <c r="AC26" s="62"/>
      <c r="AD26" s="60" t="s">
        <v>43</v>
      </c>
      <c r="AE26" s="61" t="s">
        <v>44</v>
      </c>
    </row>
    <row r="27" spans="1:31" customFormat="1" ht="75" customHeight="1" x14ac:dyDescent="0.25">
      <c r="A27" s="101">
        <v>10</v>
      </c>
      <c r="B27" s="12" t="s">
        <v>37</v>
      </c>
      <c r="C27" s="12" t="s">
        <v>39</v>
      </c>
      <c r="D27" s="12" t="s">
        <v>40</v>
      </c>
      <c r="E27" s="38" t="s">
        <v>80</v>
      </c>
      <c r="F27" s="43" t="s">
        <v>81</v>
      </c>
      <c r="G27" s="93">
        <v>20200680010090</v>
      </c>
      <c r="H27" s="69" t="s">
        <v>82</v>
      </c>
      <c r="I27" s="13" t="s">
        <v>83</v>
      </c>
      <c r="J27" s="11">
        <v>44208</v>
      </c>
      <c r="K27" s="11">
        <v>44561</v>
      </c>
      <c r="L27" s="25">
        <v>9668</v>
      </c>
      <c r="M27" s="67">
        <v>9978</v>
      </c>
      <c r="N27" s="26">
        <f>IFERROR(IF(M27/L27&gt;100%,100%,M27/L27),"-")</f>
        <v>1</v>
      </c>
      <c r="O27" s="33" t="s">
        <v>84</v>
      </c>
      <c r="P27" s="82">
        <v>1212000000</v>
      </c>
      <c r="Q27" s="82">
        <v>13147919116</v>
      </c>
      <c r="R27" s="87"/>
      <c r="S27" s="87"/>
      <c r="T27" s="84"/>
      <c r="U27" s="85">
        <f>SUM(P27:T27)</f>
        <v>14359919116</v>
      </c>
      <c r="V27" s="82">
        <v>1161315332</v>
      </c>
      <c r="W27" s="82">
        <v>13107955935</v>
      </c>
      <c r="X27" s="87"/>
      <c r="Y27" s="87"/>
      <c r="Z27" s="84"/>
      <c r="AA27" s="85">
        <f>SUM(V27:Z27)</f>
        <v>14269271267</v>
      </c>
      <c r="AB27" s="97">
        <f>IFERROR(AA27/U27,"-")</f>
        <v>0.99368744014031396</v>
      </c>
      <c r="AC27" s="9"/>
      <c r="AD27" s="30" t="s">
        <v>43</v>
      </c>
      <c r="AE27" s="10" t="s">
        <v>44</v>
      </c>
    </row>
    <row r="28" spans="1:31" customFormat="1" ht="75" x14ac:dyDescent="0.25">
      <c r="A28" s="101">
        <v>11</v>
      </c>
      <c r="B28" s="12" t="s">
        <v>37</v>
      </c>
      <c r="C28" s="12" t="s">
        <v>39</v>
      </c>
      <c r="D28" s="12" t="s">
        <v>40</v>
      </c>
      <c r="E28" s="38" t="s">
        <v>85</v>
      </c>
      <c r="F28" s="43" t="s">
        <v>86</v>
      </c>
      <c r="G28" s="93">
        <v>20210680010103</v>
      </c>
      <c r="H28" s="69" t="s">
        <v>214</v>
      </c>
      <c r="I28" s="70" t="s">
        <v>215</v>
      </c>
      <c r="J28" s="50">
        <v>44526</v>
      </c>
      <c r="K28" s="50">
        <v>44561</v>
      </c>
      <c r="L28" s="133">
        <v>7</v>
      </c>
      <c r="M28" s="131">
        <v>24</v>
      </c>
      <c r="N28" s="125">
        <f>IFERROR(IF(M28/L28&gt;100%,100%,M28/L28),"-")</f>
        <v>1</v>
      </c>
      <c r="O28" s="34" t="s">
        <v>218</v>
      </c>
      <c r="P28" s="82">
        <v>454336191.83999997</v>
      </c>
      <c r="Q28" s="82">
        <v>931401434.54999995</v>
      </c>
      <c r="R28" s="87"/>
      <c r="S28" s="87"/>
      <c r="T28" s="84"/>
      <c r="U28" s="127">
        <f>SUM(P28:T34)</f>
        <v>4837793938.3020906</v>
      </c>
      <c r="V28" s="82">
        <v>454336191.83999997</v>
      </c>
      <c r="W28" s="82">
        <v>931401434.54999995</v>
      </c>
      <c r="X28" s="82"/>
      <c r="Y28" s="82"/>
      <c r="Z28" s="84"/>
      <c r="AA28" s="127">
        <f>SUM(V28:Z34)</f>
        <v>4437074119.7420902</v>
      </c>
      <c r="AB28" s="108">
        <f>IFERROR(AA28/U28,"-")</f>
        <v>0.91716889481641706</v>
      </c>
      <c r="AC28" s="110"/>
      <c r="AD28" s="104" t="s">
        <v>43</v>
      </c>
      <c r="AE28" s="106" t="s">
        <v>44</v>
      </c>
    </row>
    <row r="29" spans="1:31" customFormat="1" ht="102" customHeight="1" x14ac:dyDescent="0.25">
      <c r="A29" s="101">
        <v>11</v>
      </c>
      <c r="B29" s="12" t="s">
        <v>37</v>
      </c>
      <c r="C29" s="12" t="s">
        <v>39</v>
      </c>
      <c r="D29" s="12" t="s">
        <v>40</v>
      </c>
      <c r="E29" s="38" t="s">
        <v>85</v>
      </c>
      <c r="F29" s="43" t="s">
        <v>86</v>
      </c>
      <c r="G29" s="93">
        <v>20210680010204</v>
      </c>
      <c r="H29" s="69" t="s">
        <v>216</v>
      </c>
      <c r="I29" s="73" t="s">
        <v>217</v>
      </c>
      <c r="J29" s="50">
        <v>44526</v>
      </c>
      <c r="K29" s="50">
        <v>44561</v>
      </c>
      <c r="L29" s="164"/>
      <c r="M29" s="158"/>
      <c r="N29" s="159"/>
      <c r="O29" s="33" t="s">
        <v>220</v>
      </c>
      <c r="P29" s="82">
        <v>1174418045.3599999</v>
      </c>
      <c r="Q29" s="82"/>
      <c r="R29" s="87"/>
      <c r="S29" s="87"/>
      <c r="T29" s="84"/>
      <c r="U29" s="139"/>
      <c r="V29" s="82">
        <v>1174418045.3599999</v>
      </c>
      <c r="W29" s="82"/>
      <c r="X29" s="82"/>
      <c r="Y29" s="82"/>
      <c r="Z29" s="84"/>
      <c r="AA29" s="139"/>
      <c r="AB29" s="112"/>
      <c r="AC29" s="118"/>
      <c r="AD29" s="117"/>
      <c r="AE29" s="116"/>
    </row>
    <row r="30" spans="1:31" customFormat="1" ht="102.6" customHeight="1" x14ac:dyDescent="0.25">
      <c r="A30" s="101">
        <v>11</v>
      </c>
      <c r="B30" s="12" t="s">
        <v>37</v>
      </c>
      <c r="C30" s="12" t="s">
        <v>39</v>
      </c>
      <c r="D30" s="12" t="s">
        <v>40</v>
      </c>
      <c r="E30" s="38" t="s">
        <v>85</v>
      </c>
      <c r="F30" s="43" t="s">
        <v>86</v>
      </c>
      <c r="G30" s="93">
        <v>20210680010032</v>
      </c>
      <c r="H30" s="69" t="s">
        <v>59</v>
      </c>
      <c r="I30" s="13" t="s">
        <v>60</v>
      </c>
      <c r="J30" s="11">
        <v>44278</v>
      </c>
      <c r="K30" s="11">
        <v>44561</v>
      </c>
      <c r="L30" s="164"/>
      <c r="M30" s="158"/>
      <c r="N30" s="159"/>
      <c r="O30" s="33" t="s">
        <v>61</v>
      </c>
      <c r="P30" s="82"/>
      <c r="Q30" s="82">
        <v>1821881063.49209</v>
      </c>
      <c r="R30" s="87"/>
      <c r="S30" s="87"/>
      <c r="T30" s="84"/>
      <c r="U30" s="139"/>
      <c r="V30" s="82"/>
      <c r="W30" s="82">
        <v>1821881063.49209</v>
      </c>
      <c r="X30" s="82"/>
      <c r="Y30" s="82"/>
      <c r="Z30" s="84"/>
      <c r="AA30" s="139"/>
      <c r="AB30" s="112"/>
      <c r="AC30" s="118"/>
      <c r="AD30" s="117"/>
      <c r="AE30" s="116"/>
    </row>
    <row r="31" spans="1:31" customFormat="1" ht="91.95" customHeight="1" x14ac:dyDescent="0.25">
      <c r="A31" s="101">
        <v>11</v>
      </c>
      <c r="B31" s="12" t="s">
        <v>37</v>
      </c>
      <c r="C31" s="12" t="s">
        <v>39</v>
      </c>
      <c r="D31" s="12" t="s">
        <v>40</v>
      </c>
      <c r="E31" s="38" t="s">
        <v>85</v>
      </c>
      <c r="F31" s="43" t="s">
        <v>86</v>
      </c>
      <c r="G31" s="93">
        <v>20210680010053</v>
      </c>
      <c r="H31" s="69" t="s">
        <v>87</v>
      </c>
      <c r="I31" s="13" t="s">
        <v>88</v>
      </c>
      <c r="J31" s="11">
        <v>44371</v>
      </c>
      <c r="K31" s="11">
        <v>44500</v>
      </c>
      <c r="L31" s="164"/>
      <c r="M31" s="158"/>
      <c r="N31" s="159"/>
      <c r="O31" s="33" t="s">
        <v>89</v>
      </c>
      <c r="P31" s="82">
        <f>40885320.77+54780161.31</f>
        <v>95665482.080000013</v>
      </c>
      <c r="Q31" s="87"/>
      <c r="R31" s="87"/>
      <c r="S31" s="87"/>
      <c r="T31" s="84"/>
      <c r="U31" s="139"/>
      <c r="V31" s="82">
        <f>40885320.77-16933.36</f>
        <v>40868387.410000004</v>
      </c>
      <c r="W31" s="82"/>
      <c r="X31" s="82"/>
      <c r="Y31" s="82"/>
      <c r="Z31" s="84"/>
      <c r="AA31" s="139"/>
      <c r="AB31" s="112"/>
      <c r="AC31" s="118"/>
      <c r="AD31" s="117"/>
      <c r="AE31" s="116"/>
    </row>
    <row r="32" spans="1:31" customFormat="1" ht="91.95" customHeight="1" x14ac:dyDescent="0.25">
      <c r="A32" s="101">
        <v>11</v>
      </c>
      <c r="B32" s="12" t="s">
        <v>37</v>
      </c>
      <c r="C32" s="12" t="s">
        <v>39</v>
      </c>
      <c r="D32" s="12" t="s">
        <v>40</v>
      </c>
      <c r="E32" s="38" t="s">
        <v>85</v>
      </c>
      <c r="F32" s="43" t="s">
        <v>86</v>
      </c>
      <c r="G32" s="93">
        <v>20210680010054</v>
      </c>
      <c r="H32" s="69" t="s">
        <v>90</v>
      </c>
      <c r="I32" s="13" t="s">
        <v>91</v>
      </c>
      <c r="J32" s="11">
        <v>44371</v>
      </c>
      <c r="K32" s="11">
        <v>44500</v>
      </c>
      <c r="L32" s="164"/>
      <c r="M32" s="158"/>
      <c r="N32" s="159"/>
      <c r="O32" s="33" t="s">
        <v>92</v>
      </c>
      <c r="P32" s="82">
        <f>92973193.83+22026837+26000921.72+12600315</f>
        <v>153601267.55000001</v>
      </c>
      <c r="Q32" s="82"/>
      <c r="R32" s="87"/>
      <c r="S32" s="87"/>
      <c r="T32" s="84"/>
      <c r="U32" s="139"/>
      <c r="V32" s="82"/>
      <c r="W32" s="82"/>
      <c r="X32" s="82"/>
      <c r="Y32" s="82"/>
      <c r="Z32" s="84"/>
      <c r="AA32" s="139"/>
      <c r="AB32" s="112"/>
      <c r="AC32" s="118"/>
      <c r="AD32" s="117"/>
      <c r="AE32" s="116"/>
    </row>
    <row r="33" spans="1:31" s="72" customFormat="1" ht="91.95" customHeight="1" x14ac:dyDescent="0.25">
      <c r="A33" s="101">
        <v>11</v>
      </c>
      <c r="B33" s="70" t="s">
        <v>37</v>
      </c>
      <c r="C33" s="70" t="s">
        <v>39</v>
      </c>
      <c r="D33" s="70" t="s">
        <v>40</v>
      </c>
      <c r="E33" s="38" t="s">
        <v>85</v>
      </c>
      <c r="F33" s="68" t="s">
        <v>86</v>
      </c>
      <c r="G33" s="93">
        <v>20210680010183</v>
      </c>
      <c r="H33" s="69" t="s">
        <v>203</v>
      </c>
      <c r="I33" s="70" t="s">
        <v>204</v>
      </c>
      <c r="J33" s="50">
        <v>44473</v>
      </c>
      <c r="K33" s="50">
        <v>44561</v>
      </c>
      <c r="L33" s="164"/>
      <c r="M33" s="158"/>
      <c r="N33" s="159"/>
      <c r="O33" s="71" t="s">
        <v>97</v>
      </c>
      <c r="P33" s="82"/>
      <c r="Q33" s="82">
        <v>14168997.09</v>
      </c>
      <c r="R33" s="87"/>
      <c r="S33" s="87"/>
      <c r="T33" s="84"/>
      <c r="U33" s="139"/>
      <c r="V33" s="82"/>
      <c r="W33" s="82">
        <v>14168997.09</v>
      </c>
      <c r="X33" s="82"/>
      <c r="Y33" s="82"/>
      <c r="Z33" s="84"/>
      <c r="AA33" s="139"/>
      <c r="AB33" s="112"/>
      <c r="AC33" s="118"/>
      <c r="AD33" s="117"/>
      <c r="AE33" s="116"/>
    </row>
    <row r="34" spans="1:31" customFormat="1" ht="60" x14ac:dyDescent="0.25">
      <c r="A34" s="101">
        <v>11</v>
      </c>
      <c r="B34" s="12" t="s">
        <v>37</v>
      </c>
      <c r="C34" s="12" t="s">
        <v>39</v>
      </c>
      <c r="D34" s="12" t="s">
        <v>40</v>
      </c>
      <c r="E34" s="38" t="s">
        <v>85</v>
      </c>
      <c r="F34" s="43" t="s">
        <v>86</v>
      </c>
      <c r="G34" s="93"/>
      <c r="H34" s="79" t="s">
        <v>230</v>
      </c>
      <c r="I34" s="13"/>
      <c r="J34" s="11"/>
      <c r="K34" s="11"/>
      <c r="L34" s="134"/>
      <c r="M34" s="132"/>
      <c r="N34" s="126"/>
      <c r="O34" s="33" t="s">
        <v>223</v>
      </c>
      <c r="P34" s="82">
        <f>192271456.32+50000.02</f>
        <v>192321456.34</v>
      </c>
      <c r="Q34" s="82"/>
      <c r="R34" s="87"/>
      <c r="S34" s="87"/>
      <c r="T34" s="84"/>
      <c r="U34" s="128"/>
      <c r="V34" s="82"/>
      <c r="W34" s="82"/>
      <c r="X34" s="87"/>
      <c r="Y34" s="87"/>
      <c r="Z34" s="84"/>
      <c r="AA34" s="128"/>
      <c r="AB34" s="109"/>
      <c r="AC34" s="111"/>
      <c r="AD34" s="105"/>
      <c r="AE34" s="107"/>
    </row>
    <row r="35" spans="1:31" customFormat="1" ht="96.75" customHeight="1" x14ac:dyDescent="0.25">
      <c r="A35" s="101">
        <v>12</v>
      </c>
      <c r="B35" s="12" t="s">
        <v>37</v>
      </c>
      <c r="C35" s="12" t="s">
        <v>39</v>
      </c>
      <c r="D35" s="12" t="s">
        <v>40</v>
      </c>
      <c r="E35" s="38" t="s">
        <v>93</v>
      </c>
      <c r="F35" s="43" t="s">
        <v>94</v>
      </c>
      <c r="G35" s="93">
        <v>20210680010057</v>
      </c>
      <c r="H35" s="69" t="s">
        <v>95</v>
      </c>
      <c r="I35" s="33" t="s">
        <v>221</v>
      </c>
      <c r="J35" s="11">
        <v>44372</v>
      </c>
      <c r="K35" s="11">
        <v>44561</v>
      </c>
      <c r="L35" s="129">
        <v>7</v>
      </c>
      <c r="M35" s="131">
        <v>14</v>
      </c>
      <c r="N35" s="125">
        <f>IFERROR(IF(M35/L35&gt;100%,100%,M35/L35),"-")</f>
        <v>1</v>
      </c>
      <c r="O35" s="33" t="s">
        <v>96</v>
      </c>
      <c r="P35" s="82">
        <v>242808278</v>
      </c>
      <c r="Q35" s="82">
        <f>1243761503.24+21049985.5+245706286.99</f>
        <v>1510517775.73</v>
      </c>
      <c r="R35" s="87"/>
      <c r="S35" s="87"/>
      <c r="T35" s="84"/>
      <c r="U35" s="127">
        <f>SUM(P35:T38)</f>
        <v>3434775399.0199995</v>
      </c>
      <c r="V35" s="82">
        <v>179824252.27000001</v>
      </c>
      <c r="W35" s="82">
        <v>1510517775.73</v>
      </c>
      <c r="X35" s="87"/>
      <c r="Y35" s="87"/>
      <c r="Z35" s="84"/>
      <c r="AA35" s="127">
        <f>SUM(V35:Z38)</f>
        <v>3014048273.5</v>
      </c>
      <c r="AB35" s="108">
        <f>IFERROR(AA35/U35,"-")</f>
        <v>0.8775095671058899</v>
      </c>
      <c r="AC35" s="110"/>
      <c r="AD35" s="104" t="s">
        <v>43</v>
      </c>
      <c r="AE35" s="104" t="s">
        <v>44</v>
      </c>
    </row>
    <row r="36" spans="1:31" customFormat="1" ht="81.75" customHeight="1" x14ac:dyDescent="0.25">
      <c r="A36" s="101">
        <v>12</v>
      </c>
      <c r="B36" s="12" t="s">
        <v>37</v>
      </c>
      <c r="C36" s="12" t="s">
        <v>39</v>
      </c>
      <c r="D36" s="12" t="s">
        <v>40</v>
      </c>
      <c r="E36" s="38" t="s">
        <v>93</v>
      </c>
      <c r="F36" s="43" t="s">
        <v>94</v>
      </c>
      <c r="G36" s="93">
        <v>20210680010103</v>
      </c>
      <c r="H36" s="69" t="s">
        <v>214</v>
      </c>
      <c r="I36" s="70" t="s">
        <v>215</v>
      </c>
      <c r="J36" s="50">
        <v>44526</v>
      </c>
      <c r="K36" s="50">
        <v>44561</v>
      </c>
      <c r="L36" s="157"/>
      <c r="M36" s="158"/>
      <c r="N36" s="159"/>
      <c r="O36" s="35" t="s">
        <v>219</v>
      </c>
      <c r="P36" s="82">
        <v>675709479.18000007</v>
      </c>
      <c r="Q36" s="87">
        <v>288075260.37</v>
      </c>
      <c r="R36" s="87"/>
      <c r="S36" s="87"/>
      <c r="T36" s="84"/>
      <c r="U36" s="139"/>
      <c r="V36" s="82">
        <v>675709479.18000007</v>
      </c>
      <c r="W36" s="87">
        <v>288075260.37</v>
      </c>
      <c r="X36" s="87"/>
      <c r="Y36" s="87"/>
      <c r="Z36" s="84"/>
      <c r="AA36" s="139"/>
      <c r="AB36" s="112"/>
      <c r="AC36" s="118"/>
      <c r="AD36" s="117"/>
      <c r="AE36" s="117"/>
    </row>
    <row r="37" spans="1:31" customFormat="1" ht="100.5" customHeight="1" x14ac:dyDescent="0.25">
      <c r="A37" s="101">
        <v>12</v>
      </c>
      <c r="B37" s="12" t="s">
        <v>37</v>
      </c>
      <c r="C37" s="12" t="s">
        <v>39</v>
      </c>
      <c r="D37" s="12" t="s">
        <v>40</v>
      </c>
      <c r="E37" s="38" t="s">
        <v>93</v>
      </c>
      <c r="F37" s="43" t="s">
        <v>94</v>
      </c>
      <c r="G37" s="93">
        <v>20210680010204</v>
      </c>
      <c r="H37" s="69" t="s">
        <v>216</v>
      </c>
      <c r="I37" s="73" t="s">
        <v>217</v>
      </c>
      <c r="J37" s="50">
        <v>44526</v>
      </c>
      <c r="K37" s="50">
        <v>44561</v>
      </c>
      <c r="L37" s="157"/>
      <c r="M37" s="158"/>
      <c r="N37" s="159"/>
      <c r="O37" s="51" t="s">
        <v>220</v>
      </c>
      <c r="P37" s="82">
        <v>359921505.95000005</v>
      </c>
      <c r="Q37" s="87"/>
      <c r="R37" s="87"/>
      <c r="S37" s="87"/>
      <c r="T37" s="84"/>
      <c r="U37" s="139"/>
      <c r="V37" s="82">
        <v>359921505.95000005</v>
      </c>
      <c r="W37" s="87"/>
      <c r="X37" s="87"/>
      <c r="Y37" s="87"/>
      <c r="Z37" s="84"/>
      <c r="AA37" s="139"/>
      <c r="AB37" s="112"/>
      <c r="AC37" s="118"/>
      <c r="AD37" s="117"/>
      <c r="AE37" s="117"/>
    </row>
    <row r="38" spans="1:31" customFormat="1" ht="60" x14ac:dyDescent="0.25">
      <c r="A38" s="101">
        <v>12</v>
      </c>
      <c r="B38" s="12" t="s">
        <v>37</v>
      </c>
      <c r="C38" s="12" t="s">
        <v>39</v>
      </c>
      <c r="D38" s="12" t="s">
        <v>40</v>
      </c>
      <c r="E38" s="38" t="s">
        <v>93</v>
      </c>
      <c r="F38" s="43" t="s">
        <v>94</v>
      </c>
      <c r="G38" s="94"/>
      <c r="H38" s="79" t="s">
        <v>230</v>
      </c>
      <c r="I38" s="33"/>
      <c r="J38" s="11"/>
      <c r="K38" s="11"/>
      <c r="L38" s="130"/>
      <c r="M38" s="132"/>
      <c r="N38" s="126"/>
      <c r="O38" s="51" t="s">
        <v>222</v>
      </c>
      <c r="P38" s="82">
        <v>357743099.79000002</v>
      </c>
      <c r="Q38" s="82"/>
      <c r="R38" s="87"/>
      <c r="S38" s="87"/>
      <c r="T38" s="84"/>
      <c r="U38" s="128"/>
      <c r="V38" s="82"/>
      <c r="W38" s="87"/>
      <c r="X38" s="87"/>
      <c r="Y38" s="87"/>
      <c r="Z38" s="84"/>
      <c r="AA38" s="128"/>
      <c r="AB38" s="109"/>
      <c r="AC38" s="111"/>
      <c r="AD38" s="105"/>
      <c r="AE38" s="105"/>
    </row>
    <row r="39" spans="1:31" customFormat="1" ht="82.2" customHeight="1" x14ac:dyDescent="0.25">
      <c r="A39" s="101">
        <v>13</v>
      </c>
      <c r="B39" s="12" t="s">
        <v>37</v>
      </c>
      <c r="C39" s="12" t="s">
        <v>39</v>
      </c>
      <c r="D39" s="12" t="s">
        <v>98</v>
      </c>
      <c r="E39" s="38" t="s">
        <v>99</v>
      </c>
      <c r="F39" s="43" t="s">
        <v>100</v>
      </c>
      <c r="G39" s="93">
        <v>20210680010100</v>
      </c>
      <c r="H39" s="78" t="s">
        <v>199</v>
      </c>
      <c r="I39" s="33" t="s">
        <v>101</v>
      </c>
      <c r="J39" s="11">
        <v>44221</v>
      </c>
      <c r="K39" s="11">
        <v>44528</v>
      </c>
      <c r="L39" s="25">
        <v>47</v>
      </c>
      <c r="M39" s="31">
        <v>47</v>
      </c>
      <c r="N39" s="26">
        <f>IFERROR(IF(M39/L39&gt;100%,100%,M39/L39),"-")</f>
        <v>1</v>
      </c>
      <c r="O39" s="51" t="s">
        <v>200</v>
      </c>
      <c r="P39" s="82">
        <v>1000000</v>
      </c>
      <c r="Q39" s="87"/>
      <c r="R39" s="87"/>
      <c r="S39" s="87"/>
      <c r="T39" s="84"/>
      <c r="U39" s="85">
        <f>SUM(P39:T39)</f>
        <v>1000000</v>
      </c>
      <c r="V39" s="82">
        <v>1000000</v>
      </c>
      <c r="W39" s="87"/>
      <c r="X39" s="87"/>
      <c r="Y39" s="87"/>
      <c r="Z39" s="84"/>
      <c r="AA39" s="85">
        <f>SUM(V39:Z39)</f>
        <v>1000000</v>
      </c>
      <c r="AB39" s="97">
        <f>IFERROR(AA39/U39,"-")</f>
        <v>1</v>
      </c>
      <c r="AC39" s="9"/>
      <c r="AD39" s="30" t="s">
        <v>43</v>
      </c>
      <c r="AE39" s="10" t="s">
        <v>44</v>
      </c>
    </row>
    <row r="40" spans="1:31" customFormat="1" ht="171.6" customHeight="1" x14ac:dyDescent="0.25">
      <c r="A40" s="101">
        <v>14</v>
      </c>
      <c r="B40" s="12" t="s">
        <v>37</v>
      </c>
      <c r="C40" s="12" t="s">
        <v>39</v>
      </c>
      <c r="D40" s="12" t="s">
        <v>98</v>
      </c>
      <c r="E40" s="38" t="s">
        <v>102</v>
      </c>
      <c r="F40" s="43" t="s">
        <v>103</v>
      </c>
      <c r="G40" s="96">
        <v>20200680010076</v>
      </c>
      <c r="H40" s="78" t="s">
        <v>104</v>
      </c>
      <c r="I40" s="13" t="s">
        <v>105</v>
      </c>
      <c r="J40" s="11">
        <v>44210</v>
      </c>
      <c r="K40" s="11">
        <v>44561</v>
      </c>
      <c r="L40" s="133">
        <v>47</v>
      </c>
      <c r="M40" s="131">
        <v>47</v>
      </c>
      <c r="N40" s="125">
        <f>IFERROR(IF(M40/L40&gt;100%,100%,M40/L40),"-")</f>
        <v>1</v>
      </c>
      <c r="O40" s="29" t="s">
        <v>225</v>
      </c>
      <c r="P40" s="82">
        <f>76566312+9006121826+417383651.71+148085996.26+2927988572</f>
        <v>12576146357.969999</v>
      </c>
      <c r="Q40" s="82">
        <f>2079319364+280571789+1274304910</f>
        <v>3634196063</v>
      </c>
      <c r="R40" s="87"/>
      <c r="S40" s="87"/>
      <c r="T40" s="84"/>
      <c r="U40" s="127">
        <f>SUM(P40:T46)</f>
        <v>248292587851.98758</v>
      </c>
      <c r="V40" s="82">
        <f>76566312+3506864730.97+8992715315</f>
        <v>12576146357.969999</v>
      </c>
      <c r="W40" s="82">
        <f>2079319364+280571789+1274304910</f>
        <v>3634196063</v>
      </c>
      <c r="X40" s="87"/>
      <c r="Y40" s="87"/>
      <c r="Z40" s="84"/>
      <c r="AA40" s="127">
        <f>SUM(V40:Z46)</f>
        <v>241449691061.95758</v>
      </c>
      <c r="AB40" s="108">
        <f>IFERROR(AA40/U40,"-")</f>
        <v>0.97244018901559315</v>
      </c>
      <c r="AC40" s="110"/>
      <c r="AD40" s="104" t="s">
        <v>43</v>
      </c>
      <c r="AE40" s="106" t="s">
        <v>44</v>
      </c>
    </row>
    <row r="41" spans="1:31" customFormat="1" ht="409.5" customHeight="1" x14ac:dyDescent="0.25">
      <c r="A41" s="101">
        <v>14</v>
      </c>
      <c r="B41" s="12" t="s">
        <v>37</v>
      </c>
      <c r="C41" s="12" t="s">
        <v>39</v>
      </c>
      <c r="D41" s="12" t="s">
        <v>98</v>
      </c>
      <c r="E41" s="38" t="s">
        <v>102</v>
      </c>
      <c r="F41" s="43" t="s">
        <v>103</v>
      </c>
      <c r="G41" s="96">
        <v>20200680010027</v>
      </c>
      <c r="H41" s="78" t="s">
        <v>106</v>
      </c>
      <c r="I41" s="13" t="s">
        <v>107</v>
      </c>
      <c r="J41" s="11">
        <v>44210</v>
      </c>
      <c r="K41" s="11">
        <v>44561</v>
      </c>
      <c r="L41" s="164"/>
      <c r="M41" s="158"/>
      <c r="N41" s="159"/>
      <c r="O41" s="32" t="s">
        <v>228</v>
      </c>
      <c r="P41" s="82">
        <v>1139356981</v>
      </c>
      <c r="Q41" s="82">
        <f>227806563744.3+11695199+10632000+3259928918.5+280746171.7-11695199-33040051-30000000-9700080-1624699861.8-393187608-202183043-1007741139-42581547-24156871-241923467.78-329610610-11518800-247412720-41237340-41237340-82427840-348408463-4313597-33216716-51980409.72-3173598-15993888-147614798</f>
        <v>226390511046.20001</v>
      </c>
      <c r="R41" s="87"/>
      <c r="S41" s="87"/>
      <c r="T41" s="84"/>
      <c r="U41" s="139"/>
      <c r="V41" s="82">
        <v>532056132</v>
      </c>
      <c r="W41" s="82">
        <v>221396223606.22</v>
      </c>
      <c r="X41" s="87"/>
      <c r="Y41" s="87"/>
      <c r="Z41" s="84"/>
      <c r="AA41" s="139"/>
      <c r="AB41" s="112"/>
      <c r="AC41" s="118"/>
      <c r="AD41" s="117"/>
      <c r="AE41" s="116"/>
    </row>
    <row r="42" spans="1:31" customFormat="1" ht="110.4" customHeight="1" x14ac:dyDescent="0.25">
      <c r="A42" s="101">
        <v>14</v>
      </c>
      <c r="B42" s="12" t="s">
        <v>37</v>
      </c>
      <c r="C42" s="12" t="s">
        <v>39</v>
      </c>
      <c r="D42" s="12" t="s">
        <v>98</v>
      </c>
      <c r="E42" s="38" t="s">
        <v>102</v>
      </c>
      <c r="F42" s="43" t="s">
        <v>103</v>
      </c>
      <c r="G42" s="93">
        <v>20210680010032</v>
      </c>
      <c r="H42" s="69" t="s">
        <v>59</v>
      </c>
      <c r="I42" s="13" t="s">
        <v>60</v>
      </c>
      <c r="J42" s="11">
        <v>44278</v>
      </c>
      <c r="K42" s="11">
        <v>44561</v>
      </c>
      <c r="L42" s="164"/>
      <c r="M42" s="158"/>
      <c r="N42" s="159"/>
      <c r="O42" s="33" t="s">
        <v>61</v>
      </c>
      <c r="P42" s="82"/>
      <c r="Q42" s="82">
        <v>1183210654.78756</v>
      </c>
      <c r="R42" s="87"/>
      <c r="S42" s="87"/>
      <c r="T42" s="84"/>
      <c r="U42" s="139"/>
      <c r="V42" s="87"/>
      <c r="W42" s="82">
        <v>1183210654.78756</v>
      </c>
      <c r="X42" s="87"/>
      <c r="Y42" s="87"/>
      <c r="Z42" s="84"/>
      <c r="AA42" s="139"/>
      <c r="AB42" s="112"/>
      <c r="AC42" s="118"/>
      <c r="AD42" s="117"/>
      <c r="AE42" s="116"/>
    </row>
    <row r="43" spans="1:31" customFormat="1" ht="131.4" customHeight="1" x14ac:dyDescent="0.25">
      <c r="A43" s="101">
        <v>14</v>
      </c>
      <c r="B43" s="12" t="s">
        <v>37</v>
      </c>
      <c r="C43" s="12" t="s">
        <v>39</v>
      </c>
      <c r="D43" s="12" t="s">
        <v>98</v>
      </c>
      <c r="E43" s="38" t="s">
        <v>102</v>
      </c>
      <c r="F43" s="43" t="s">
        <v>103</v>
      </c>
      <c r="G43" s="96">
        <v>20210680010027</v>
      </c>
      <c r="H43" s="69" t="s">
        <v>108</v>
      </c>
      <c r="I43" s="8" t="s">
        <v>109</v>
      </c>
      <c r="J43" s="11">
        <v>44267</v>
      </c>
      <c r="K43" s="11">
        <v>44530</v>
      </c>
      <c r="L43" s="164"/>
      <c r="M43" s="158"/>
      <c r="N43" s="159"/>
      <c r="O43" s="32" t="s">
        <v>183</v>
      </c>
      <c r="P43" s="82">
        <f>492131285.15+217690502.19</f>
        <v>709821787.33999991</v>
      </c>
      <c r="Q43" s="82"/>
      <c r="R43" s="87"/>
      <c r="S43" s="87"/>
      <c r="T43" s="84"/>
      <c r="U43" s="139"/>
      <c r="V43" s="87">
        <v>709821787.34000003</v>
      </c>
      <c r="W43" s="87"/>
      <c r="X43" s="87"/>
      <c r="Y43" s="87"/>
      <c r="Z43" s="84"/>
      <c r="AA43" s="139"/>
      <c r="AB43" s="112"/>
      <c r="AC43" s="118"/>
      <c r="AD43" s="117"/>
      <c r="AE43" s="116"/>
    </row>
    <row r="44" spans="1:31" customFormat="1" ht="119.25" customHeight="1" x14ac:dyDescent="0.25">
      <c r="A44" s="101">
        <v>14</v>
      </c>
      <c r="B44" s="12" t="s">
        <v>37</v>
      </c>
      <c r="C44" s="12" t="s">
        <v>39</v>
      </c>
      <c r="D44" s="12" t="s">
        <v>98</v>
      </c>
      <c r="E44" s="38" t="s">
        <v>102</v>
      </c>
      <c r="F44" s="43" t="s">
        <v>103</v>
      </c>
      <c r="G44" s="96">
        <v>20210680010042</v>
      </c>
      <c r="H44" s="69" t="s">
        <v>110</v>
      </c>
      <c r="I44" s="8" t="s">
        <v>111</v>
      </c>
      <c r="J44" s="11">
        <v>44330</v>
      </c>
      <c r="K44" s="11">
        <v>44408</v>
      </c>
      <c r="L44" s="164"/>
      <c r="M44" s="158"/>
      <c r="N44" s="159"/>
      <c r="O44" s="32" t="s">
        <v>112</v>
      </c>
      <c r="P44" s="82">
        <v>324849221</v>
      </c>
      <c r="Q44" s="82"/>
      <c r="R44" s="87"/>
      <c r="S44" s="87"/>
      <c r="T44" s="84"/>
      <c r="U44" s="139"/>
      <c r="V44" s="87">
        <v>324849221</v>
      </c>
      <c r="W44" s="87"/>
      <c r="X44" s="87"/>
      <c r="Y44" s="87"/>
      <c r="Z44" s="84"/>
      <c r="AA44" s="139"/>
      <c r="AB44" s="112"/>
      <c r="AC44" s="118"/>
      <c r="AD44" s="117"/>
      <c r="AE44" s="116"/>
    </row>
    <row r="45" spans="1:31" customFormat="1" ht="119.25" customHeight="1" x14ac:dyDescent="0.25">
      <c r="A45" s="101">
        <v>14</v>
      </c>
      <c r="B45" s="12" t="s">
        <v>37</v>
      </c>
      <c r="C45" s="12" t="s">
        <v>39</v>
      </c>
      <c r="D45" s="12" t="s">
        <v>98</v>
      </c>
      <c r="E45" s="38" t="s">
        <v>102</v>
      </c>
      <c r="F45" s="43" t="s">
        <v>103</v>
      </c>
      <c r="G45" s="96">
        <v>20210680010203</v>
      </c>
      <c r="H45" s="69" t="s">
        <v>211</v>
      </c>
      <c r="I45" s="73" t="s">
        <v>212</v>
      </c>
      <c r="J45" s="50">
        <v>44525</v>
      </c>
      <c r="K45" s="50">
        <v>44561</v>
      </c>
      <c r="L45" s="164"/>
      <c r="M45" s="158"/>
      <c r="N45" s="159"/>
      <c r="O45" s="32" t="s">
        <v>213</v>
      </c>
      <c r="P45" s="82">
        <f>1032286557.64+60900682</f>
        <v>1093187239.6399999</v>
      </c>
      <c r="Q45" s="82"/>
      <c r="R45" s="87"/>
      <c r="S45" s="87"/>
      <c r="T45" s="84"/>
      <c r="U45" s="139"/>
      <c r="V45" s="87">
        <v>1093187239.6399999</v>
      </c>
      <c r="W45" s="87"/>
      <c r="X45" s="87"/>
      <c r="Y45" s="87"/>
      <c r="Z45" s="84"/>
      <c r="AA45" s="139"/>
      <c r="AB45" s="112"/>
      <c r="AC45" s="118"/>
      <c r="AD45" s="117"/>
      <c r="AE45" s="116"/>
    </row>
    <row r="46" spans="1:31" customFormat="1" ht="114.75" customHeight="1" x14ac:dyDescent="0.25">
      <c r="A46" s="101">
        <v>14</v>
      </c>
      <c r="B46" s="12" t="s">
        <v>37</v>
      </c>
      <c r="C46" s="12" t="s">
        <v>39</v>
      </c>
      <c r="D46" s="12" t="s">
        <v>98</v>
      </c>
      <c r="E46" s="38" t="s">
        <v>102</v>
      </c>
      <c r="F46" s="43" t="s">
        <v>103</v>
      </c>
      <c r="G46" s="95"/>
      <c r="H46" s="73" t="s">
        <v>230</v>
      </c>
      <c r="I46" s="73"/>
      <c r="J46" s="50"/>
      <c r="K46" s="50"/>
      <c r="L46" s="134"/>
      <c r="M46" s="132"/>
      <c r="N46" s="126"/>
      <c r="O46" s="51" t="s">
        <v>226</v>
      </c>
      <c r="P46" s="82">
        <f>755209.50999999+30033.4399999976+1006552.9599998+5776889.14000002+47437121</f>
        <v>55005806.049999811</v>
      </c>
      <c r="Q46" s="82">
        <f>756266091+430036604</f>
        <v>1186302695</v>
      </c>
      <c r="R46" s="87"/>
      <c r="S46" s="87"/>
      <c r="T46" s="84"/>
      <c r="U46" s="128"/>
      <c r="V46" s="87"/>
      <c r="W46" s="87"/>
      <c r="X46" s="87"/>
      <c r="Y46" s="87"/>
      <c r="Z46" s="84"/>
      <c r="AA46" s="128"/>
      <c r="AB46" s="109"/>
      <c r="AC46" s="111"/>
      <c r="AD46" s="105"/>
      <c r="AE46" s="107"/>
    </row>
    <row r="47" spans="1:31" customFormat="1" ht="120" customHeight="1" x14ac:dyDescent="0.25">
      <c r="A47" s="101">
        <v>15</v>
      </c>
      <c r="B47" s="12" t="s">
        <v>37</v>
      </c>
      <c r="C47" s="12" t="s">
        <v>39</v>
      </c>
      <c r="D47" s="12" t="s">
        <v>98</v>
      </c>
      <c r="E47" s="38" t="s">
        <v>113</v>
      </c>
      <c r="F47" s="43" t="s">
        <v>114</v>
      </c>
      <c r="G47" s="93">
        <v>20200680010132</v>
      </c>
      <c r="H47" s="78" t="s">
        <v>115</v>
      </c>
      <c r="I47" s="8" t="s">
        <v>181</v>
      </c>
      <c r="J47" s="11">
        <v>44312</v>
      </c>
      <c r="K47" s="11">
        <v>44561</v>
      </c>
      <c r="L47" s="25">
        <v>250</v>
      </c>
      <c r="M47" s="31">
        <v>465</v>
      </c>
      <c r="N47" s="26">
        <f>IFERROR(IF(M47/L47&gt;100%,100%,M47/L47),"-")</f>
        <v>1</v>
      </c>
      <c r="O47" s="33" t="s">
        <v>116</v>
      </c>
      <c r="P47" s="82">
        <v>65555266.710224703</v>
      </c>
      <c r="Q47" s="82">
        <v>193579664.79662499</v>
      </c>
      <c r="R47" s="82"/>
      <c r="S47" s="82"/>
      <c r="T47" s="84"/>
      <c r="U47" s="85">
        <f>SUM(P47:T47)</f>
        <v>259134931.50684971</v>
      </c>
      <c r="V47" s="82">
        <v>65555266.710224703</v>
      </c>
      <c r="W47" s="82">
        <v>193579664.79662499</v>
      </c>
      <c r="X47" s="82"/>
      <c r="Y47" s="82"/>
      <c r="Z47" s="84"/>
      <c r="AA47" s="85">
        <f>SUM(V47:Z47)</f>
        <v>259134931.50684971</v>
      </c>
      <c r="AB47" s="97">
        <f>IFERROR(AA47/U47,"-")</f>
        <v>1</v>
      </c>
      <c r="AC47" s="9">
        <v>71021196.369863003</v>
      </c>
      <c r="AD47" s="30" t="s">
        <v>43</v>
      </c>
      <c r="AE47" s="10" t="s">
        <v>44</v>
      </c>
    </row>
    <row r="48" spans="1:31" customFormat="1" ht="114.75" customHeight="1" x14ac:dyDescent="0.25">
      <c r="A48" s="101">
        <v>16</v>
      </c>
      <c r="B48" s="12" t="s">
        <v>37</v>
      </c>
      <c r="C48" s="12" t="s">
        <v>39</v>
      </c>
      <c r="D48" s="12" t="s">
        <v>98</v>
      </c>
      <c r="E48" s="38" t="s">
        <v>117</v>
      </c>
      <c r="F48" s="43" t="s">
        <v>118</v>
      </c>
      <c r="G48" s="93">
        <v>20200680010132</v>
      </c>
      <c r="H48" s="78" t="s">
        <v>115</v>
      </c>
      <c r="I48" s="8" t="s">
        <v>180</v>
      </c>
      <c r="J48" s="11">
        <v>44312</v>
      </c>
      <c r="K48" s="11">
        <v>44561</v>
      </c>
      <c r="L48" s="25">
        <v>35000</v>
      </c>
      <c r="M48" s="67">
        <v>45631</v>
      </c>
      <c r="N48" s="26">
        <f>IFERROR(IF(M48/L48&gt;100%,100%,M48/L48),"-")</f>
        <v>1</v>
      </c>
      <c r="O48" s="33" t="s">
        <v>116</v>
      </c>
      <c r="P48" s="82">
        <v>60933405.289999999</v>
      </c>
      <c r="Q48" s="82">
        <v>179931663.20315099</v>
      </c>
      <c r="R48" s="82"/>
      <c r="S48" s="82"/>
      <c r="T48" s="84"/>
      <c r="U48" s="85">
        <f>SUM(P48:T48)</f>
        <v>240865068.49315098</v>
      </c>
      <c r="V48" s="82">
        <v>60933405.289999999</v>
      </c>
      <c r="W48" s="82">
        <v>179931663.20315099</v>
      </c>
      <c r="X48" s="82"/>
      <c r="Y48" s="82"/>
      <c r="Z48" s="84"/>
      <c r="AA48" s="85">
        <f>SUM(V48:Z48)</f>
        <v>240865068.49315098</v>
      </c>
      <c r="AB48" s="97">
        <f>IFERROR(AA48/U48,"-")</f>
        <v>1</v>
      </c>
      <c r="AC48" s="9">
        <v>186086298.630137</v>
      </c>
      <c r="AD48" s="30" t="s">
        <v>43</v>
      </c>
      <c r="AE48" s="10" t="s">
        <v>44</v>
      </c>
    </row>
    <row r="49" spans="1:31" customFormat="1" ht="81.75" customHeight="1" x14ac:dyDescent="0.25">
      <c r="A49" s="101">
        <v>17</v>
      </c>
      <c r="B49" s="12" t="s">
        <v>37</v>
      </c>
      <c r="C49" s="12" t="s">
        <v>39</v>
      </c>
      <c r="D49" s="12" t="s">
        <v>98</v>
      </c>
      <c r="E49" s="38" t="s">
        <v>119</v>
      </c>
      <c r="F49" s="37" t="s">
        <v>120</v>
      </c>
      <c r="G49" s="93">
        <v>20210680010083</v>
      </c>
      <c r="H49" s="78" t="s">
        <v>190</v>
      </c>
      <c r="I49" s="8" t="s">
        <v>121</v>
      </c>
      <c r="J49" s="11">
        <v>44435</v>
      </c>
      <c r="K49" s="11">
        <v>44561</v>
      </c>
      <c r="L49" s="133">
        <v>500</v>
      </c>
      <c r="M49" s="131">
        <f>253+420</f>
        <v>673</v>
      </c>
      <c r="N49" s="125">
        <f>IFERROR(IF(M49/L49&gt;100%,100%,M49/L49),"-")</f>
        <v>1</v>
      </c>
      <c r="O49" s="33" t="s">
        <v>122</v>
      </c>
      <c r="P49" s="82"/>
      <c r="Q49" s="82">
        <v>138515053</v>
      </c>
      <c r="R49" s="82"/>
      <c r="S49" s="82"/>
      <c r="T49" s="84"/>
      <c r="U49" s="127">
        <f>SUM(P49:T51)</f>
        <v>933387153.12</v>
      </c>
      <c r="V49" s="82"/>
      <c r="W49" s="82">
        <v>138515053</v>
      </c>
      <c r="X49" s="82"/>
      <c r="Y49" s="82"/>
      <c r="Z49" s="84"/>
      <c r="AA49" s="127">
        <f>SUM(V49:Z51)</f>
        <v>139265053</v>
      </c>
      <c r="AB49" s="108">
        <f>IFERROR(AA49/U49,"-")</f>
        <v>0.14920395308043791</v>
      </c>
      <c r="AC49" s="110"/>
      <c r="AD49" s="104" t="s">
        <v>43</v>
      </c>
      <c r="AE49" s="106" t="s">
        <v>44</v>
      </c>
    </row>
    <row r="50" spans="1:31" customFormat="1" ht="81.75" customHeight="1" x14ac:dyDescent="0.25">
      <c r="A50" s="101">
        <v>17</v>
      </c>
      <c r="B50" s="12" t="s">
        <v>37</v>
      </c>
      <c r="C50" s="12" t="s">
        <v>39</v>
      </c>
      <c r="D50" s="12" t="s">
        <v>98</v>
      </c>
      <c r="E50" s="38" t="s">
        <v>119</v>
      </c>
      <c r="F50" s="37" t="s">
        <v>120</v>
      </c>
      <c r="G50" s="93">
        <v>20210680010100</v>
      </c>
      <c r="H50" s="78" t="s">
        <v>199</v>
      </c>
      <c r="I50" s="8" t="s">
        <v>201</v>
      </c>
      <c r="J50" s="11">
        <v>44495</v>
      </c>
      <c r="K50" s="11">
        <v>44561</v>
      </c>
      <c r="L50" s="164"/>
      <c r="M50" s="158"/>
      <c r="N50" s="159"/>
      <c r="O50" s="71" t="s">
        <v>122</v>
      </c>
      <c r="P50" s="82"/>
      <c r="Q50" s="82">
        <v>750000</v>
      </c>
      <c r="R50" s="82"/>
      <c r="S50" s="82"/>
      <c r="T50" s="84"/>
      <c r="U50" s="139"/>
      <c r="V50" s="82"/>
      <c r="W50" s="82">
        <v>750000</v>
      </c>
      <c r="X50" s="82"/>
      <c r="Y50" s="82"/>
      <c r="Z50" s="84"/>
      <c r="AA50" s="139"/>
      <c r="AB50" s="112"/>
      <c r="AC50" s="118"/>
      <c r="AD50" s="117"/>
      <c r="AE50" s="116"/>
    </row>
    <row r="51" spans="1:31" customFormat="1" ht="60" x14ac:dyDescent="0.25">
      <c r="A51" s="101">
        <v>17</v>
      </c>
      <c r="B51" s="12" t="s">
        <v>37</v>
      </c>
      <c r="C51" s="12" t="s">
        <v>39</v>
      </c>
      <c r="D51" s="12" t="s">
        <v>98</v>
      </c>
      <c r="E51" s="38" t="s">
        <v>119</v>
      </c>
      <c r="F51" s="37" t="s">
        <v>120</v>
      </c>
      <c r="G51" s="94"/>
      <c r="H51" s="81" t="s">
        <v>231</v>
      </c>
      <c r="I51" s="8"/>
      <c r="J51" s="14"/>
      <c r="K51" s="14"/>
      <c r="L51" s="134"/>
      <c r="M51" s="132"/>
      <c r="N51" s="126"/>
      <c r="O51" s="51" t="s">
        <v>202</v>
      </c>
      <c r="P51" s="82">
        <f>720712175+12674978.12</f>
        <v>733387153.12</v>
      </c>
      <c r="Q51" s="82">
        <v>60734947</v>
      </c>
      <c r="R51" s="82"/>
      <c r="S51" s="90"/>
      <c r="T51" s="84"/>
      <c r="U51" s="128"/>
      <c r="V51" s="82"/>
      <c r="W51" s="82"/>
      <c r="X51" s="82"/>
      <c r="Y51" s="82"/>
      <c r="Z51" s="84"/>
      <c r="AA51" s="128"/>
      <c r="AB51" s="109"/>
      <c r="AC51" s="111"/>
      <c r="AD51" s="105"/>
      <c r="AE51" s="107"/>
    </row>
    <row r="52" spans="1:31" customFormat="1" ht="75" x14ac:dyDescent="0.25">
      <c r="A52" s="101">
        <v>18</v>
      </c>
      <c r="B52" s="12" t="s">
        <v>37</v>
      </c>
      <c r="C52" s="12" t="s">
        <v>39</v>
      </c>
      <c r="D52" s="12" t="s">
        <v>98</v>
      </c>
      <c r="E52" s="38" t="s">
        <v>123</v>
      </c>
      <c r="F52" s="43" t="s">
        <v>124</v>
      </c>
      <c r="G52" s="93">
        <v>20210680010100</v>
      </c>
      <c r="H52" s="78" t="s">
        <v>199</v>
      </c>
      <c r="I52" s="8" t="s">
        <v>125</v>
      </c>
      <c r="J52" s="11">
        <v>44221</v>
      </c>
      <c r="K52" s="11">
        <v>44528</v>
      </c>
      <c r="L52" s="25">
        <v>20</v>
      </c>
      <c r="M52" s="31">
        <v>20</v>
      </c>
      <c r="N52" s="26">
        <f t="shared" ref="N52:N61" si="0">IFERROR(IF(M52/L52&gt;100%,100%,M52/L52),"-")</f>
        <v>1</v>
      </c>
      <c r="O52" s="51" t="s">
        <v>200</v>
      </c>
      <c r="P52" s="82">
        <v>1000000</v>
      </c>
      <c r="Q52" s="82"/>
      <c r="R52" s="82"/>
      <c r="S52" s="82"/>
      <c r="T52" s="84"/>
      <c r="U52" s="85">
        <f>SUM(P52:T52)</f>
        <v>1000000</v>
      </c>
      <c r="V52" s="82">
        <v>1000000</v>
      </c>
      <c r="W52" s="82"/>
      <c r="X52" s="82"/>
      <c r="Y52" s="82"/>
      <c r="Z52" s="84"/>
      <c r="AA52" s="85">
        <f t="shared" ref="AA52:AA60" si="1">SUM(V52:Z52)</f>
        <v>1000000</v>
      </c>
      <c r="AB52" s="97">
        <f t="shared" ref="AB52:AB61" si="2">IFERROR(AA52/U52,"-")</f>
        <v>1</v>
      </c>
      <c r="AC52" s="9"/>
      <c r="AD52" s="30" t="s">
        <v>43</v>
      </c>
      <c r="AE52" s="10" t="s">
        <v>44</v>
      </c>
    </row>
    <row r="53" spans="1:31" customFormat="1" ht="79.5" customHeight="1" x14ac:dyDescent="0.25">
      <c r="A53" s="101">
        <v>19</v>
      </c>
      <c r="B53" s="12" t="s">
        <v>37</v>
      </c>
      <c r="C53" s="12" t="s">
        <v>39</v>
      </c>
      <c r="D53" s="12" t="s">
        <v>98</v>
      </c>
      <c r="E53" s="38" t="s">
        <v>126</v>
      </c>
      <c r="F53" s="43" t="s">
        <v>127</v>
      </c>
      <c r="G53" s="93">
        <v>20200680010107</v>
      </c>
      <c r="H53" s="78" t="s">
        <v>128</v>
      </c>
      <c r="I53" s="8" t="s">
        <v>129</v>
      </c>
      <c r="J53" s="11">
        <v>44356</v>
      </c>
      <c r="K53" s="11">
        <v>44561</v>
      </c>
      <c r="L53" s="25">
        <v>1</v>
      </c>
      <c r="M53" s="31">
        <v>1</v>
      </c>
      <c r="N53" s="26">
        <f t="shared" si="0"/>
        <v>1</v>
      </c>
      <c r="O53" s="33" t="s">
        <v>130</v>
      </c>
      <c r="P53" s="91"/>
      <c r="Q53" s="82">
        <v>50000000</v>
      </c>
      <c r="R53" s="82"/>
      <c r="S53" s="82"/>
      <c r="T53" s="84"/>
      <c r="U53" s="85">
        <f>SUM(Q53:T53)</f>
        <v>50000000</v>
      </c>
      <c r="V53" s="91"/>
      <c r="W53" s="82">
        <v>50000000</v>
      </c>
      <c r="X53" s="82"/>
      <c r="Y53" s="82"/>
      <c r="Z53" s="84"/>
      <c r="AA53" s="85">
        <f>SUM(W53:Z53)</f>
        <v>50000000</v>
      </c>
      <c r="AB53" s="97">
        <f t="shared" si="2"/>
        <v>1</v>
      </c>
      <c r="AC53" s="9">
        <v>29000000</v>
      </c>
      <c r="AD53" s="30" t="s">
        <v>43</v>
      </c>
      <c r="AE53" s="10" t="s">
        <v>44</v>
      </c>
    </row>
    <row r="54" spans="1:31" customFormat="1" ht="75.75" customHeight="1" x14ac:dyDescent="0.25">
      <c r="A54" s="101">
        <v>20</v>
      </c>
      <c r="B54" s="12" t="s">
        <v>37</v>
      </c>
      <c r="C54" s="12" t="s">
        <v>39</v>
      </c>
      <c r="D54" s="12" t="s">
        <v>98</v>
      </c>
      <c r="E54" s="38" t="s">
        <v>131</v>
      </c>
      <c r="F54" s="43" t="s">
        <v>132</v>
      </c>
      <c r="G54" s="93">
        <v>20200680010028</v>
      </c>
      <c r="H54" s="69" t="s">
        <v>133</v>
      </c>
      <c r="I54" s="13" t="s">
        <v>134</v>
      </c>
      <c r="J54" s="119">
        <v>44210</v>
      </c>
      <c r="K54" s="119">
        <v>44561</v>
      </c>
      <c r="L54" s="121">
        <v>1</v>
      </c>
      <c r="M54" s="123">
        <v>1</v>
      </c>
      <c r="N54" s="125">
        <f t="shared" si="0"/>
        <v>1</v>
      </c>
      <c r="O54" s="33" t="s">
        <v>135</v>
      </c>
      <c r="P54" s="82">
        <v>1073186666</v>
      </c>
      <c r="Q54" s="82"/>
      <c r="R54" s="82"/>
      <c r="S54" s="82"/>
      <c r="T54" s="84"/>
      <c r="U54" s="127">
        <f>SUM(P54:T55)</f>
        <v>1210000000</v>
      </c>
      <c r="V54" s="82">
        <v>1067490000</v>
      </c>
      <c r="W54" s="82"/>
      <c r="X54" s="82"/>
      <c r="Y54" s="82"/>
      <c r="Z54" s="84"/>
      <c r="AA54" s="127">
        <f>SUM(V54:Z55)</f>
        <v>1067490000</v>
      </c>
      <c r="AB54" s="108">
        <f>IFERROR(AA54/U54,"-")</f>
        <v>0.88222314049586781</v>
      </c>
      <c r="AC54" s="110"/>
      <c r="AD54" s="104" t="s">
        <v>43</v>
      </c>
      <c r="AE54" s="106" t="s">
        <v>44</v>
      </c>
    </row>
    <row r="55" spans="1:31" customFormat="1" ht="63.75" customHeight="1" x14ac:dyDescent="0.25">
      <c r="A55" s="101">
        <v>20</v>
      </c>
      <c r="B55" s="12" t="s">
        <v>37</v>
      </c>
      <c r="C55" s="12" t="s">
        <v>39</v>
      </c>
      <c r="D55" s="12" t="s">
        <v>98</v>
      </c>
      <c r="E55" s="38" t="s">
        <v>131</v>
      </c>
      <c r="F55" s="43" t="s">
        <v>132</v>
      </c>
      <c r="G55" s="93"/>
      <c r="H55" s="81" t="s">
        <v>230</v>
      </c>
      <c r="I55" s="13"/>
      <c r="J55" s="120"/>
      <c r="K55" s="120"/>
      <c r="L55" s="122"/>
      <c r="M55" s="124"/>
      <c r="N55" s="126"/>
      <c r="O55" s="33" t="s">
        <v>135</v>
      </c>
      <c r="P55" s="82">
        <v>136813334</v>
      </c>
      <c r="Q55" s="82"/>
      <c r="R55" s="82"/>
      <c r="S55" s="82"/>
      <c r="T55" s="84"/>
      <c r="U55" s="128"/>
      <c r="V55" s="82"/>
      <c r="W55" s="82"/>
      <c r="X55" s="82"/>
      <c r="Y55" s="82"/>
      <c r="Z55" s="84"/>
      <c r="AA55" s="128"/>
      <c r="AB55" s="109"/>
      <c r="AC55" s="111"/>
      <c r="AD55" s="105"/>
      <c r="AE55" s="107"/>
    </row>
    <row r="56" spans="1:31" customFormat="1" ht="78" x14ac:dyDescent="0.25">
      <c r="A56" s="101">
        <v>21</v>
      </c>
      <c r="B56" s="12" t="s">
        <v>37</v>
      </c>
      <c r="C56" s="12" t="s">
        <v>39</v>
      </c>
      <c r="D56" s="12" t="s">
        <v>98</v>
      </c>
      <c r="E56" s="38" t="s">
        <v>136</v>
      </c>
      <c r="F56" s="43" t="s">
        <v>137</v>
      </c>
      <c r="G56" s="93">
        <v>20200680010154</v>
      </c>
      <c r="H56" s="69" t="s">
        <v>138</v>
      </c>
      <c r="I56" s="8" t="s">
        <v>139</v>
      </c>
      <c r="J56" s="11">
        <v>44372</v>
      </c>
      <c r="K56" s="11">
        <v>44561</v>
      </c>
      <c r="L56" s="133">
        <v>1</v>
      </c>
      <c r="M56" s="131">
        <v>1</v>
      </c>
      <c r="N56" s="125">
        <f t="shared" si="0"/>
        <v>1</v>
      </c>
      <c r="O56" s="33" t="s">
        <v>140</v>
      </c>
      <c r="P56" s="82">
        <v>44716552</v>
      </c>
      <c r="Q56" s="82"/>
      <c r="R56" s="82"/>
      <c r="S56" s="82"/>
      <c r="T56" s="84"/>
      <c r="U56" s="127">
        <f>SUM(P56:T57)</f>
        <v>50000000</v>
      </c>
      <c r="V56" s="82">
        <v>44716552</v>
      </c>
      <c r="W56" s="82"/>
      <c r="X56" s="82"/>
      <c r="Y56" s="82"/>
      <c r="Z56" s="84"/>
      <c r="AA56" s="127">
        <f>SUM(V56:Z57)</f>
        <v>44716552</v>
      </c>
      <c r="AB56" s="108">
        <f t="shared" si="2"/>
        <v>0.89433103999999997</v>
      </c>
      <c r="AC56" s="110"/>
      <c r="AD56" s="104" t="s">
        <v>43</v>
      </c>
      <c r="AE56" s="106" t="s">
        <v>44</v>
      </c>
    </row>
    <row r="57" spans="1:31" customFormat="1" ht="79.5" customHeight="1" x14ac:dyDescent="0.25">
      <c r="A57" s="101">
        <v>21</v>
      </c>
      <c r="B57" s="12" t="s">
        <v>37</v>
      </c>
      <c r="C57" s="12" t="s">
        <v>39</v>
      </c>
      <c r="D57" s="12" t="s">
        <v>98</v>
      </c>
      <c r="E57" s="38" t="s">
        <v>136</v>
      </c>
      <c r="F57" s="43" t="s">
        <v>137</v>
      </c>
      <c r="G57" s="93"/>
      <c r="H57" s="79" t="s">
        <v>230</v>
      </c>
      <c r="I57" s="8"/>
      <c r="J57" s="11"/>
      <c r="K57" s="11"/>
      <c r="L57" s="134"/>
      <c r="M57" s="132"/>
      <c r="N57" s="126"/>
      <c r="O57" s="33" t="s">
        <v>140</v>
      </c>
      <c r="P57" s="82">
        <v>5283448</v>
      </c>
      <c r="Q57" s="82"/>
      <c r="R57" s="82"/>
      <c r="S57" s="82"/>
      <c r="T57" s="84"/>
      <c r="U57" s="128"/>
      <c r="V57" s="82"/>
      <c r="W57" s="82"/>
      <c r="X57" s="82"/>
      <c r="Y57" s="82"/>
      <c r="Z57" s="84"/>
      <c r="AA57" s="128"/>
      <c r="AB57" s="109"/>
      <c r="AC57" s="111"/>
      <c r="AD57" s="105"/>
      <c r="AE57" s="107"/>
    </row>
    <row r="58" spans="1:31" customFormat="1" ht="105.75" customHeight="1" x14ac:dyDescent="0.25">
      <c r="A58" s="101">
        <v>22</v>
      </c>
      <c r="B58" s="12" t="s">
        <v>37</v>
      </c>
      <c r="C58" s="12" t="s">
        <v>39</v>
      </c>
      <c r="D58" s="12" t="s">
        <v>98</v>
      </c>
      <c r="E58" s="38" t="s">
        <v>141</v>
      </c>
      <c r="F58" s="43" t="s">
        <v>142</v>
      </c>
      <c r="G58" s="93">
        <v>20200680010115</v>
      </c>
      <c r="H58" s="69" t="s">
        <v>143</v>
      </c>
      <c r="I58" s="13" t="s">
        <v>144</v>
      </c>
      <c r="J58" s="11">
        <v>44217</v>
      </c>
      <c r="K58" s="11">
        <v>44561</v>
      </c>
      <c r="L58" s="121">
        <v>1</v>
      </c>
      <c r="M58" s="123">
        <v>1</v>
      </c>
      <c r="N58" s="125">
        <f t="shared" si="0"/>
        <v>1</v>
      </c>
      <c r="O58" s="33" t="s">
        <v>145</v>
      </c>
      <c r="P58" s="82">
        <v>194356800</v>
      </c>
      <c r="Q58" s="82"/>
      <c r="R58" s="82"/>
      <c r="S58" s="82"/>
      <c r="T58" s="84"/>
      <c r="U58" s="127">
        <f>SUM(P58:T59)</f>
        <v>206000002.94</v>
      </c>
      <c r="V58" s="82">
        <v>194356800</v>
      </c>
      <c r="W58" s="82"/>
      <c r="X58" s="82"/>
      <c r="Y58" s="82"/>
      <c r="Z58" s="84"/>
      <c r="AA58" s="127">
        <f>SUM(V58:Z59)</f>
        <v>194356800</v>
      </c>
      <c r="AB58" s="108">
        <f t="shared" si="2"/>
        <v>0.94347959818529115</v>
      </c>
      <c r="AC58" s="110"/>
      <c r="AD58" s="104" t="s">
        <v>43</v>
      </c>
      <c r="AE58" s="106" t="s">
        <v>44</v>
      </c>
    </row>
    <row r="59" spans="1:31" customFormat="1" ht="105.75" customHeight="1" x14ac:dyDescent="0.25">
      <c r="A59" s="101">
        <v>22</v>
      </c>
      <c r="B59" s="12" t="s">
        <v>37</v>
      </c>
      <c r="C59" s="12" t="s">
        <v>39</v>
      </c>
      <c r="D59" s="12" t="s">
        <v>98</v>
      </c>
      <c r="E59" s="38" t="s">
        <v>141</v>
      </c>
      <c r="F59" s="43" t="s">
        <v>142</v>
      </c>
      <c r="G59" s="93"/>
      <c r="H59" s="79" t="s">
        <v>230</v>
      </c>
      <c r="I59" s="13"/>
      <c r="J59" s="11"/>
      <c r="K59" s="11"/>
      <c r="L59" s="122"/>
      <c r="M59" s="124"/>
      <c r="N59" s="126"/>
      <c r="O59" s="33"/>
      <c r="P59" s="82">
        <v>11643202.939999999</v>
      </c>
      <c r="Q59" s="82"/>
      <c r="R59" s="82"/>
      <c r="S59" s="82"/>
      <c r="T59" s="84"/>
      <c r="U59" s="128"/>
      <c r="V59" s="82"/>
      <c r="W59" s="82"/>
      <c r="X59" s="82"/>
      <c r="Y59" s="82"/>
      <c r="Z59" s="84"/>
      <c r="AA59" s="128"/>
      <c r="AB59" s="109"/>
      <c r="AC59" s="111"/>
      <c r="AD59" s="105"/>
      <c r="AE59" s="107"/>
    </row>
    <row r="60" spans="1:31" customFormat="1" ht="138" customHeight="1" x14ac:dyDescent="0.25">
      <c r="A60" s="101">
        <v>23</v>
      </c>
      <c r="B60" s="12" t="s">
        <v>37</v>
      </c>
      <c r="C60" s="12" t="s">
        <v>39</v>
      </c>
      <c r="D60" s="12" t="s">
        <v>98</v>
      </c>
      <c r="E60" s="38" t="s">
        <v>146</v>
      </c>
      <c r="F60" s="43" t="s">
        <v>147</v>
      </c>
      <c r="G60" s="93">
        <v>20210680010126</v>
      </c>
      <c r="H60" s="69" t="s">
        <v>191</v>
      </c>
      <c r="I60" s="13" t="s">
        <v>195</v>
      </c>
      <c r="J60" s="11">
        <v>44463</v>
      </c>
      <c r="K60" s="11">
        <v>44561</v>
      </c>
      <c r="L60" s="36">
        <v>1</v>
      </c>
      <c r="M60" s="31">
        <v>1</v>
      </c>
      <c r="N60" s="26">
        <f t="shared" si="0"/>
        <v>1</v>
      </c>
      <c r="O60" s="32" t="s">
        <v>192</v>
      </c>
      <c r="P60" s="82">
        <v>20000000</v>
      </c>
      <c r="Q60" s="82"/>
      <c r="R60" s="82"/>
      <c r="S60" s="82"/>
      <c r="T60" s="84"/>
      <c r="U60" s="85">
        <f>SUM(P60:T60)</f>
        <v>20000000</v>
      </c>
      <c r="V60" s="82">
        <v>20000000</v>
      </c>
      <c r="W60" s="82"/>
      <c r="X60" s="82"/>
      <c r="Y60" s="82"/>
      <c r="Z60" s="84"/>
      <c r="AA60" s="85">
        <f t="shared" si="1"/>
        <v>20000000</v>
      </c>
      <c r="AB60" s="97">
        <f t="shared" si="2"/>
        <v>1</v>
      </c>
      <c r="AC60" s="9"/>
      <c r="AD60" s="30" t="s">
        <v>43</v>
      </c>
      <c r="AE60" s="10" t="s">
        <v>44</v>
      </c>
    </row>
    <row r="61" spans="1:31" customFormat="1" ht="90" x14ac:dyDescent="0.25">
      <c r="A61" s="101">
        <v>24</v>
      </c>
      <c r="B61" s="12" t="s">
        <v>37</v>
      </c>
      <c r="C61" s="37" t="s">
        <v>39</v>
      </c>
      <c r="D61" s="37" t="s">
        <v>148</v>
      </c>
      <c r="E61" s="38" t="s">
        <v>149</v>
      </c>
      <c r="F61" s="37" t="s">
        <v>150</v>
      </c>
      <c r="G61" s="93">
        <v>20200680010099</v>
      </c>
      <c r="H61" s="69" t="s">
        <v>151</v>
      </c>
      <c r="I61" s="13" t="s">
        <v>152</v>
      </c>
      <c r="J61" s="119">
        <v>44208</v>
      </c>
      <c r="K61" s="119">
        <v>44561</v>
      </c>
      <c r="L61" s="129">
        <v>500</v>
      </c>
      <c r="M61" s="131">
        <v>514</v>
      </c>
      <c r="N61" s="125">
        <f t="shared" si="0"/>
        <v>1</v>
      </c>
      <c r="O61" s="33" t="s">
        <v>153</v>
      </c>
      <c r="P61" s="92">
        <f>3800000+66718850+440757873+374888075</f>
        <v>886164798</v>
      </c>
      <c r="Q61" s="82"/>
      <c r="R61" s="82"/>
      <c r="S61" s="82"/>
      <c r="T61" s="84"/>
      <c r="U61" s="127">
        <f>SUM(P61:T62)</f>
        <v>2023613979.9000001</v>
      </c>
      <c r="V61" s="82">
        <f>29456000+32490995+374453400+116062580+304174728+29527095</f>
        <v>886164798</v>
      </c>
      <c r="W61" s="82"/>
      <c r="X61" s="82"/>
      <c r="Y61" s="82"/>
      <c r="Z61" s="84"/>
      <c r="AA61" s="127">
        <f>SUM(V61:Z62)</f>
        <v>886164798</v>
      </c>
      <c r="AB61" s="108">
        <f t="shared" si="2"/>
        <v>0.43791197669221044</v>
      </c>
      <c r="AC61" s="110">
        <v>284463387</v>
      </c>
      <c r="AD61" s="104" t="s">
        <v>43</v>
      </c>
      <c r="AE61" s="106" t="s">
        <v>44</v>
      </c>
    </row>
    <row r="62" spans="1:31" customFormat="1" ht="61.8" customHeight="1" x14ac:dyDescent="0.25">
      <c r="A62" s="101">
        <v>24</v>
      </c>
      <c r="B62" s="12" t="s">
        <v>37</v>
      </c>
      <c r="C62" s="37" t="s">
        <v>39</v>
      </c>
      <c r="D62" s="37" t="s">
        <v>148</v>
      </c>
      <c r="E62" s="38" t="s">
        <v>149</v>
      </c>
      <c r="F62" s="37" t="s">
        <v>150</v>
      </c>
      <c r="G62" s="93"/>
      <c r="H62" s="79" t="s">
        <v>230</v>
      </c>
      <c r="I62" s="13"/>
      <c r="J62" s="120"/>
      <c r="K62" s="120"/>
      <c r="L62" s="130"/>
      <c r="M62" s="132"/>
      <c r="N62" s="126"/>
      <c r="O62" s="33" t="s">
        <v>227</v>
      </c>
      <c r="P62" s="82">
        <f>485568143.53+1105+651879933.37</f>
        <v>1137449181.9000001</v>
      </c>
      <c r="Q62" s="82"/>
      <c r="R62" s="82"/>
      <c r="S62" s="82"/>
      <c r="T62" s="84"/>
      <c r="U62" s="128"/>
      <c r="V62" s="82"/>
      <c r="W62" s="82"/>
      <c r="X62" s="82"/>
      <c r="Y62" s="82"/>
      <c r="Z62" s="84"/>
      <c r="AA62" s="128"/>
      <c r="AB62" s="109"/>
      <c r="AC62" s="111"/>
      <c r="AD62" s="105"/>
      <c r="AE62" s="107"/>
    </row>
    <row r="63" spans="1:31" customFormat="1" ht="65.25" customHeight="1" x14ac:dyDescent="0.25">
      <c r="A63" s="101">
        <v>25</v>
      </c>
      <c r="B63" s="12" t="s">
        <v>37</v>
      </c>
      <c r="C63" s="12" t="s">
        <v>39</v>
      </c>
      <c r="D63" s="12" t="s">
        <v>148</v>
      </c>
      <c r="E63" s="38" t="s">
        <v>154</v>
      </c>
      <c r="F63" s="43" t="s">
        <v>155</v>
      </c>
      <c r="G63" s="93">
        <v>20200680010099</v>
      </c>
      <c r="H63" s="69" t="s">
        <v>151</v>
      </c>
      <c r="I63" s="12" t="s">
        <v>156</v>
      </c>
      <c r="J63" s="11">
        <v>44208</v>
      </c>
      <c r="K63" s="11">
        <v>44561</v>
      </c>
      <c r="L63" s="121">
        <v>1</v>
      </c>
      <c r="M63" s="123">
        <v>1</v>
      </c>
      <c r="N63" s="125">
        <f>IFERROR(IF(M63/L63&gt;100%,100%,M63/L63),"-")</f>
        <v>1</v>
      </c>
      <c r="O63" s="24" t="s">
        <v>157</v>
      </c>
      <c r="P63" s="92">
        <f>2422978032+20398035</f>
        <v>2443376067</v>
      </c>
      <c r="Q63" s="82"/>
      <c r="R63" s="82"/>
      <c r="S63" s="82"/>
      <c r="T63" s="84"/>
      <c r="U63" s="127">
        <f>SUM(P63:T65)</f>
        <v>2545465649</v>
      </c>
      <c r="V63" s="82">
        <v>2436512496</v>
      </c>
      <c r="W63" s="82"/>
      <c r="X63" s="82"/>
      <c r="Y63" s="82"/>
      <c r="Z63" s="84"/>
      <c r="AA63" s="127">
        <f>SUM(V63:Z65)</f>
        <v>2538066176.6300001</v>
      </c>
      <c r="AB63" s="108">
        <f>IFERROR(AA63/U63,"-")</f>
        <v>0.99709307710638062</v>
      </c>
      <c r="AC63" s="110">
        <v>914379645</v>
      </c>
      <c r="AD63" s="104" t="s">
        <v>43</v>
      </c>
      <c r="AE63" s="106" t="s">
        <v>44</v>
      </c>
    </row>
    <row r="64" spans="1:31" customFormat="1" ht="120" x14ac:dyDescent="0.25">
      <c r="A64" s="101">
        <v>25</v>
      </c>
      <c r="B64" s="12" t="s">
        <v>37</v>
      </c>
      <c r="C64" s="12" t="s">
        <v>39</v>
      </c>
      <c r="D64" s="12" t="s">
        <v>148</v>
      </c>
      <c r="E64" s="38" t="s">
        <v>154</v>
      </c>
      <c r="F64" s="43" t="s">
        <v>155</v>
      </c>
      <c r="G64" s="93">
        <v>20200680010060</v>
      </c>
      <c r="H64" s="69" t="s">
        <v>158</v>
      </c>
      <c r="I64" s="13" t="s">
        <v>159</v>
      </c>
      <c r="J64" s="11">
        <v>44412</v>
      </c>
      <c r="K64" s="11">
        <v>44561</v>
      </c>
      <c r="L64" s="165"/>
      <c r="M64" s="166"/>
      <c r="N64" s="159"/>
      <c r="O64" s="33" t="s">
        <v>160</v>
      </c>
      <c r="P64" s="82">
        <v>101553680.63</v>
      </c>
      <c r="Q64" s="82"/>
      <c r="R64" s="82"/>
      <c r="S64" s="82"/>
      <c r="T64" s="84"/>
      <c r="U64" s="139"/>
      <c r="V64" s="82">
        <v>101553680.63</v>
      </c>
      <c r="W64" s="82"/>
      <c r="X64" s="82"/>
      <c r="Y64" s="82"/>
      <c r="Z64" s="84"/>
      <c r="AA64" s="139"/>
      <c r="AB64" s="112"/>
      <c r="AC64" s="118"/>
      <c r="AD64" s="117"/>
      <c r="AE64" s="116"/>
    </row>
    <row r="65" spans="1:31" customFormat="1" ht="60" x14ac:dyDescent="0.25">
      <c r="A65" s="101">
        <v>25</v>
      </c>
      <c r="B65" s="12" t="s">
        <v>37</v>
      </c>
      <c r="C65" s="12" t="s">
        <v>39</v>
      </c>
      <c r="D65" s="12" t="s">
        <v>148</v>
      </c>
      <c r="E65" s="38" t="s">
        <v>154</v>
      </c>
      <c r="F65" s="43" t="s">
        <v>155</v>
      </c>
      <c r="G65" s="93"/>
      <c r="H65" s="79" t="s">
        <v>230</v>
      </c>
      <c r="I65" s="13"/>
      <c r="J65" s="11"/>
      <c r="K65" s="11"/>
      <c r="L65" s="122"/>
      <c r="M65" s="124"/>
      <c r="N65" s="126"/>
      <c r="O65" s="33"/>
      <c r="P65" s="82">
        <v>535901.37000000477</v>
      </c>
      <c r="Q65" s="82"/>
      <c r="R65" s="82"/>
      <c r="S65" s="82"/>
      <c r="T65" s="84"/>
      <c r="U65" s="128"/>
      <c r="V65" s="82"/>
      <c r="W65" s="82"/>
      <c r="X65" s="82"/>
      <c r="Y65" s="82"/>
      <c r="Z65" s="84"/>
      <c r="AA65" s="128"/>
      <c r="AB65" s="109"/>
      <c r="AC65" s="111"/>
      <c r="AD65" s="105"/>
      <c r="AE65" s="107"/>
    </row>
    <row r="66" spans="1:31" customFormat="1" ht="120" customHeight="1" x14ac:dyDescent="0.25">
      <c r="A66" s="101">
        <v>26</v>
      </c>
      <c r="B66" s="12" t="s">
        <v>37</v>
      </c>
      <c r="C66" s="12" t="s">
        <v>39</v>
      </c>
      <c r="D66" s="12" t="s">
        <v>148</v>
      </c>
      <c r="E66" s="38" t="s">
        <v>161</v>
      </c>
      <c r="F66" s="43" t="s">
        <v>162</v>
      </c>
      <c r="G66" s="93">
        <v>20210680010116</v>
      </c>
      <c r="H66" s="69" t="s">
        <v>207</v>
      </c>
      <c r="I66" s="13" t="s">
        <v>208</v>
      </c>
      <c r="J66" s="11">
        <v>44474</v>
      </c>
      <c r="K66" s="11">
        <v>44561</v>
      </c>
      <c r="L66" s="129">
        <v>1000</v>
      </c>
      <c r="M66" s="131">
        <v>40</v>
      </c>
      <c r="N66" s="125">
        <f>IFERROR(IF(M66/L66&gt;100%,100%,M66/L66),"-")</f>
        <v>0.04</v>
      </c>
      <c r="O66" s="32" t="s">
        <v>209</v>
      </c>
      <c r="P66" s="82">
        <v>6066666.6600000001</v>
      </c>
      <c r="Q66" s="82"/>
      <c r="R66" s="82"/>
      <c r="S66" s="82"/>
      <c r="T66" s="84"/>
      <c r="U66" s="127">
        <f>SUM(P66:T67)</f>
        <v>7000000</v>
      </c>
      <c r="V66" s="82">
        <v>6066666.6600000001</v>
      </c>
      <c r="W66" s="82"/>
      <c r="X66" s="82"/>
      <c r="Y66" s="82"/>
      <c r="Z66" s="84"/>
      <c r="AA66" s="127">
        <f>SUM(V66:Z66)</f>
        <v>6066666.6600000001</v>
      </c>
      <c r="AB66" s="108">
        <f>IFERROR(AA66/U66,"-")</f>
        <v>0.86666666571428574</v>
      </c>
      <c r="AC66" s="110"/>
      <c r="AD66" s="104" t="s">
        <v>43</v>
      </c>
      <c r="AE66" s="106" t="s">
        <v>44</v>
      </c>
    </row>
    <row r="67" spans="1:31" customFormat="1" ht="126" customHeight="1" x14ac:dyDescent="0.25">
      <c r="A67" s="101">
        <v>26</v>
      </c>
      <c r="B67" s="12" t="s">
        <v>37</v>
      </c>
      <c r="C67" s="12" t="s">
        <v>39</v>
      </c>
      <c r="D67" s="12" t="s">
        <v>148</v>
      </c>
      <c r="E67" s="38" t="s">
        <v>161</v>
      </c>
      <c r="F67" s="43" t="s">
        <v>162</v>
      </c>
      <c r="G67" s="93"/>
      <c r="H67" s="79" t="s">
        <v>230</v>
      </c>
      <c r="I67" s="13"/>
      <c r="J67" s="11"/>
      <c r="K67" s="75"/>
      <c r="L67" s="130"/>
      <c r="M67" s="132"/>
      <c r="N67" s="126"/>
      <c r="O67" s="32" t="s">
        <v>229</v>
      </c>
      <c r="P67" s="82">
        <v>933333.34</v>
      </c>
      <c r="Q67" s="82"/>
      <c r="R67" s="82"/>
      <c r="S67" s="82"/>
      <c r="T67" s="84"/>
      <c r="U67" s="128"/>
      <c r="V67" s="82"/>
      <c r="W67" s="82"/>
      <c r="X67" s="82"/>
      <c r="Y67" s="82"/>
      <c r="Z67" s="84"/>
      <c r="AA67" s="128"/>
      <c r="AB67" s="109"/>
      <c r="AC67" s="111"/>
      <c r="AD67" s="105"/>
      <c r="AE67" s="107"/>
    </row>
    <row r="68" spans="1:31" customFormat="1" ht="105" x14ac:dyDescent="0.25">
      <c r="A68" s="101">
        <v>195</v>
      </c>
      <c r="B68" s="12" t="s">
        <v>38</v>
      </c>
      <c r="C68" s="12" t="s">
        <v>163</v>
      </c>
      <c r="D68" s="12" t="s">
        <v>164</v>
      </c>
      <c r="E68" s="38" t="s">
        <v>165</v>
      </c>
      <c r="F68" s="43" t="s">
        <v>166</v>
      </c>
      <c r="G68" s="93">
        <v>20210680010016</v>
      </c>
      <c r="H68" s="69" t="s">
        <v>167</v>
      </c>
      <c r="I68" s="13" t="s">
        <v>168</v>
      </c>
      <c r="J68" s="11">
        <v>44243</v>
      </c>
      <c r="K68" s="11">
        <v>44561</v>
      </c>
      <c r="L68" s="133">
        <v>12</v>
      </c>
      <c r="M68" s="131">
        <v>127</v>
      </c>
      <c r="N68" s="125">
        <f>IFERROR(IF(M68/L68&gt;100%,100%,M68/L68),"-")</f>
        <v>1</v>
      </c>
      <c r="O68" s="33" t="s">
        <v>169</v>
      </c>
      <c r="P68" s="82">
        <f>800000000+1998371566.72</f>
        <v>2798371566.7200003</v>
      </c>
      <c r="Q68" s="82"/>
      <c r="R68" s="82"/>
      <c r="S68" s="82"/>
      <c r="T68" s="84"/>
      <c r="U68" s="127">
        <f>SUM(P68:T71)</f>
        <v>3144977639</v>
      </c>
      <c r="V68" s="82">
        <v>2798371566.7199998</v>
      </c>
      <c r="W68" s="82"/>
      <c r="X68" s="82"/>
      <c r="Y68" s="82"/>
      <c r="Z68" s="84"/>
      <c r="AA68" s="127">
        <f>SUM(V68:Z71)</f>
        <v>3143349205.7199998</v>
      </c>
      <c r="AB68" s="108">
        <f>IFERROR(AA68/U68,"-")</f>
        <v>0.99948221149180638</v>
      </c>
      <c r="AC68" s="110">
        <f>791222711+904415040</f>
        <v>1695637751</v>
      </c>
      <c r="AD68" s="113" t="s">
        <v>43</v>
      </c>
      <c r="AE68" s="106" t="s">
        <v>44</v>
      </c>
    </row>
    <row r="69" spans="1:31" customFormat="1" ht="105" x14ac:dyDescent="0.25">
      <c r="A69" s="101">
        <v>195</v>
      </c>
      <c r="B69" s="12" t="s">
        <v>38</v>
      </c>
      <c r="C69" s="12" t="s">
        <v>163</v>
      </c>
      <c r="D69" s="12" t="s">
        <v>164</v>
      </c>
      <c r="E69" s="38" t="s">
        <v>165</v>
      </c>
      <c r="F69" s="43" t="s">
        <v>166</v>
      </c>
      <c r="G69" s="93">
        <v>20210680010053</v>
      </c>
      <c r="H69" s="69" t="s">
        <v>87</v>
      </c>
      <c r="I69" s="13" t="s">
        <v>170</v>
      </c>
      <c r="J69" s="11">
        <v>44371</v>
      </c>
      <c r="K69" s="11">
        <v>44500</v>
      </c>
      <c r="L69" s="164"/>
      <c r="M69" s="158"/>
      <c r="N69" s="159"/>
      <c r="O69" s="33" t="s">
        <v>171</v>
      </c>
      <c r="P69" s="82">
        <f>185022377.55+2031817</f>
        <v>187054194.55000001</v>
      </c>
      <c r="Q69" s="82"/>
      <c r="R69" s="82"/>
      <c r="S69" s="82"/>
      <c r="T69" s="84"/>
      <c r="U69" s="139"/>
      <c r="V69" s="82">
        <f>185022377.55+2031817</f>
        <v>187054194.55000001</v>
      </c>
      <c r="W69" s="82"/>
      <c r="X69" s="82"/>
      <c r="Y69" s="82"/>
      <c r="Z69" s="84"/>
      <c r="AA69" s="139"/>
      <c r="AB69" s="112"/>
      <c r="AC69" s="118"/>
      <c r="AD69" s="114"/>
      <c r="AE69" s="116"/>
    </row>
    <row r="70" spans="1:31" customFormat="1" ht="105" x14ac:dyDescent="0.25">
      <c r="A70" s="101">
        <v>195</v>
      </c>
      <c r="B70" s="12" t="s">
        <v>38</v>
      </c>
      <c r="C70" s="12" t="s">
        <v>163</v>
      </c>
      <c r="D70" s="12" t="s">
        <v>164</v>
      </c>
      <c r="E70" s="38" t="s">
        <v>165</v>
      </c>
      <c r="F70" s="43" t="s">
        <v>166</v>
      </c>
      <c r="G70" s="93">
        <v>20210680010054</v>
      </c>
      <c r="H70" s="69" t="s">
        <v>90</v>
      </c>
      <c r="I70" s="13" t="s">
        <v>170</v>
      </c>
      <c r="J70" s="11">
        <v>44371</v>
      </c>
      <c r="K70" s="11">
        <v>44500</v>
      </c>
      <c r="L70" s="164"/>
      <c r="M70" s="158"/>
      <c r="N70" s="159"/>
      <c r="O70" s="33" t="s">
        <v>172</v>
      </c>
      <c r="P70" s="82">
        <v>124621932.45</v>
      </c>
      <c r="Q70" s="82">
        <f>33301512</f>
        <v>33301512</v>
      </c>
      <c r="R70" s="82"/>
      <c r="S70" s="82"/>
      <c r="T70" s="84"/>
      <c r="U70" s="139"/>
      <c r="V70" s="82">
        <f>124621932.45</f>
        <v>124621932.45</v>
      </c>
      <c r="W70" s="82">
        <f>33301512</f>
        <v>33301512</v>
      </c>
      <c r="X70" s="82"/>
      <c r="Y70" s="82"/>
      <c r="Z70" s="84"/>
      <c r="AA70" s="139"/>
      <c r="AB70" s="112"/>
      <c r="AC70" s="118"/>
      <c r="AD70" s="114"/>
      <c r="AE70" s="116"/>
    </row>
    <row r="71" spans="1:31" customFormat="1" ht="105" x14ac:dyDescent="0.25">
      <c r="A71" s="101">
        <v>195</v>
      </c>
      <c r="B71" s="12" t="s">
        <v>38</v>
      </c>
      <c r="C71" s="12" t="s">
        <v>163</v>
      </c>
      <c r="D71" s="12" t="s">
        <v>164</v>
      </c>
      <c r="E71" s="38" t="s">
        <v>165</v>
      </c>
      <c r="F71" s="43" t="s">
        <v>166</v>
      </c>
      <c r="G71" s="93"/>
      <c r="H71" s="79" t="s">
        <v>231</v>
      </c>
      <c r="I71" s="13"/>
      <c r="J71" s="11"/>
      <c r="K71" s="11"/>
      <c r="L71" s="134"/>
      <c r="M71" s="132"/>
      <c r="N71" s="126"/>
      <c r="O71" s="33" t="s">
        <v>173</v>
      </c>
      <c r="P71" s="82">
        <v>1628433.27999995</v>
      </c>
      <c r="Q71" s="82"/>
      <c r="R71" s="82"/>
      <c r="S71" s="82"/>
      <c r="T71" s="84"/>
      <c r="U71" s="128"/>
      <c r="V71" s="82"/>
      <c r="W71" s="82"/>
      <c r="X71" s="82"/>
      <c r="Y71" s="82"/>
      <c r="Z71" s="84"/>
      <c r="AA71" s="128"/>
      <c r="AB71" s="109"/>
      <c r="AC71" s="111"/>
      <c r="AD71" s="115"/>
      <c r="AE71" s="107"/>
    </row>
    <row r="72" spans="1:31" customFormat="1" ht="105" x14ac:dyDescent="0.25">
      <c r="A72" s="101">
        <v>196</v>
      </c>
      <c r="B72" s="12" t="s">
        <v>38</v>
      </c>
      <c r="C72" s="12" t="s">
        <v>163</v>
      </c>
      <c r="D72" s="12" t="s">
        <v>164</v>
      </c>
      <c r="E72" s="38" t="s">
        <v>174</v>
      </c>
      <c r="F72" s="43" t="s">
        <v>175</v>
      </c>
      <c r="G72" s="93">
        <v>20200680010145</v>
      </c>
      <c r="H72" s="69" t="s">
        <v>176</v>
      </c>
      <c r="I72" s="8" t="s">
        <v>177</v>
      </c>
      <c r="J72" s="11">
        <v>44313</v>
      </c>
      <c r="K72" s="11">
        <v>44561</v>
      </c>
      <c r="L72" s="133">
        <v>47</v>
      </c>
      <c r="M72" s="131">
        <v>47</v>
      </c>
      <c r="N72" s="125">
        <f>IFERROR(IF(M72/L72&gt;100%,100%,M72/L72),"-")</f>
        <v>1</v>
      </c>
      <c r="O72" s="33" t="s">
        <v>178</v>
      </c>
      <c r="P72" s="82"/>
      <c r="Q72" s="82">
        <v>853521647</v>
      </c>
      <c r="R72" s="82"/>
      <c r="S72" s="82"/>
      <c r="T72" s="84"/>
      <c r="U72" s="127">
        <f>SUM(P72:T73)</f>
        <v>865629616</v>
      </c>
      <c r="V72" s="82"/>
      <c r="W72" s="82">
        <v>853521647</v>
      </c>
      <c r="X72" s="82"/>
      <c r="Y72" s="82"/>
      <c r="Z72" s="84"/>
      <c r="AA72" s="127">
        <f>SUM(V72:Z73)</f>
        <v>853521647</v>
      </c>
      <c r="AB72" s="108">
        <f>IFERROR(AA72/U72,"-")</f>
        <v>0.98601252917390936</v>
      </c>
      <c r="AC72" s="110"/>
      <c r="AD72" s="104" t="s">
        <v>43</v>
      </c>
      <c r="AE72" s="106" t="s">
        <v>44</v>
      </c>
    </row>
    <row r="73" spans="1:31" customFormat="1" ht="105" x14ac:dyDescent="0.25">
      <c r="A73" s="101">
        <v>196</v>
      </c>
      <c r="B73" s="12" t="s">
        <v>38</v>
      </c>
      <c r="C73" s="12" t="s">
        <v>163</v>
      </c>
      <c r="D73" s="12" t="s">
        <v>164</v>
      </c>
      <c r="E73" s="38" t="s">
        <v>174</v>
      </c>
      <c r="F73" s="43" t="s">
        <v>175</v>
      </c>
      <c r="G73" s="93"/>
      <c r="H73" s="79" t="s">
        <v>230</v>
      </c>
      <c r="I73" s="8"/>
      <c r="J73" s="11"/>
      <c r="K73" s="11"/>
      <c r="L73" s="134"/>
      <c r="M73" s="132"/>
      <c r="N73" s="126"/>
      <c r="O73" s="33" t="s">
        <v>178</v>
      </c>
      <c r="P73" s="82"/>
      <c r="Q73" s="82">
        <v>12107969</v>
      </c>
      <c r="R73" s="82"/>
      <c r="S73" s="82"/>
      <c r="T73" s="84"/>
      <c r="U73" s="128"/>
      <c r="V73" s="82"/>
      <c r="W73" s="82"/>
      <c r="X73" s="82"/>
      <c r="Y73" s="82"/>
      <c r="Z73" s="84"/>
      <c r="AA73" s="128"/>
      <c r="AB73" s="109"/>
      <c r="AC73" s="111"/>
      <c r="AD73" s="105"/>
      <c r="AE73" s="107"/>
    </row>
    <row r="74" spans="1:31" ht="15.6" x14ac:dyDescent="0.25">
      <c r="A74" s="100">
        <f>SUM(--(FREQUENCY(A9:A73,A9:A73)&gt;0))</f>
        <v>28</v>
      </c>
      <c r="B74" s="16"/>
      <c r="C74" s="17"/>
      <c r="D74" s="17"/>
      <c r="E74" s="39"/>
      <c r="F74" s="44"/>
      <c r="G74" s="57"/>
      <c r="H74" s="17"/>
      <c r="I74" s="17"/>
      <c r="J74" s="17"/>
      <c r="K74" s="18"/>
      <c r="L74" s="18"/>
      <c r="M74" s="19" t="s">
        <v>16</v>
      </c>
      <c r="N74" s="18">
        <f>IFERROR(AVERAGE(N9:N73),"-")</f>
        <v>0.96294294294294291</v>
      </c>
      <c r="O74" s="20"/>
      <c r="P74" s="21">
        <f>SUM(P9:P73)</f>
        <v>45418462601.050247</v>
      </c>
      <c r="Q74" s="21">
        <f t="shared" ref="Q74:Z74" si="3">SUM(Q9:Q73)</f>
        <v>267196892692.6398</v>
      </c>
      <c r="R74" s="21">
        <f t="shared" si="3"/>
        <v>0</v>
      </c>
      <c r="S74" s="21">
        <f t="shared" si="3"/>
        <v>0</v>
      </c>
      <c r="T74" s="21">
        <f t="shared" si="3"/>
        <v>0</v>
      </c>
      <c r="U74" s="102">
        <f>SUM(U9:U73)</f>
        <v>312615355293.69006</v>
      </c>
      <c r="V74" s="99">
        <f t="shared" si="3"/>
        <v>39922881143.880226</v>
      </c>
      <c r="W74" s="99">
        <f t="shared" si="3"/>
        <v>260504194395.73981</v>
      </c>
      <c r="X74" s="99">
        <f t="shared" si="3"/>
        <v>0</v>
      </c>
      <c r="Y74" s="99">
        <f t="shared" si="3"/>
        <v>0</v>
      </c>
      <c r="Z74" s="99">
        <f t="shared" si="3"/>
        <v>0</v>
      </c>
      <c r="AA74" s="102">
        <f>SUM(AA9:AA73)</f>
        <v>300427075539.62</v>
      </c>
      <c r="AB74" s="49">
        <f>IFERROR(AA74/U74,"-")</f>
        <v>0.96101189673610354</v>
      </c>
      <c r="AC74" s="22">
        <f>SUM(AC9:AC73)</f>
        <v>3180588278</v>
      </c>
      <c r="AD74" s="77"/>
      <c r="AE74" s="20"/>
    </row>
    <row r="76" spans="1:31" x14ac:dyDescent="0.25">
      <c r="Q76" s="45"/>
      <c r="AA76" s="56"/>
    </row>
    <row r="77" spans="1:31" x14ac:dyDescent="0.25">
      <c r="N77" s="64"/>
      <c r="Q77" s="46"/>
      <c r="U77" s="74"/>
      <c r="V77"/>
      <c r="AA77" s="56"/>
    </row>
    <row r="78" spans="1:31" x14ac:dyDescent="0.25">
      <c r="N78" s="65"/>
      <c r="U78" s="56"/>
      <c r="V78"/>
      <c r="AA78"/>
    </row>
    <row r="79" spans="1:31" x14ac:dyDescent="0.25">
      <c r="N79" s="64"/>
      <c r="Q79" s="45"/>
      <c r="U79"/>
      <c r="V79"/>
      <c r="AA79"/>
    </row>
    <row r="80" spans="1:31" x14ac:dyDescent="0.25">
      <c r="N80" s="76"/>
      <c r="Q80" s="47"/>
      <c r="U80"/>
      <c r="V80"/>
      <c r="AA80"/>
    </row>
    <row r="81" spans="17:27" x14ac:dyDescent="0.25">
      <c r="Q81" s="45"/>
      <c r="U81"/>
      <c r="V81"/>
      <c r="AA81"/>
    </row>
    <row r="82" spans="17:27" x14ac:dyDescent="0.25">
      <c r="Q82" s="48"/>
      <c r="U82"/>
      <c r="V82"/>
    </row>
    <row r="83" spans="17:27" x14ac:dyDescent="0.25">
      <c r="U83"/>
      <c r="V83"/>
    </row>
    <row r="84" spans="17:27" x14ac:dyDescent="0.25">
      <c r="U84"/>
    </row>
    <row r="85" spans="17:27" x14ac:dyDescent="0.25">
      <c r="U85"/>
    </row>
    <row r="86" spans="17:27" x14ac:dyDescent="0.25">
      <c r="U86"/>
    </row>
  </sheetData>
  <mergeCells count="186">
    <mergeCell ref="U66:U67"/>
    <mergeCell ref="AA66:AA67"/>
    <mergeCell ref="L24:L25"/>
    <mergeCell ref="M24:M25"/>
    <mergeCell ref="N24:N25"/>
    <mergeCell ref="U24:U25"/>
    <mergeCell ref="AA24:AA25"/>
    <mergeCell ref="AA58:AA59"/>
    <mergeCell ref="M66:M67"/>
    <mergeCell ref="N66:N67"/>
    <mergeCell ref="L66:L67"/>
    <mergeCell ref="N63:N65"/>
    <mergeCell ref="U63:U65"/>
    <mergeCell ref="AA63:AA65"/>
    <mergeCell ref="L63:L65"/>
    <mergeCell ref="M63:M65"/>
    <mergeCell ref="AA61:AA62"/>
    <mergeCell ref="AA56:AA57"/>
    <mergeCell ref="AC49:AC51"/>
    <mergeCell ref="AA35:AA38"/>
    <mergeCell ref="AB35:AB38"/>
    <mergeCell ref="AC35:AC38"/>
    <mergeCell ref="AA49:AA51"/>
    <mergeCell ref="AB49:AB51"/>
    <mergeCell ref="AB54:AB55"/>
    <mergeCell ref="AC54:AC55"/>
    <mergeCell ref="AA54:AA55"/>
    <mergeCell ref="U49:U51"/>
    <mergeCell ref="L49:L51"/>
    <mergeCell ref="M49:M51"/>
    <mergeCell ref="N49:N51"/>
    <mergeCell ref="L28:L34"/>
    <mergeCell ref="M28:M34"/>
    <mergeCell ref="N28:N34"/>
    <mergeCell ref="AD28:AD34"/>
    <mergeCell ref="AE28:AE34"/>
    <mergeCell ref="AC28:AC34"/>
    <mergeCell ref="AD35:AD38"/>
    <mergeCell ref="AE35:AE38"/>
    <mergeCell ref="AD40:AD46"/>
    <mergeCell ref="AE40:AE46"/>
    <mergeCell ref="L20:L21"/>
    <mergeCell ref="M20:M21"/>
    <mergeCell ref="L22:L23"/>
    <mergeCell ref="M22:M23"/>
    <mergeCell ref="N20:N21"/>
    <mergeCell ref="N22:N23"/>
    <mergeCell ref="U22:U23"/>
    <mergeCell ref="U20:U21"/>
    <mergeCell ref="AB22:AB23"/>
    <mergeCell ref="AA20:AA21"/>
    <mergeCell ref="AA22:AA23"/>
    <mergeCell ref="AC22:AC23"/>
    <mergeCell ref="N72:N73"/>
    <mergeCell ref="L72:L73"/>
    <mergeCell ref="M72:M73"/>
    <mergeCell ref="AA72:AA73"/>
    <mergeCell ref="AD72:AD73"/>
    <mergeCell ref="AE72:AE73"/>
    <mergeCell ref="AB72:AB73"/>
    <mergeCell ref="AC72:AC73"/>
    <mergeCell ref="L40:L46"/>
    <mergeCell ref="M40:M46"/>
    <mergeCell ref="N40:N46"/>
    <mergeCell ref="U40:U46"/>
    <mergeCell ref="AA40:AA46"/>
    <mergeCell ref="AB40:AB46"/>
    <mergeCell ref="AC40:AC46"/>
    <mergeCell ref="L68:L71"/>
    <mergeCell ref="M68:M71"/>
    <mergeCell ref="N68:N71"/>
    <mergeCell ref="U68:U71"/>
    <mergeCell ref="AA68:AA71"/>
    <mergeCell ref="AB68:AB71"/>
    <mergeCell ref="AC68:AC71"/>
    <mergeCell ref="U72:U73"/>
    <mergeCell ref="AC61:AC62"/>
    <mergeCell ref="A1:A4"/>
    <mergeCell ref="A5:C5"/>
    <mergeCell ref="A6:C6"/>
    <mergeCell ref="D5:L5"/>
    <mergeCell ref="D6:L6"/>
    <mergeCell ref="B1:AB4"/>
    <mergeCell ref="L35:L38"/>
    <mergeCell ref="M35:M38"/>
    <mergeCell ref="N35:N38"/>
    <mergeCell ref="U35:U38"/>
    <mergeCell ref="L7:N7"/>
    <mergeCell ref="O7:U7"/>
    <mergeCell ref="V7:AA7"/>
    <mergeCell ref="AB7:AB8"/>
    <mergeCell ref="B7:F7"/>
    <mergeCell ref="G7:K7"/>
    <mergeCell ref="J10:J11"/>
    <mergeCell ref="K10:K11"/>
    <mergeCell ref="U28:U34"/>
    <mergeCell ref="AA28:AA34"/>
    <mergeCell ref="AB28:AB34"/>
    <mergeCell ref="L15:L19"/>
    <mergeCell ref="M15:M19"/>
    <mergeCell ref="N15:N19"/>
    <mergeCell ref="U15:U19"/>
    <mergeCell ref="AA15:AA19"/>
    <mergeCell ref="U10:U11"/>
    <mergeCell ref="L10:L11"/>
    <mergeCell ref="M10:M11"/>
    <mergeCell ref="N10:N11"/>
    <mergeCell ref="AA10:AA11"/>
    <mergeCell ref="L13:L14"/>
    <mergeCell ref="M13:M14"/>
    <mergeCell ref="N13:N14"/>
    <mergeCell ref="U13:U14"/>
    <mergeCell ref="AA13:AA14"/>
    <mergeCell ref="AC1:AE1"/>
    <mergeCell ref="AC2:AE2"/>
    <mergeCell ref="AC3:AE3"/>
    <mergeCell ref="AC4:AE4"/>
    <mergeCell ref="AC7:AC8"/>
    <mergeCell ref="AD7:AE7"/>
    <mergeCell ref="AC10:AC11"/>
    <mergeCell ref="AB15:AB19"/>
    <mergeCell ref="AC15:AC19"/>
    <mergeCell ref="AB10:AB11"/>
    <mergeCell ref="AD10:AD11"/>
    <mergeCell ref="AE10:AE11"/>
    <mergeCell ref="AD15:AD19"/>
    <mergeCell ref="AE15:AE19"/>
    <mergeCell ref="AB13:AB14"/>
    <mergeCell ref="AC13:AC14"/>
    <mergeCell ref="AD13:AD14"/>
    <mergeCell ref="AE13:AE14"/>
    <mergeCell ref="J54:J55"/>
    <mergeCell ref="K54:K55"/>
    <mergeCell ref="L54:L55"/>
    <mergeCell ref="M54:M55"/>
    <mergeCell ref="N54:N55"/>
    <mergeCell ref="U54:U55"/>
    <mergeCell ref="J61:J62"/>
    <mergeCell ref="K61:K62"/>
    <mergeCell ref="L61:L62"/>
    <mergeCell ref="M61:M62"/>
    <mergeCell ref="N61:N62"/>
    <mergeCell ref="U61:U62"/>
    <mergeCell ref="M58:M59"/>
    <mergeCell ref="N58:N59"/>
    <mergeCell ref="U58:U59"/>
    <mergeCell ref="L56:L57"/>
    <mergeCell ref="L58:L59"/>
    <mergeCell ref="M56:M57"/>
    <mergeCell ref="N56:N57"/>
    <mergeCell ref="U56:U57"/>
    <mergeCell ref="AD68:AD71"/>
    <mergeCell ref="AE68:AE71"/>
    <mergeCell ref="AD49:AD51"/>
    <mergeCell ref="AE49:AE51"/>
    <mergeCell ref="AD61:AD62"/>
    <mergeCell ref="AE61:AE62"/>
    <mergeCell ref="AD54:AD55"/>
    <mergeCell ref="AE54:AE55"/>
    <mergeCell ref="AC66:AC67"/>
    <mergeCell ref="AC63:AC65"/>
    <mergeCell ref="AD63:AD65"/>
    <mergeCell ref="AE63:AE65"/>
    <mergeCell ref="AB66:AB67"/>
    <mergeCell ref="AD66:AD67"/>
    <mergeCell ref="AE66:AE67"/>
    <mergeCell ref="AB58:AB59"/>
    <mergeCell ref="AC58:AC59"/>
    <mergeCell ref="AD58:AD59"/>
    <mergeCell ref="AE58:AE59"/>
    <mergeCell ref="AB56:AB57"/>
    <mergeCell ref="AC56:AC57"/>
    <mergeCell ref="AD56:AD57"/>
    <mergeCell ref="AE56:AE57"/>
    <mergeCell ref="AB63:AB65"/>
    <mergeCell ref="AB61:AB62"/>
    <mergeCell ref="AD22:AD23"/>
    <mergeCell ref="AE22:AE23"/>
    <mergeCell ref="AB20:AB21"/>
    <mergeCell ref="AC20:AC21"/>
    <mergeCell ref="AE20:AE21"/>
    <mergeCell ref="AD20:AD21"/>
    <mergeCell ref="AB24:AB25"/>
    <mergeCell ref="AC24:AC25"/>
    <mergeCell ref="AD24:AD25"/>
    <mergeCell ref="AE24:AE25"/>
  </mergeCells>
  <conditionalFormatting sqref="N56 N9:N13 N15:N20 N22 N24 N26:N54 N58 N60:N63 N68:N73">
    <cfRule type="cellIs" dxfId="7" priority="9" operator="between">
      <formula>0.66</formula>
      <formula>1</formula>
    </cfRule>
    <cfRule type="cellIs" dxfId="6" priority="10" operator="between">
      <formula>0.33</formula>
      <formula>0.66</formula>
    </cfRule>
    <cfRule type="cellIs" dxfId="5" priority="11" operator="between">
      <formula>0</formula>
      <formula>0.33</formula>
    </cfRule>
  </conditionalFormatting>
  <conditionalFormatting sqref="W9:W10 W12:W65 V66:W73">
    <cfRule type="cellIs" dxfId="4" priority="8" operator="greaterThan">
      <formula>P9</formula>
    </cfRule>
  </conditionalFormatting>
  <conditionalFormatting sqref="V9:V63">
    <cfRule type="cellIs" dxfId="3" priority="7" operator="greaterThan">
      <formula>P9</formula>
    </cfRule>
  </conditionalFormatting>
  <conditionalFormatting sqref="N66">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2022-02-03T16:44:49Z</dcterms:modified>
</cp:coreProperties>
</file>