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790FAAE7-7537-45B1-A294-A7960D238FA8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Acción'!$A$8:$AI$79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4" i="14" l="1"/>
  <c r="V15" i="14"/>
  <c r="P14" i="14"/>
  <c r="P15" i="14"/>
  <c r="W78" i="14" l="1"/>
  <c r="X78" i="14"/>
  <c r="Y78" i="14"/>
  <c r="Z78" i="14"/>
  <c r="V78" i="14"/>
  <c r="Q78" i="14"/>
  <c r="R78" i="14"/>
  <c r="S78" i="14"/>
  <c r="T78" i="14"/>
  <c r="P78" i="14"/>
  <c r="N76" i="14"/>
  <c r="N75" i="14"/>
  <c r="N74" i="14"/>
  <c r="N73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8" i="14"/>
  <c r="N37" i="14"/>
  <c r="N36" i="14"/>
  <c r="N34" i="14"/>
  <c r="N33" i="14"/>
  <c r="N32" i="14"/>
  <c r="N31" i="14"/>
  <c r="N30" i="14"/>
  <c r="N29" i="14"/>
  <c r="N28" i="14"/>
  <c r="N27" i="14"/>
  <c r="N26" i="14"/>
  <c r="N24" i="14"/>
  <c r="N23" i="14"/>
  <c r="N22" i="14"/>
  <c r="N21" i="14"/>
  <c r="N20" i="14"/>
  <c r="N19" i="14"/>
  <c r="N18" i="14"/>
  <c r="N17" i="14"/>
  <c r="N15" i="14"/>
  <c r="N14" i="14"/>
  <c r="N12" i="14"/>
  <c r="N11" i="14"/>
  <c r="N10" i="14"/>
  <c r="N9" i="14"/>
  <c r="P51" i="14"/>
  <c r="AA71" i="14"/>
  <c r="U71" i="14"/>
  <c r="N78" i="14" l="1"/>
  <c r="A78" i="14"/>
  <c r="U76" i="14"/>
  <c r="P16" i="14"/>
  <c r="P10" i="14"/>
  <c r="V31" i="14"/>
  <c r="Z31" i="14"/>
  <c r="P31" i="14"/>
  <c r="V37" i="14"/>
  <c r="P37" i="14"/>
  <c r="P64" i="14"/>
  <c r="P66" i="14"/>
  <c r="AA12" i="14"/>
  <c r="U12" i="14"/>
  <c r="U11" i="14"/>
  <c r="AA15" i="14"/>
  <c r="P56" i="14"/>
  <c r="V55" i="14"/>
  <c r="P55" i="14"/>
  <c r="V60" i="14"/>
  <c r="P59" i="14"/>
  <c r="V76" i="14"/>
  <c r="AA76" i="14" s="1"/>
  <c r="V39" i="14"/>
  <c r="P49" i="14"/>
  <c r="V49" i="14"/>
  <c r="V43" i="14"/>
  <c r="P73" i="14"/>
  <c r="P74" i="14"/>
  <c r="V70" i="14"/>
  <c r="V73" i="14"/>
  <c r="Q55" i="14"/>
  <c r="V61" i="14"/>
  <c r="P30" i="14"/>
  <c r="V30" i="14"/>
  <c r="P41" i="14"/>
  <c r="P40" i="14"/>
  <c r="V40" i="14"/>
  <c r="V9" i="14"/>
  <c r="V10" i="14"/>
  <c r="AB76" i="14" l="1"/>
  <c r="U15" i="14"/>
  <c r="P46" i="14"/>
  <c r="V46" i="14"/>
  <c r="P54" i="14"/>
  <c r="V54" i="14"/>
  <c r="V74" i="14"/>
  <c r="P61" i="14"/>
  <c r="V42" i="14"/>
  <c r="V67" i="14"/>
  <c r="V65" i="14"/>
  <c r="P39" i="14"/>
  <c r="V68" i="14" l="1"/>
  <c r="P21" i="14"/>
  <c r="P28" i="14"/>
  <c r="P26" i="14"/>
  <c r="V26" i="14"/>
  <c r="P20" i="14"/>
  <c r="V24" i="14"/>
  <c r="P25" i="14"/>
  <c r="V27" i="14"/>
  <c r="P27" i="14"/>
  <c r="P42" i="14"/>
  <c r="V36" i="14"/>
  <c r="P36" i="14"/>
  <c r="P63" i="14"/>
  <c r="V63" i="14"/>
  <c r="P70" i="14"/>
  <c r="V50" i="14"/>
  <c r="V51" i="14"/>
  <c r="V53" i="14"/>
  <c r="U10" i="14"/>
  <c r="U9" i="14" l="1"/>
  <c r="P67" i="14"/>
  <c r="P65" i="14"/>
  <c r="P38" i="14" l="1"/>
  <c r="V34" i="14"/>
  <c r="V38" i="14"/>
  <c r="P45" i="14" l="1"/>
  <c r="P44" i="14"/>
  <c r="P32" i="14"/>
  <c r="V62" i="14" l="1"/>
  <c r="V33" i="14" l="1"/>
  <c r="P33" i="14"/>
  <c r="P34" i="14"/>
  <c r="AA42" i="14" l="1"/>
  <c r="AA41" i="14"/>
  <c r="AA40" i="14"/>
  <c r="AA38" i="14"/>
  <c r="AA37" i="14"/>
  <c r="AA36" i="14"/>
  <c r="AA34" i="14"/>
  <c r="AA33" i="14"/>
  <c r="AA32" i="14"/>
  <c r="AA30" i="14"/>
  <c r="AA29" i="14"/>
  <c r="AA27" i="14"/>
  <c r="AA26" i="14"/>
  <c r="AA24" i="14"/>
  <c r="AA23" i="14"/>
  <c r="AA20" i="14"/>
  <c r="AA17" i="14"/>
  <c r="AA14" i="14"/>
  <c r="AA11" i="14"/>
  <c r="AA10" i="14"/>
  <c r="AA9" i="14"/>
  <c r="AA74" i="14"/>
  <c r="AA73" i="14"/>
  <c r="AA70" i="14"/>
  <c r="AA69" i="14"/>
  <c r="AA68" i="14"/>
  <c r="AA67" i="14"/>
  <c r="AA66" i="14"/>
  <c r="AA65" i="14"/>
  <c r="AA64" i="14"/>
  <c r="AA63" i="14"/>
  <c r="AA62" i="14"/>
  <c r="AA61" i="14"/>
  <c r="AA60" i="14"/>
  <c r="AA57" i="14"/>
  <c r="AA55" i="14"/>
  <c r="AA54" i="14"/>
  <c r="AA53" i="14"/>
  <c r="AA51" i="14"/>
  <c r="AA50" i="14"/>
  <c r="AA49" i="14"/>
  <c r="AA48" i="14"/>
  <c r="AA47" i="14"/>
  <c r="AA46" i="14"/>
  <c r="AA44" i="14"/>
  <c r="AA43" i="14"/>
  <c r="U37" i="14"/>
  <c r="T34" i="14"/>
  <c r="U34" i="14" s="1"/>
  <c r="U66" i="14"/>
  <c r="U51" i="14"/>
  <c r="U68" i="14"/>
  <c r="U67" i="14"/>
  <c r="U65" i="14"/>
  <c r="U63" i="14"/>
  <c r="U62" i="14"/>
  <c r="U60" i="14"/>
  <c r="U58" i="14"/>
  <c r="U57" i="14"/>
  <c r="U54" i="14"/>
  <c r="U53" i="14"/>
  <c r="U50" i="14"/>
  <c r="U49" i="14"/>
  <c r="U48" i="14"/>
  <c r="U47" i="14"/>
  <c r="U46" i="14"/>
  <c r="U44" i="14"/>
  <c r="U43" i="14"/>
  <c r="U42" i="14"/>
  <c r="U41" i="14"/>
  <c r="U40" i="14"/>
  <c r="U30" i="14"/>
  <c r="U29" i="14"/>
  <c r="U28" i="14"/>
  <c r="U27" i="14"/>
  <c r="U23" i="14"/>
  <c r="U20" i="14"/>
  <c r="U17" i="14"/>
  <c r="U24" i="14"/>
  <c r="AC78" i="14"/>
  <c r="U73" i="14"/>
  <c r="U74" i="14"/>
  <c r="U70" i="14"/>
  <c r="U69" i="14"/>
  <c r="U64" i="14"/>
  <c r="Q61" i="14"/>
  <c r="U61" i="14" s="1"/>
  <c r="AA59" i="14"/>
  <c r="M59" i="14"/>
  <c r="W58" i="14"/>
  <c r="AA58" i="14" s="1"/>
  <c r="U55" i="14"/>
  <c r="AA56" i="14"/>
  <c r="V52" i="14"/>
  <c r="AA52" i="14" s="1"/>
  <c r="P52" i="14"/>
  <c r="U52" i="14" s="1"/>
  <c r="V45" i="14"/>
  <c r="AA45" i="14" s="1"/>
  <c r="U45" i="14"/>
  <c r="U38" i="14"/>
  <c r="U36" i="14"/>
  <c r="U33" i="14"/>
  <c r="U32" i="14"/>
  <c r="AA31" i="14"/>
  <c r="V75" i="14"/>
  <c r="AA75" i="14" s="1"/>
  <c r="P75" i="14"/>
  <c r="U75" i="14" s="1"/>
  <c r="V28" i="14"/>
  <c r="AA28" i="14" s="1"/>
  <c r="U26" i="14"/>
  <c r="V22" i="14"/>
  <c r="AA22" i="14" s="1"/>
  <c r="P22" i="14"/>
  <c r="U22" i="14" s="1"/>
  <c r="V21" i="14"/>
  <c r="AA21" i="14" s="1"/>
  <c r="U21" i="14"/>
  <c r="V19" i="14"/>
  <c r="AA19" i="14" s="1"/>
  <c r="P19" i="14"/>
  <c r="U19" i="14" s="1"/>
  <c r="V18" i="14"/>
  <c r="AA18" i="14" s="1"/>
  <c r="P18" i="14"/>
  <c r="U18" i="14" s="1"/>
  <c r="U14" i="14"/>
  <c r="AA78" i="14" l="1"/>
  <c r="AB37" i="14"/>
  <c r="AB61" i="14"/>
  <c r="U31" i="14"/>
  <c r="U56" i="14"/>
  <c r="AB56" i="14" s="1"/>
  <c r="AB34" i="14"/>
  <c r="AB51" i="14"/>
  <c r="U59" i="14"/>
  <c r="AB17" i="14"/>
  <c r="AB54" i="14"/>
  <c r="AB58" i="14"/>
  <c r="AB44" i="14"/>
  <c r="AB20" i="14"/>
  <c r="AB55" i="14"/>
  <c r="AB24" i="14"/>
  <c r="AB11" i="14"/>
  <c r="AB38" i="14"/>
  <c r="AB64" i="14"/>
  <c r="AB29" i="14"/>
  <c r="AB70" i="14"/>
  <c r="AB73" i="14"/>
  <c r="AB10" i="14"/>
  <c r="AB57" i="14"/>
  <c r="AB14" i="14"/>
  <c r="AB18" i="14"/>
  <c r="AB69" i="14"/>
  <c r="AB66" i="14"/>
  <c r="AB60" i="14"/>
  <c r="AB22" i="14"/>
  <c r="AB47" i="14"/>
  <c r="AB40" i="14"/>
  <c r="AB15" i="14"/>
  <c r="AB27" i="14"/>
  <c r="AB42" i="14"/>
  <c r="AB26" i="14"/>
  <c r="AB19" i="14"/>
  <c r="AB68" i="14"/>
  <c r="AB67" i="14"/>
  <c r="AB36" i="14"/>
  <c r="AB23" i="14"/>
  <c r="AB75" i="14"/>
  <c r="AB46" i="14"/>
  <c r="AB63" i="14"/>
  <c r="AB41" i="14"/>
  <c r="AB49" i="14"/>
  <c r="AB71" i="14"/>
  <c r="AB45" i="14"/>
  <c r="AB50" i="14"/>
  <c r="AB28" i="14"/>
  <c r="AB65" i="14"/>
  <c r="AB12" i="14"/>
  <c r="AB33" i="14"/>
  <c r="AB53" i="14"/>
  <c r="AB62" i="14"/>
  <c r="AB30" i="14"/>
  <c r="AB43" i="14"/>
  <c r="AB48" i="14"/>
  <c r="AB21" i="14"/>
  <c r="AB32" i="14"/>
  <c r="AB52" i="14"/>
  <c r="AB74" i="14"/>
  <c r="U78" i="14" l="1"/>
  <c r="AB78" i="14" s="1"/>
  <c r="AB31" i="14"/>
  <c r="AB59" i="14"/>
  <c r="AB9" i="14"/>
</calcChain>
</file>

<file path=xl/sharedStrings.xml><?xml version="1.0" encoding="utf-8"?>
<sst xmlns="http://schemas.openxmlformats.org/spreadsheetml/2006/main" count="689" uniqueCount="263">
  <si>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</si>
  <si>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</si>
  <si>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</si>
  <si>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</si>
  <si>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</si>
  <si>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</si>
  <si>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</si>
  <si>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</si>
  <si>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</si>
  <si>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</si>
  <si>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</si>
  <si>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</si>
  <si>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</si>
  <si>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</si>
  <si>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</si>
  <si>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</si>
  <si>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</si>
  <si>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</si>
  <si>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</si>
  <si>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</si>
  <si>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</si>
  <si>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</si>
  <si>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</si>
  <si>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</si>
  <si>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</si>
  <si>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</si>
  <si>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</si>
  <si>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</si>
  <si>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</si>
  <si>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</si>
  <si>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</si>
  <si>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</si>
  <si>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</si>
  <si>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</si>
  <si>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</si>
  <si>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</si>
  <si>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</si>
  <si>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</si>
  <si>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</si>
  <si>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</si>
  <si>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</si>
  <si>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</si>
  <si>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</si>
  <si>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</si>
  <si>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</si>
  <si>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</si>
  <si>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</si>
  <si>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2.3.2.02.02.009.4102021.201 $12.000.000
2.3.2.02.02.009.4102043.201 $12.000.000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</si>
  <si>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</si>
  <si>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</si>
  <si>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</si>
  <si>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</si>
  <si>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</si>
  <si>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</si>
  <si>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</si>
  <si>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2.3.2.02.02.009.4102038.201 $40.000.000
2.3.2.02.02.009.4102043.201 $60.000.000
2.3.2.02.02.009.4102021.201 $28.000.000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</si>
  <si>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</si>
  <si>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</si>
  <si>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2.3.2.02.02.009.4102043.201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</si>
  <si>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</si>
  <si>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</si>
  <si>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2.3.2.02.02.009.4102043.213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</si>
  <si>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</si>
  <si>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</si>
  <si>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2.3.2.02.02.009.4102043.201 $12.500.000
2.3.2.02.02.009.4102021.201 $10.000.000
2.3.2.02.02.009.4102043.213 $50.000.000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</si>
  <si>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</si>
  <si>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</si>
  <si>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2.3.2.02.02.009.4102043.201 $10.000.000
2.3.2.02.02.009.4102021.201 $10.000.000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</si>
  <si>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</si>
  <si>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</si>
  <si>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</si>
  <si>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</si>
  <si>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</si>
  <si>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</si>
  <si>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2.3.2.02.02.009.4102016.201 $150.000.000
2.3.2.02.02.009.4102043.201 $1.901.217
2.3.2.02.02.009.4102021.201 $10.000.000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</si>
  <si>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</si>
  <si>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</si>
  <si>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</si>
  <si>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</si>
  <si>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</si>
  <si>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2.3.2.02.02.009.4102043.201 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</si>
  <si>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</si>
  <si>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</si>
  <si>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</si>
  <si>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</si>
  <si>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</si>
  <si>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</si>
  <si>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</si>
  <si>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</si>
  <si>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</si>
  <si>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</si>
  <si>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</si>
  <si>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2.3.2.02.02.009.4102043.201 $20.000.000
2.3.2.02.02.009.4102021.201 $10.000.000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</si>
  <si>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</si>
  <si>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</si>
  <si>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</si>
  <si>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</si>
  <si>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</si>
  <si>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</si>
  <si>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</si>
  <si>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</si>
  <si>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</si>
  <si>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IMPLEMENTACIÓN DE ACCIONES TENDIENTES A MEJORAR LAS CONDICIONES DE LOS ADULTOS MAYORES DEL MUNICIPIO DE BUCARAMANGA</t>
  </si>
  <si>
    <t>Beneficiar y mantener a 11.000 personas mayores con el programa Colombia Mayor.</t>
  </si>
  <si>
    <t>Número de personas mayores beneficiados y mantenidos con el programa Colombia Mayor.</t>
  </si>
  <si>
    <t>2.3.2.02.02.009.4104008.201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</si>
  <si>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</si>
  <si>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</si>
  <si>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2.3.2.02.02.009.4104008.220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</si>
  <si>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</si>
  <si>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</si>
  <si>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</si>
  <si>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</si>
  <si>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</si>
  <si>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</si>
  <si>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2.3.2.02.02.009.4104008.201 $40.000.000
2.3.2.02.02.009.4104008.220 $120.799.850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</si>
  <si>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</si>
  <si>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</si>
  <si>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</si>
  <si>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</si>
  <si>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 xml:space="preserve">DOTACION DE CENTROS VIDA PARA LA PRESTACION DE SERVICIOS INTEGRALES A LA POBLACION ADULTOS MAYORES EN EL MUNICIPIO DE BUCARAMANGA 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</si>
  <si>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</si>
  <si>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2.3.2.02.02.009.4104008.501: 300.000.000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</si>
  <si>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</si>
  <si>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</si>
  <si>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</si>
  <si>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</si>
  <si>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</si>
  <si>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2.3.2.02.02.009.4103050.201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</si>
  <si>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</si>
  <si>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</si>
  <si>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2.3.2.02.02.009.4103050.501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</si>
  <si>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</si>
  <si>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</si>
  <si>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</si>
  <si>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</si>
  <si>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</si>
  <si>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</si>
  <si>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</si>
  <si>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</si>
  <si>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</si>
  <si>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</si>
  <si>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2.3.2.02.02.009.4502038.201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</si>
  <si>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</si>
  <si>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</si>
  <si>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</si>
  <si>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</si>
  <si>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</si>
  <si>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</si>
  <si>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</si>
  <si>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</si>
  <si>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</si>
  <si>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</si>
  <si>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</si>
  <si>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</si>
  <si>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</si>
  <si>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</si>
  <si>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</si>
  <si>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</si>
  <si>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</si>
  <si>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</si>
  <si>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</si>
  <si>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</si>
  <si>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</si>
  <si>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</si>
  <si>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</si>
  <si>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</si>
  <si>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</si>
  <si>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</si>
  <si>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>2.3.2.02.02.009.4104027.201
2.3.2.02.02.009.4104027.213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</si>
  <si>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</si>
  <si>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</si>
  <si>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</si>
  <si>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</si>
  <si>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</si>
  <si>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</si>
  <si>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2.3.2.02.02.009.4104027.213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</si>
  <si>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</si>
  <si>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</si>
  <si>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</si>
  <si>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2.3.2.02.02.009.4104020.201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</si>
  <si>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</si>
  <si>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</si>
  <si>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2.3.2.02.02.009.4104020.201
2.3.2.02.02.009.4104020.213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</si>
  <si>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</si>
  <si>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</si>
  <si>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2.3.2.02.02.009.4104020.201: 26.000.000                                                                                                                                                                                                                                                                                         2.3.2.02.02.009.4104020.501: 25.000.000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</si>
  <si>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</si>
  <si>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</si>
  <si>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</si>
  <si>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</si>
  <si>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 xml:space="preserve">2.3.2.02.01.002.4104008.201 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</si>
  <si>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</si>
  <si>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</si>
  <si>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</si>
  <si>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</si>
  <si>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</si>
  <si>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</si>
  <si>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</si>
  <si>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</si>
  <si>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</si>
  <si>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2.3.2.02.01.000.1702010.201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</si>
  <si>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</si>
  <si>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</si>
  <si>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</si>
  <si>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</si>
  <si>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2.3.2.02.02.009.1702010.201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</si>
  <si>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</si>
  <si>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</si>
  <si>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</si>
  <si>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</si>
  <si>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</si>
  <si>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</si>
  <si>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2.3.2.02.01.000.1702010.201 $150.000.000
2.3.2.02.02.009.1702010.201 $160.461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</si>
  <si>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</si>
  <si>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</si>
  <si>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</si>
  <si>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</si>
  <si>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</si>
  <si>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Beneficiar al 100% de los Ediles con póliza. EPS. Pensión y Seguro de vida</t>
  </si>
  <si>
    <t>2.3.2.02.02.009.4502001.201: 227.000.000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140.000.000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</si>
  <si>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</si>
  <si>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</si>
  <si>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2.3.2.02.02.009.4502001.201: 400.000.000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543.600.000</t>
  </si>
  <si>
    <t>Mantener en funcionamiento el 100% de los salones comunales que hacen parte del programa Ágoras.</t>
  </si>
  <si>
    <t>Porcentaje de salones comunales mantenidos en funcionamiento que hacen parte del programa Ágoras.</t>
  </si>
  <si>
    <t>2.3.2.02.02.009.4502001.201</t>
  </si>
  <si>
    <t>Construir y/o dotar 10 salones comunales con el programa Ágoras.</t>
  </si>
  <si>
    <t>Número de salones comunales con el programa Ágoras construidos y/o dotados.</t>
  </si>
  <si>
    <t>2.3.2.02.02.009.4502001.501: 200.000.000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</si>
  <si>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</si>
  <si>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</si>
  <si>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</si>
  <si>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</si>
  <si>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</si>
  <si>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</si>
  <si>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Pendiente por adicionar a proyecto</t>
  </si>
  <si>
    <t xml:space="preserve">2.3.2.02.02.009.4502038.201: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</si>
  <si>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2.3.2.02.02.009.4104008.558</t>
  </si>
  <si>
    <t>2.3.2.02.02.009.4104008.220 
2.3.2.02.02.009.4104008.258 
2.3.2.02.02.009.4104008.201</t>
  </si>
  <si>
    <t>2.3.2.02.02.009.4104008.201
2.3.2.02.02.009.4104008.220</t>
  </si>
  <si>
    <t>2.3.2.02.02.009.4599006.201 $300.000.000
2.3.2.02.02.009.4599031.201 $494.000.000
2.3.2.02.02.009.4599031.501 $120.000.000</t>
  </si>
  <si>
    <t>PREVENCIÓN DEL CONTAGIO Y PROPAGACIÓN DE LA FIEBRE AFTOSA Y BRUCELOSIS EN LA ESPECIE BOVINA DEL MUNICIPIO DE BUCARAMANGA</t>
  </si>
  <si>
    <t>2.3.2.02.01.000.1707042.201 $95.345.490
2.3.2.02.01.000.1707042.201  Pendiente por definir</t>
  </si>
  <si>
    <t xml:space="preserve">2.3.2.02.02.009.4104027.201: 190.000.000
2.3.2.02.02.009.4104027.213  69.000.000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</si>
  <si>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2.3.2.02.02.009.4104008.201 $130.000.000
2.3.2.02.02.009.4104008.220 $144.591.000+10.000.000</t>
  </si>
  <si>
    <t>DESARROLLO DE ACCIONES DE ASISTENCIA SOCIAL ORIENTADAS A LA POBLACIÓN AFECTADA POR LAS DIFERENTES SITUACIONES DE EMERGENCIAS SOCIALES, SANITARIAS, NATURALES, ANTRÓPICAS Y DE VULNERABILIDAD EN EL MUNICIPIO DE BUCARAMANGA</t>
  </si>
  <si>
    <t>2.3.2.02.02.009.4102043.201
2.3.2.02.01.003.4102043.201</t>
  </si>
  <si>
    <t xml:space="preserve">2.3.2.02.02.009.4102043.201: 252.000.000,00
2.3.2.01.01.004.4103031.201: 374.200.000,00
2.3.2.02.02.009.4102043.297:           28.189,13
2.3.2.02.02.009.4102043.298:      5.349 132,00 
2.3.2.02.02.009.4102043.299:   11.995.542,14 </t>
  </si>
  <si>
    <t>2.3.2.02.02.009.4103050.201
2.3.2.02.02.009.4103050.501: 7.000.000</t>
  </si>
  <si>
    <t>2.3.2.02.02.009.1905035.201
2.3.2.02.02.009.1905035.501</t>
  </si>
  <si>
    <t xml:space="preserve">2.3.2.02.02.009.4104027.201: 319.616.480
2.3.2.02.02.009.4104027.201
2.3.2.02.02.009.4104027.213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</si>
  <si>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DOTACIÓN DE SALONES COMUNALES PARA FOMENTAR LA INTEGRACIÓN COMUNITARIA Y LA CIUDADANÍA PARTICIPATIVA EN EL MUNICIPIO DE BUCARAMANGA</t>
  </si>
  <si>
    <t>DOTACIÓN DEL HOGAR DE CUIDADO Y ALBERGUE “CASA BUHO” PARA LA ATENCIÓN INTEGRAL DE NIÑOS Y NIÑAS EN EL MUNICIPIO DE BUCARAMANGA</t>
  </si>
  <si>
    <t>Meta no programada para la vigencia</t>
  </si>
  <si>
    <t>2.3.2.02.01.002.4104008.201:     200.000.000
2.3.2.02.02.009.4104008.520: 1.134.339.181,01
2.3.2.02.01.002.4104008.220 $603.350.727
2.3.2.02.01.002.4104008.201 $46.000.000
2.3.2.02.01.002.4104008.288</t>
  </si>
  <si>
    <t xml:space="preserve">2.3.2.02.02.009.4104008.220
2.3.2.02.02.009.4104008.258 </t>
  </si>
  <si>
    <t>Beneficiar a 22.051 adultos mayores con diferentes acciones de atención desde el nivel institucional</t>
  </si>
  <si>
    <t>Por definir</t>
  </si>
  <si>
    <t>Realizar (7) Ciclos de vacunación contra la fiebre aftosa y la brucelosis en especie bovina del municipio</t>
  </si>
  <si>
    <t>Dotar 2 salones comunales con el programa Ágoras</t>
  </si>
  <si>
    <t>2.3.2.02.02.009.4102043.201  40.000.000
2.3.2.02.01.003.4102043.201: 20.000.000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</si>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</sst>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_-&quot;$&quot;\ * #,##0_-;\-&quot;$&quot;\ * #,##0_-;_-&quot;$&quot;\ * &quot;-&quot;??_-;_-@_-"/>
    <numFmt numFmtId="167" formatCode="_-* #,##0_-;\-* #,##0_-;_-* &quot;-&quot;??_-;_-@_-"/>
    <numFmt numFmtId="168" formatCode="#,##0_ ;[Red]\-#,##0\ "/>
    <numFmt numFmtId="169" formatCode="&quot;$&quot;\ #,##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6" fontId="7" fillId="2" borderId="4" xfId="108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7" fontId="0" fillId="0" borderId="0" xfId="110" applyNumberFormat="1" applyFont="1"/>
    <xf numFmtId="166" fontId="7" fillId="2" borderId="4" xfId="108" applyNumberFormat="1" applyFont="1" applyFill="1" applyBorder="1" applyAlignment="1">
      <alignment horizontal="right" vertical="center"/>
    </xf>
    <xf numFmtId="167" fontId="0" fillId="0" borderId="0" xfId="0" applyNumberFormat="1" applyFont="1"/>
    <xf numFmtId="166" fontId="0" fillId="0" borderId="0" xfId="0" applyNumberFormat="1" applyFont="1"/>
    <xf numFmtId="43" fontId="0" fillId="0" borderId="0" xfId="110" applyFont="1"/>
    <xf numFmtId="10" fontId="0" fillId="0" borderId="0" xfId="107" applyNumberFormat="1" applyFont="1"/>
    <xf numFmtId="43" fontId="0" fillId="0" borderId="0" xfId="0" applyNumberFormat="1" applyFont="1"/>
    <xf numFmtId="43" fontId="0" fillId="0" borderId="0" xfId="110" applyFont="1" applyAlignment="1">
      <alignment horizontal="left"/>
    </xf>
    <xf numFmtId="167" fontId="0" fillId="0" borderId="0" xfId="0" applyNumberFormat="1" applyFont="1" applyAlignment="1">
      <alignment horizontal="left"/>
    </xf>
    <xf numFmtId="168" fontId="0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7" fillId="0" borderId="2" xfId="0" applyNumberFormat="1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justify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lef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6" fillId="2" borderId="2" xfId="107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4" fontId="0" fillId="0" borderId="2" xfId="108" applyFont="1" applyBorder="1" applyAlignment="1">
      <alignment horizontal="left" vertical="center" wrapText="1"/>
    </xf>
    <xf numFmtId="0" fontId="0" fillId="0" borderId="2" xfId="108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vertical="center"/>
    </xf>
    <xf numFmtId="169" fontId="6" fillId="0" borderId="2" xfId="108" applyNumberFormat="1" applyFont="1" applyFill="1" applyBorder="1" applyAlignment="1">
      <alignment horizontal="right" vertical="center" wrapText="1"/>
    </xf>
    <xf numFmtId="169" fontId="8" fillId="0" borderId="2" xfId="0" applyNumberFormat="1" applyFont="1" applyBorder="1" applyAlignment="1">
      <alignment horizontal="right" vertical="center" wrapText="1"/>
    </xf>
    <xf numFmtId="169" fontId="0" fillId="0" borderId="2" xfId="0" applyNumberFormat="1" applyFont="1" applyBorder="1" applyAlignment="1">
      <alignment horizontal="right"/>
    </xf>
    <xf numFmtId="169" fontId="6" fillId="0" borderId="2" xfId="0" applyNumberFormat="1" applyFont="1" applyFill="1" applyBorder="1" applyAlignment="1">
      <alignment horizontal="right" vertical="center" wrapText="1"/>
    </xf>
    <xf numFmtId="169" fontId="0" fillId="0" borderId="2" xfId="0" applyNumberFormat="1" applyFont="1" applyFill="1" applyBorder="1" applyAlignment="1">
      <alignment horizontal="right"/>
    </xf>
    <xf numFmtId="169" fontId="8" fillId="0" borderId="2" xfId="0" applyNumberFormat="1" applyFont="1" applyFill="1" applyBorder="1" applyAlignment="1">
      <alignment horizontal="right" vertical="center" wrapText="1"/>
    </xf>
    <xf numFmtId="169" fontId="10" fillId="0" borderId="2" xfId="0" applyNumberFormat="1" applyFont="1" applyFill="1" applyBorder="1" applyAlignment="1">
      <alignment horizontal="right" vertical="center" wrapText="1"/>
    </xf>
    <xf numFmtId="169" fontId="0" fillId="0" borderId="2" xfId="110" applyNumberFormat="1" applyFont="1" applyBorder="1" applyAlignment="1">
      <alignment horizontal="right" vertical="center"/>
    </xf>
    <xf numFmtId="169" fontId="0" fillId="0" borderId="2" xfId="110" applyNumberFormat="1" applyFont="1" applyFill="1" applyBorder="1" applyAlignment="1">
      <alignment horizontal="right" vertical="center"/>
    </xf>
    <xf numFmtId="169" fontId="6" fillId="0" borderId="2" xfId="110" applyNumberFormat="1" applyFont="1" applyFill="1" applyBorder="1" applyAlignment="1">
      <alignment horizontal="right" vertical="center" wrapText="1"/>
    </xf>
    <xf numFmtId="169" fontId="7" fillId="0" borderId="2" xfId="108" applyNumberFormat="1" applyFont="1" applyFill="1" applyBorder="1" applyAlignment="1">
      <alignment horizontal="right" vertical="center" wrapText="1"/>
    </xf>
    <xf numFmtId="169" fontId="6" fillId="0" borderId="2" xfId="0" applyNumberFormat="1" applyFont="1" applyFill="1" applyBorder="1" applyAlignment="1">
      <alignment horizontal="right"/>
    </xf>
    <xf numFmtId="169" fontId="6" fillId="0" borderId="2" xfId="108" applyNumberFormat="1" applyFont="1" applyFill="1" applyBorder="1" applyAlignment="1">
      <alignment horizontal="right"/>
    </xf>
    <xf numFmtId="169" fontId="10" fillId="0" borderId="2" xfId="110" applyNumberFormat="1" applyFont="1" applyBorder="1" applyAlignment="1">
      <alignment horizontal="right" vertical="center" wrapText="1"/>
    </xf>
    <xf numFmtId="169" fontId="0" fillId="0" borderId="2" xfId="108" applyNumberFormat="1" applyFont="1" applyBorder="1" applyAlignment="1">
      <alignment horizontal="right" vertical="center"/>
    </xf>
    <xf numFmtId="169" fontId="6" fillId="0" borderId="2" xfId="108" applyNumberFormat="1" applyFont="1" applyFill="1" applyBorder="1" applyAlignment="1">
      <alignment horizontal="right" vertical="center"/>
    </xf>
    <xf numFmtId="169" fontId="0" fillId="0" borderId="2" xfId="108" applyNumberFormat="1" applyFont="1" applyFill="1" applyBorder="1" applyAlignment="1">
      <alignment horizontal="right" vertical="center"/>
    </xf>
    <xf numFmtId="169" fontId="6" fillId="0" borderId="2" xfId="0" applyNumberFormat="1" applyFont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9" fontId="12" fillId="0" borderId="2" xfId="108" applyNumberFormat="1" applyFont="1" applyFill="1" applyBorder="1" applyAlignment="1">
      <alignment horizontal="right" vertical="center" wrapText="1"/>
    </xf>
    <xf numFmtId="169" fontId="12" fillId="0" borderId="2" xfId="11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justify" vertical="center" wrapText="1"/>
    </xf>
    <xf numFmtId="165" fontId="12" fillId="0" borderId="2" xfId="0" applyNumberFormat="1" applyFont="1" applyBorder="1" applyAlignment="1">
      <alignment horizontal="justify" vertical="center" wrapText="1"/>
    </xf>
    <xf numFmtId="169" fontId="0" fillId="0" borderId="0" xfId="0" applyNumberFormat="1" applyFont="1"/>
    <xf numFmtId="0" fontId="13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left" vertical="center" wrapText="1"/>
    </xf>
    <xf numFmtId="169" fontId="6" fillId="0" borderId="4" xfId="108" applyNumberFormat="1" applyFont="1" applyFill="1" applyBorder="1" applyAlignment="1">
      <alignment horizontal="right" vertical="center" wrapText="1"/>
    </xf>
    <xf numFmtId="169" fontId="0" fillId="0" borderId="4" xfId="0" applyNumberFormat="1" applyFont="1" applyBorder="1" applyAlignment="1">
      <alignment horizontal="right"/>
    </xf>
    <xf numFmtId="169" fontId="0" fillId="0" borderId="4" xfId="108" applyNumberFormat="1" applyFont="1" applyFill="1" applyBorder="1" applyAlignment="1">
      <alignment horizontal="right" vertical="center"/>
    </xf>
    <xf numFmtId="169" fontId="6" fillId="0" borderId="4" xfId="0" applyNumberFormat="1" applyFont="1" applyBorder="1" applyAlignment="1">
      <alignment horizontal="right"/>
    </xf>
    <xf numFmtId="169" fontId="6" fillId="0" borderId="4" xfId="108" applyNumberFormat="1" applyFont="1" applyFill="1" applyBorder="1" applyAlignment="1">
      <alignment horizontal="right" vertical="center"/>
    </xf>
    <xf numFmtId="169" fontId="7" fillId="2" borderId="4" xfId="108" applyNumberFormat="1" applyFont="1" applyFill="1" applyBorder="1" applyAlignment="1">
      <alignment vertical="center"/>
    </xf>
    <xf numFmtId="169" fontId="6" fillId="0" borderId="2" xfId="11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9" fontId="6" fillId="2" borderId="1" xfId="107" applyFont="1" applyFill="1" applyBorder="1" applyAlignment="1">
      <alignment horizontal="center" vertical="center" wrapText="1"/>
    </xf>
    <xf numFmtId="9" fontId="6" fillId="2" borderId="4" xfId="107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4" xfId="108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9" fontId="7" fillId="2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justify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242700</xdr:colOff>
      <xdr:row>0</xdr:row>
      <xdr:rowOff>63500</xdr:rowOff>
    </xdr:from>
    <xdr:to>
      <xdr:col>1</xdr:col>
      <xdr:colOff>331305</xdr:colOff>
      <xdr:row>3</xdr:row>
      <xdr:rowOff>156563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700" y="63500"/>
          <a:ext cx="622005" cy="626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tabSelected="1" zoomScale="60" zoomScaleNormal="60" workbookViewId="0">
      <selection activeCell="AC1" sqref="AC1:AE1"/>
    </sheetView>
  </sheetViews>
  <sheetFormatPr baseColWidth="10" defaultColWidth="11.19921875" defaultRowHeight="13.8" x14ac:dyDescent="0.25"/>
  <cols>
    <col min="1" max="1" width="7" style="1" customWidth="1"/>
    <col min="2" max="2" width="26" style="1" customWidth="1"/>
    <col min="3" max="4" width="21.09765625" style="1" customWidth="1"/>
    <col min="5" max="6" width="55.59765625" style="1" customWidth="1"/>
    <col min="7" max="7" width="18.796875" style="1" customWidth="1"/>
    <col min="8" max="8" width="54.19921875" style="1" customWidth="1"/>
    <col min="9" max="9" width="34.5" style="1" customWidth="1"/>
    <col min="10" max="10" width="12.39843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9.8984375" style="20" customWidth="1"/>
    <col min="16" max="16" width="17.296875" style="1" customWidth="1"/>
    <col min="17" max="17" width="18.09765625" style="1" customWidth="1"/>
    <col min="18" max="18" width="11.796875" style="1" customWidth="1"/>
    <col min="19" max="19" width="23.5" style="1" customWidth="1"/>
    <col min="20" max="20" width="16.69921875" style="1" customWidth="1"/>
    <col min="21" max="21" width="23.5" style="1" customWidth="1"/>
    <col min="22" max="22" width="15.5" style="1" customWidth="1"/>
    <col min="23" max="23" width="23.5" style="1" customWidth="1"/>
    <col min="24" max="24" width="13.296875" style="1" customWidth="1"/>
    <col min="25" max="25" width="23.5" style="1" customWidth="1"/>
    <col min="26" max="26" width="18.5" style="1" customWidth="1"/>
    <col min="27" max="27" width="23.5" style="1" customWidth="1"/>
    <col min="28" max="28" width="16.19921875" style="1" customWidth="1"/>
    <col min="29" max="29" width="21.19921875" style="1" customWidth="1"/>
    <col min="30" max="31" width="22" style="1" customWidth="1"/>
    <col min="32" max="32" width="12" style="1" bestFit="1" customWidth="1"/>
    <col min="33" max="16384" width="11.19921875" style="1"/>
  </cols>
  <sheetData>
    <row r="1" spans="1:35" x14ac:dyDescent="0.25">
      <c r="A1" s="139"/>
      <c r="B1" s="144" t="s">
        <v>234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8" t="s">
        <v>262</v>
      </c>
      <c r="AD1" s="148"/>
      <c r="AE1" s="148"/>
    </row>
    <row r="2" spans="1:35" x14ac:dyDescent="0.25">
      <c r="A2" s="139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9" t="s">
        <v>37</v>
      </c>
      <c r="AD2" s="149"/>
      <c r="AE2" s="149"/>
    </row>
    <row r="3" spans="1:35" x14ac:dyDescent="0.25">
      <c r="A3" s="139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9" t="s">
        <v>34</v>
      </c>
      <c r="AD3" s="149"/>
      <c r="AE3" s="149"/>
    </row>
    <row r="4" spans="1:35" x14ac:dyDescent="0.25">
      <c r="A4" s="139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9" t="s">
        <v>33</v>
      </c>
      <c r="AD4" s="149"/>
      <c r="AE4" s="149"/>
    </row>
    <row r="5" spans="1:35" x14ac:dyDescent="0.25">
      <c r="A5" s="140" t="s">
        <v>31</v>
      </c>
      <c r="B5" s="140"/>
      <c r="C5" s="140"/>
      <c r="D5" s="142">
        <v>44537</v>
      </c>
      <c r="E5" s="142"/>
      <c r="F5" s="142"/>
      <c r="G5" s="142"/>
      <c r="H5" s="142"/>
      <c r="I5" s="142"/>
      <c r="J5" s="142"/>
      <c r="K5" s="142"/>
      <c r="L5" s="142"/>
      <c r="M5" s="2"/>
      <c r="N5" s="2"/>
      <c r="O5" s="1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5" x14ac:dyDescent="0.25">
      <c r="A6" s="141" t="s">
        <v>32</v>
      </c>
      <c r="B6" s="141"/>
      <c r="C6" s="141"/>
      <c r="D6" s="143">
        <v>44530</v>
      </c>
      <c r="E6" s="143"/>
      <c r="F6" s="143"/>
      <c r="G6" s="143"/>
      <c r="H6" s="143"/>
      <c r="I6" s="143"/>
      <c r="J6" s="143"/>
      <c r="K6" s="143"/>
      <c r="L6" s="143"/>
      <c r="M6" s="2"/>
      <c r="N6" s="2"/>
      <c r="O6" s="1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5" x14ac:dyDescent="0.25">
      <c r="A7" s="6"/>
      <c r="B7" s="146" t="s">
        <v>10</v>
      </c>
      <c r="C7" s="146"/>
      <c r="D7" s="146"/>
      <c r="E7" s="146"/>
      <c r="F7" s="146"/>
      <c r="G7" s="146" t="s">
        <v>11</v>
      </c>
      <c r="H7" s="146"/>
      <c r="I7" s="146"/>
      <c r="J7" s="146"/>
      <c r="K7" s="146"/>
      <c r="L7" s="146" t="s">
        <v>26</v>
      </c>
      <c r="M7" s="146"/>
      <c r="N7" s="146"/>
      <c r="O7" s="146" t="s">
        <v>24</v>
      </c>
      <c r="P7" s="146"/>
      <c r="Q7" s="146"/>
      <c r="R7" s="146"/>
      <c r="S7" s="146"/>
      <c r="T7" s="146"/>
      <c r="U7" s="146"/>
      <c r="V7" s="146" t="s">
        <v>18</v>
      </c>
      <c r="W7" s="146"/>
      <c r="X7" s="146"/>
      <c r="Y7" s="146"/>
      <c r="Z7" s="146"/>
      <c r="AA7" s="146"/>
      <c r="AB7" s="147" t="s">
        <v>19</v>
      </c>
      <c r="AC7" s="147" t="s">
        <v>27</v>
      </c>
      <c r="AD7" s="147" t="s">
        <v>25</v>
      </c>
      <c r="AE7" s="147"/>
    </row>
    <row r="8" spans="1:35" ht="45.6" customHeight="1" x14ac:dyDescent="0.25">
      <c r="A8" s="7" t="s">
        <v>30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 t="s">
        <v>23</v>
      </c>
      <c r="L8" s="8" t="s">
        <v>4</v>
      </c>
      <c r="M8" s="8" t="s">
        <v>5</v>
      </c>
      <c r="N8" s="8" t="s">
        <v>0</v>
      </c>
      <c r="O8" s="21" t="s">
        <v>9</v>
      </c>
      <c r="P8" s="32" t="s">
        <v>36</v>
      </c>
      <c r="Q8" s="32" t="s">
        <v>8</v>
      </c>
      <c r="R8" s="32" t="s">
        <v>28</v>
      </c>
      <c r="S8" s="32" t="s">
        <v>35</v>
      </c>
      <c r="T8" s="32" t="s">
        <v>12</v>
      </c>
      <c r="U8" s="32" t="s">
        <v>21</v>
      </c>
      <c r="V8" s="32" t="s">
        <v>36</v>
      </c>
      <c r="W8" s="32" t="s">
        <v>8</v>
      </c>
      <c r="X8" s="32" t="s">
        <v>28</v>
      </c>
      <c r="Y8" s="32" t="s">
        <v>35</v>
      </c>
      <c r="Z8" s="32" t="s">
        <v>12</v>
      </c>
      <c r="AA8" s="32" t="s">
        <v>29</v>
      </c>
      <c r="AB8" s="147"/>
      <c r="AC8" s="147"/>
      <c r="AD8" s="32" t="s">
        <v>13</v>
      </c>
      <c r="AE8" s="32" t="s">
        <v>14</v>
      </c>
    </row>
    <row r="9" spans="1:35" ht="85.2" customHeight="1" x14ac:dyDescent="0.25">
      <c r="A9" s="33">
        <v>67</v>
      </c>
      <c r="B9" s="36" t="s">
        <v>41</v>
      </c>
      <c r="C9" s="36" t="s">
        <v>42</v>
      </c>
      <c r="D9" s="97" t="s">
        <v>43</v>
      </c>
      <c r="E9" s="37" t="s">
        <v>44</v>
      </c>
      <c r="F9" s="38" t="s">
        <v>45</v>
      </c>
      <c r="G9" s="39">
        <v>20210680010003</v>
      </c>
      <c r="H9" s="102" t="s">
        <v>46</v>
      </c>
      <c r="I9" s="40"/>
      <c r="J9" s="41">
        <v>44197</v>
      </c>
      <c r="K9" s="41">
        <v>44561</v>
      </c>
      <c r="L9" s="42">
        <v>1</v>
      </c>
      <c r="M9" s="43">
        <v>0.9</v>
      </c>
      <c r="N9" s="44">
        <f>IFERROR(IF(M9/L9&gt;100%,100%,M9/L9),"-")</f>
        <v>0.9</v>
      </c>
      <c r="O9" s="45" t="s">
        <v>47</v>
      </c>
      <c r="P9" s="77">
        <v>69579151</v>
      </c>
      <c r="Q9" s="78"/>
      <c r="R9" s="78"/>
      <c r="S9" s="78"/>
      <c r="T9" s="79"/>
      <c r="U9" s="95">
        <f>SUM(P9:T9)</f>
        <v>69579151</v>
      </c>
      <c r="V9" s="77">
        <f>12000000+12000000+20533359+20000000+1000-5000000+966667</f>
        <v>60501026</v>
      </c>
      <c r="W9" s="80"/>
      <c r="X9" s="80"/>
      <c r="Y9" s="80"/>
      <c r="Z9" s="81"/>
      <c r="AA9" s="95">
        <f>SUM(V9:Z9)</f>
        <v>60501026</v>
      </c>
      <c r="AB9" s="47">
        <f t="shared" ref="AB9:AB29" si="0">IFERROR(AA9/U9,"-")</f>
        <v>0.86952808607854382</v>
      </c>
      <c r="AC9" s="46"/>
      <c r="AD9" s="48" t="s">
        <v>48</v>
      </c>
      <c r="AE9" s="48" t="s">
        <v>49</v>
      </c>
      <c r="AF9" s="31"/>
      <c r="AG9" s="31"/>
      <c r="AH9" s="31"/>
      <c r="AI9" s="31"/>
    </row>
    <row r="10" spans="1:35" ht="91.8" customHeight="1" x14ac:dyDescent="0.25">
      <c r="A10" s="33">
        <v>68</v>
      </c>
      <c r="B10" s="36" t="s">
        <v>41</v>
      </c>
      <c r="C10" s="36" t="s">
        <v>42</v>
      </c>
      <c r="D10" s="97" t="s">
        <v>43</v>
      </c>
      <c r="E10" s="37" t="s">
        <v>50</v>
      </c>
      <c r="F10" s="38" t="s">
        <v>51</v>
      </c>
      <c r="G10" s="39">
        <v>20210680010003</v>
      </c>
      <c r="H10" s="102" t="s">
        <v>46</v>
      </c>
      <c r="I10" s="40"/>
      <c r="J10" s="41">
        <v>44197</v>
      </c>
      <c r="K10" s="41">
        <v>44561</v>
      </c>
      <c r="L10" s="49">
        <v>1</v>
      </c>
      <c r="M10" s="50">
        <v>0.9</v>
      </c>
      <c r="N10" s="51">
        <f>IFERROR(IF(M10/L10&gt;100%,100%,M10/L10),"-")</f>
        <v>0.9</v>
      </c>
      <c r="O10" s="45" t="s">
        <v>247</v>
      </c>
      <c r="P10" s="77">
        <f>192000000-25000000+30000000+3000000+10200000</f>
        <v>210200000</v>
      </c>
      <c r="Q10" s="82"/>
      <c r="R10" s="82"/>
      <c r="S10" s="82"/>
      <c r="T10" s="79"/>
      <c r="U10" s="96">
        <f>SUM(P10:T10)</f>
        <v>210200000</v>
      </c>
      <c r="V10" s="77">
        <f>16000000+16000000+14000000+20998948+10328256+4603848+99990390+8050000+9990071+10000000-2633354</f>
        <v>207328159</v>
      </c>
      <c r="W10" s="80"/>
      <c r="X10" s="80"/>
      <c r="Y10" s="80"/>
      <c r="Z10" s="81"/>
      <c r="AA10" s="96">
        <f>SUM(V10:Z10)</f>
        <v>207328159</v>
      </c>
      <c r="AB10" s="52">
        <f t="shared" si="0"/>
        <v>0.98633757849666981</v>
      </c>
      <c r="AC10" s="53"/>
      <c r="AD10" s="54" t="s">
        <v>48</v>
      </c>
      <c r="AE10" s="54" t="s">
        <v>49</v>
      </c>
      <c r="AF10" s="31"/>
      <c r="AG10" s="31"/>
      <c r="AH10" s="31"/>
      <c r="AI10" s="31"/>
    </row>
    <row r="11" spans="1:35" ht="62.4" customHeight="1" x14ac:dyDescent="0.25">
      <c r="A11" s="33">
        <v>69</v>
      </c>
      <c r="B11" s="36" t="s">
        <v>41</v>
      </c>
      <c r="C11" s="36" t="s">
        <v>42</v>
      </c>
      <c r="D11" s="97" t="s">
        <v>43</v>
      </c>
      <c r="E11" s="37" t="s">
        <v>95</v>
      </c>
      <c r="F11" s="38" t="s">
        <v>96</v>
      </c>
      <c r="G11" s="55"/>
      <c r="H11" s="38" t="s">
        <v>254</v>
      </c>
      <c r="I11" s="40"/>
      <c r="J11" s="41">
        <v>44197</v>
      </c>
      <c r="K11" s="41">
        <v>44561</v>
      </c>
      <c r="L11" s="42">
        <v>0</v>
      </c>
      <c r="M11" s="56">
        <v>0</v>
      </c>
      <c r="N11" s="44" t="str">
        <f>IFERROR(IF(M11/L11&gt;100%,100%,M11/L11),"-")</f>
        <v>-</v>
      </c>
      <c r="O11" s="45"/>
      <c r="P11" s="77"/>
      <c r="Q11" s="82"/>
      <c r="R11" s="82"/>
      <c r="S11" s="82"/>
      <c r="T11" s="79"/>
      <c r="U11" s="95">
        <f>SUM(P11:T11)</f>
        <v>0</v>
      </c>
      <c r="V11" s="77"/>
      <c r="W11" s="80"/>
      <c r="X11" s="80"/>
      <c r="Y11" s="80"/>
      <c r="Z11" s="81"/>
      <c r="AA11" s="95">
        <f t="shared" ref="AA11:AA23" si="1">SUM(V11:Z11)</f>
        <v>0</v>
      </c>
      <c r="AB11" s="47" t="str">
        <f>IFERROR(AA11/U11,"-")</f>
        <v>-</v>
      </c>
      <c r="AC11" s="46"/>
      <c r="AD11" s="48" t="s">
        <v>48</v>
      </c>
      <c r="AE11" s="48" t="s">
        <v>49</v>
      </c>
      <c r="AF11" s="31"/>
      <c r="AG11" s="31"/>
      <c r="AH11" s="31"/>
      <c r="AI11" s="31"/>
    </row>
    <row r="12" spans="1:35" ht="81.599999999999994" customHeight="1" x14ac:dyDescent="0.25">
      <c r="A12" s="33">
        <v>70</v>
      </c>
      <c r="B12" s="36" t="s">
        <v>41</v>
      </c>
      <c r="C12" s="36" t="s">
        <v>42</v>
      </c>
      <c r="D12" s="97" t="s">
        <v>43</v>
      </c>
      <c r="E12" s="37" t="s">
        <v>97</v>
      </c>
      <c r="F12" s="38" t="s">
        <v>98</v>
      </c>
      <c r="G12" s="39">
        <v>20210680010198</v>
      </c>
      <c r="H12" s="102" t="s">
        <v>253</v>
      </c>
      <c r="I12" s="40"/>
      <c r="J12" s="41">
        <v>44197</v>
      </c>
      <c r="K12" s="41">
        <v>44561</v>
      </c>
      <c r="L12" s="132">
        <v>1</v>
      </c>
      <c r="M12" s="130">
        <v>0</v>
      </c>
      <c r="N12" s="122">
        <f>IFERROR(IF(M12/L12&gt;100%,100%,M12/L12),"-")</f>
        <v>0</v>
      </c>
      <c r="O12" s="45" t="s">
        <v>248</v>
      </c>
      <c r="P12" s="77">
        <v>302046174.17000002</v>
      </c>
      <c r="Q12" s="80"/>
      <c r="R12" s="82"/>
      <c r="S12" s="82"/>
      <c r="T12" s="84"/>
      <c r="U12" s="128">
        <f>SUM(P12:T13)</f>
        <v>441200000</v>
      </c>
      <c r="V12" s="77"/>
      <c r="W12" s="80"/>
      <c r="X12" s="80"/>
      <c r="Y12" s="80"/>
      <c r="Z12" s="85"/>
      <c r="AA12" s="128">
        <f>SUM(V12:Z13)</f>
        <v>0</v>
      </c>
      <c r="AB12" s="118">
        <f>IFERROR(AA12/U12,"-")</f>
        <v>0</v>
      </c>
      <c r="AC12" s="120"/>
      <c r="AD12" s="116" t="s">
        <v>48</v>
      </c>
      <c r="AE12" s="116" t="s">
        <v>49</v>
      </c>
      <c r="AF12" s="31"/>
      <c r="AG12" s="31"/>
      <c r="AH12" s="31"/>
      <c r="AI12" s="31"/>
    </row>
    <row r="13" spans="1:35" ht="60" customHeight="1" x14ac:dyDescent="0.25">
      <c r="A13" s="34">
        <v>70</v>
      </c>
      <c r="B13" s="36" t="s">
        <v>41</v>
      </c>
      <c r="C13" s="36" t="s">
        <v>42</v>
      </c>
      <c r="D13" s="97" t="s">
        <v>43</v>
      </c>
      <c r="E13" s="37" t="s">
        <v>97</v>
      </c>
      <c r="F13" s="38" t="s">
        <v>98</v>
      </c>
      <c r="G13" s="55"/>
      <c r="H13" s="65" t="s">
        <v>258</v>
      </c>
      <c r="I13" s="40"/>
      <c r="J13" s="41"/>
      <c r="K13" s="41"/>
      <c r="L13" s="133"/>
      <c r="M13" s="131"/>
      <c r="N13" s="123"/>
      <c r="O13" s="45"/>
      <c r="P13" s="77">
        <v>139153825.82999998</v>
      </c>
      <c r="Q13" s="83"/>
      <c r="R13" s="82"/>
      <c r="S13" s="82"/>
      <c r="T13" s="84"/>
      <c r="U13" s="129"/>
      <c r="V13" s="77"/>
      <c r="W13" s="80"/>
      <c r="X13" s="80"/>
      <c r="Y13" s="80"/>
      <c r="Z13" s="85"/>
      <c r="AA13" s="129"/>
      <c r="AB13" s="119"/>
      <c r="AC13" s="121"/>
      <c r="AD13" s="117"/>
      <c r="AE13" s="117"/>
      <c r="AF13" s="31"/>
      <c r="AG13" s="31"/>
      <c r="AH13" s="31"/>
      <c r="AI13" s="31"/>
    </row>
    <row r="14" spans="1:35" ht="88.2" customHeight="1" x14ac:dyDescent="0.25">
      <c r="A14" s="33">
        <v>71</v>
      </c>
      <c r="B14" s="36" t="s">
        <v>41</v>
      </c>
      <c r="C14" s="36" t="s">
        <v>42</v>
      </c>
      <c r="D14" s="97" t="s">
        <v>52</v>
      </c>
      <c r="E14" s="37" t="s">
        <v>53</v>
      </c>
      <c r="F14" s="38" t="s">
        <v>54</v>
      </c>
      <c r="G14" s="39">
        <v>20210680010003</v>
      </c>
      <c r="H14" s="102" t="s">
        <v>46</v>
      </c>
      <c r="I14" s="40"/>
      <c r="J14" s="41">
        <v>44197</v>
      </c>
      <c r="K14" s="41">
        <v>44561</v>
      </c>
      <c r="L14" s="42">
        <v>1</v>
      </c>
      <c r="M14" s="43">
        <v>0.9</v>
      </c>
      <c r="N14" s="44">
        <f>IFERROR(IF(M14/L14&gt;100%,100%,M14/L14),"-")</f>
        <v>0.9</v>
      </c>
      <c r="O14" s="45" t="s">
        <v>55</v>
      </c>
      <c r="P14" s="77">
        <f>40000000+60000000+28000000+150000000</f>
        <v>278000000</v>
      </c>
      <c r="Q14" s="77">
        <v>17372863.27</v>
      </c>
      <c r="R14" s="82"/>
      <c r="S14" s="82"/>
      <c r="T14" s="79"/>
      <c r="U14" s="95">
        <f t="shared" ref="U14:U23" si="2">SUM(P14:T14)</f>
        <v>295372863.26999998</v>
      </c>
      <c r="V14" s="77">
        <f>12000000+16000000+12000000+12000000+8000000+8000000+8000000+16500000+20000000+149491467.73</f>
        <v>261991467.72999999</v>
      </c>
      <c r="W14" s="115">
        <v>17372863.27</v>
      </c>
      <c r="X14" s="80"/>
      <c r="Y14" s="80"/>
      <c r="Z14" s="81"/>
      <c r="AA14" s="95">
        <f t="shared" si="1"/>
        <v>279364331</v>
      </c>
      <c r="AB14" s="47">
        <f t="shared" si="0"/>
        <v>0.94580229174483577</v>
      </c>
      <c r="AC14" s="46"/>
      <c r="AD14" s="48" t="s">
        <v>48</v>
      </c>
      <c r="AE14" s="48" t="s">
        <v>49</v>
      </c>
      <c r="AF14" s="31"/>
      <c r="AG14" s="31"/>
      <c r="AH14" s="31"/>
      <c r="AI14" s="31"/>
    </row>
    <row r="15" spans="1:35" ht="96" customHeight="1" x14ac:dyDescent="0.25">
      <c r="A15" s="33">
        <v>72</v>
      </c>
      <c r="B15" s="36" t="s">
        <v>41</v>
      </c>
      <c r="C15" s="36" t="s">
        <v>42</v>
      </c>
      <c r="D15" s="97" t="s">
        <v>52</v>
      </c>
      <c r="E15" s="37" t="s">
        <v>56</v>
      </c>
      <c r="F15" s="38" t="s">
        <v>57</v>
      </c>
      <c r="G15" s="39">
        <v>20210680010003</v>
      </c>
      <c r="H15" s="102" t="s">
        <v>46</v>
      </c>
      <c r="I15" s="40"/>
      <c r="J15" s="41">
        <v>44197</v>
      </c>
      <c r="K15" s="41">
        <v>44561</v>
      </c>
      <c r="L15" s="132">
        <v>1</v>
      </c>
      <c r="M15" s="150">
        <v>0.9</v>
      </c>
      <c r="N15" s="122">
        <f>IFERROR(IF(M15/L15&gt;100%,100%,M15/L15),"-")</f>
        <v>0.9</v>
      </c>
      <c r="O15" s="45" t="s">
        <v>58</v>
      </c>
      <c r="P15" s="77">
        <f>90000000</f>
        <v>90000000</v>
      </c>
      <c r="R15" s="82"/>
      <c r="S15" s="82"/>
      <c r="T15" s="100"/>
      <c r="U15" s="128">
        <f>SUM(P15:T16)</f>
        <v>105520849</v>
      </c>
      <c r="V15" s="77">
        <f>24000000+15200000+16000000+6000000+16000000+12000000</f>
        <v>89200000</v>
      </c>
      <c r="X15" s="80"/>
      <c r="Y15" s="80"/>
      <c r="Z15" s="101"/>
      <c r="AA15" s="128">
        <f>SUM(V15:Z16)</f>
        <v>89200000</v>
      </c>
      <c r="AB15" s="118">
        <f t="shared" si="0"/>
        <v>0.84533057538231138</v>
      </c>
      <c r="AC15" s="120"/>
      <c r="AD15" s="116" t="s">
        <v>48</v>
      </c>
      <c r="AE15" s="116" t="s">
        <v>49</v>
      </c>
      <c r="AF15" s="31"/>
      <c r="AG15" s="31"/>
      <c r="AH15" s="31"/>
      <c r="AI15" s="31"/>
    </row>
    <row r="16" spans="1:35" ht="96" customHeight="1" x14ac:dyDescent="0.25">
      <c r="A16" s="34">
        <v>72</v>
      </c>
      <c r="B16" s="36" t="s">
        <v>41</v>
      </c>
      <c r="C16" s="36" t="s">
        <v>42</v>
      </c>
      <c r="D16" s="97" t="s">
        <v>52</v>
      </c>
      <c r="E16" s="37" t="s">
        <v>56</v>
      </c>
      <c r="F16" s="38" t="s">
        <v>57</v>
      </c>
      <c r="G16" s="39">
        <v>20210680010003</v>
      </c>
      <c r="H16" s="102" t="s">
        <v>46</v>
      </c>
      <c r="I16" s="40" t="s">
        <v>236</v>
      </c>
      <c r="J16" s="41"/>
      <c r="K16" s="41"/>
      <c r="L16" s="133"/>
      <c r="M16" s="151"/>
      <c r="N16" s="123"/>
      <c r="O16" s="45" t="s">
        <v>58</v>
      </c>
      <c r="P16" s="77">
        <f>10000000+5520849</f>
        <v>15520849</v>
      </c>
      <c r="Q16" s="100"/>
      <c r="R16" s="82"/>
      <c r="S16" s="82"/>
      <c r="T16" s="100"/>
      <c r="U16" s="129"/>
      <c r="V16" s="100"/>
      <c r="W16" s="101"/>
      <c r="X16" s="80"/>
      <c r="Y16" s="80"/>
      <c r="Z16" s="101"/>
      <c r="AA16" s="129"/>
      <c r="AB16" s="119"/>
      <c r="AC16" s="121"/>
      <c r="AD16" s="117"/>
      <c r="AE16" s="117"/>
      <c r="AF16" s="31"/>
      <c r="AG16" s="31"/>
      <c r="AH16" s="31"/>
      <c r="AI16" s="31"/>
    </row>
    <row r="17" spans="1:35" ht="79.8" customHeight="1" x14ac:dyDescent="0.25">
      <c r="A17" s="33">
        <v>73</v>
      </c>
      <c r="B17" s="36" t="s">
        <v>41</v>
      </c>
      <c r="C17" s="36" t="s">
        <v>42</v>
      </c>
      <c r="D17" s="97" t="s">
        <v>52</v>
      </c>
      <c r="E17" s="37" t="s">
        <v>59</v>
      </c>
      <c r="F17" s="38" t="s">
        <v>60</v>
      </c>
      <c r="G17" s="39">
        <v>20210680010003</v>
      </c>
      <c r="H17" s="102" t="s">
        <v>46</v>
      </c>
      <c r="I17" s="40"/>
      <c r="J17" s="41">
        <v>44197</v>
      </c>
      <c r="K17" s="41">
        <v>44561</v>
      </c>
      <c r="L17" s="42">
        <v>1</v>
      </c>
      <c r="M17" s="43">
        <v>0.5</v>
      </c>
      <c r="N17" s="44">
        <f t="shared" ref="N17:N24" si="3">IFERROR(IF(M17/L17&gt;100%,100%,M17/L17),"-")</f>
        <v>0.5</v>
      </c>
      <c r="O17" s="45" t="s">
        <v>61</v>
      </c>
      <c r="P17" s="77">
        <v>10000000</v>
      </c>
      <c r="Q17" s="77">
        <v>70000000</v>
      </c>
      <c r="R17" s="82"/>
      <c r="S17" s="82"/>
      <c r="T17" s="79"/>
      <c r="U17" s="95">
        <f t="shared" si="2"/>
        <v>80000000</v>
      </c>
      <c r="V17" s="77">
        <v>10000000</v>
      </c>
      <c r="W17" s="80"/>
      <c r="X17" s="80"/>
      <c r="Y17" s="80"/>
      <c r="Z17" s="81"/>
      <c r="AA17" s="95">
        <f t="shared" si="1"/>
        <v>10000000</v>
      </c>
      <c r="AB17" s="47">
        <f t="shared" si="0"/>
        <v>0.125</v>
      </c>
      <c r="AC17" s="46"/>
      <c r="AD17" s="48" t="s">
        <v>48</v>
      </c>
      <c r="AE17" s="48" t="s">
        <v>49</v>
      </c>
      <c r="AF17" s="31"/>
      <c r="AG17" s="31"/>
      <c r="AH17" s="31"/>
      <c r="AI17" s="31"/>
    </row>
    <row r="18" spans="1:35" ht="85.8" customHeight="1" x14ac:dyDescent="0.25">
      <c r="A18" s="33">
        <v>74</v>
      </c>
      <c r="B18" s="36" t="s">
        <v>41</v>
      </c>
      <c r="C18" s="36" t="s">
        <v>42</v>
      </c>
      <c r="D18" s="97" t="s">
        <v>52</v>
      </c>
      <c r="E18" s="37" t="s">
        <v>62</v>
      </c>
      <c r="F18" s="38" t="s">
        <v>63</v>
      </c>
      <c r="G18" s="39">
        <v>20210680010003</v>
      </c>
      <c r="H18" s="102" t="s">
        <v>46</v>
      </c>
      <c r="I18" s="40"/>
      <c r="J18" s="41">
        <v>44197</v>
      </c>
      <c r="K18" s="41">
        <v>44561</v>
      </c>
      <c r="L18" s="42">
        <v>1</v>
      </c>
      <c r="M18" s="43">
        <v>0.9</v>
      </c>
      <c r="N18" s="44">
        <f t="shared" si="3"/>
        <v>0.9</v>
      </c>
      <c r="O18" s="45" t="s">
        <v>64</v>
      </c>
      <c r="P18" s="77">
        <f>12500000+10000000</f>
        <v>22500000</v>
      </c>
      <c r="Q18" s="77">
        <v>50000000</v>
      </c>
      <c r="R18" s="82"/>
      <c r="S18" s="82"/>
      <c r="T18" s="79"/>
      <c r="U18" s="95">
        <f t="shared" si="2"/>
        <v>72500000</v>
      </c>
      <c r="V18" s="77">
        <f>12500000+10000000</f>
        <v>22500000</v>
      </c>
      <c r="W18" s="86">
        <v>1886133</v>
      </c>
      <c r="X18" s="80"/>
      <c r="Y18" s="80"/>
      <c r="Z18" s="81"/>
      <c r="AA18" s="95">
        <f t="shared" si="1"/>
        <v>24386133</v>
      </c>
      <c r="AB18" s="47">
        <f t="shared" si="0"/>
        <v>0.33636045517241381</v>
      </c>
      <c r="AC18" s="46"/>
      <c r="AD18" s="48" t="s">
        <v>48</v>
      </c>
      <c r="AE18" s="48" t="s">
        <v>49</v>
      </c>
      <c r="AF18" s="31"/>
      <c r="AG18" s="31"/>
      <c r="AH18" s="31"/>
      <c r="AI18" s="31"/>
    </row>
    <row r="19" spans="1:35" ht="85.8" customHeight="1" x14ac:dyDescent="0.25">
      <c r="A19" s="33">
        <v>75</v>
      </c>
      <c r="B19" s="36" t="s">
        <v>41</v>
      </c>
      <c r="C19" s="36" t="s">
        <v>42</v>
      </c>
      <c r="D19" s="97" t="s">
        <v>52</v>
      </c>
      <c r="E19" s="37" t="s">
        <v>65</v>
      </c>
      <c r="F19" s="38" t="s">
        <v>66</v>
      </c>
      <c r="G19" s="39">
        <v>20210680010003</v>
      </c>
      <c r="H19" s="102" t="s">
        <v>46</v>
      </c>
      <c r="I19" s="40"/>
      <c r="J19" s="41">
        <v>44197</v>
      </c>
      <c r="K19" s="41">
        <v>44561</v>
      </c>
      <c r="L19" s="42">
        <v>1</v>
      </c>
      <c r="M19" s="56">
        <v>1</v>
      </c>
      <c r="N19" s="44">
        <f t="shared" si="3"/>
        <v>1</v>
      </c>
      <c r="O19" s="45" t="s">
        <v>67</v>
      </c>
      <c r="P19" s="77">
        <f>10000000+10000000</f>
        <v>20000000</v>
      </c>
      <c r="Q19" s="82"/>
      <c r="R19" s="82"/>
      <c r="S19" s="82"/>
      <c r="T19" s="79"/>
      <c r="U19" s="95">
        <f t="shared" si="2"/>
        <v>20000000</v>
      </c>
      <c r="V19" s="77">
        <f>4000000+10000000</f>
        <v>14000000</v>
      </c>
      <c r="W19" s="80"/>
      <c r="X19" s="80"/>
      <c r="Y19" s="80"/>
      <c r="Z19" s="81"/>
      <c r="AA19" s="95">
        <f t="shared" si="1"/>
        <v>14000000</v>
      </c>
      <c r="AB19" s="47">
        <f t="shared" si="0"/>
        <v>0.7</v>
      </c>
      <c r="AC19" s="46"/>
      <c r="AD19" s="48" t="s">
        <v>48</v>
      </c>
      <c r="AE19" s="48" t="s">
        <v>49</v>
      </c>
      <c r="AF19" s="31"/>
      <c r="AG19" s="31"/>
      <c r="AH19" s="31"/>
      <c r="AI19" s="31"/>
    </row>
    <row r="20" spans="1:35" ht="79.8" customHeight="1" x14ac:dyDescent="0.25">
      <c r="A20" s="33">
        <v>76</v>
      </c>
      <c r="B20" s="36" t="s">
        <v>41</v>
      </c>
      <c r="C20" s="36" t="s">
        <v>42</v>
      </c>
      <c r="D20" s="97" t="s">
        <v>52</v>
      </c>
      <c r="E20" s="37" t="s">
        <v>68</v>
      </c>
      <c r="F20" s="38" t="s">
        <v>69</v>
      </c>
      <c r="G20" s="39">
        <v>20210680010003</v>
      </c>
      <c r="H20" s="102" t="s">
        <v>46</v>
      </c>
      <c r="I20" s="40"/>
      <c r="J20" s="41">
        <v>44197</v>
      </c>
      <c r="K20" s="41">
        <v>44561</v>
      </c>
      <c r="L20" s="42">
        <v>1</v>
      </c>
      <c r="M20" s="57">
        <v>0.9</v>
      </c>
      <c r="N20" s="44">
        <f t="shared" si="3"/>
        <v>0.9</v>
      </c>
      <c r="O20" s="45" t="s">
        <v>58</v>
      </c>
      <c r="P20" s="77">
        <f>10000000+5000000</f>
        <v>15000000</v>
      </c>
      <c r="Q20" s="82"/>
      <c r="R20" s="82"/>
      <c r="S20" s="82"/>
      <c r="T20" s="79"/>
      <c r="U20" s="95">
        <f t="shared" si="2"/>
        <v>15000000</v>
      </c>
      <c r="V20" s="77">
        <v>12950064</v>
      </c>
      <c r="W20" s="80"/>
      <c r="X20" s="80"/>
      <c r="Y20" s="80"/>
      <c r="Z20" s="81"/>
      <c r="AA20" s="95">
        <f t="shared" si="1"/>
        <v>12950064</v>
      </c>
      <c r="AB20" s="47">
        <f t="shared" si="0"/>
        <v>0.86333760000000004</v>
      </c>
      <c r="AC20" s="46"/>
      <c r="AD20" s="48" t="s">
        <v>48</v>
      </c>
      <c r="AE20" s="48" t="s">
        <v>49</v>
      </c>
      <c r="AF20" s="31"/>
      <c r="AG20" s="31"/>
      <c r="AH20" s="31"/>
      <c r="AI20" s="31"/>
    </row>
    <row r="21" spans="1:35" ht="83.4" customHeight="1" x14ac:dyDescent="0.25">
      <c r="A21" s="33">
        <v>77</v>
      </c>
      <c r="B21" s="36" t="s">
        <v>41</v>
      </c>
      <c r="C21" s="36" t="s">
        <v>42</v>
      </c>
      <c r="D21" s="97" t="s">
        <v>52</v>
      </c>
      <c r="E21" s="37" t="s">
        <v>70</v>
      </c>
      <c r="F21" s="38" t="s">
        <v>71</v>
      </c>
      <c r="G21" s="39">
        <v>20210680010003</v>
      </c>
      <c r="H21" s="102" t="s">
        <v>46</v>
      </c>
      <c r="I21" s="40"/>
      <c r="J21" s="41">
        <v>44197</v>
      </c>
      <c r="K21" s="41">
        <v>44561</v>
      </c>
      <c r="L21" s="42">
        <v>1</v>
      </c>
      <c r="M21" s="56">
        <v>4</v>
      </c>
      <c r="N21" s="44">
        <f t="shared" si="3"/>
        <v>1</v>
      </c>
      <c r="O21" s="45" t="s">
        <v>261</v>
      </c>
      <c r="P21" s="77">
        <f>40000000+20000000-15000000-40000000</f>
        <v>5000000</v>
      </c>
      <c r="Q21" s="82"/>
      <c r="R21" s="82"/>
      <c r="S21" s="82"/>
      <c r="T21" s="79"/>
      <c r="U21" s="95">
        <f t="shared" si="2"/>
        <v>5000000</v>
      </c>
      <c r="V21" s="77">
        <f>9600000/2</f>
        <v>4800000</v>
      </c>
      <c r="W21" s="80"/>
      <c r="X21" s="80"/>
      <c r="Y21" s="80"/>
      <c r="Z21" s="81"/>
      <c r="AA21" s="95">
        <f t="shared" si="1"/>
        <v>4800000</v>
      </c>
      <c r="AB21" s="47">
        <f t="shared" si="0"/>
        <v>0.96</v>
      </c>
      <c r="AC21" s="46"/>
      <c r="AD21" s="48" t="s">
        <v>48</v>
      </c>
      <c r="AE21" s="48" t="s">
        <v>49</v>
      </c>
      <c r="AF21" s="31"/>
      <c r="AG21" s="31"/>
      <c r="AH21" s="31"/>
      <c r="AI21" s="31"/>
    </row>
    <row r="22" spans="1:35" ht="81" customHeight="1" x14ac:dyDescent="0.25">
      <c r="A22" s="33">
        <v>78</v>
      </c>
      <c r="B22" s="36" t="s">
        <v>41</v>
      </c>
      <c r="C22" s="36" t="s">
        <v>42</v>
      </c>
      <c r="D22" s="97" t="s">
        <v>52</v>
      </c>
      <c r="E22" s="37" t="s">
        <v>72</v>
      </c>
      <c r="F22" s="38" t="s">
        <v>73</v>
      </c>
      <c r="G22" s="39">
        <v>20210680010003</v>
      </c>
      <c r="H22" s="102" t="s">
        <v>46</v>
      </c>
      <c r="I22" s="40"/>
      <c r="J22" s="41">
        <v>44197</v>
      </c>
      <c r="K22" s="41">
        <v>44561</v>
      </c>
      <c r="L22" s="42">
        <v>1</v>
      </c>
      <c r="M22" s="43">
        <v>0.9</v>
      </c>
      <c r="N22" s="44">
        <f t="shared" si="3"/>
        <v>0.9</v>
      </c>
      <c r="O22" s="45" t="s">
        <v>74</v>
      </c>
      <c r="P22" s="77">
        <f>150000000+1901217+10000000</f>
        <v>161901217</v>
      </c>
      <c r="Q22" s="82"/>
      <c r="R22" s="82"/>
      <c r="S22" s="82"/>
      <c r="T22" s="79"/>
      <c r="U22" s="95">
        <f t="shared" si="2"/>
        <v>161901217</v>
      </c>
      <c r="V22" s="77">
        <f>10000000+150000000</f>
        <v>160000000</v>
      </c>
      <c r="W22" s="80"/>
      <c r="X22" s="80"/>
      <c r="Y22" s="80"/>
      <c r="Z22" s="81"/>
      <c r="AA22" s="95">
        <f t="shared" si="1"/>
        <v>160000000</v>
      </c>
      <c r="AB22" s="47">
        <f t="shared" si="0"/>
        <v>0.98825693200317322</v>
      </c>
      <c r="AC22" s="46"/>
      <c r="AD22" s="48" t="s">
        <v>48</v>
      </c>
      <c r="AE22" s="48" t="s">
        <v>49</v>
      </c>
      <c r="AF22" s="31"/>
      <c r="AG22" s="31"/>
      <c r="AH22" s="31"/>
      <c r="AI22" s="31"/>
    </row>
    <row r="23" spans="1:35" ht="55.2" x14ac:dyDescent="0.25">
      <c r="A23" s="33">
        <v>79</v>
      </c>
      <c r="B23" s="36" t="s">
        <v>41</v>
      </c>
      <c r="C23" s="36" t="s">
        <v>42</v>
      </c>
      <c r="D23" s="97" t="s">
        <v>75</v>
      </c>
      <c r="E23" s="37" t="s">
        <v>76</v>
      </c>
      <c r="F23" s="38" t="s">
        <v>77</v>
      </c>
      <c r="G23" s="39">
        <v>20210680010003</v>
      </c>
      <c r="H23" s="102" t="s">
        <v>46</v>
      </c>
      <c r="I23" s="40"/>
      <c r="J23" s="41">
        <v>44197</v>
      </c>
      <c r="K23" s="41">
        <v>44561</v>
      </c>
      <c r="L23" s="42">
        <v>1</v>
      </c>
      <c r="M23" s="43">
        <v>0.5</v>
      </c>
      <c r="N23" s="44">
        <f t="shared" si="3"/>
        <v>0.5</v>
      </c>
      <c r="O23" s="45" t="s">
        <v>58</v>
      </c>
      <c r="P23" s="77">
        <v>18000000</v>
      </c>
      <c r="Q23" s="82"/>
      <c r="R23" s="82"/>
      <c r="S23" s="82"/>
      <c r="T23" s="79"/>
      <c r="U23" s="95">
        <f t="shared" si="2"/>
        <v>18000000</v>
      </c>
      <c r="V23" s="77">
        <v>5000000</v>
      </c>
      <c r="W23" s="80"/>
      <c r="X23" s="80"/>
      <c r="Y23" s="80"/>
      <c r="Z23" s="81"/>
      <c r="AA23" s="95">
        <f t="shared" si="1"/>
        <v>5000000</v>
      </c>
      <c r="AB23" s="47">
        <f t="shared" si="0"/>
        <v>0.27777777777777779</v>
      </c>
      <c r="AC23" s="46"/>
      <c r="AD23" s="48" t="s">
        <v>48</v>
      </c>
      <c r="AE23" s="48" t="s">
        <v>49</v>
      </c>
      <c r="AF23" s="31"/>
      <c r="AG23" s="31"/>
      <c r="AH23" s="31"/>
      <c r="AI23" s="31"/>
    </row>
    <row r="24" spans="1:35" ht="55.2" x14ac:dyDescent="0.25">
      <c r="A24" s="33">
        <v>80</v>
      </c>
      <c r="B24" s="36" t="s">
        <v>41</v>
      </c>
      <c r="C24" s="36" t="s">
        <v>42</v>
      </c>
      <c r="D24" s="98" t="s">
        <v>75</v>
      </c>
      <c r="E24" s="58" t="s">
        <v>93</v>
      </c>
      <c r="F24" s="55" t="s">
        <v>94</v>
      </c>
      <c r="G24" s="39">
        <v>20210680010003</v>
      </c>
      <c r="H24" s="102" t="s">
        <v>46</v>
      </c>
      <c r="I24" s="40"/>
      <c r="J24" s="41">
        <v>44197</v>
      </c>
      <c r="K24" s="41">
        <v>44561</v>
      </c>
      <c r="L24" s="135">
        <v>50000</v>
      </c>
      <c r="M24" s="136">
        <v>9000</v>
      </c>
      <c r="N24" s="137">
        <f t="shared" si="3"/>
        <v>0.18</v>
      </c>
      <c r="O24" s="45" t="s">
        <v>58</v>
      </c>
      <c r="P24" s="77">
        <v>10000000</v>
      </c>
      <c r="Q24" s="82"/>
      <c r="R24" s="82"/>
      <c r="S24" s="82"/>
      <c r="T24" s="79"/>
      <c r="U24" s="138">
        <f>SUM(P24:T25)</f>
        <v>11901217</v>
      </c>
      <c r="V24" s="77">
        <f>9600000/2+5000000</f>
        <v>9800000</v>
      </c>
      <c r="W24" s="80"/>
      <c r="X24" s="80"/>
      <c r="Y24" s="80"/>
      <c r="Z24" s="81"/>
      <c r="AA24" s="138">
        <f>SUM(V24:Z25)</f>
        <v>9800000</v>
      </c>
      <c r="AB24" s="152">
        <f t="shared" ref="AB24" si="4">IFERROR(AA24/U24,"-")</f>
        <v>0.82344519892377388</v>
      </c>
      <c r="AC24" s="153"/>
      <c r="AD24" s="134" t="s">
        <v>48</v>
      </c>
      <c r="AE24" s="134" t="s">
        <v>49</v>
      </c>
      <c r="AF24" s="31"/>
      <c r="AG24" s="31"/>
      <c r="AH24" s="31"/>
      <c r="AI24" s="31"/>
    </row>
    <row r="25" spans="1:35" ht="55.2" x14ac:dyDescent="0.25">
      <c r="A25" s="33">
        <v>80</v>
      </c>
      <c r="B25" s="36" t="s">
        <v>41</v>
      </c>
      <c r="C25" s="36" t="s">
        <v>42</v>
      </c>
      <c r="D25" s="98" t="s">
        <v>75</v>
      </c>
      <c r="E25" s="58" t="s">
        <v>93</v>
      </c>
      <c r="F25" s="55" t="s">
        <v>94</v>
      </c>
      <c r="G25" s="60"/>
      <c r="H25" s="65" t="s">
        <v>258</v>
      </c>
      <c r="I25" s="40"/>
      <c r="J25" s="41"/>
      <c r="K25" s="41"/>
      <c r="L25" s="135"/>
      <c r="M25" s="136"/>
      <c r="N25" s="137"/>
      <c r="O25" s="45" t="s">
        <v>58</v>
      </c>
      <c r="P25" s="77">
        <f>190000000+121901217-310000000</f>
        <v>1901217</v>
      </c>
      <c r="Q25" s="82"/>
      <c r="R25" s="82"/>
      <c r="S25" s="82"/>
      <c r="T25" s="79"/>
      <c r="U25" s="138"/>
      <c r="V25" s="77"/>
      <c r="W25" s="80"/>
      <c r="X25" s="80"/>
      <c r="Y25" s="80"/>
      <c r="Z25" s="81"/>
      <c r="AA25" s="138"/>
      <c r="AB25" s="152"/>
      <c r="AC25" s="153"/>
      <c r="AD25" s="134"/>
      <c r="AE25" s="134"/>
      <c r="AF25" s="31"/>
      <c r="AG25" s="31"/>
      <c r="AH25" s="31"/>
      <c r="AI25" s="31"/>
    </row>
    <row r="26" spans="1:35" ht="78.599999999999994" customHeight="1" x14ac:dyDescent="0.25">
      <c r="A26" s="33">
        <v>81</v>
      </c>
      <c r="B26" s="36" t="s">
        <v>41</v>
      </c>
      <c r="C26" s="36" t="s">
        <v>42</v>
      </c>
      <c r="D26" s="97" t="s">
        <v>75</v>
      </c>
      <c r="E26" s="37" t="s">
        <v>78</v>
      </c>
      <c r="F26" s="38" t="s">
        <v>79</v>
      </c>
      <c r="G26" s="39">
        <v>20210680010003</v>
      </c>
      <c r="H26" s="102" t="s">
        <v>46</v>
      </c>
      <c r="I26" s="40"/>
      <c r="J26" s="41">
        <v>44197</v>
      </c>
      <c r="K26" s="41">
        <v>44561</v>
      </c>
      <c r="L26" s="42">
        <v>1</v>
      </c>
      <c r="M26" s="43">
        <v>0.4</v>
      </c>
      <c r="N26" s="44">
        <f t="shared" ref="N26:N34" si="5">IFERROR(IF(M26/L26&gt;100%,100%,M26/L26),"-")</f>
        <v>0.4</v>
      </c>
      <c r="O26" s="45" t="s">
        <v>80</v>
      </c>
      <c r="P26" s="77">
        <f>30000000+ 10000000+100000000+140000000-134500000-63802434+105000000</f>
        <v>186697566</v>
      </c>
      <c r="Q26" s="82"/>
      <c r="R26" s="82"/>
      <c r="S26" s="82"/>
      <c r="T26" s="79"/>
      <c r="U26" s="95">
        <f t="shared" ref="U26:U33" si="6">SUM(P26:T26)</f>
        <v>186697566</v>
      </c>
      <c r="V26" s="77">
        <f>20000000+16000000+149935500</f>
        <v>185935500</v>
      </c>
      <c r="W26" s="80"/>
      <c r="X26" s="80"/>
      <c r="Y26" s="80"/>
      <c r="Z26" s="81"/>
      <c r="AA26" s="95">
        <f t="shared" ref="AA26:AA33" si="7">SUM(V26:Z26)</f>
        <v>185935500</v>
      </c>
      <c r="AB26" s="47">
        <f t="shared" si="0"/>
        <v>0.99591817924396508</v>
      </c>
      <c r="AC26" s="46"/>
      <c r="AD26" s="48" t="s">
        <v>48</v>
      </c>
      <c r="AE26" s="48" t="s">
        <v>49</v>
      </c>
      <c r="AF26" s="31"/>
      <c r="AG26" s="31"/>
      <c r="AH26" s="31"/>
      <c r="AI26" s="31"/>
    </row>
    <row r="27" spans="1:35" ht="78.599999999999994" customHeight="1" x14ac:dyDescent="0.25">
      <c r="A27" s="33">
        <v>82</v>
      </c>
      <c r="B27" s="36" t="s">
        <v>41</v>
      </c>
      <c r="C27" s="36" t="s">
        <v>42</v>
      </c>
      <c r="D27" s="97" t="s">
        <v>75</v>
      </c>
      <c r="E27" s="37" t="s">
        <v>81</v>
      </c>
      <c r="F27" s="38" t="s">
        <v>82</v>
      </c>
      <c r="G27" s="39">
        <v>20210680010003</v>
      </c>
      <c r="H27" s="102" t="s">
        <v>46</v>
      </c>
      <c r="I27" s="40"/>
      <c r="J27" s="41">
        <v>44197</v>
      </c>
      <c r="K27" s="41">
        <v>44561</v>
      </c>
      <c r="L27" s="61">
        <v>1</v>
      </c>
      <c r="M27" s="62">
        <v>1</v>
      </c>
      <c r="N27" s="44">
        <f t="shared" si="5"/>
        <v>1</v>
      </c>
      <c r="O27" s="45" t="s">
        <v>58</v>
      </c>
      <c r="P27" s="77">
        <f>30000000+10000000</f>
        <v>40000000</v>
      </c>
      <c r="Q27" s="82"/>
      <c r="R27" s="82"/>
      <c r="S27" s="82"/>
      <c r="T27" s="79"/>
      <c r="U27" s="95">
        <f t="shared" si="6"/>
        <v>40000000</v>
      </c>
      <c r="V27" s="77">
        <f>11124930+18875070-104930+8462035</f>
        <v>38357105</v>
      </c>
      <c r="W27" s="80"/>
      <c r="X27" s="80"/>
      <c r="Y27" s="80"/>
      <c r="Z27" s="81"/>
      <c r="AA27" s="95">
        <f t="shared" si="7"/>
        <v>38357105</v>
      </c>
      <c r="AB27" s="47">
        <f t="shared" si="0"/>
        <v>0.95892762499999995</v>
      </c>
      <c r="AC27" s="46"/>
      <c r="AD27" s="48" t="s">
        <v>48</v>
      </c>
      <c r="AE27" s="48" t="s">
        <v>49</v>
      </c>
      <c r="AF27" s="31"/>
      <c r="AG27" s="31"/>
      <c r="AH27" s="31"/>
      <c r="AI27" s="31"/>
    </row>
    <row r="28" spans="1:35" ht="78.599999999999994" customHeight="1" x14ac:dyDescent="0.25">
      <c r="A28" s="33">
        <v>83</v>
      </c>
      <c r="B28" s="36" t="s">
        <v>41</v>
      </c>
      <c r="C28" s="36" t="s">
        <v>42</v>
      </c>
      <c r="D28" s="97" t="s">
        <v>75</v>
      </c>
      <c r="E28" s="37" t="s">
        <v>83</v>
      </c>
      <c r="F28" s="38" t="s">
        <v>84</v>
      </c>
      <c r="G28" s="39">
        <v>20210680010003</v>
      </c>
      <c r="H28" s="102" t="s">
        <v>46</v>
      </c>
      <c r="I28" s="40"/>
      <c r="J28" s="41">
        <v>44197</v>
      </c>
      <c r="K28" s="41">
        <v>44561</v>
      </c>
      <c r="L28" s="42">
        <v>1</v>
      </c>
      <c r="M28" s="56">
        <v>1</v>
      </c>
      <c r="N28" s="44">
        <f t="shared" si="5"/>
        <v>1</v>
      </c>
      <c r="O28" s="45" t="s">
        <v>58</v>
      </c>
      <c r="P28" s="77">
        <f>30000000-10000000</f>
        <v>20000000</v>
      </c>
      <c r="Q28" s="82"/>
      <c r="R28" s="82"/>
      <c r="S28" s="82"/>
      <c r="T28" s="79"/>
      <c r="U28" s="95">
        <f t="shared" si="6"/>
        <v>20000000</v>
      </c>
      <c r="V28" s="77">
        <f>6000000+14000000</f>
        <v>20000000</v>
      </c>
      <c r="W28" s="80"/>
      <c r="X28" s="80"/>
      <c r="Y28" s="80"/>
      <c r="Z28" s="81"/>
      <c r="AA28" s="95">
        <f t="shared" si="7"/>
        <v>20000000</v>
      </c>
      <c r="AB28" s="47">
        <f t="shared" si="0"/>
        <v>1</v>
      </c>
      <c r="AC28" s="46"/>
      <c r="AD28" s="48" t="s">
        <v>48</v>
      </c>
      <c r="AE28" s="48" t="s">
        <v>49</v>
      </c>
      <c r="AF28" s="31"/>
      <c r="AG28" s="31"/>
      <c r="AH28" s="31"/>
      <c r="AI28" s="31"/>
    </row>
    <row r="29" spans="1:35" ht="78.599999999999994" customHeight="1" x14ac:dyDescent="0.25">
      <c r="A29" s="33">
        <v>84</v>
      </c>
      <c r="B29" s="36" t="s">
        <v>41</v>
      </c>
      <c r="C29" s="36" t="s">
        <v>42</v>
      </c>
      <c r="D29" s="97" t="s">
        <v>75</v>
      </c>
      <c r="E29" s="37" t="s">
        <v>85</v>
      </c>
      <c r="F29" s="38" t="s">
        <v>86</v>
      </c>
      <c r="G29" s="39">
        <v>20210680010003</v>
      </c>
      <c r="H29" s="102" t="s">
        <v>46</v>
      </c>
      <c r="I29" s="40"/>
      <c r="J29" s="41">
        <v>44197</v>
      </c>
      <c r="K29" s="41">
        <v>44561</v>
      </c>
      <c r="L29" s="42">
        <v>2</v>
      </c>
      <c r="M29" s="56">
        <v>1</v>
      </c>
      <c r="N29" s="44">
        <f t="shared" si="5"/>
        <v>0.5</v>
      </c>
      <c r="O29" s="45" t="s">
        <v>58</v>
      </c>
      <c r="P29" s="77">
        <v>30000000</v>
      </c>
      <c r="Q29" s="78"/>
      <c r="R29" s="78"/>
      <c r="S29" s="78"/>
      <c r="T29" s="79"/>
      <c r="U29" s="95">
        <f t="shared" si="6"/>
        <v>30000000</v>
      </c>
      <c r="V29" s="77">
        <v>28000000</v>
      </c>
      <c r="W29" s="80"/>
      <c r="X29" s="80"/>
      <c r="Y29" s="80"/>
      <c r="Z29" s="81"/>
      <c r="AA29" s="95">
        <f t="shared" si="7"/>
        <v>28000000</v>
      </c>
      <c r="AB29" s="47">
        <f t="shared" si="0"/>
        <v>0.93333333333333335</v>
      </c>
      <c r="AC29" s="46"/>
      <c r="AD29" s="48" t="s">
        <v>48</v>
      </c>
      <c r="AE29" s="48" t="s">
        <v>49</v>
      </c>
      <c r="AF29" s="31"/>
      <c r="AG29" s="31"/>
      <c r="AH29" s="31"/>
      <c r="AI29" s="31"/>
    </row>
    <row r="30" spans="1:35" ht="79.8" customHeight="1" x14ac:dyDescent="0.25">
      <c r="A30" s="33">
        <v>88</v>
      </c>
      <c r="B30" s="36" t="s">
        <v>41</v>
      </c>
      <c r="C30" s="36" t="s">
        <v>42</v>
      </c>
      <c r="D30" s="97" t="s">
        <v>99</v>
      </c>
      <c r="E30" s="37" t="s">
        <v>103</v>
      </c>
      <c r="F30" s="38" t="s">
        <v>104</v>
      </c>
      <c r="G30" s="39">
        <v>20200680010040</v>
      </c>
      <c r="H30" s="102" t="s">
        <v>102</v>
      </c>
      <c r="I30" s="103"/>
      <c r="J30" s="41">
        <v>44197</v>
      </c>
      <c r="K30" s="41">
        <v>44561</v>
      </c>
      <c r="L30" s="42">
        <v>11000</v>
      </c>
      <c r="M30" s="56">
        <v>10840</v>
      </c>
      <c r="N30" s="44">
        <f t="shared" si="5"/>
        <v>0.98545454545454547</v>
      </c>
      <c r="O30" s="45" t="s">
        <v>105</v>
      </c>
      <c r="P30" s="77">
        <f>120000000-1000000</f>
        <v>119000000</v>
      </c>
      <c r="Q30" s="77"/>
      <c r="R30" s="77"/>
      <c r="S30" s="77"/>
      <c r="T30" s="79"/>
      <c r="U30" s="95">
        <f t="shared" si="6"/>
        <v>119000000</v>
      </c>
      <c r="V30" s="77">
        <f>40800000+14400000+4000000+720000</f>
        <v>59920000</v>
      </c>
      <c r="W30" s="80"/>
      <c r="X30" s="80"/>
      <c r="Y30" s="77"/>
      <c r="Z30" s="81"/>
      <c r="AA30" s="95">
        <f t="shared" si="7"/>
        <v>59920000</v>
      </c>
      <c r="AB30" s="47">
        <f>IFERROR(AA30/U30,"-")</f>
        <v>0.50352941176470589</v>
      </c>
      <c r="AC30" s="46"/>
      <c r="AD30" s="48" t="s">
        <v>48</v>
      </c>
      <c r="AE30" s="48" t="s">
        <v>49</v>
      </c>
      <c r="AF30" s="31"/>
      <c r="AG30" s="31"/>
      <c r="AH30" s="31"/>
      <c r="AI30" s="31"/>
    </row>
    <row r="31" spans="1:35" ht="81" customHeight="1" x14ac:dyDescent="0.25">
      <c r="A31" s="33">
        <v>89</v>
      </c>
      <c r="B31" s="36" t="s">
        <v>41</v>
      </c>
      <c r="C31" s="36" t="s">
        <v>42</v>
      </c>
      <c r="D31" s="98" t="s">
        <v>99</v>
      </c>
      <c r="E31" s="58" t="s">
        <v>100</v>
      </c>
      <c r="F31" s="55" t="s">
        <v>101</v>
      </c>
      <c r="G31" s="39">
        <v>20200680010040</v>
      </c>
      <c r="H31" s="102" t="s">
        <v>102</v>
      </c>
      <c r="I31" s="106" t="s">
        <v>257</v>
      </c>
      <c r="J31" s="63">
        <v>44197</v>
      </c>
      <c r="K31" s="63">
        <v>44561</v>
      </c>
      <c r="L31" s="49">
        <v>25000</v>
      </c>
      <c r="M31" s="59">
        <v>25020</v>
      </c>
      <c r="N31" s="51">
        <f t="shared" si="5"/>
        <v>1</v>
      </c>
      <c r="O31" s="45" t="s">
        <v>255</v>
      </c>
      <c r="P31" s="77">
        <f>2014339181.01+120000000+100000000-230000000-634000000+46000000+603350727</f>
        <v>2019689908.0100002</v>
      </c>
      <c r="Q31" s="77"/>
      <c r="R31" s="77"/>
      <c r="S31" s="77"/>
      <c r="T31" s="77">
        <v>850649274</v>
      </c>
      <c r="U31" s="96">
        <f t="shared" si="6"/>
        <v>2870339182.0100002</v>
      </c>
      <c r="V31" s="77">
        <f>200000000+104000000+141645703.83+518292494+49245310+649350726</f>
        <v>1662534233.8299999</v>
      </c>
      <c r="W31" s="80"/>
      <c r="X31" s="80"/>
      <c r="Y31" s="80"/>
      <c r="Z31" s="77">
        <f>246245039.9+123396535.2</f>
        <v>369641575.10000002</v>
      </c>
      <c r="AA31" s="96">
        <f t="shared" si="7"/>
        <v>2032175808.9299998</v>
      </c>
      <c r="AB31" s="47">
        <f>IFERROR(AA31/U31,"-")</f>
        <v>0.70799152297636714</v>
      </c>
      <c r="AC31" s="46">
        <v>80496000</v>
      </c>
      <c r="AD31" s="48" t="s">
        <v>48</v>
      </c>
      <c r="AE31" s="48" t="s">
        <v>49</v>
      </c>
      <c r="AF31" s="31"/>
      <c r="AG31" s="31"/>
      <c r="AH31" s="31"/>
      <c r="AI31" s="31"/>
    </row>
    <row r="32" spans="1:35" ht="64.8" customHeight="1" x14ac:dyDescent="0.25">
      <c r="A32" s="33">
        <v>90</v>
      </c>
      <c r="B32" s="36" t="s">
        <v>41</v>
      </c>
      <c r="C32" s="36" t="s">
        <v>42</v>
      </c>
      <c r="D32" s="97" t="s">
        <v>99</v>
      </c>
      <c r="E32" s="37" t="s">
        <v>106</v>
      </c>
      <c r="F32" s="38" t="s">
        <v>107</v>
      </c>
      <c r="G32" s="39">
        <v>20200680010040</v>
      </c>
      <c r="H32" s="102" t="s">
        <v>102</v>
      </c>
      <c r="I32" s="106" t="s">
        <v>257</v>
      </c>
      <c r="J32" s="41">
        <v>44197</v>
      </c>
      <c r="K32" s="41">
        <v>44561</v>
      </c>
      <c r="L32" s="42">
        <v>2000</v>
      </c>
      <c r="M32" s="56">
        <v>3101</v>
      </c>
      <c r="N32" s="44">
        <f t="shared" si="5"/>
        <v>1</v>
      </c>
      <c r="O32" s="45" t="s">
        <v>108</v>
      </c>
      <c r="P32" s="77">
        <f>150000000-24000000-24000000-10000000-10000000</f>
        <v>82000000</v>
      </c>
      <c r="Q32" s="77"/>
      <c r="R32" s="77"/>
      <c r="S32" s="77"/>
      <c r="T32" s="87"/>
      <c r="U32" s="95">
        <f t="shared" si="6"/>
        <v>82000000</v>
      </c>
      <c r="V32" s="77">
        <v>20000000</v>
      </c>
      <c r="W32" s="80"/>
      <c r="X32" s="80"/>
      <c r="Y32" s="77"/>
      <c r="Z32" s="77"/>
      <c r="AA32" s="95">
        <f t="shared" si="7"/>
        <v>20000000</v>
      </c>
      <c r="AB32" s="47">
        <f t="shared" ref="AB32:AB38" si="8">IFERROR(AA32/U32,"-")</f>
        <v>0.24390243902439024</v>
      </c>
      <c r="AC32" s="46"/>
      <c r="AD32" s="48" t="s">
        <v>48</v>
      </c>
      <c r="AE32" s="48" t="s">
        <v>49</v>
      </c>
      <c r="AF32" s="31"/>
      <c r="AG32" s="31"/>
      <c r="AH32" s="31"/>
      <c r="AI32" s="31"/>
    </row>
    <row r="33" spans="1:35" ht="64.8" customHeight="1" x14ac:dyDescent="0.25">
      <c r="A33" s="33">
        <v>91</v>
      </c>
      <c r="B33" s="36" t="s">
        <v>41</v>
      </c>
      <c r="C33" s="36" t="s">
        <v>42</v>
      </c>
      <c r="D33" s="97" t="s">
        <v>99</v>
      </c>
      <c r="E33" s="37" t="s">
        <v>109</v>
      </c>
      <c r="F33" s="38" t="s">
        <v>110</v>
      </c>
      <c r="G33" s="39">
        <v>20200680010040</v>
      </c>
      <c r="H33" s="102" t="s">
        <v>102</v>
      </c>
      <c r="I33" s="106" t="s">
        <v>257</v>
      </c>
      <c r="J33" s="41">
        <v>44197</v>
      </c>
      <c r="K33" s="41">
        <v>44561</v>
      </c>
      <c r="L33" s="61">
        <v>1</v>
      </c>
      <c r="M33" s="62">
        <v>1</v>
      </c>
      <c r="N33" s="44">
        <f t="shared" si="5"/>
        <v>1</v>
      </c>
      <c r="O33" s="45" t="s">
        <v>256</v>
      </c>
      <c r="P33" s="77">
        <f>150000000+44909000+54500000+40000000</f>
        <v>289409000</v>
      </c>
      <c r="Q33" s="77"/>
      <c r="R33" s="77"/>
      <c r="S33" s="77"/>
      <c r="T33" s="87"/>
      <c r="U33" s="95">
        <f t="shared" si="6"/>
        <v>289409000</v>
      </c>
      <c r="V33" s="77">
        <f>31320000+23490000+140099000+54500000+40000000</f>
        <v>289409000</v>
      </c>
      <c r="W33" s="80"/>
      <c r="X33" s="80"/>
      <c r="Y33" s="77"/>
      <c r="Z33" s="77"/>
      <c r="AA33" s="95">
        <f t="shared" si="7"/>
        <v>289409000</v>
      </c>
      <c r="AB33" s="47">
        <f t="shared" si="8"/>
        <v>1</v>
      </c>
      <c r="AC33" s="46"/>
      <c r="AD33" s="48" t="s">
        <v>48</v>
      </c>
      <c r="AE33" s="48" t="s">
        <v>49</v>
      </c>
      <c r="AF33" s="31"/>
      <c r="AG33" s="31"/>
      <c r="AH33" s="31"/>
      <c r="AI33" s="31"/>
    </row>
    <row r="34" spans="1:35" ht="64.8" customHeight="1" x14ac:dyDescent="0.25">
      <c r="A34" s="33">
        <v>92</v>
      </c>
      <c r="B34" s="36" t="s">
        <v>41</v>
      </c>
      <c r="C34" s="36" t="s">
        <v>42</v>
      </c>
      <c r="D34" s="97" t="s">
        <v>99</v>
      </c>
      <c r="E34" s="37" t="s">
        <v>111</v>
      </c>
      <c r="F34" s="38" t="s">
        <v>112</v>
      </c>
      <c r="G34" s="39">
        <v>20200680010040</v>
      </c>
      <c r="H34" s="102" t="s">
        <v>102</v>
      </c>
      <c r="I34" s="106" t="s">
        <v>257</v>
      </c>
      <c r="J34" s="41">
        <v>44197</v>
      </c>
      <c r="K34" s="41">
        <v>44561</v>
      </c>
      <c r="L34" s="135">
        <v>1656</v>
      </c>
      <c r="M34" s="136">
        <v>1601</v>
      </c>
      <c r="N34" s="137">
        <f t="shared" si="5"/>
        <v>0.96678743961352653</v>
      </c>
      <c r="O34" s="45" t="s">
        <v>239</v>
      </c>
      <c r="P34" s="77">
        <f>3564626182.34-40000000</f>
        <v>3524626182.3400002</v>
      </c>
      <c r="Q34" s="77"/>
      <c r="R34" s="77"/>
      <c r="S34" s="77"/>
      <c r="T34" s="77">
        <f>762195777+927807539</f>
        <v>1690003316</v>
      </c>
      <c r="U34" s="138">
        <f>SUM(P34:T35)</f>
        <v>5275471039.4800005</v>
      </c>
      <c r="V34" s="77">
        <f>2628102905.93+663454761+4577320-879912</f>
        <v>3295255074.9299998</v>
      </c>
      <c r="W34" s="80"/>
      <c r="X34" s="80"/>
      <c r="Y34" s="77"/>
      <c r="Z34" s="77">
        <v>1661510016</v>
      </c>
      <c r="AA34" s="138">
        <f>SUM(V34:Z35)</f>
        <v>4956765090.9300003</v>
      </c>
      <c r="AB34" s="152">
        <f t="shared" si="8"/>
        <v>0.93958720535760631</v>
      </c>
      <c r="AC34" s="153"/>
      <c r="AD34" s="134" t="s">
        <v>48</v>
      </c>
      <c r="AE34" s="134" t="s">
        <v>49</v>
      </c>
      <c r="AF34" s="31"/>
      <c r="AG34" s="31"/>
      <c r="AH34" s="31"/>
      <c r="AI34" s="31"/>
    </row>
    <row r="35" spans="1:35" ht="64.8" customHeight="1" x14ac:dyDescent="0.25">
      <c r="A35" s="33">
        <v>92</v>
      </c>
      <c r="B35" s="36" t="s">
        <v>41</v>
      </c>
      <c r="C35" s="36" t="s">
        <v>42</v>
      </c>
      <c r="D35" s="97" t="s">
        <v>99</v>
      </c>
      <c r="E35" s="37" t="s">
        <v>111</v>
      </c>
      <c r="F35" s="38" t="s">
        <v>112</v>
      </c>
      <c r="G35" s="39">
        <v>20200680010040</v>
      </c>
      <c r="H35" s="102" t="s">
        <v>102</v>
      </c>
      <c r="I35" s="55" t="s">
        <v>236</v>
      </c>
      <c r="J35" s="41"/>
      <c r="K35" s="41"/>
      <c r="L35" s="135"/>
      <c r="M35" s="136"/>
      <c r="N35" s="137"/>
      <c r="O35" s="45" t="s">
        <v>238</v>
      </c>
      <c r="P35" s="77">
        <v>60841541.140000001</v>
      </c>
      <c r="Q35" s="77"/>
      <c r="R35" s="77"/>
      <c r="S35" s="77"/>
      <c r="T35" s="77"/>
      <c r="U35" s="138"/>
      <c r="V35" s="77"/>
      <c r="W35" s="80"/>
      <c r="X35" s="80"/>
      <c r="Y35" s="77"/>
      <c r="Z35" s="81"/>
      <c r="AA35" s="138"/>
      <c r="AB35" s="152"/>
      <c r="AC35" s="153"/>
      <c r="AD35" s="134"/>
      <c r="AE35" s="134"/>
      <c r="AF35" s="31"/>
      <c r="AG35" s="31"/>
      <c r="AH35" s="31"/>
      <c r="AI35" s="31"/>
    </row>
    <row r="36" spans="1:35" ht="64.8" customHeight="1" x14ac:dyDescent="0.25">
      <c r="A36" s="33">
        <v>94</v>
      </c>
      <c r="B36" s="36" t="s">
        <v>41</v>
      </c>
      <c r="C36" s="36" t="s">
        <v>42</v>
      </c>
      <c r="D36" s="97" t="s">
        <v>99</v>
      </c>
      <c r="E36" s="37" t="s">
        <v>113</v>
      </c>
      <c r="F36" s="38" t="s">
        <v>114</v>
      </c>
      <c r="G36" s="39">
        <v>20200680010040</v>
      </c>
      <c r="H36" s="102" t="s">
        <v>102</v>
      </c>
      <c r="I36" s="106" t="s">
        <v>257</v>
      </c>
      <c r="J36" s="41">
        <v>44197</v>
      </c>
      <c r="K36" s="41">
        <v>44561</v>
      </c>
      <c r="L36" s="42">
        <v>1</v>
      </c>
      <c r="M36" s="56">
        <v>1</v>
      </c>
      <c r="N36" s="44">
        <f>IFERROR(IF(M36/L36&gt;100%,100%,M36/L36),"-")</f>
        <v>1</v>
      </c>
      <c r="O36" s="45" t="s">
        <v>115</v>
      </c>
      <c r="P36" s="77">
        <f>40000000+72799850+24000000+24000000-16000000</f>
        <v>144799850</v>
      </c>
      <c r="Q36" s="77"/>
      <c r="R36" s="77"/>
      <c r="S36" s="77"/>
      <c r="T36" s="79"/>
      <c r="U36" s="95">
        <f>SUM(P36:T36)</f>
        <v>144799850</v>
      </c>
      <c r="V36" s="77">
        <f>72000000+10400000+8000000+24000000+24000000-23300000+2250000</f>
        <v>117350000</v>
      </c>
      <c r="W36" s="80"/>
      <c r="X36" s="80"/>
      <c r="Y36" s="77"/>
      <c r="Z36" s="81"/>
      <c r="AA36" s="95">
        <f>SUM(V36:Z36)</f>
        <v>117350000</v>
      </c>
      <c r="AB36" s="47">
        <f t="shared" si="8"/>
        <v>0.81042901632840092</v>
      </c>
      <c r="AC36" s="46"/>
      <c r="AD36" s="48" t="s">
        <v>48</v>
      </c>
      <c r="AE36" s="48" t="s">
        <v>49</v>
      </c>
      <c r="AF36" s="31"/>
      <c r="AG36" s="31"/>
      <c r="AH36" s="31"/>
      <c r="AI36" s="31"/>
    </row>
    <row r="37" spans="1:35" ht="63.6" customHeight="1" x14ac:dyDescent="0.25">
      <c r="A37" s="33">
        <v>95</v>
      </c>
      <c r="B37" s="36" t="s">
        <v>41</v>
      </c>
      <c r="C37" s="36" t="s">
        <v>42</v>
      </c>
      <c r="D37" s="97" t="s">
        <v>99</v>
      </c>
      <c r="E37" s="37" t="s">
        <v>235</v>
      </c>
      <c r="F37" s="38" t="s">
        <v>116</v>
      </c>
      <c r="G37" s="39">
        <v>20200680010040</v>
      </c>
      <c r="H37" s="102" t="s">
        <v>102</v>
      </c>
      <c r="I37" s="106" t="s">
        <v>257</v>
      </c>
      <c r="J37" s="41">
        <v>44197</v>
      </c>
      <c r="K37" s="41">
        <v>44561</v>
      </c>
      <c r="L37" s="49">
        <v>1</v>
      </c>
      <c r="M37" s="59">
        <v>1</v>
      </c>
      <c r="N37" s="51">
        <f>IFERROR(IF(M37/L37&gt;100%,100%,M37/L37),"-")</f>
        <v>1</v>
      </c>
      <c r="O37" s="45" t="s">
        <v>240</v>
      </c>
      <c r="P37" s="77">
        <f>98000000+16000000+1000000+634000000</f>
        <v>749000000</v>
      </c>
      <c r="Q37" s="77"/>
      <c r="R37" s="77"/>
      <c r="S37" s="77"/>
      <c r="T37" s="79"/>
      <c r="U37" s="96">
        <f>SUM(P37:T37)</f>
        <v>749000000</v>
      </c>
      <c r="V37" s="77">
        <f>52000000+28800000+4583333.33+28529975+966667+633396628.94</f>
        <v>748276604.2700001</v>
      </c>
      <c r="W37" s="88"/>
      <c r="X37" s="88"/>
      <c r="Y37" s="89"/>
      <c r="Z37" s="81"/>
      <c r="AA37" s="96">
        <f>SUM(V37:Z37)</f>
        <v>748276604.2700001</v>
      </c>
      <c r="AB37" s="52">
        <f>IFERROR(AA37/U37,"-")</f>
        <v>0.99903418460614168</v>
      </c>
      <c r="AC37" s="53"/>
      <c r="AD37" s="54" t="s">
        <v>48</v>
      </c>
      <c r="AE37" s="54" t="s">
        <v>49</v>
      </c>
      <c r="AF37" s="31"/>
      <c r="AG37" s="31"/>
      <c r="AH37" s="31"/>
      <c r="AI37" s="31"/>
    </row>
    <row r="38" spans="1:35" ht="55.2" x14ac:dyDescent="0.25">
      <c r="A38" s="33">
        <v>93</v>
      </c>
      <c r="B38" s="64" t="s">
        <v>41</v>
      </c>
      <c r="C38" s="64" t="s">
        <v>42</v>
      </c>
      <c r="D38" s="98" t="s">
        <v>99</v>
      </c>
      <c r="E38" s="58" t="s">
        <v>117</v>
      </c>
      <c r="F38" s="55" t="s">
        <v>118</v>
      </c>
      <c r="G38" s="39">
        <v>20200680010040</v>
      </c>
      <c r="H38" s="102" t="s">
        <v>102</v>
      </c>
      <c r="I38" s="38" t="s">
        <v>119</v>
      </c>
      <c r="J38" s="41">
        <v>44197</v>
      </c>
      <c r="K38" s="41">
        <v>44561</v>
      </c>
      <c r="L38" s="135">
        <v>3</v>
      </c>
      <c r="M38" s="136">
        <v>3</v>
      </c>
      <c r="N38" s="137">
        <f>IFERROR(IF(M38/L38&gt;100%,100%,M38/L38),"-")</f>
        <v>1</v>
      </c>
      <c r="O38" s="45" t="s">
        <v>245</v>
      </c>
      <c r="P38" s="77">
        <f>35000000+164091000+24000000+80000000+26000000-54500000+32000000+5000000+10000000-5000000</f>
        <v>316591000</v>
      </c>
      <c r="Q38" s="77"/>
      <c r="R38" s="77"/>
      <c r="S38" s="77"/>
      <c r="T38" s="79"/>
      <c r="U38" s="138">
        <f>SUM(P38:T39)</f>
        <v>846591000</v>
      </c>
      <c r="V38" s="77">
        <f>3314546.93+62400000+24000000+76000000+25600000+2290443.93+2111705.93-10890+86763+1432554.93+3685002.82-133333-17783333+2267731.7+124306659+5892660.39-27220+2033333-7366666+2235972</f>
        <v>312335931.63</v>
      </c>
      <c r="W38" s="80"/>
      <c r="X38" s="80"/>
      <c r="Y38" s="77"/>
      <c r="Z38" s="81"/>
      <c r="AA38" s="138">
        <f>SUM(V38:Z39)</f>
        <v>836614261.39999998</v>
      </c>
      <c r="AB38" s="152">
        <f t="shared" si="8"/>
        <v>0.98821539728156804</v>
      </c>
      <c r="AC38" s="153"/>
      <c r="AD38" s="134" t="s">
        <v>48</v>
      </c>
      <c r="AE38" s="134" t="s">
        <v>49</v>
      </c>
      <c r="AF38" s="31"/>
      <c r="AG38" s="31"/>
      <c r="AH38" s="31"/>
      <c r="AI38" s="31"/>
    </row>
    <row r="39" spans="1:35" ht="110.4" x14ac:dyDescent="0.25">
      <c r="A39" s="33">
        <v>93</v>
      </c>
      <c r="B39" s="64" t="s">
        <v>41</v>
      </c>
      <c r="C39" s="64" t="s">
        <v>42</v>
      </c>
      <c r="D39" s="98" t="s">
        <v>99</v>
      </c>
      <c r="E39" s="58" t="s">
        <v>117</v>
      </c>
      <c r="F39" s="55" t="s">
        <v>118</v>
      </c>
      <c r="G39" s="60">
        <v>20200680010151</v>
      </c>
      <c r="H39" s="69" t="s">
        <v>120</v>
      </c>
      <c r="I39" s="38" t="s">
        <v>121</v>
      </c>
      <c r="J39" s="41">
        <v>44197</v>
      </c>
      <c r="K39" s="41">
        <v>44561</v>
      </c>
      <c r="L39" s="135"/>
      <c r="M39" s="136"/>
      <c r="N39" s="137"/>
      <c r="O39" s="45" t="s">
        <v>122</v>
      </c>
      <c r="P39" s="77">
        <f>300000000+230000000</f>
        <v>530000000</v>
      </c>
      <c r="Q39" s="78"/>
      <c r="R39" s="90"/>
      <c r="S39" s="87"/>
      <c r="T39" s="79"/>
      <c r="U39" s="138"/>
      <c r="V39" s="77">
        <f>208733341-8466667+44244515.52+23821836+43784325+18383120+195288357.73-4700000+3189501.52</f>
        <v>524278329.76999998</v>
      </c>
      <c r="W39" s="80"/>
      <c r="X39" s="80"/>
      <c r="Y39" s="77"/>
      <c r="Z39" s="81"/>
      <c r="AA39" s="138"/>
      <c r="AB39" s="152"/>
      <c r="AC39" s="153"/>
      <c r="AD39" s="134"/>
      <c r="AE39" s="134"/>
      <c r="AF39" s="31"/>
      <c r="AG39" s="31"/>
      <c r="AH39" s="31"/>
      <c r="AI39" s="31"/>
    </row>
    <row r="40" spans="1:35" ht="68.400000000000006" customHeight="1" x14ac:dyDescent="0.25">
      <c r="A40" s="33">
        <v>96</v>
      </c>
      <c r="B40" s="36" t="s">
        <v>41</v>
      </c>
      <c r="C40" s="36" t="s">
        <v>42</v>
      </c>
      <c r="D40" s="97" t="s">
        <v>123</v>
      </c>
      <c r="E40" s="66" t="s">
        <v>124</v>
      </c>
      <c r="F40" s="67" t="s">
        <v>125</v>
      </c>
      <c r="G40" s="39">
        <v>20200680010072</v>
      </c>
      <c r="H40" s="69" t="s">
        <v>126</v>
      </c>
      <c r="I40" s="68" t="s">
        <v>127</v>
      </c>
      <c r="J40" s="41">
        <v>44197</v>
      </c>
      <c r="K40" s="41">
        <v>44561</v>
      </c>
      <c r="L40" s="42">
        <v>1</v>
      </c>
      <c r="M40" s="43">
        <v>0.7</v>
      </c>
      <c r="N40" s="44">
        <f t="shared" ref="N40:N71" si="9">IFERROR(IF(M40/L40&gt;100%,100%,M40/L40),"-")</f>
        <v>0.7</v>
      </c>
      <c r="O40" s="45" t="s">
        <v>128</v>
      </c>
      <c r="P40" s="77">
        <f>60000000-5000000+2000000+3000000</f>
        <v>60000000</v>
      </c>
      <c r="Q40" s="79"/>
      <c r="R40" s="79"/>
      <c r="S40" s="79"/>
      <c r="T40" s="79"/>
      <c r="U40" s="95">
        <f t="shared" ref="U40:U50" si="10">SUM(P40:T40)</f>
        <v>60000000</v>
      </c>
      <c r="V40" s="77">
        <f>16000000+2800000+4000000+12800000+7200000+1955373+5000000+6293353+3600000</f>
        <v>59648726</v>
      </c>
      <c r="W40" s="88"/>
      <c r="X40" s="88"/>
      <c r="Y40" s="88"/>
      <c r="Z40" s="81"/>
      <c r="AA40" s="95">
        <f t="shared" ref="AA40:AA50" si="11">SUM(V40:Z40)</f>
        <v>59648726</v>
      </c>
      <c r="AB40" s="47">
        <f t="shared" ref="AB40:AB56" si="12">IFERROR(AA40/U40,"-")</f>
        <v>0.99414543333333338</v>
      </c>
      <c r="AC40" s="46"/>
      <c r="AD40" s="48" t="s">
        <v>48</v>
      </c>
      <c r="AE40" s="48" t="s">
        <v>49</v>
      </c>
      <c r="AF40" s="31"/>
      <c r="AG40" s="31"/>
      <c r="AH40" s="31"/>
      <c r="AI40" s="31"/>
    </row>
    <row r="41" spans="1:35" ht="75.599999999999994" customHeight="1" x14ac:dyDescent="0.25">
      <c r="A41" s="33">
        <v>97</v>
      </c>
      <c r="B41" s="36" t="s">
        <v>41</v>
      </c>
      <c r="C41" s="36" t="s">
        <v>42</v>
      </c>
      <c r="D41" s="97" t="s">
        <v>123</v>
      </c>
      <c r="E41" s="66" t="s">
        <v>129</v>
      </c>
      <c r="F41" s="67" t="s">
        <v>130</v>
      </c>
      <c r="G41" s="39">
        <v>20200680010072</v>
      </c>
      <c r="H41" s="69" t="s">
        <v>126</v>
      </c>
      <c r="I41" s="68" t="s">
        <v>236</v>
      </c>
      <c r="J41" s="41">
        <v>44197</v>
      </c>
      <c r="K41" s="41">
        <v>44561</v>
      </c>
      <c r="L41" s="42">
        <v>1</v>
      </c>
      <c r="M41" s="56">
        <v>0</v>
      </c>
      <c r="N41" s="44">
        <f t="shared" si="9"/>
        <v>0</v>
      </c>
      <c r="O41" s="45" t="s">
        <v>131</v>
      </c>
      <c r="P41" s="77">
        <f>55000000-13000000-3000000</f>
        <v>39000000</v>
      </c>
      <c r="Q41" s="79"/>
      <c r="R41" s="79"/>
      <c r="S41" s="79"/>
      <c r="T41" s="79"/>
      <c r="U41" s="95">
        <f t="shared" si="10"/>
        <v>39000000</v>
      </c>
      <c r="V41" s="77"/>
      <c r="W41" s="88"/>
      <c r="X41" s="88"/>
      <c r="Y41" s="88"/>
      <c r="Z41" s="81"/>
      <c r="AA41" s="95">
        <f t="shared" si="11"/>
        <v>0</v>
      </c>
      <c r="AB41" s="47">
        <f t="shared" si="12"/>
        <v>0</v>
      </c>
      <c r="AC41" s="46"/>
      <c r="AD41" s="48" t="s">
        <v>48</v>
      </c>
      <c r="AE41" s="48" t="s">
        <v>49</v>
      </c>
      <c r="AF41" s="31"/>
      <c r="AG41" s="31"/>
      <c r="AH41" s="31"/>
      <c r="AI41" s="31"/>
    </row>
    <row r="42" spans="1:35" ht="69.599999999999994" customHeight="1" x14ac:dyDescent="0.25">
      <c r="A42" s="33">
        <v>98</v>
      </c>
      <c r="B42" s="36" t="s">
        <v>41</v>
      </c>
      <c r="C42" s="36" t="s">
        <v>42</v>
      </c>
      <c r="D42" s="97" t="s">
        <v>123</v>
      </c>
      <c r="E42" s="66" t="s">
        <v>132</v>
      </c>
      <c r="F42" s="67" t="s">
        <v>133</v>
      </c>
      <c r="G42" s="39">
        <v>20200680010072</v>
      </c>
      <c r="H42" s="69" t="s">
        <v>126</v>
      </c>
      <c r="I42" s="68" t="s">
        <v>127</v>
      </c>
      <c r="J42" s="41">
        <v>44197</v>
      </c>
      <c r="K42" s="41">
        <v>44561</v>
      </c>
      <c r="L42" s="61">
        <v>1</v>
      </c>
      <c r="M42" s="62">
        <v>1</v>
      </c>
      <c r="N42" s="44">
        <f t="shared" si="9"/>
        <v>1</v>
      </c>
      <c r="O42" s="45" t="s">
        <v>249</v>
      </c>
      <c r="P42" s="77">
        <f>140000000+7000000-24300000-2000000+13000000</f>
        <v>133700000</v>
      </c>
      <c r="Q42" s="79"/>
      <c r="R42" s="79"/>
      <c r="S42" s="79"/>
      <c r="T42" s="79"/>
      <c r="U42" s="95">
        <f t="shared" si="10"/>
        <v>133700000</v>
      </c>
      <c r="V42" s="77">
        <f>449727.77+438017.77+16000000+25200000+4000000+12800000+16800000+16000000+16000000+188923.77+45667.77+45667.77+57084.71+89142.65+5000000-4852479.29+7000000-3400000+21127550.36+60890.36</f>
        <v>133050193.63999997</v>
      </c>
      <c r="W42" s="88"/>
      <c r="X42" s="88"/>
      <c r="Y42" s="88"/>
      <c r="Z42" s="81"/>
      <c r="AA42" s="95">
        <f t="shared" si="11"/>
        <v>133050193.63999997</v>
      </c>
      <c r="AB42" s="47">
        <f t="shared" si="12"/>
        <v>0.99513981780104688</v>
      </c>
      <c r="AC42" s="46"/>
      <c r="AD42" s="48" t="s">
        <v>48</v>
      </c>
      <c r="AE42" s="48" t="s">
        <v>49</v>
      </c>
      <c r="AF42" s="31"/>
      <c r="AG42" s="31"/>
      <c r="AH42" s="31"/>
      <c r="AI42" s="31"/>
    </row>
    <row r="43" spans="1:35" ht="126" customHeight="1" x14ac:dyDescent="0.25">
      <c r="A43" s="33">
        <v>99</v>
      </c>
      <c r="B43" s="64" t="s">
        <v>41</v>
      </c>
      <c r="C43" s="64" t="s">
        <v>42</v>
      </c>
      <c r="D43" s="99" t="s">
        <v>123</v>
      </c>
      <c r="E43" s="66" t="s">
        <v>134</v>
      </c>
      <c r="F43" s="67" t="s">
        <v>135</v>
      </c>
      <c r="G43" s="60">
        <v>20210680010106</v>
      </c>
      <c r="H43" s="69" t="s">
        <v>246</v>
      </c>
      <c r="I43" s="154" t="s">
        <v>136</v>
      </c>
      <c r="J43" s="41">
        <v>44197</v>
      </c>
      <c r="K43" s="41">
        <v>44561</v>
      </c>
      <c r="L43" s="42">
        <v>1</v>
      </c>
      <c r="M43" s="56">
        <v>1</v>
      </c>
      <c r="N43" s="44">
        <f t="shared" si="9"/>
        <v>1</v>
      </c>
      <c r="O43" s="45" t="s">
        <v>250</v>
      </c>
      <c r="P43" s="77">
        <v>90000000</v>
      </c>
      <c r="Q43" s="79"/>
      <c r="R43" s="79"/>
      <c r="S43" s="79"/>
      <c r="T43" s="79"/>
      <c r="U43" s="95">
        <f t="shared" si="10"/>
        <v>90000000</v>
      </c>
      <c r="V43" s="77">
        <f>3000000+10666675+12000040</f>
        <v>25666715</v>
      </c>
      <c r="W43" s="88"/>
      <c r="X43" s="88"/>
      <c r="Y43" s="88"/>
      <c r="Z43" s="81"/>
      <c r="AA43" s="95">
        <f t="shared" si="11"/>
        <v>25666715</v>
      </c>
      <c r="AB43" s="47">
        <f t="shared" si="12"/>
        <v>0.28518572222222222</v>
      </c>
      <c r="AC43" s="46"/>
      <c r="AD43" s="48" t="s">
        <v>48</v>
      </c>
      <c r="AE43" s="48" t="s">
        <v>49</v>
      </c>
      <c r="AF43" s="31"/>
      <c r="AG43" s="31"/>
      <c r="AH43" s="31"/>
      <c r="AI43" s="31"/>
    </row>
    <row r="44" spans="1:35" ht="93" customHeight="1" x14ac:dyDescent="0.25">
      <c r="A44" s="33">
        <v>100</v>
      </c>
      <c r="B44" s="36" t="s">
        <v>41</v>
      </c>
      <c r="C44" s="36" t="s">
        <v>42</v>
      </c>
      <c r="D44" s="97" t="s">
        <v>137</v>
      </c>
      <c r="E44" s="66" t="s">
        <v>138</v>
      </c>
      <c r="F44" s="67" t="s">
        <v>139</v>
      </c>
      <c r="G44" s="39">
        <v>20200680010106</v>
      </c>
      <c r="H44" s="102" t="s">
        <v>140</v>
      </c>
      <c r="I44" s="63" t="s">
        <v>141</v>
      </c>
      <c r="J44" s="41">
        <v>44197</v>
      </c>
      <c r="K44" s="41">
        <v>44561</v>
      </c>
      <c r="L44" s="42">
        <v>1</v>
      </c>
      <c r="M44" s="56">
        <v>1</v>
      </c>
      <c r="N44" s="44">
        <f t="shared" si="9"/>
        <v>1</v>
      </c>
      <c r="O44" s="45" t="s">
        <v>142</v>
      </c>
      <c r="P44" s="77">
        <f>25000000+15000000</f>
        <v>40000000</v>
      </c>
      <c r="Q44" s="79"/>
      <c r="R44" s="79"/>
      <c r="S44" s="79"/>
      <c r="T44" s="79"/>
      <c r="U44" s="95">
        <f t="shared" si="10"/>
        <v>40000000</v>
      </c>
      <c r="V44" s="77">
        <v>40000000</v>
      </c>
      <c r="W44" s="88"/>
      <c r="X44" s="88"/>
      <c r="Y44" s="88"/>
      <c r="Z44" s="81"/>
      <c r="AA44" s="95">
        <f t="shared" si="11"/>
        <v>40000000</v>
      </c>
      <c r="AB44" s="47">
        <f t="shared" si="12"/>
        <v>1</v>
      </c>
      <c r="AC44" s="46">
        <v>1000000</v>
      </c>
      <c r="AD44" s="48" t="s">
        <v>48</v>
      </c>
      <c r="AE44" s="48" t="s">
        <v>49</v>
      </c>
      <c r="AF44" s="31"/>
      <c r="AG44" s="31"/>
      <c r="AH44" s="31"/>
      <c r="AI44" s="31"/>
    </row>
    <row r="45" spans="1:35" ht="94.2" customHeight="1" x14ac:dyDescent="0.25">
      <c r="A45" s="33">
        <v>101</v>
      </c>
      <c r="B45" s="36" t="s">
        <v>41</v>
      </c>
      <c r="C45" s="36" t="s">
        <v>42</v>
      </c>
      <c r="D45" s="97" t="s">
        <v>137</v>
      </c>
      <c r="E45" s="66" t="s">
        <v>143</v>
      </c>
      <c r="F45" s="67" t="s">
        <v>144</v>
      </c>
      <c r="G45" s="39">
        <v>20200680010106</v>
      </c>
      <c r="H45" s="102" t="s">
        <v>140</v>
      </c>
      <c r="I45" s="63" t="s">
        <v>141</v>
      </c>
      <c r="J45" s="41">
        <v>44197</v>
      </c>
      <c r="K45" s="41">
        <v>44561</v>
      </c>
      <c r="L45" s="42">
        <v>600</v>
      </c>
      <c r="M45" s="56">
        <v>618</v>
      </c>
      <c r="N45" s="44">
        <f t="shared" si="9"/>
        <v>1</v>
      </c>
      <c r="O45" s="45" t="s">
        <v>142</v>
      </c>
      <c r="P45" s="77">
        <f>20000000+20000000-2000000-2000000</f>
        <v>36000000</v>
      </c>
      <c r="Q45" s="79"/>
      <c r="R45" s="79"/>
      <c r="S45" s="79"/>
      <c r="T45" s="79"/>
      <c r="U45" s="95">
        <f t="shared" si="10"/>
        <v>36000000</v>
      </c>
      <c r="V45" s="77">
        <f>18000000+18000000</f>
        <v>36000000</v>
      </c>
      <c r="W45" s="88"/>
      <c r="X45" s="88"/>
      <c r="Y45" s="88"/>
      <c r="Z45" s="81"/>
      <c r="AA45" s="95">
        <f t="shared" si="11"/>
        <v>36000000</v>
      </c>
      <c r="AB45" s="47">
        <f t="shared" si="12"/>
        <v>1</v>
      </c>
      <c r="AC45" s="46">
        <v>1000000</v>
      </c>
      <c r="AD45" s="48" t="s">
        <v>48</v>
      </c>
      <c r="AE45" s="48" t="s">
        <v>49</v>
      </c>
      <c r="AF45" s="31"/>
      <c r="AG45" s="31"/>
      <c r="AH45" s="31"/>
      <c r="AI45" s="31"/>
    </row>
    <row r="46" spans="1:35" ht="95.4" customHeight="1" x14ac:dyDescent="0.25">
      <c r="A46" s="33">
        <v>102</v>
      </c>
      <c r="B46" s="36" t="s">
        <v>41</v>
      </c>
      <c r="C46" s="36" t="s">
        <v>42</v>
      </c>
      <c r="D46" s="97" t="s">
        <v>137</v>
      </c>
      <c r="E46" s="37" t="s">
        <v>154</v>
      </c>
      <c r="F46" s="38" t="s">
        <v>155</v>
      </c>
      <c r="G46" s="39">
        <v>20200680010106</v>
      </c>
      <c r="H46" s="102" t="s">
        <v>140</v>
      </c>
      <c r="I46" s="103"/>
      <c r="J46" s="41">
        <v>44197</v>
      </c>
      <c r="K46" s="41">
        <v>44561</v>
      </c>
      <c r="L46" s="42">
        <v>1</v>
      </c>
      <c r="M46" s="56">
        <v>1</v>
      </c>
      <c r="N46" s="44">
        <f t="shared" si="9"/>
        <v>1</v>
      </c>
      <c r="O46" s="45" t="s">
        <v>142</v>
      </c>
      <c r="P46" s="77">
        <f>30000000-6000000+6000000</f>
        <v>30000000</v>
      </c>
      <c r="Q46" s="79"/>
      <c r="R46" s="79"/>
      <c r="S46" s="79"/>
      <c r="T46" s="79"/>
      <c r="U46" s="95">
        <f t="shared" si="10"/>
        <v>30000000</v>
      </c>
      <c r="V46" s="77">
        <f>24000000+5999985</f>
        <v>29999985</v>
      </c>
      <c r="W46" s="88"/>
      <c r="X46" s="88"/>
      <c r="Y46" s="88"/>
      <c r="Z46" s="81"/>
      <c r="AA46" s="95">
        <f t="shared" si="11"/>
        <v>29999985</v>
      </c>
      <c r="AB46" s="47">
        <f>IFERROR(AA46/U46,"-")</f>
        <v>0.99999950000000004</v>
      </c>
      <c r="AC46" s="46">
        <v>1000000</v>
      </c>
      <c r="AD46" s="48" t="s">
        <v>48</v>
      </c>
      <c r="AE46" s="48" t="s">
        <v>49</v>
      </c>
      <c r="AF46" s="31"/>
      <c r="AG46" s="31"/>
      <c r="AH46" s="31"/>
      <c r="AI46" s="31"/>
    </row>
    <row r="47" spans="1:35" ht="95.4" customHeight="1" x14ac:dyDescent="0.25">
      <c r="A47" s="33">
        <v>103</v>
      </c>
      <c r="B47" s="36" t="s">
        <v>41</v>
      </c>
      <c r="C47" s="36" t="s">
        <v>42</v>
      </c>
      <c r="D47" s="97" t="s">
        <v>137</v>
      </c>
      <c r="E47" s="37" t="s">
        <v>156</v>
      </c>
      <c r="F47" s="38" t="s">
        <v>157</v>
      </c>
      <c r="G47" s="39">
        <v>20200680010106</v>
      </c>
      <c r="H47" s="102" t="s">
        <v>140</v>
      </c>
      <c r="I47" s="103"/>
      <c r="J47" s="41">
        <v>44197</v>
      </c>
      <c r="K47" s="41">
        <v>44561</v>
      </c>
      <c r="L47" s="61">
        <v>1</v>
      </c>
      <c r="M47" s="62">
        <v>1</v>
      </c>
      <c r="N47" s="44">
        <f t="shared" si="9"/>
        <v>1</v>
      </c>
      <c r="O47" s="45" t="s">
        <v>142</v>
      </c>
      <c r="P47" s="77">
        <v>11000000</v>
      </c>
      <c r="Q47" s="79"/>
      <c r="R47" s="79"/>
      <c r="S47" s="79"/>
      <c r="T47" s="79"/>
      <c r="U47" s="95">
        <f t="shared" si="10"/>
        <v>11000000</v>
      </c>
      <c r="V47" s="77">
        <v>3100000</v>
      </c>
      <c r="W47" s="88"/>
      <c r="X47" s="88"/>
      <c r="Y47" s="88"/>
      <c r="Z47" s="81"/>
      <c r="AA47" s="95">
        <f t="shared" si="11"/>
        <v>3100000</v>
      </c>
      <c r="AB47" s="47">
        <f>IFERROR(AA47/U47,"-")</f>
        <v>0.2818181818181818</v>
      </c>
      <c r="AC47" s="46">
        <v>1000000</v>
      </c>
      <c r="AD47" s="48" t="s">
        <v>48</v>
      </c>
      <c r="AE47" s="48" t="s">
        <v>49</v>
      </c>
      <c r="AF47" s="31"/>
      <c r="AG47" s="31"/>
      <c r="AH47" s="31"/>
      <c r="AI47" s="31"/>
    </row>
    <row r="48" spans="1:35" ht="95.4" customHeight="1" x14ac:dyDescent="0.25">
      <c r="A48" s="33">
        <v>104</v>
      </c>
      <c r="B48" s="36" t="s">
        <v>41</v>
      </c>
      <c r="C48" s="36" t="s">
        <v>42</v>
      </c>
      <c r="D48" s="97" t="s">
        <v>137</v>
      </c>
      <c r="E48" s="37" t="s">
        <v>158</v>
      </c>
      <c r="F48" s="38" t="s">
        <v>159</v>
      </c>
      <c r="G48" s="39">
        <v>20200680010106</v>
      </c>
      <c r="H48" s="102" t="s">
        <v>140</v>
      </c>
      <c r="I48" s="103"/>
      <c r="J48" s="41">
        <v>44197</v>
      </c>
      <c r="K48" s="41">
        <v>44561</v>
      </c>
      <c r="L48" s="42">
        <v>1</v>
      </c>
      <c r="M48" s="56">
        <v>1</v>
      </c>
      <c r="N48" s="44">
        <f t="shared" si="9"/>
        <v>1</v>
      </c>
      <c r="O48" s="45" t="s">
        <v>142</v>
      </c>
      <c r="P48" s="77">
        <v>10000000</v>
      </c>
      <c r="Q48" s="79"/>
      <c r="R48" s="79"/>
      <c r="S48" s="79"/>
      <c r="T48" s="79"/>
      <c r="U48" s="95">
        <f t="shared" si="10"/>
        <v>10000000</v>
      </c>
      <c r="V48" s="77">
        <v>3000000</v>
      </c>
      <c r="W48" s="88"/>
      <c r="X48" s="88"/>
      <c r="Y48" s="88"/>
      <c r="Z48" s="81"/>
      <c r="AA48" s="95">
        <f t="shared" si="11"/>
        <v>3000000</v>
      </c>
      <c r="AB48" s="47">
        <f>IFERROR(AA48/U48,"-")</f>
        <v>0.3</v>
      </c>
      <c r="AC48" s="46">
        <v>1000000</v>
      </c>
      <c r="AD48" s="48" t="s">
        <v>48</v>
      </c>
      <c r="AE48" s="48" t="s">
        <v>49</v>
      </c>
      <c r="AF48" s="31"/>
      <c r="AG48" s="31"/>
      <c r="AH48" s="31"/>
      <c r="AI48" s="31"/>
    </row>
    <row r="49" spans="1:35" ht="95.4" customHeight="1" x14ac:dyDescent="0.25">
      <c r="A49" s="33">
        <v>105</v>
      </c>
      <c r="B49" s="36" t="s">
        <v>41</v>
      </c>
      <c r="C49" s="36" t="s">
        <v>42</v>
      </c>
      <c r="D49" s="97" t="s">
        <v>137</v>
      </c>
      <c r="E49" s="37" t="s">
        <v>160</v>
      </c>
      <c r="F49" s="38" t="s">
        <v>161</v>
      </c>
      <c r="G49" s="39">
        <v>20200680010106</v>
      </c>
      <c r="H49" s="102" t="s">
        <v>140</v>
      </c>
      <c r="I49" s="103"/>
      <c r="J49" s="41">
        <v>44197</v>
      </c>
      <c r="K49" s="41">
        <v>44561</v>
      </c>
      <c r="L49" s="42">
        <v>1</v>
      </c>
      <c r="M49" s="56">
        <v>1</v>
      </c>
      <c r="N49" s="44">
        <f t="shared" si="9"/>
        <v>1</v>
      </c>
      <c r="O49" s="45" t="s">
        <v>142</v>
      </c>
      <c r="P49" s="77">
        <f>24000000+5000000</f>
        <v>29000000</v>
      </c>
      <c r="Q49" s="79"/>
      <c r="R49" s="79"/>
      <c r="S49" s="79"/>
      <c r="T49" s="79"/>
      <c r="U49" s="95">
        <f t="shared" si="10"/>
        <v>29000000</v>
      </c>
      <c r="V49" s="77">
        <f>24000000+4500000</f>
        <v>28500000</v>
      </c>
      <c r="W49" s="88"/>
      <c r="X49" s="88"/>
      <c r="Y49" s="88"/>
      <c r="Z49" s="81"/>
      <c r="AA49" s="95">
        <f t="shared" si="11"/>
        <v>28500000</v>
      </c>
      <c r="AB49" s="47">
        <f>IFERROR(AA49/U49,"-")</f>
        <v>0.98275862068965514</v>
      </c>
      <c r="AC49" s="46">
        <v>1000000</v>
      </c>
      <c r="AD49" s="48" t="s">
        <v>48</v>
      </c>
      <c r="AE49" s="48" t="s">
        <v>49</v>
      </c>
      <c r="AF49" s="31"/>
      <c r="AG49" s="31"/>
      <c r="AH49" s="31"/>
      <c r="AI49" s="31"/>
    </row>
    <row r="50" spans="1:35" ht="69" x14ac:dyDescent="0.25">
      <c r="A50" s="33">
        <v>106</v>
      </c>
      <c r="B50" s="36" t="s">
        <v>41</v>
      </c>
      <c r="C50" s="36" t="s">
        <v>42</v>
      </c>
      <c r="D50" s="97" t="s">
        <v>137</v>
      </c>
      <c r="E50" s="66" t="s">
        <v>145</v>
      </c>
      <c r="F50" s="67" t="s">
        <v>146</v>
      </c>
      <c r="G50" s="39">
        <v>20200680010106</v>
      </c>
      <c r="H50" s="102" t="s">
        <v>140</v>
      </c>
      <c r="I50" s="63" t="s">
        <v>141</v>
      </c>
      <c r="J50" s="41">
        <v>44197</v>
      </c>
      <c r="K50" s="41">
        <v>44561</v>
      </c>
      <c r="L50" s="42">
        <v>1</v>
      </c>
      <c r="M50" s="43">
        <v>0.9</v>
      </c>
      <c r="N50" s="44">
        <f t="shared" si="9"/>
        <v>0.9</v>
      </c>
      <c r="O50" s="45" t="s">
        <v>142</v>
      </c>
      <c r="P50" s="77">
        <v>14000000</v>
      </c>
      <c r="Q50" s="79"/>
      <c r="R50" s="79"/>
      <c r="S50" s="79"/>
      <c r="T50" s="79"/>
      <c r="U50" s="95">
        <f t="shared" si="10"/>
        <v>14000000</v>
      </c>
      <c r="V50" s="77">
        <f>6000000-3950000+5500000+3000000</f>
        <v>10550000</v>
      </c>
      <c r="W50" s="88"/>
      <c r="X50" s="88"/>
      <c r="Y50" s="88"/>
      <c r="Z50" s="81"/>
      <c r="AA50" s="95">
        <f t="shared" si="11"/>
        <v>10550000</v>
      </c>
      <c r="AB50" s="47">
        <f t="shared" si="12"/>
        <v>0.75357142857142856</v>
      </c>
      <c r="AC50" s="46">
        <v>1000000</v>
      </c>
      <c r="AD50" s="48" t="s">
        <v>48</v>
      </c>
      <c r="AE50" s="48" t="s">
        <v>49</v>
      </c>
      <c r="AF50" s="31"/>
      <c r="AG50" s="31"/>
      <c r="AH50" s="31"/>
      <c r="AI50" s="31"/>
    </row>
    <row r="51" spans="1:35" ht="69" x14ac:dyDescent="0.25">
      <c r="A51" s="33">
        <v>107</v>
      </c>
      <c r="B51" s="36" t="s">
        <v>41</v>
      </c>
      <c r="C51" s="36" t="s">
        <v>42</v>
      </c>
      <c r="D51" s="97" t="s">
        <v>147</v>
      </c>
      <c r="E51" s="66" t="s">
        <v>148</v>
      </c>
      <c r="F51" s="67" t="s">
        <v>149</v>
      </c>
      <c r="G51" s="39">
        <v>20200680010106</v>
      </c>
      <c r="H51" s="102" t="s">
        <v>140</v>
      </c>
      <c r="I51" s="63" t="s">
        <v>141</v>
      </c>
      <c r="J51" s="41">
        <v>44197</v>
      </c>
      <c r="K51" s="41">
        <v>44561</v>
      </c>
      <c r="L51" s="49">
        <v>1</v>
      </c>
      <c r="M51" s="50">
        <v>0.7</v>
      </c>
      <c r="N51" s="51">
        <f t="shared" si="9"/>
        <v>0.7</v>
      </c>
      <c r="O51" s="45" t="s">
        <v>237</v>
      </c>
      <c r="P51" s="77">
        <f>15000000+45800000</f>
        <v>60800000</v>
      </c>
      <c r="Q51" s="79"/>
      <c r="R51" s="79"/>
      <c r="S51" s="79"/>
      <c r="T51" s="79"/>
      <c r="U51" s="96">
        <f t="shared" ref="U51:U69" si="13">SUM(P51:T51)</f>
        <v>60800000</v>
      </c>
      <c r="V51" s="77">
        <f>6000000-3950000+5500000+5000000</f>
        <v>12550000</v>
      </c>
      <c r="W51" s="88"/>
      <c r="X51" s="88"/>
      <c r="Y51" s="88"/>
      <c r="Z51" s="81"/>
      <c r="AA51" s="96">
        <f t="shared" ref="AA51:AA69" si="14">SUM(V51:Z51)</f>
        <v>12550000</v>
      </c>
      <c r="AB51" s="52">
        <f>IFERROR(AA51/U51,"-")</f>
        <v>0.20641447368421054</v>
      </c>
      <c r="AC51" s="53">
        <v>1000000</v>
      </c>
      <c r="AD51" s="54" t="s">
        <v>48</v>
      </c>
      <c r="AE51" s="54" t="s">
        <v>49</v>
      </c>
      <c r="AF51" s="31"/>
      <c r="AG51" s="31"/>
      <c r="AH51" s="31"/>
      <c r="AI51" s="31"/>
    </row>
    <row r="52" spans="1:35" ht="90.6" customHeight="1" x14ac:dyDescent="0.25">
      <c r="A52" s="33">
        <v>108</v>
      </c>
      <c r="B52" s="36" t="s">
        <v>41</v>
      </c>
      <c r="C52" s="36" t="s">
        <v>42</v>
      </c>
      <c r="D52" s="97" t="s">
        <v>147</v>
      </c>
      <c r="E52" s="66" t="s">
        <v>150</v>
      </c>
      <c r="F52" s="67" t="s">
        <v>151</v>
      </c>
      <c r="G52" s="39">
        <v>20200680010106</v>
      </c>
      <c r="H52" s="102" t="s">
        <v>140</v>
      </c>
      <c r="I52" s="63" t="s">
        <v>141</v>
      </c>
      <c r="J52" s="41">
        <v>44197</v>
      </c>
      <c r="K52" s="41">
        <v>44561</v>
      </c>
      <c r="L52" s="42">
        <v>4</v>
      </c>
      <c r="M52" s="56">
        <v>2</v>
      </c>
      <c r="N52" s="44">
        <f t="shared" si="9"/>
        <v>0.5</v>
      </c>
      <c r="O52" s="45" t="s">
        <v>142</v>
      </c>
      <c r="P52" s="77">
        <f>30000000+10000000+2000000</f>
        <v>42000000</v>
      </c>
      <c r="Q52" s="79"/>
      <c r="R52" s="79"/>
      <c r="S52" s="79"/>
      <c r="T52" s="79"/>
      <c r="U52" s="95">
        <f t="shared" si="13"/>
        <v>42000000</v>
      </c>
      <c r="V52" s="77">
        <f>16000000+12000000+13731290</f>
        <v>41731290</v>
      </c>
      <c r="W52" s="88"/>
      <c r="X52" s="88"/>
      <c r="Y52" s="88"/>
      <c r="Z52" s="81"/>
      <c r="AA52" s="95">
        <f t="shared" si="14"/>
        <v>41731290</v>
      </c>
      <c r="AB52" s="47">
        <f t="shared" si="12"/>
        <v>0.99360214285714288</v>
      </c>
      <c r="AC52" s="46">
        <v>1000000</v>
      </c>
      <c r="AD52" s="48" t="s">
        <v>48</v>
      </c>
      <c r="AE52" s="48" t="s">
        <v>49</v>
      </c>
      <c r="AF52" s="31"/>
      <c r="AG52" s="31"/>
      <c r="AH52" s="31"/>
      <c r="AI52" s="31"/>
    </row>
    <row r="53" spans="1:35" ht="85.8" customHeight="1" x14ac:dyDescent="0.25">
      <c r="A53" s="33">
        <v>109</v>
      </c>
      <c r="B53" s="36" t="s">
        <v>41</v>
      </c>
      <c r="C53" s="36" t="s">
        <v>42</v>
      </c>
      <c r="D53" s="97" t="s">
        <v>147</v>
      </c>
      <c r="E53" s="37" t="s">
        <v>162</v>
      </c>
      <c r="F53" s="38" t="s">
        <v>163</v>
      </c>
      <c r="G53" s="39">
        <v>20200680010106</v>
      </c>
      <c r="H53" s="102" t="s">
        <v>140</v>
      </c>
      <c r="I53" s="103"/>
      <c r="J53" s="41">
        <v>44197</v>
      </c>
      <c r="K53" s="41">
        <v>44561</v>
      </c>
      <c r="L53" s="42">
        <v>1</v>
      </c>
      <c r="M53" s="56">
        <v>1</v>
      </c>
      <c r="N53" s="44">
        <f t="shared" si="9"/>
        <v>1</v>
      </c>
      <c r="O53" s="45" t="s">
        <v>142</v>
      </c>
      <c r="P53" s="77">
        <v>15000000</v>
      </c>
      <c r="Q53" s="79"/>
      <c r="R53" s="79"/>
      <c r="S53" s="79"/>
      <c r="T53" s="79"/>
      <c r="U53" s="95">
        <f t="shared" si="13"/>
        <v>15000000</v>
      </c>
      <c r="V53" s="77">
        <f>12000000+3000000</f>
        <v>15000000</v>
      </c>
      <c r="W53" s="88"/>
      <c r="X53" s="88"/>
      <c r="Y53" s="88"/>
      <c r="Z53" s="81"/>
      <c r="AA53" s="95">
        <f t="shared" si="14"/>
        <v>15000000</v>
      </c>
      <c r="AB53" s="47">
        <f>IFERROR(AA53/U53,"-")</f>
        <v>1</v>
      </c>
      <c r="AC53" s="46">
        <v>1000000</v>
      </c>
      <c r="AD53" s="48" t="s">
        <v>48</v>
      </c>
      <c r="AE53" s="48" t="s">
        <v>49</v>
      </c>
      <c r="AF53" s="31"/>
      <c r="AG53" s="31"/>
      <c r="AH53" s="31"/>
      <c r="AI53" s="31"/>
    </row>
    <row r="54" spans="1:35" ht="69" x14ac:dyDescent="0.25">
      <c r="A54" s="33">
        <v>110</v>
      </c>
      <c r="B54" s="36" t="s">
        <v>41</v>
      </c>
      <c r="C54" s="36" t="s">
        <v>42</v>
      </c>
      <c r="D54" s="97" t="s">
        <v>147</v>
      </c>
      <c r="E54" s="66" t="s">
        <v>152</v>
      </c>
      <c r="F54" s="67" t="s">
        <v>153</v>
      </c>
      <c r="G54" s="39">
        <v>20200680010106</v>
      </c>
      <c r="H54" s="102" t="s">
        <v>140</v>
      </c>
      <c r="I54" s="63" t="s">
        <v>141</v>
      </c>
      <c r="J54" s="41">
        <v>44197</v>
      </c>
      <c r="K54" s="41">
        <v>44561</v>
      </c>
      <c r="L54" s="61">
        <v>1</v>
      </c>
      <c r="M54" s="62">
        <v>1</v>
      </c>
      <c r="N54" s="44">
        <f t="shared" si="9"/>
        <v>1</v>
      </c>
      <c r="O54" s="45" t="s">
        <v>142</v>
      </c>
      <c r="P54" s="77">
        <f>30000000+2200000</f>
        <v>32200000</v>
      </c>
      <c r="Q54" s="79"/>
      <c r="R54" s="79"/>
      <c r="S54" s="79"/>
      <c r="T54" s="79"/>
      <c r="U54" s="95">
        <f t="shared" si="13"/>
        <v>32200000</v>
      </c>
      <c r="V54" s="77">
        <f>16000000+12000000+4199985</f>
        <v>32199985</v>
      </c>
      <c r="W54" s="88"/>
      <c r="X54" s="88"/>
      <c r="Y54" s="88"/>
      <c r="Z54" s="81"/>
      <c r="AA54" s="95">
        <f t="shared" si="14"/>
        <v>32199985</v>
      </c>
      <c r="AB54" s="47">
        <f t="shared" si="12"/>
        <v>0.99999953416149068</v>
      </c>
      <c r="AC54" s="46">
        <v>1000000</v>
      </c>
      <c r="AD54" s="48" t="s">
        <v>48</v>
      </c>
      <c r="AE54" s="48" t="s">
        <v>49</v>
      </c>
      <c r="AF54" s="31"/>
      <c r="AG54" s="31"/>
      <c r="AH54" s="31"/>
      <c r="AI54" s="31"/>
    </row>
    <row r="55" spans="1:35" ht="55.2" x14ac:dyDescent="0.25">
      <c r="A55" s="33">
        <v>111</v>
      </c>
      <c r="B55" s="36" t="s">
        <v>41</v>
      </c>
      <c r="C55" s="36" t="s">
        <v>42</v>
      </c>
      <c r="D55" s="97" t="s">
        <v>164</v>
      </c>
      <c r="E55" s="66" t="s">
        <v>170</v>
      </c>
      <c r="F55" s="67" t="s">
        <v>171</v>
      </c>
      <c r="G55" s="39">
        <v>20200680010050</v>
      </c>
      <c r="H55" s="102" t="s">
        <v>167</v>
      </c>
      <c r="I55" s="63" t="s">
        <v>168</v>
      </c>
      <c r="J55" s="41">
        <v>44197</v>
      </c>
      <c r="K55" s="41">
        <v>44561</v>
      </c>
      <c r="L55" s="49">
        <v>1</v>
      </c>
      <c r="M55" s="59">
        <v>1</v>
      </c>
      <c r="N55" s="51">
        <f t="shared" si="9"/>
        <v>1</v>
      </c>
      <c r="O55" s="45" t="s">
        <v>244</v>
      </c>
      <c r="P55" s="77">
        <f>130000000+56400000+30000000+30000000</f>
        <v>246400000</v>
      </c>
      <c r="Q55" s="91">
        <f>119000000-50000000-11000000</f>
        <v>58000000</v>
      </c>
      <c r="R55" s="79"/>
      <c r="S55" s="79"/>
      <c r="T55" s="79"/>
      <c r="U55" s="96">
        <f t="shared" si="13"/>
        <v>304400000</v>
      </c>
      <c r="V55" s="77">
        <f>89600000-12000000+14400000+14400000+24000000+56000000+23443315+4140000-3200000+3500000+30000000</f>
        <v>244283315</v>
      </c>
      <c r="W55" s="88"/>
      <c r="X55" s="88"/>
      <c r="Y55" s="88"/>
      <c r="Z55" s="81"/>
      <c r="AA55" s="96">
        <f t="shared" si="14"/>
        <v>244283315</v>
      </c>
      <c r="AB55" s="52">
        <f>IFERROR(AA55/U55,"-")</f>
        <v>0.80250760512483577</v>
      </c>
      <c r="AC55" s="53"/>
      <c r="AD55" s="54" t="s">
        <v>48</v>
      </c>
      <c r="AE55" s="54" t="s">
        <v>49</v>
      </c>
      <c r="AF55" s="31"/>
      <c r="AG55" s="31"/>
      <c r="AH55" s="31"/>
      <c r="AI55" s="31"/>
    </row>
    <row r="56" spans="1:35" ht="55.2" x14ac:dyDescent="0.25">
      <c r="A56" s="33">
        <v>112</v>
      </c>
      <c r="B56" s="36" t="s">
        <v>41</v>
      </c>
      <c r="C56" s="36" t="s">
        <v>42</v>
      </c>
      <c r="D56" s="98" t="s">
        <v>164</v>
      </c>
      <c r="E56" s="70" t="s">
        <v>165</v>
      </c>
      <c r="F56" s="71" t="s">
        <v>166</v>
      </c>
      <c r="G56" s="39">
        <v>20200680010050</v>
      </c>
      <c r="H56" s="102" t="s">
        <v>167</v>
      </c>
      <c r="I56" s="63" t="s">
        <v>168</v>
      </c>
      <c r="J56" s="41">
        <v>44197</v>
      </c>
      <c r="K56" s="41">
        <v>44561</v>
      </c>
      <c r="L56" s="49">
        <v>284</v>
      </c>
      <c r="M56" s="59">
        <v>285</v>
      </c>
      <c r="N56" s="51">
        <f t="shared" si="9"/>
        <v>1</v>
      </c>
      <c r="O56" s="45" t="s">
        <v>251</v>
      </c>
      <c r="P56" s="77">
        <f>201016480+318600000+281400000-60000000-173600000-26400000-281400000-17200000-30000000+6983520</f>
        <v>219400000</v>
      </c>
      <c r="Q56" s="91">
        <v>992000000</v>
      </c>
      <c r="R56" s="79"/>
      <c r="S56" s="84"/>
      <c r="T56" s="79"/>
      <c r="U56" s="96">
        <f t="shared" si="13"/>
        <v>1211400000</v>
      </c>
      <c r="V56" s="77">
        <v>99242640</v>
      </c>
      <c r="W56" s="77">
        <v>991649411</v>
      </c>
      <c r="X56" s="88"/>
      <c r="Y56" s="88"/>
      <c r="Z56" s="81"/>
      <c r="AA56" s="96">
        <f t="shared" si="14"/>
        <v>1090892051</v>
      </c>
      <c r="AB56" s="52">
        <f t="shared" si="12"/>
        <v>0.90052175251774802</v>
      </c>
      <c r="AC56" s="53"/>
      <c r="AD56" s="54" t="s">
        <v>48</v>
      </c>
      <c r="AE56" s="54" t="s">
        <v>49</v>
      </c>
      <c r="AF56" s="31"/>
      <c r="AG56" s="31"/>
      <c r="AH56" s="31"/>
      <c r="AI56" s="31"/>
    </row>
    <row r="57" spans="1:35" ht="55.2" x14ac:dyDescent="0.25">
      <c r="A57" s="33">
        <v>113</v>
      </c>
      <c r="B57" s="36" t="s">
        <v>41</v>
      </c>
      <c r="C57" s="36" t="s">
        <v>42</v>
      </c>
      <c r="D57" s="97" t="s">
        <v>164</v>
      </c>
      <c r="E57" s="66" t="s">
        <v>172</v>
      </c>
      <c r="F57" s="67" t="s">
        <v>173</v>
      </c>
      <c r="G57" s="39">
        <v>20200680010050</v>
      </c>
      <c r="H57" s="102" t="s">
        <v>167</v>
      </c>
      <c r="I57" s="63" t="s">
        <v>168</v>
      </c>
      <c r="J57" s="41">
        <v>44197</v>
      </c>
      <c r="K57" s="41">
        <v>44561</v>
      </c>
      <c r="L57" s="42">
        <v>1</v>
      </c>
      <c r="M57" s="56">
        <v>1</v>
      </c>
      <c r="N57" s="44">
        <f t="shared" si="9"/>
        <v>1</v>
      </c>
      <c r="O57" s="45" t="s">
        <v>169</v>
      </c>
      <c r="P57" s="77">
        <v>12000000</v>
      </c>
      <c r="Q57" s="91"/>
      <c r="R57" s="79"/>
      <c r="S57" s="79"/>
      <c r="T57" s="79"/>
      <c r="U57" s="95">
        <f t="shared" si="13"/>
        <v>12000000</v>
      </c>
      <c r="V57" s="77">
        <v>12000000</v>
      </c>
      <c r="W57" s="89"/>
      <c r="X57" s="89"/>
      <c r="Y57" s="89"/>
      <c r="Z57" s="81"/>
      <c r="AA57" s="95">
        <f t="shared" si="14"/>
        <v>12000000</v>
      </c>
      <c r="AB57" s="47">
        <f>IFERROR(AA57/U57,"-")</f>
        <v>1</v>
      </c>
      <c r="AC57" s="46"/>
      <c r="AD57" s="48" t="s">
        <v>48</v>
      </c>
      <c r="AE57" s="48" t="s">
        <v>49</v>
      </c>
      <c r="AF57" s="31"/>
      <c r="AG57" s="31"/>
      <c r="AH57" s="31"/>
      <c r="AI57" s="31"/>
    </row>
    <row r="58" spans="1:35" ht="55.2" x14ac:dyDescent="0.25">
      <c r="A58" s="33">
        <v>114</v>
      </c>
      <c r="B58" s="36" t="s">
        <v>41</v>
      </c>
      <c r="C58" s="36" t="s">
        <v>42</v>
      </c>
      <c r="D58" s="97" t="s">
        <v>164</v>
      </c>
      <c r="E58" s="66" t="s">
        <v>174</v>
      </c>
      <c r="F58" s="67" t="s">
        <v>175</v>
      </c>
      <c r="G58" s="39">
        <v>20200680010050</v>
      </c>
      <c r="H58" s="102" t="s">
        <v>167</v>
      </c>
      <c r="I58" s="63" t="s">
        <v>168</v>
      </c>
      <c r="J58" s="41">
        <v>44197</v>
      </c>
      <c r="K58" s="41">
        <v>44561</v>
      </c>
      <c r="L58" s="61">
        <v>1</v>
      </c>
      <c r="M58" s="62">
        <v>1</v>
      </c>
      <c r="N58" s="44">
        <f t="shared" si="9"/>
        <v>1</v>
      </c>
      <c r="O58" s="45" t="s">
        <v>176</v>
      </c>
      <c r="P58" s="77"/>
      <c r="Q58" s="91">
        <v>60000000</v>
      </c>
      <c r="R58" s="79"/>
      <c r="S58" s="79"/>
      <c r="T58" s="79"/>
      <c r="U58" s="95">
        <f t="shared" si="13"/>
        <v>60000000</v>
      </c>
      <c r="V58" s="77"/>
      <c r="W58" s="92">
        <f>13050000+46950000</f>
        <v>60000000</v>
      </c>
      <c r="X58" s="89"/>
      <c r="Y58" s="89"/>
      <c r="Z58" s="81"/>
      <c r="AA58" s="95">
        <f t="shared" si="14"/>
        <v>60000000</v>
      </c>
      <c r="AB58" s="47">
        <f>IFERROR(AA58/U58,"-")</f>
        <v>1</v>
      </c>
      <c r="AC58" s="46"/>
      <c r="AD58" s="48" t="s">
        <v>48</v>
      </c>
      <c r="AE58" s="48" t="s">
        <v>49</v>
      </c>
      <c r="AF58" s="31"/>
      <c r="AG58" s="31"/>
      <c r="AH58" s="31"/>
      <c r="AI58" s="31"/>
    </row>
    <row r="59" spans="1:35" ht="75" customHeight="1" x14ac:dyDescent="0.25">
      <c r="A59" s="33">
        <v>115</v>
      </c>
      <c r="B59" s="36" t="s">
        <v>41</v>
      </c>
      <c r="C59" s="36" t="s">
        <v>42</v>
      </c>
      <c r="D59" s="98" t="s">
        <v>177</v>
      </c>
      <c r="E59" s="70" t="s">
        <v>178</v>
      </c>
      <c r="F59" s="71" t="s">
        <v>179</v>
      </c>
      <c r="G59" s="39">
        <v>20200680010121</v>
      </c>
      <c r="H59" s="69" t="s">
        <v>181</v>
      </c>
      <c r="I59" s="68" t="s">
        <v>182</v>
      </c>
      <c r="J59" s="41">
        <v>44197</v>
      </c>
      <c r="K59" s="41">
        <v>44561</v>
      </c>
      <c r="L59" s="49">
        <v>250</v>
      </c>
      <c r="M59" s="59">
        <f>220+30</f>
        <v>250</v>
      </c>
      <c r="N59" s="51">
        <f t="shared" si="9"/>
        <v>1</v>
      </c>
      <c r="O59" s="45" t="s">
        <v>180</v>
      </c>
      <c r="P59" s="77">
        <f>20023866+229376134</f>
        <v>249400000</v>
      </c>
      <c r="Q59" s="91">
        <v>720000000</v>
      </c>
      <c r="R59" s="79"/>
      <c r="S59" s="79"/>
      <c r="T59" s="79"/>
      <c r="U59" s="96">
        <f t="shared" si="13"/>
        <v>969400000</v>
      </c>
      <c r="V59" s="92">
        <v>145996692</v>
      </c>
      <c r="W59" s="92">
        <v>718500000</v>
      </c>
      <c r="X59" s="89"/>
      <c r="Y59" s="89"/>
      <c r="Z59" s="81"/>
      <c r="AA59" s="96">
        <f t="shared" si="14"/>
        <v>864496692</v>
      </c>
      <c r="AB59" s="52">
        <f>IFERROR(AA59/U59,"-")</f>
        <v>0.89178532288013201</v>
      </c>
      <c r="AC59" s="53"/>
      <c r="AD59" s="54" t="s">
        <v>48</v>
      </c>
      <c r="AE59" s="54" t="s">
        <v>49</v>
      </c>
      <c r="AF59" s="31"/>
      <c r="AG59" s="31"/>
      <c r="AH59" s="31"/>
      <c r="AI59" s="31"/>
    </row>
    <row r="60" spans="1:35" ht="76.8" customHeight="1" x14ac:dyDescent="0.25">
      <c r="A60" s="33">
        <v>116</v>
      </c>
      <c r="B60" s="36" t="s">
        <v>41</v>
      </c>
      <c r="C60" s="36" t="s">
        <v>42</v>
      </c>
      <c r="D60" s="97" t="s">
        <v>177</v>
      </c>
      <c r="E60" s="66" t="s">
        <v>184</v>
      </c>
      <c r="F60" s="67" t="s">
        <v>185</v>
      </c>
      <c r="G60" s="39">
        <v>20200680010121</v>
      </c>
      <c r="H60" s="69" t="s">
        <v>181</v>
      </c>
      <c r="I60" s="68" t="s">
        <v>182</v>
      </c>
      <c r="J60" s="41">
        <v>44197</v>
      </c>
      <c r="K60" s="41">
        <v>44561</v>
      </c>
      <c r="L60" s="49">
        <v>1</v>
      </c>
      <c r="M60" s="59">
        <v>1</v>
      </c>
      <c r="N60" s="51">
        <f t="shared" si="9"/>
        <v>1</v>
      </c>
      <c r="O60" s="73" t="s">
        <v>186</v>
      </c>
      <c r="P60" s="77">
        <v>72000000</v>
      </c>
      <c r="Q60" s="93"/>
      <c r="R60" s="91"/>
      <c r="S60" s="91"/>
      <c r="T60" s="79"/>
      <c r="U60" s="96">
        <f t="shared" si="13"/>
        <v>72000000</v>
      </c>
      <c r="V60" s="77">
        <f>4000000+47742400+20000000</f>
        <v>71742400</v>
      </c>
      <c r="W60" s="92"/>
      <c r="X60" s="92"/>
      <c r="Y60" s="92"/>
      <c r="Z60" s="81"/>
      <c r="AA60" s="96">
        <f t="shared" si="14"/>
        <v>71742400</v>
      </c>
      <c r="AB60" s="52">
        <f t="shared" ref="AB60:AB65" si="15">IFERROR(AA60/U60,"-")</f>
        <v>0.99642222222222221</v>
      </c>
      <c r="AC60" s="53"/>
      <c r="AD60" s="54" t="s">
        <v>48</v>
      </c>
      <c r="AE60" s="54" t="s">
        <v>49</v>
      </c>
      <c r="AF60" s="31"/>
      <c r="AG60" s="31"/>
      <c r="AH60" s="31"/>
      <c r="AI60" s="31"/>
    </row>
    <row r="61" spans="1:35" ht="76.8" customHeight="1" x14ac:dyDescent="0.25">
      <c r="A61" s="33">
        <v>117</v>
      </c>
      <c r="B61" s="36" t="s">
        <v>41</v>
      </c>
      <c r="C61" s="36" t="s">
        <v>42</v>
      </c>
      <c r="D61" s="97" t="s">
        <v>177</v>
      </c>
      <c r="E61" s="66" t="s">
        <v>187</v>
      </c>
      <c r="F61" s="67" t="s">
        <v>188</v>
      </c>
      <c r="G61" s="39">
        <v>20200680010121</v>
      </c>
      <c r="H61" s="69" t="s">
        <v>181</v>
      </c>
      <c r="I61" s="68" t="s">
        <v>182</v>
      </c>
      <c r="J61" s="41">
        <v>44197</v>
      </c>
      <c r="K61" s="41">
        <v>44561</v>
      </c>
      <c r="L61" s="42">
        <v>1</v>
      </c>
      <c r="M61" s="56">
        <v>1</v>
      </c>
      <c r="N61" s="44">
        <f t="shared" si="9"/>
        <v>1</v>
      </c>
      <c r="O61" s="72" t="s">
        <v>183</v>
      </c>
      <c r="P61" s="77">
        <f>20000000+10000000+20000000+24000000-8000000+51000000+50000000</f>
        <v>167000000</v>
      </c>
      <c r="Q61" s="93">
        <f>180000000-130000000</f>
        <v>50000000</v>
      </c>
      <c r="R61" s="91"/>
      <c r="S61" s="91"/>
      <c r="T61" s="79"/>
      <c r="U61" s="95">
        <f t="shared" si="13"/>
        <v>217000000</v>
      </c>
      <c r="V61" s="77">
        <f>24000000+16000000+24000000-18100000+19500000+50000020+47142876+800000</f>
        <v>163342896</v>
      </c>
      <c r="W61" s="92"/>
      <c r="X61" s="92"/>
      <c r="Y61" s="92"/>
      <c r="Z61" s="81"/>
      <c r="AA61" s="95">
        <f t="shared" si="14"/>
        <v>163342896</v>
      </c>
      <c r="AB61" s="47">
        <f t="shared" si="15"/>
        <v>0.7527322396313364</v>
      </c>
      <c r="AC61" s="46"/>
      <c r="AD61" s="48" t="s">
        <v>48</v>
      </c>
      <c r="AE61" s="48" t="s">
        <v>49</v>
      </c>
      <c r="AF61" s="31"/>
      <c r="AG61" s="31"/>
      <c r="AH61" s="31"/>
      <c r="AI61" s="31"/>
    </row>
    <row r="62" spans="1:35" ht="73.8" customHeight="1" x14ac:dyDescent="0.25">
      <c r="A62" s="33">
        <v>118</v>
      </c>
      <c r="B62" s="36" t="s">
        <v>41</v>
      </c>
      <c r="C62" s="36" t="s">
        <v>42</v>
      </c>
      <c r="D62" s="97" t="s">
        <v>177</v>
      </c>
      <c r="E62" s="66" t="s">
        <v>189</v>
      </c>
      <c r="F62" s="67" t="s">
        <v>190</v>
      </c>
      <c r="G62" s="39">
        <v>20200680010121</v>
      </c>
      <c r="H62" s="69" t="s">
        <v>181</v>
      </c>
      <c r="I62" s="68" t="s">
        <v>182</v>
      </c>
      <c r="J62" s="41">
        <v>44197</v>
      </c>
      <c r="K62" s="41">
        <v>44561</v>
      </c>
      <c r="L62" s="42">
        <v>200</v>
      </c>
      <c r="M62" s="56">
        <v>200</v>
      </c>
      <c r="N62" s="44">
        <f t="shared" si="9"/>
        <v>1</v>
      </c>
      <c r="O62" s="72" t="s">
        <v>191</v>
      </c>
      <c r="P62" s="77">
        <v>100000000</v>
      </c>
      <c r="Q62" s="91"/>
      <c r="R62" s="91"/>
      <c r="S62" s="91"/>
      <c r="T62" s="79"/>
      <c r="U62" s="95">
        <f t="shared" si="13"/>
        <v>100000000</v>
      </c>
      <c r="V62" s="77">
        <f>80000*200*6</f>
        <v>96000000</v>
      </c>
      <c r="W62" s="92"/>
      <c r="X62" s="92"/>
      <c r="Y62" s="92"/>
      <c r="Z62" s="81"/>
      <c r="AA62" s="95">
        <f t="shared" si="14"/>
        <v>96000000</v>
      </c>
      <c r="AB62" s="47">
        <f t="shared" si="15"/>
        <v>0.96</v>
      </c>
      <c r="AC62" s="46"/>
      <c r="AD62" s="48" t="s">
        <v>48</v>
      </c>
      <c r="AE62" s="48" t="s">
        <v>49</v>
      </c>
      <c r="AF62" s="31"/>
      <c r="AG62" s="31"/>
      <c r="AH62" s="31"/>
      <c r="AI62" s="31"/>
    </row>
    <row r="63" spans="1:35" ht="73.8" customHeight="1" x14ac:dyDescent="0.25">
      <c r="A63" s="33">
        <v>119</v>
      </c>
      <c r="B63" s="36" t="s">
        <v>41</v>
      </c>
      <c r="C63" s="36" t="s">
        <v>42</v>
      </c>
      <c r="D63" s="97" t="s">
        <v>177</v>
      </c>
      <c r="E63" s="66" t="s">
        <v>192</v>
      </c>
      <c r="F63" s="67" t="s">
        <v>193</v>
      </c>
      <c r="G63" s="39">
        <v>20200680010121</v>
      </c>
      <c r="H63" s="69" t="s">
        <v>181</v>
      </c>
      <c r="I63" s="68" t="s">
        <v>182</v>
      </c>
      <c r="J63" s="41">
        <v>44197</v>
      </c>
      <c r="K63" s="41">
        <v>44561</v>
      </c>
      <c r="L63" s="42">
        <v>1</v>
      </c>
      <c r="M63" s="56">
        <v>1</v>
      </c>
      <c r="N63" s="44">
        <f t="shared" si="9"/>
        <v>1</v>
      </c>
      <c r="O63" s="72" t="s">
        <v>180</v>
      </c>
      <c r="P63" s="77">
        <f>50000000-9000000+6000000</f>
        <v>47000000</v>
      </c>
      <c r="Q63" s="91"/>
      <c r="R63" s="91"/>
      <c r="S63" s="91"/>
      <c r="T63" s="79"/>
      <c r="U63" s="95">
        <f t="shared" si="13"/>
        <v>47000000</v>
      </c>
      <c r="V63" s="77">
        <f>28000000+12800000+6066684</f>
        <v>46866684</v>
      </c>
      <c r="W63" s="92"/>
      <c r="X63" s="92"/>
      <c r="Y63" s="92"/>
      <c r="Z63" s="81"/>
      <c r="AA63" s="95">
        <f t="shared" si="14"/>
        <v>46866684</v>
      </c>
      <c r="AB63" s="47">
        <f t="shared" si="15"/>
        <v>0.99716348936170218</v>
      </c>
      <c r="AC63" s="46"/>
      <c r="AD63" s="48" t="s">
        <v>48</v>
      </c>
      <c r="AE63" s="48" t="s">
        <v>49</v>
      </c>
      <c r="AF63" s="31"/>
      <c r="AG63" s="31"/>
      <c r="AH63" s="31"/>
      <c r="AI63" s="31"/>
    </row>
    <row r="64" spans="1:35" ht="82.8" x14ac:dyDescent="0.25">
      <c r="A64" s="33">
        <v>202</v>
      </c>
      <c r="B64" s="36" t="s">
        <v>194</v>
      </c>
      <c r="C64" s="36" t="s">
        <v>195</v>
      </c>
      <c r="D64" s="98" t="s">
        <v>196</v>
      </c>
      <c r="E64" s="70" t="s">
        <v>199</v>
      </c>
      <c r="F64" s="71" t="s">
        <v>200</v>
      </c>
      <c r="G64" s="39">
        <v>20200680010123</v>
      </c>
      <c r="H64" s="102" t="s">
        <v>202</v>
      </c>
      <c r="I64" s="68" t="s">
        <v>203</v>
      </c>
      <c r="J64" s="41">
        <v>44197</v>
      </c>
      <c r="K64" s="41">
        <v>44561</v>
      </c>
      <c r="L64" s="49">
        <v>50</v>
      </c>
      <c r="M64" s="59">
        <v>50</v>
      </c>
      <c r="N64" s="51">
        <f t="shared" si="9"/>
        <v>1</v>
      </c>
      <c r="O64" s="45" t="s">
        <v>201</v>
      </c>
      <c r="P64" s="77">
        <f>30000000+30000000+102000000+40000000.66</f>
        <v>202000000.66</v>
      </c>
      <c r="Q64" s="79"/>
      <c r="R64" s="79"/>
      <c r="S64" s="79"/>
      <c r="T64" s="79"/>
      <c r="U64" s="96">
        <f t="shared" si="13"/>
        <v>202000000.66</v>
      </c>
      <c r="V64" s="77">
        <v>93915000</v>
      </c>
      <c r="W64" s="88"/>
      <c r="X64" s="88"/>
      <c r="Y64" s="88"/>
      <c r="Z64" s="81"/>
      <c r="AA64" s="96">
        <f t="shared" si="14"/>
        <v>93915000</v>
      </c>
      <c r="AB64" s="52">
        <f>IFERROR(AA64/U64,"-")</f>
        <v>0.46492574105519313</v>
      </c>
      <c r="AC64" s="53"/>
      <c r="AD64" s="54" t="s">
        <v>48</v>
      </c>
      <c r="AE64" s="54" t="s">
        <v>49</v>
      </c>
      <c r="AF64" s="31"/>
      <c r="AG64" s="31"/>
      <c r="AH64" s="31"/>
      <c r="AI64" s="31"/>
    </row>
    <row r="65" spans="1:35" ht="82.8" x14ac:dyDescent="0.25">
      <c r="A65" s="33">
        <v>203</v>
      </c>
      <c r="B65" s="36" t="s">
        <v>194</v>
      </c>
      <c r="C65" s="36" t="s">
        <v>195</v>
      </c>
      <c r="D65" s="97" t="s">
        <v>196</v>
      </c>
      <c r="E65" s="66" t="s">
        <v>197</v>
      </c>
      <c r="F65" s="67" t="s">
        <v>198</v>
      </c>
      <c r="G65" s="74">
        <v>20200680010159</v>
      </c>
      <c r="H65" s="69" t="s">
        <v>242</v>
      </c>
      <c r="I65" s="105" t="s">
        <v>259</v>
      </c>
      <c r="J65" s="41">
        <v>44197</v>
      </c>
      <c r="K65" s="41">
        <v>44561</v>
      </c>
      <c r="L65" s="42">
        <v>2</v>
      </c>
      <c r="M65" s="56">
        <v>2</v>
      </c>
      <c r="N65" s="44">
        <f t="shared" si="9"/>
        <v>1</v>
      </c>
      <c r="O65" s="45" t="s">
        <v>243</v>
      </c>
      <c r="P65" s="77">
        <f>100000000-4654516</f>
        <v>95345484</v>
      </c>
      <c r="Q65" s="79"/>
      <c r="R65" s="79"/>
      <c r="S65" s="79"/>
      <c r="T65" s="79"/>
      <c r="U65" s="95">
        <f t="shared" si="13"/>
        <v>95345484</v>
      </c>
      <c r="V65" s="77">
        <f>47672742+47672742</f>
        <v>95345484</v>
      </c>
      <c r="W65" s="88"/>
      <c r="X65" s="88"/>
      <c r="Y65" s="88"/>
      <c r="Z65" s="81"/>
      <c r="AA65" s="95">
        <f t="shared" si="14"/>
        <v>95345484</v>
      </c>
      <c r="AB65" s="47">
        <f t="shared" si="15"/>
        <v>1</v>
      </c>
      <c r="AC65" s="46"/>
      <c r="AD65" s="48" t="s">
        <v>48</v>
      </c>
      <c r="AE65" s="48" t="s">
        <v>49</v>
      </c>
      <c r="AF65" s="31"/>
      <c r="AG65" s="31"/>
      <c r="AH65" s="31"/>
      <c r="AI65" s="31"/>
    </row>
    <row r="66" spans="1:35" ht="82.8" x14ac:dyDescent="0.25">
      <c r="A66" s="33">
        <v>204</v>
      </c>
      <c r="B66" s="36" t="s">
        <v>194</v>
      </c>
      <c r="C66" s="36" t="s">
        <v>195</v>
      </c>
      <c r="D66" s="97" t="s">
        <v>196</v>
      </c>
      <c r="E66" s="66" t="s">
        <v>204</v>
      </c>
      <c r="F66" s="67" t="s">
        <v>205</v>
      </c>
      <c r="G66" s="39">
        <v>20200680010123</v>
      </c>
      <c r="H66" s="102" t="s">
        <v>202</v>
      </c>
      <c r="I66" s="68" t="s">
        <v>203</v>
      </c>
      <c r="J66" s="41">
        <v>44197</v>
      </c>
      <c r="K66" s="41">
        <v>44561</v>
      </c>
      <c r="L66" s="49">
        <v>3</v>
      </c>
      <c r="M66" s="59">
        <v>3</v>
      </c>
      <c r="N66" s="51">
        <f t="shared" si="9"/>
        <v>1</v>
      </c>
      <c r="O66" s="45" t="s">
        <v>206</v>
      </c>
      <c r="P66" s="77">
        <f>59839539+30160461</f>
        <v>90000000</v>
      </c>
      <c r="Q66" s="79"/>
      <c r="R66" s="79"/>
      <c r="S66" s="79"/>
      <c r="T66" s="79"/>
      <c r="U66" s="96">
        <f t="shared" si="13"/>
        <v>90000000</v>
      </c>
      <c r="V66" s="77">
        <v>55800000</v>
      </c>
      <c r="W66" s="88"/>
      <c r="X66" s="88"/>
      <c r="Y66" s="88"/>
      <c r="Z66" s="81"/>
      <c r="AA66" s="96">
        <f t="shared" si="14"/>
        <v>55800000</v>
      </c>
      <c r="AB66" s="52">
        <f>IFERROR(AA66/U66,"-")</f>
        <v>0.62</v>
      </c>
      <c r="AC66" s="53"/>
      <c r="AD66" s="54" t="s">
        <v>48</v>
      </c>
      <c r="AE66" s="54" t="s">
        <v>49</v>
      </c>
      <c r="AF66" s="31"/>
      <c r="AG66" s="31"/>
      <c r="AH66" s="31"/>
      <c r="AI66" s="31"/>
    </row>
    <row r="67" spans="1:35" ht="82.8" x14ac:dyDescent="0.25">
      <c r="A67" s="33">
        <v>205</v>
      </c>
      <c r="B67" s="36" t="s">
        <v>194</v>
      </c>
      <c r="C67" s="36" t="s">
        <v>195</v>
      </c>
      <c r="D67" s="97" t="s">
        <v>196</v>
      </c>
      <c r="E67" s="66" t="s">
        <v>207</v>
      </c>
      <c r="F67" s="67" t="s">
        <v>208</v>
      </c>
      <c r="G67" s="39">
        <v>20200680010123</v>
      </c>
      <c r="H67" s="102" t="s">
        <v>202</v>
      </c>
      <c r="I67" s="68" t="s">
        <v>203</v>
      </c>
      <c r="J67" s="41">
        <v>44197</v>
      </c>
      <c r="K67" s="41">
        <v>44561</v>
      </c>
      <c r="L67" s="42">
        <v>4</v>
      </c>
      <c r="M67" s="56">
        <v>4</v>
      </c>
      <c r="N67" s="44">
        <f t="shared" si="9"/>
        <v>1</v>
      </c>
      <c r="O67" s="45" t="s">
        <v>206</v>
      </c>
      <c r="P67" s="77">
        <f>90000000+4654516</f>
        <v>94654516</v>
      </c>
      <c r="Q67" s="79"/>
      <c r="R67" s="79"/>
      <c r="S67" s="79"/>
      <c r="T67" s="79"/>
      <c r="U67" s="95">
        <f t="shared" si="13"/>
        <v>94654516</v>
      </c>
      <c r="V67" s="77">
        <f>32000000+32000000+6266698+4800024</f>
        <v>75066722</v>
      </c>
      <c r="W67" s="88"/>
      <c r="X67" s="88"/>
      <c r="Y67" s="88"/>
      <c r="Z67" s="81"/>
      <c r="AA67" s="95">
        <f t="shared" si="14"/>
        <v>75066722</v>
      </c>
      <c r="AB67" s="47">
        <f>IFERROR(AA67/U67,"-")</f>
        <v>0.79306012192804409</v>
      </c>
      <c r="AC67" s="46"/>
      <c r="AD67" s="48" t="s">
        <v>48</v>
      </c>
      <c r="AE67" s="48" t="s">
        <v>49</v>
      </c>
      <c r="AF67" s="31"/>
      <c r="AG67" s="31"/>
      <c r="AH67" s="31"/>
      <c r="AI67" s="31"/>
    </row>
    <row r="68" spans="1:35" ht="82.8" x14ac:dyDescent="0.25">
      <c r="A68" s="33">
        <v>206</v>
      </c>
      <c r="B68" s="36" t="s">
        <v>194</v>
      </c>
      <c r="C68" s="36" t="s">
        <v>195</v>
      </c>
      <c r="D68" s="97" t="s">
        <v>196</v>
      </c>
      <c r="E68" s="66" t="s">
        <v>209</v>
      </c>
      <c r="F68" s="67" t="s">
        <v>210</v>
      </c>
      <c r="G68" s="39">
        <v>20200680010123</v>
      </c>
      <c r="H68" s="102" t="s">
        <v>202</v>
      </c>
      <c r="I68" s="68" t="s">
        <v>203</v>
      </c>
      <c r="J68" s="41">
        <v>44197</v>
      </c>
      <c r="K68" s="41">
        <v>44561</v>
      </c>
      <c r="L68" s="42">
        <v>1</v>
      </c>
      <c r="M68" s="56">
        <v>1</v>
      </c>
      <c r="N68" s="44">
        <f t="shared" si="9"/>
        <v>1</v>
      </c>
      <c r="O68" s="45" t="s">
        <v>206</v>
      </c>
      <c r="P68" s="77">
        <v>40000000</v>
      </c>
      <c r="Q68" s="79"/>
      <c r="R68" s="79"/>
      <c r="S68" s="79"/>
      <c r="T68" s="79"/>
      <c r="U68" s="95">
        <f t="shared" si="13"/>
        <v>40000000</v>
      </c>
      <c r="V68" s="77">
        <f>24000000+8333333+4600000</f>
        <v>36933333</v>
      </c>
      <c r="W68" s="88"/>
      <c r="X68" s="88"/>
      <c r="Y68" s="88"/>
      <c r="Z68" s="81"/>
      <c r="AA68" s="95">
        <f t="shared" si="14"/>
        <v>36933333</v>
      </c>
      <c r="AB68" s="47">
        <f>IFERROR(AA68/U68,"-")</f>
        <v>0.92333332499999998</v>
      </c>
      <c r="AC68" s="46"/>
      <c r="AD68" s="48" t="s">
        <v>48</v>
      </c>
      <c r="AE68" s="48" t="s">
        <v>49</v>
      </c>
      <c r="AF68" s="31"/>
      <c r="AG68" s="31"/>
      <c r="AH68" s="31"/>
      <c r="AI68" s="31"/>
    </row>
    <row r="69" spans="1:35" ht="82.8" x14ac:dyDescent="0.25">
      <c r="A69" s="33">
        <v>207</v>
      </c>
      <c r="B69" s="36" t="s">
        <v>194</v>
      </c>
      <c r="C69" s="36" t="s">
        <v>195</v>
      </c>
      <c r="D69" s="98" t="s">
        <v>196</v>
      </c>
      <c r="E69" s="70" t="s">
        <v>211</v>
      </c>
      <c r="F69" s="71" t="s">
        <v>212</v>
      </c>
      <c r="G69" s="39">
        <v>20200680010123</v>
      </c>
      <c r="H69" s="102" t="s">
        <v>202</v>
      </c>
      <c r="I69" s="68" t="s">
        <v>203</v>
      </c>
      <c r="J69" s="41">
        <v>44197</v>
      </c>
      <c r="K69" s="41">
        <v>44561</v>
      </c>
      <c r="L69" s="49">
        <v>6</v>
      </c>
      <c r="M69" s="59">
        <v>6</v>
      </c>
      <c r="N69" s="51">
        <f t="shared" si="9"/>
        <v>1</v>
      </c>
      <c r="O69" s="45" t="s">
        <v>213</v>
      </c>
      <c r="P69" s="77">
        <v>90000000</v>
      </c>
      <c r="Q69" s="79"/>
      <c r="R69" s="79"/>
      <c r="S69" s="79"/>
      <c r="T69" s="79"/>
      <c r="U69" s="96">
        <f t="shared" si="13"/>
        <v>90000000</v>
      </c>
      <c r="V69" s="77">
        <v>29822520</v>
      </c>
      <c r="W69" s="88"/>
      <c r="X69" s="88"/>
      <c r="Y69" s="88"/>
      <c r="Z69" s="81"/>
      <c r="AA69" s="96">
        <f t="shared" si="14"/>
        <v>29822520</v>
      </c>
      <c r="AB69" s="52">
        <f>IFERROR(AA69/U69,"-")</f>
        <v>0.33136133333333334</v>
      </c>
      <c r="AC69" s="53"/>
      <c r="AD69" s="54" t="s">
        <v>48</v>
      </c>
      <c r="AE69" s="54" t="s">
        <v>49</v>
      </c>
      <c r="AF69" s="31"/>
      <c r="AG69" s="31"/>
      <c r="AH69" s="31"/>
      <c r="AI69" s="31"/>
    </row>
    <row r="70" spans="1:35" ht="69" x14ac:dyDescent="0.25">
      <c r="A70" s="33">
        <v>283</v>
      </c>
      <c r="B70" s="36" t="s">
        <v>38</v>
      </c>
      <c r="C70" s="36" t="s">
        <v>214</v>
      </c>
      <c r="D70" s="97" t="s">
        <v>215</v>
      </c>
      <c r="E70" s="66" t="s">
        <v>216</v>
      </c>
      <c r="F70" s="67" t="s">
        <v>217</v>
      </c>
      <c r="G70" s="39">
        <v>20200680010063</v>
      </c>
      <c r="H70" s="102" t="s">
        <v>218</v>
      </c>
      <c r="I70" s="63" t="s">
        <v>219</v>
      </c>
      <c r="J70" s="41">
        <v>44197</v>
      </c>
      <c r="K70" s="41">
        <v>44561</v>
      </c>
      <c r="L70" s="42">
        <v>1</v>
      </c>
      <c r="M70" s="56">
        <v>1</v>
      </c>
      <c r="N70" s="44">
        <f t="shared" si="9"/>
        <v>1</v>
      </c>
      <c r="O70" s="45" t="s">
        <v>220</v>
      </c>
      <c r="P70" s="77">
        <f>371000000-144000000+140000000+60000000+81000000+12000000+35000000</f>
        <v>555000000</v>
      </c>
      <c r="Q70" s="79"/>
      <c r="R70" s="79"/>
      <c r="S70" s="79"/>
      <c r="T70" s="79"/>
      <c r="U70" s="95">
        <f t="shared" ref="U70:U75" si="16">SUM(P70:T70)</f>
        <v>555000000</v>
      </c>
      <c r="V70" s="77">
        <f>164067.77+45667.77+213600000+27200000+46667.77+45667.77+57084.71+45667.77+60000000+89142.65+41500000-6973333+87361480+8220000+52960796.69+4500000+60890.36+1333325</f>
        <v>490257125.26000005</v>
      </c>
      <c r="W70" s="88"/>
      <c r="X70" s="88"/>
      <c r="Y70" s="88"/>
      <c r="Z70" s="81"/>
      <c r="AA70" s="95">
        <f t="shared" ref="AA70:AA75" si="17">SUM(V70:Z70)</f>
        <v>490257125.26000005</v>
      </c>
      <c r="AB70" s="47">
        <f t="shared" ref="AB70:AB75" si="18">IFERROR(AA70/U70,"-")</f>
        <v>0.88334617163963969</v>
      </c>
      <c r="AC70" s="46"/>
      <c r="AD70" s="48" t="s">
        <v>48</v>
      </c>
      <c r="AE70" s="48" t="s">
        <v>49</v>
      </c>
      <c r="AF70" s="31"/>
      <c r="AG70" s="31"/>
      <c r="AH70" s="31"/>
      <c r="AI70" s="31"/>
    </row>
    <row r="71" spans="1:35" ht="78.599999999999994" customHeight="1" x14ac:dyDescent="0.25">
      <c r="A71" s="33">
        <v>284</v>
      </c>
      <c r="B71" s="36" t="s">
        <v>38</v>
      </c>
      <c r="C71" s="36" t="s">
        <v>214</v>
      </c>
      <c r="D71" s="97" t="s">
        <v>215</v>
      </c>
      <c r="E71" s="66" t="s">
        <v>227</v>
      </c>
      <c r="F71" s="67" t="s">
        <v>228</v>
      </c>
      <c r="G71" s="74">
        <v>20200680010140</v>
      </c>
      <c r="H71" s="69" t="s">
        <v>252</v>
      </c>
      <c r="I71" s="105" t="s">
        <v>260</v>
      </c>
      <c r="J71" s="41">
        <v>44197</v>
      </c>
      <c r="K71" s="41">
        <v>44561</v>
      </c>
      <c r="L71" s="132">
        <v>2</v>
      </c>
      <c r="M71" s="130">
        <v>0</v>
      </c>
      <c r="N71" s="122">
        <f t="shared" si="9"/>
        <v>0</v>
      </c>
      <c r="O71" s="45" t="s">
        <v>229</v>
      </c>
      <c r="P71" s="77">
        <v>207997610</v>
      </c>
      <c r="Q71" s="79"/>
      <c r="R71" s="79"/>
      <c r="S71" s="79"/>
      <c r="T71" s="79"/>
      <c r="U71" s="128">
        <f>SUM(P71:T72)</f>
        <v>221000000</v>
      </c>
      <c r="V71" s="77"/>
      <c r="W71" s="88"/>
      <c r="X71" s="88"/>
      <c r="Y71" s="88"/>
      <c r="Z71" s="81"/>
      <c r="AA71" s="128">
        <f>SUM(V71:Z72)</f>
        <v>0</v>
      </c>
      <c r="AB71" s="118">
        <f t="shared" si="18"/>
        <v>0</v>
      </c>
      <c r="AC71" s="120"/>
      <c r="AD71" s="116" t="s">
        <v>48</v>
      </c>
      <c r="AE71" s="116" t="s">
        <v>49</v>
      </c>
      <c r="AF71" s="31"/>
      <c r="AG71" s="31"/>
      <c r="AH71" s="31"/>
      <c r="AI71" s="31"/>
    </row>
    <row r="72" spans="1:35" ht="69" x14ac:dyDescent="0.25">
      <c r="A72" s="34">
        <v>284</v>
      </c>
      <c r="B72" s="36" t="s">
        <v>38</v>
      </c>
      <c r="C72" s="36" t="s">
        <v>214</v>
      </c>
      <c r="D72" s="97" t="s">
        <v>215</v>
      </c>
      <c r="E72" s="66" t="s">
        <v>227</v>
      </c>
      <c r="F72" s="67" t="s">
        <v>228</v>
      </c>
      <c r="G72" s="74"/>
      <c r="H72" s="65" t="s">
        <v>258</v>
      </c>
      <c r="I72" s="40"/>
      <c r="J72" s="41"/>
      <c r="K72" s="41"/>
      <c r="L72" s="133"/>
      <c r="M72" s="131"/>
      <c r="N72" s="123"/>
      <c r="O72" s="45" t="s">
        <v>229</v>
      </c>
      <c r="P72" s="77">
        <v>13002390</v>
      </c>
      <c r="Q72" s="79"/>
      <c r="R72" s="79"/>
      <c r="S72" s="79"/>
      <c r="T72" s="79"/>
      <c r="U72" s="129"/>
      <c r="V72" s="77"/>
      <c r="W72" s="88"/>
      <c r="X72" s="88"/>
      <c r="Y72" s="88"/>
      <c r="Z72" s="81"/>
      <c r="AA72" s="129"/>
      <c r="AB72" s="119"/>
      <c r="AC72" s="121"/>
      <c r="AD72" s="117"/>
      <c r="AE72" s="117"/>
      <c r="AF72" s="31"/>
      <c r="AG72" s="31"/>
      <c r="AH72" s="31"/>
      <c r="AI72" s="31"/>
    </row>
    <row r="73" spans="1:35" ht="69" x14ac:dyDescent="0.25">
      <c r="A73" s="33">
        <v>285</v>
      </c>
      <c r="B73" s="64" t="s">
        <v>38</v>
      </c>
      <c r="C73" s="36" t="s">
        <v>214</v>
      </c>
      <c r="D73" s="98" t="s">
        <v>215</v>
      </c>
      <c r="E73" s="75" t="s">
        <v>224</v>
      </c>
      <c r="F73" s="71" t="s">
        <v>225</v>
      </c>
      <c r="G73" s="39">
        <v>20200680010063</v>
      </c>
      <c r="H73" s="102" t="s">
        <v>218</v>
      </c>
      <c r="I73" s="63" t="s">
        <v>219</v>
      </c>
      <c r="J73" s="41">
        <v>44197</v>
      </c>
      <c r="K73" s="41">
        <v>44561</v>
      </c>
      <c r="L73" s="61">
        <v>1</v>
      </c>
      <c r="M73" s="62">
        <v>1</v>
      </c>
      <c r="N73" s="44">
        <f>IFERROR(IF(M73/L73&gt;100%,100%,M73/L73),"-")</f>
        <v>1</v>
      </c>
      <c r="O73" s="45" t="s">
        <v>226</v>
      </c>
      <c r="P73" s="77">
        <f>113501549+30498451+229000000-50000000+100000000-320000000+70000000+10000000+26000000+3000000</f>
        <v>212000000</v>
      </c>
      <c r="Q73" s="77"/>
      <c r="R73" s="79"/>
      <c r="S73" s="79"/>
      <c r="T73" s="79"/>
      <c r="U73" s="95">
        <f t="shared" si="16"/>
        <v>212000000</v>
      </c>
      <c r="V73" s="77">
        <f>144000000+20000000+6500000+9450000+28650000+2250000</f>
        <v>210850000</v>
      </c>
      <c r="W73" s="77"/>
      <c r="X73" s="88"/>
      <c r="Y73" s="88"/>
      <c r="Z73" s="81"/>
      <c r="AA73" s="95">
        <f t="shared" si="17"/>
        <v>210850000</v>
      </c>
      <c r="AB73" s="47">
        <f t="shared" si="18"/>
        <v>0.99457547169811322</v>
      </c>
      <c r="AC73" s="46"/>
      <c r="AD73" s="48" t="s">
        <v>48</v>
      </c>
      <c r="AE73" s="48" t="s">
        <v>49</v>
      </c>
      <c r="AF73" s="31"/>
      <c r="AG73" s="31"/>
      <c r="AH73" s="31"/>
      <c r="AI73" s="31"/>
    </row>
    <row r="74" spans="1:35" ht="69" x14ac:dyDescent="0.25">
      <c r="A74" s="33">
        <v>286</v>
      </c>
      <c r="B74" s="36" t="s">
        <v>38</v>
      </c>
      <c r="C74" s="36" t="s">
        <v>214</v>
      </c>
      <c r="D74" s="98" t="s">
        <v>215</v>
      </c>
      <c r="E74" s="66" t="s">
        <v>221</v>
      </c>
      <c r="F74" s="67" t="s">
        <v>222</v>
      </c>
      <c r="G74" s="39">
        <v>20200680010063</v>
      </c>
      <c r="H74" s="102" t="s">
        <v>218</v>
      </c>
      <c r="I74" s="63" t="s">
        <v>219</v>
      </c>
      <c r="J74" s="41">
        <v>44197</v>
      </c>
      <c r="K74" s="41">
        <v>44561</v>
      </c>
      <c r="L74" s="61">
        <v>1</v>
      </c>
      <c r="M74" s="62">
        <v>1</v>
      </c>
      <c r="N74" s="44">
        <f>IFERROR(IF(M74/L74&gt;100%,100%,M74/L74),"-")</f>
        <v>1</v>
      </c>
      <c r="O74" s="45" t="s">
        <v>223</v>
      </c>
      <c r="P74" s="77">
        <f>400000000+443600000+100000000-150000000-18000000-26000000-3000000</f>
        <v>746600000</v>
      </c>
      <c r="Q74" s="79"/>
      <c r="R74" s="79"/>
      <c r="S74" s="93"/>
      <c r="T74" s="79"/>
      <c r="U74" s="95">
        <f t="shared" si="16"/>
        <v>746600000</v>
      </c>
      <c r="V74" s="77">
        <f>14208000+14208000+14208000+14208000+14208000+14208000+107382550+14208000+14222187.71+33321569+492208997+28507700-89701125+14208000-1000+14208000</f>
        <v>713812878.71000004</v>
      </c>
      <c r="W74" s="94"/>
      <c r="X74" s="94"/>
      <c r="Y74" s="92"/>
      <c r="Z74" s="79"/>
      <c r="AA74" s="95">
        <f t="shared" si="17"/>
        <v>713812878.71000004</v>
      </c>
      <c r="AB74" s="47">
        <f t="shared" si="18"/>
        <v>0.95608475583980723</v>
      </c>
      <c r="AC74" s="46"/>
      <c r="AD74" s="48" t="s">
        <v>48</v>
      </c>
      <c r="AE74" s="48" t="s">
        <v>49</v>
      </c>
      <c r="AF74" s="31"/>
      <c r="AG74" s="31"/>
      <c r="AH74" s="31"/>
      <c r="AI74" s="31"/>
    </row>
    <row r="75" spans="1:35" ht="55.2" x14ac:dyDescent="0.25">
      <c r="A75" s="33">
        <v>234</v>
      </c>
      <c r="B75" s="36" t="s">
        <v>87</v>
      </c>
      <c r="C75" s="36" t="s">
        <v>88</v>
      </c>
      <c r="D75" s="97" t="s">
        <v>89</v>
      </c>
      <c r="E75" s="66" t="s">
        <v>90</v>
      </c>
      <c r="F75" s="67" t="s">
        <v>91</v>
      </c>
      <c r="G75" s="39">
        <v>20210680010003</v>
      </c>
      <c r="H75" s="102" t="s">
        <v>46</v>
      </c>
      <c r="I75" s="40"/>
      <c r="J75" s="41">
        <v>44197</v>
      </c>
      <c r="K75" s="41">
        <v>44561</v>
      </c>
      <c r="L75" s="42">
        <v>1</v>
      </c>
      <c r="M75" s="56">
        <v>1</v>
      </c>
      <c r="N75" s="44">
        <f>IFERROR(IF(M75/L75&gt;100%,100%,M75/L75),"-")</f>
        <v>1</v>
      </c>
      <c r="O75" s="45" t="s">
        <v>92</v>
      </c>
      <c r="P75" s="77">
        <f>10000000+20000000</f>
        <v>30000000</v>
      </c>
      <c r="Q75" s="79"/>
      <c r="R75" s="79"/>
      <c r="S75" s="79"/>
      <c r="T75" s="79"/>
      <c r="U75" s="95">
        <f t="shared" si="16"/>
        <v>30000000</v>
      </c>
      <c r="V75" s="77">
        <f>20000000+10000000</f>
        <v>30000000</v>
      </c>
      <c r="W75" s="94"/>
      <c r="X75" s="94"/>
      <c r="Y75" s="94"/>
      <c r="Z75" s="79"/>
      <c r="AA75" s="95">
        <f t="shared" si="17"/>
        <v>30000000</v>
      </c>
      <c r="AB75" s="47">
        <f t="shared" si="18"/>
        <v>1</v>
      </c>
      <c r="AC75" s="46"/>
      <c r="AD75" s="48" t="s">
        <v>48</v>
      </c>
      <c r="AE75" s="48" t="s">
        <v>49</v>
      </c>
      <c r="AF75" s="31"/>
      <c r="AG75" s="31"/>
      <c r="AH75" s="31"/>
      <c r="AI75" s="31"/>
    </row>
    <row r="76" spans="1:35" ht="91.2" customHeight="1" x14ac:dyDescent="0.25">
      <c r="A76" s="33">
        <v>300</v>
      </c>
      <c r="B76" s="64" t="s">
        <v>38</v>
      </c>
      <c r="C76" s="64" t="s">
        <v>39</v>
      </c>
      <c r="D76" s="99" t="s">
        <v>40</v>
      </c>
      <c r="E76" s="70" t="s">
        <v>230</v>
      </c>
      <c r="F76" s="71" t="s">
        <v>231</v>
      </c>
      <c r="G76" s="76">
        <v>20200680010025</v>
      </c>
      <c r="H76" s="102" t="s">
        <v>232</v>
      </c>
      <c r="I76" s="63" t="s">
        <v>233</v>
      </c>
      <c r="J76" s="41">
        <v>44197</v>
      </c>
      <c r="K76" s="41">
        <v>44561</v>
      </c>
      <c r="L76" s="126">
        <v>1</v>
      </c>
      <c r="M76" s="124">
        <v>1</v>
      </c>
      <c r="N76" s="122">
        <f>IFERROR(IF(M76/L76&gt;100%,100%,M76/L76),"-")</f>
        <v>1</v>
      </c>
      <c r="O76" s="45" t="s">
        <v>241</v>
      </c>
      <c r="P76" s="77">
        <v>824000000</v>
      </c>
      <c r="Q76" s="79"/>
      <c r="R76" s="79"/>
      <c r="S76" s="93"/>
      <c r="T76" s="79"/>
      <c r="U76" s="128">
        <f>SUM(P76:T77)</f>
        <v>924000000</v>
      </c>
      <c r="V76" s="77">
        <f>466400000+64000000-25066666+12000000-23000001+29566667+38000000-5000000+61916667+37966694+40073251.33+23086642+25933333.36+54299980.34+999996+266672.33-1533333.33</f>
        <v>799909903.03000009</v>
      </c>
      <c r="W76" s="94"/>
      <c r="X76" s="94"/>
      <c r="Y76" s="92"/>
      <c r="Z76" s="79"/>
      <c r="AA76" s="128">
        <f>SUM(V76:Z77)</f>
        <v>799909903.03000009</v>
      </c>
      <c r="AB76" s="118">
        <f>IFERROR(AA76/U76,"-")</f>
        <v>0.86570335825757583</v>
      </c>
      <c r="AC76" s="120"/>
      <c r="AD76" s="116" t="s">
        <v>48</v>
      </c>
      <c r="AE76" s="116" t="s">
        <v>49</v>
      </c>
      <c r="AF76" s="31"/>
      <c r="AG76" s="31"/>
      <c r="AH76" s="31"/>
      <c r="AI76" s="31"/>
    </row>
    <row r="77" spans="1:35" ht="69" x14ac:dyDescent="0.25">
      <c r="A77" s="34">
        <v>300</v>
      </c>
      <c r="B77" s="64" t="s">
        <v>38</v>
      </c>
      <c r="C77" s="64" t="s">
        <v>39</v>
      </c>
      <c r="D77" s="99" t="s">
        <v>40</v>
      </c>
      <c r="E77" s="70" t="s">
        <v>230</v>
      </c>
      <c r="F77" s="71" t="s">
        <v>231</v>
      </c>
      <c r="G77" s="76"/>
      <c r="H77" s="38" t="s">
        <v>258</v>
      </c>
      <c r="I77" s="63"/>
      <c r="J77" s="107"/>
      <c r="K77" s="107"/>
      <c r="L77" s="127"/>
      <c r="M77" s="125"/>
      <c r="N77" s="123"/>
      <c r="O77" s="108"/>
      <c r="P77" s="109">
        <v>100000000</v>
      </c>
      <c r="Q77" s="110"/>
      <c r="R77" s="110"/>
      <c r="S77" s="111"/>
      <c r="T77" s="110"/>
      <c r="U77" s="129"/>
      <c r="V77" s="109"/>
      <c r="W77" s="112"/>
      <c r="X77" s="112"/>
      <c r="Y77" s="113"/>
      <c r="Z77" s="110"/>
      <c r="AA77" s="129"/>
      <c r="AB77" s="119"/>
      <c r="AC77" s="121"/>
      <c r="AD77" s="117"/>
      <c r="AE77" s="117"/>
      <c r="AF77" s="31"/>
      <c r="AG77" s="31"/>
      <c r="AH77" s="31"/>
      <c r="AI77" s="31"/>
    </row>
    <row r="78" spans="1:35" x14ac:dyDescent="0.25">
      <c r="A78" s="9">
        <f>SUM(--(FREQUENCY(A9:A77,A9:A77)&gt;0))</f>
        <v>62</v>
      </c>
      <c r="B78" s="10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3" t="s">
        <v>17</v>
      </c>
      <c r="N78" s="12">
        <f>IFERROR(AVERAGE(N9:N77),"-")</f>
        <v>0.87102036041095199</v>
      </c>
      <c r="O78" s="19"/>
      <c r="P78" s="15">
        <f>SUM(P9:P77)</f>
        <v>14537957482.150002</v>
      </c>
      <c r="Q78" s="15">
        <f t="shared" ref="Q78:V78" si="19">SUM(Q9:Q77)</f>
        <v>2017372863.27</v>
      </c>
      <c r="R78" s="15">
        <f t="shared" si="19"/>
        <v>0</v>
      </c>
      <c r="S78" s="15">
        <f t="shared" si="19"/>
        <v>0</v>
      </c>
      <c r="T78" s="15">
        <f t="shared" si="19"/>
        <v>2540652590</v>
      </c>
      <c r="U78" s="23">
        <f>SUM(U9:U77)</f>
        <v>19095982935.420002</v>
      </c>
      <c r="V78" s="15">
        <f t="shared" si="19"/>
        <v>12141906983.800001</v>
      </c>
      <c r="W78" s="15">
        <f t="shared" ref="W78" si="20">SUM(W9:W77)</f>
        <v>1789408407.27</v>
      </c>
      <c r="X78" s="15">
        <f t="shared" ref="X78" si="21">SUM(X9:X77)</f>
        <v>0</v>
      </c>
      <c r="Y78" s="15">
        <f t="shared" ref="Y78" si="22">SUM(Y9:Y77)</f>
        <v>0</v>
      </c>
      <c r="Z78" s="15">
        <f t="shared" ref="Z78" si="23">SUM(Z9:Z77)</f>
        <v>2031151591.0999999</v>
      </c>
      <c r="AA78" s="114">
        <f>SUM(AA9:AA77)</f>
        <v>15962466982.17</v>
      </c>
      <c r="AB78" s="16">
        <f>IFERROR(AA78/U78,"-")</f>
        <v>0.83590706150884597</v>
      </c>
      <c r="AC78" s="17">
        <f>SUM(AC9:AC76)</f>
        <v>91496000</v>
      </c>
      <c r="AD78" s="14"/>
      <c r="AE78" s="14"/>
    </row>
    <row r="79" spans="1:35" x14ac:dyDescent="0.25">
      <c r="O79" s="29"/>
      <c r="U79" s="22"/>
      <c r="AA79" s="26"/>
      <c r="AC79" s="26"/>
      <c r="AE79" s="28"/>
    </row>
    <row r="80" spans="1:35" x14ac:dyDescent="0.25">
      <c r="O80" s="30"/>
      <c r="U80" s="25"/>
      <c r="Z80" s="27"/>
      <c r="AA80" s="25"/>
    </row>
    <row r="81" spans="16:27" x14ac:dyDescent="0.25">
      <c r="P81" s="22"/>
    </row>
    <row r="82" spans="16:27" x14ac:dyDescent="0.25">
      <c r="P82" s="24"/>
      <c r="AA82" s="35"/>
    </row>
    <row r="83" spans="16:27" x14ac:dyDescent="0.25">
      <c r="P83" s="104"/>
      <c r="Q83" s="104"/>
      <c r="R83" s="104"/>
      <c r="U83" s="22"/>
      <c r="V83" s="22"/>
      <c r="W83" s="22"/>
      <c r="X83" s="22"/>
      <c r="Y83" s="22"/>
    </row>
    <row r="84" spans="16:27" x14ac:dyDescent="0.25">
      <c r="U84" s="22"/>
      <c r="V84" s="22"/>
      <c r="W84" s="22"/>
      <c r="X84" s="22"/>
      <c r="Y84" s="22"/>
    </row>
    <row r="85" spans="16:27" x14ac:dyDescent="0.25">
      <c r="P85" s="104"/>
      <c r="U85" s="22"/>
      <c r="V85" s="22"/>
      <c r="W85" s="22"/>
      <c r="X85" s="22"/>
      <c r="Y85" s="22"/>
    </row>
    <row r="86" spans="16:27" x14ac:dyDescent="0.25">
      <c r="P86" s="104"/>
    </row>
    <row r="87" spans="16:27" x14ac:dyDescent="0.25">
      <c r="P87" s="104"/>
      <c r="U87" s="24"/>
      <c r="Z87" s="24"/>
    </row>
  </sheetData>
  <mergeCells count="81">
    <mergeCell ref="L15:L16"/>
    <mergeCell ref="U15:U16"/>
    <mergeCell ref="AE15:AE16"/>
    <mergeCell ref="L38:L39"/>
    <mergeCell ref="M38:M39"/>
    <mergeCell ref="N38:N39"/>
    <mergeCell ref="U38:U39"/>
    <mergeCell ref="N34:N35"/>
    <mergeCell ref="M34:M35"/>
    <mergeCell ref="L34:L35"/>
    <mergeCell ref="U34:U35"/>
    <mergeCell ref="AA34:AA35"/>
    <mergeCell ref="AB34:AB35"/>
    <mergeCell ref="AE34:AE35"/>
    <mergeCell ref="AD34:AD35"/>
    <mergeCell ref="AC34:AC35"/>
    <mergeCell ref="N15:N16"/>
    <mergeCell ref="M15:M16"/>
    <mergeCell ref="AA38:AA39"/>
    <mergeCell ref="AB38:AB39"/>
    <mergeCell ref="AC38:AC39"/>
    <mergeCell ref="AB24:AB25"/>
    <mergeCell ref="AC24:AC25"/>
    <mergeCell ref="AA15:AA16"/>
    <mergeCell ref="AB15:AB16"/>
    <mergeCell ref="AC15:AC16"/>
    <mergeCell ref="AD15:AD16"/>
    <mergeCell ref="AB12:AB13"/>
    <mergeCell ref="AC1:AE1"/>
    <mergeCell ref="AC2:AE2"/>
    <mergeCell ref="AC3:AE3"/>
    <mergeCell ref="AC4:AE4"/>
    <mergeCell ref="AC7:AC8"/>
    <mergeCell ref="AD7:AE7"/>
    <mergeCell ref="AE12:AE13"/>
    <mergeCell ref="AC12:AC13"/>
    <mergeCell ref="AD12:AD13"/>
    <mergeCell ref="N12:N13"/>
    <mergeCell ref="M12:M13"/>
    <mergeCell ref="L12:L13"/>
    <mergeCell ref="U12:U13"/>
    <mergeCell ref="AA12:AA13"/>
    <mergeCell ref="AD38:AD39"/>
    <mergeCell ref="AE38:AE39"/>
    <mergeCell ref="AB71:AB72"/>
    <mergeCell ref="AC71:AC72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D24:AD25"/>
    <mergeCell ref="AE24:AE25"/>
    <mergeCell ref="L24:L25"/>
    <mergeCell ref="M24:M25"/>
    <mergeCell ref="N24:N25"/>
    <mergeCell ref="U24:U25"/>
    <mergeCell ref="AA24:AA25"/>
    <mergeCell ref="N71:N72"/>
    <mergeCell ref="M71:M72"/>
    <mergeCell ref="L71:L72"/>
    <mergeCell ref="U71:U72"/>
    <mergeCell ref="AA71:AA72"/>
    <mergeCell ref="N76:N77"/>
    <mergeCell ref="M76:M77"/>
    <mergeCell ref="L76:L77"/>
    <mergeCell ref="U76:U77"/>
    <mergeCell ref="AA76:AA77"/>
    <mergeCell ref="AD71:AD72"/>
    <mergeCell ref="AE71:AE72"/>
    <mergeCell ref="AB76:AB77"/>
    <mergeCell ref="AC76:AC77"/>
    <mergeCell ref="AD76:AD77"/>
    <mergeCell ref="AE76:AE77"/>
  </mergeCells>
  <conditionalFormatting sqref="N9:N12 N36:N71 N14:N15 N17:N34 N73:N76">
    <cfRule type="cellIs" dxfId="5" priority="4" operator="between">
      <formula>0.66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24:N25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2022-02-03T16:33:54Z</dcterms:modified>
</cp:coreProperties>
</file>