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C:\Users\Danna\Desktop\Marggy 2020\Marggy no borrar\OFICINA DE PLANEACION ALCALDIA DE BGA\Año_2021\MAPA DE RIESGOS\Cambio de Formato riesgos de Gestión\"/>
    </mc:Choice>
  </mc:AlternateContent>
  <xr:revisionPtr revIDLastSave="2" documentId="11_D6A8FC5268ED3C8821E749BFC65FBE09622EAA2E" xr6:coauthVersionLast="47" xr6:coauthVersionMax="47" xr10:uidLastSave="{F1F67BA4-F4D2-4007-862E-C451F4769215}"/>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1488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40" i="1"/>
  <c r="K50" i="1"/>
  <c r="K29" i="1"/>
  <c r="K37" i="1"/>
  <c r="K49" i="1"/>
  <c r="K58" i="1"/>
  <c r="K41" i="1"/>
  <c r="K26" i="1"/>
  <c r="K52" i="1"/>
  <c r="K39" i="1"/>
  <c r="K43" i="1"/>
  <c r="K23" i="1"/>
  <c r="K21" i="1"/>
  <c r="K57" i="1"/>
  <c r="K20" i="1"/>
  <c r="K34" i="1"/>
  <c r="K28" i="1"/>
  <c r="K35" i="1"/>
  <c r="K44" i="1"/>
  <c r="K22" i="1"/>
  <c r="K38" i="1"/>
  <c r="K25" i="1"/>
  <c r="K55" i="1"/>
  <c r="K45" i="1"/>
  <c r="K27"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I36" i="1"/>
  <c r="T35" i="1"/>
  <c r="Q35" i="1"/>
  <c r="T34" i="1"/>
  <c r="Q34" i="1"/>
  <c r="T33" i="1"/>
  <c r="Q33" i="1"/>
  <c r="T32" i="1"/>
  <c r="Q32" i="1"/>
  <c r="T31" i="1"/>
  <c r="Q31" i="1"/>
  <c r="Q30" i="1"/>
  <c r="H30" i="1"/>
  <c r="I30" i="1" s="1"/>
  <c r="T29" i="1"/>
  <c r="Q29" i="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38" i="1"/>
  <c r="X46" i="1"/>
  <c r="X58" i="1"/>
  <c r="X32" i="1"/>
  <c r="X29" i="1"/>
  <c r="X40" i="1"/>
  <c r="X52" i="1"/>
  <c r="X35" i="1"/>
  <c r="X34" i="1"/>
  <c r="X33" i="1"/>
  <c r="AB55" i="1"/>
  <c r="X56" i="1"/>
  <c r="X55" i="1"/>
  <c r="X31" i="1"/>
  <c r="X30" i="1"/>
  <c r="X51" i="1"/>
  <c r="X50" i="1"/>
  <c r="X53" i="1"/>
  <c r="X57" i="1"/>
  <c r="X59" i="1"/>
  <c r="X24" i="1"/>
  <c r="X26" i="1"/>
  <c r="X28" i="1"/>
  <c r="X37" i="1"/>
  <c r="X36" i="1"/>
  <c r="X39" i="1"/>
  <c r="X41" i="1"/>
  <c r="X45" i="1"/>
  <c r="X44" i="1"/>
  <c r="X47" i="1"/>
  <c r="AB43" i="1"/>
  <c r="X43" i="1"/>
  <c r="X42" i="1"/>
  <c r="X48" i="1"/>
  <c r="AB31" i="1"/>
  <c r="AB37" i="1"/>
  <c r="AB52" i="1"/>
  <c r="AA52" i="1" s="1"/>
  <c r="AB53" i="1"/>
  <c r="AA53" i="1" s="1"/>
  <c r="I18" i="1"/>
  <c r="X18" i="1" s="1"/>
  <c r="Y54" i="1" l="1"/>
  <c r="Z54" i="1"/>
  <c r="Z55" i="1" s="1"/>
  <c r="Y53" i="1"/>
  <c r="Z53" i="1"/>
  <c r="Y52" i="1"/>
  <c r="Z52" i="1"/>
  <c r="Y48" i="1"/>
  <c r="Z48" i="1"/>
  <c r="X49" i="1" s="1"/>
  <c r="Y42" i="1"/>
  <c r="Z42" i="1"/>
  <c r="Z43" i="1" s="1"/>
  <c r="Y36" i="1"/>
  <c r="Z36" i="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7" i="1"/>
  <c r="Z37" i="1"/>
  <c r="Y38" i="1" s="1"/>
  <c r="Y34" i="1"/>
  <c r="Y19" i="1"/>
  <c r="Z19" i="1"/>
  <c r="X20" i="1" s="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36" i="1"/>
  <c r="L36"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M36" i="1"/>
  <c r="X32" i="18"/>
  <c r="AD32" i="18"/>
  <c r="AJ8" i="18"/>
  <c r="L16" i="18"/>
  <c r="R32" i="18"/>
  <c r="AJ32" i="18"/>
  <c r="N36" i="1"/>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B36" i="1"/>
  <c r="AA36" i="1" s="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AC36" i="1"/>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P17" i="19"/>
  <c r="AB17" i="19"/>
  <c r="J7" i="19"/>
  <c r="V37"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B38" i="1"/>
  <c r="AA37" i="1"/>
  <c r="AA43" i="1"/>
  <c r="AB44" i="1"/>
  <c r="AA44" i="1" s="1"/>
  <c r="AB45" i="1"/>
  <c r="AB50" i="1"/>
  <c r="AA50" i="1" s="1"/>
  <c r="AB51" i="1"/>
  <c r="AA51" i="1" s="1"/>
  <c r="AA49" i="1"/>
  <c r="AA55" i="1"/>
  <c r="AB56" i="1"/>
  <c r="AA31" i="1"/>
  <c r="AB32" i="1"/>
  <c r="AH32" i="19" l="1"/>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<sst xmlns="http://schemas.openxmlformats.org/spreadsheetml/2006/main" count="417" uniqueCount="290">
  <si>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</si>
  <si>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</si>
  <si>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</si>
  <si>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</si>
  <si>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</si>
  <si>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</si>
  <si>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</si>
  <si>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</si>
  <si>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</si>
  <si>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</si>
  <si>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</si>
  <si>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</si>
  <si>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</si>
  <si>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</si>
  <si>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</si>
  <si>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</si>
  <si>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</si>
  <si>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</si>
  <si>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</si>
  <si>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</si>
  <si>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</si>
  <si>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</si>
  <si>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</si>
  <si>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</si>
  <si>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</si>
  <si>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</si>
  <si>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</si>
  <si>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</si>
  <si>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</si>
  <si>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</si>
  <si>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</si>
  <si>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</si>
  <si>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</si>
  <si>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</si>
  <si>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</si>
  <si>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</si>
  <si>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</si>
  <si>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</si>
  <si>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</si>
  <si>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</si>
  <si>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</si>
  <si>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</si>
  <si>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</si>
  <si>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</si>
  <si>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</si>
  <si>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</si>
  <si>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</si>
  <si>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</si>
  <si>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</si>
  <si>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</si>
  <si>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</si>
  <si>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</si>
  <si>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</si>
  <si>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</si>
  <si>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</si>
  <si>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</si>
  <si>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</si>
  <si>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</si>
  <si>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</si>
  <si>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</si>
  <si>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</si>
  <si>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</si>
  <si>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</si>
  <si>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</si>
  <si>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</si>
  <si>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</si>
  <si>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</si>
  <si>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</si>
  <si>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</si>
  <si>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</si>
  <si>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</si>
  <si>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</si>
  <si>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</si>
  <si>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</si>
  <si>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</si>
  <si>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</si>
  <si>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</si>
  <si>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</si>
  <si>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GESTIÓN DE COMUNICACIONES</t>
  </si>
  <si>
    <t>ALCANCE:</t>
  </si>
  <si>
    <t>Inicia con la formulación del de  plan de comunicaciones y termina con la divulgación interna y/o externa de los diferentes productos de comunicación.</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</si>
  <si>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</si>
  <si>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</si>
  <si>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</si>
  <si>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</si>
  <si>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</si>
  <si>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</si>
  <si>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 xml:space="preserve">Manual de Estilo
Plan de Medios
Comunicación           informativa           divulgada  (boletines  de  prensa,  piezas           y           estrategias           publicitarias,          comunicados oficiales e informes).
</t>
  </si>
  <si>
    <t>Formulación y actualización del plan de medios, manual de estilo e información divulgada.</t>
  </si>
  <si>
    <t>MATRIZ DOFA</t>
  </si>
  <si>
    <t>DEBILIDADES</t>
  </si>
  <si>
    <t>AMENAZAS</t>
  </si>
  <si>
    <t>Demora en la entrega de productos de comunicación solicitados.</t>
  </si>
  <si>
    <t>Falta de planeación y gestión para el logro de compromisos adquiridos.</t>
  </si>
  <si>
    <t>La velocidad (lenta) de navegación del Internet interfiere en el envío y recepción de material videográfico y fotográfico.</t>
  </si>
  <si>
    <t>La pérdida de la curva de aprendizaje por la no continuidad del personal contratista.</t>
  </si>
  <si>
    <t xml:space="preserve">Infraestructura tecnológica deficiente para el manejo y almacenamiento de la información e insumos </t>
  </si>
  <si>
    <t>Alternancia en el trabajo.</t>
  </si>
  <si>
    <t>No se tiene asignado transporte para la realización de cubrimientos de eventos y otras actividades.</t>
  </si>
  <si>
    <t xml:space="preserve">Deficientes controles en la sistematización de la información que se genera en la dependencia </t>
  </si>
  <si>
    <t xml:space="preserve">Espacios de trabajo incómodos y no ergonómicos </t>
  </si>
  <si>
    <t>Emergencia sanitaria por el COVID-19.</t>
  </si>
  <si>
    <t>Ausencia de personal de carrera administrativa o libre nombramiento a cargo de los procesos.</t>
  </si>
  <si>
    <t>Deficiente receptividad por parte de las fuentes de información para la construcción de los contenidos.</t>
  </si>
  <si>
    <t>FORTALEZAS</t>
  </si>
  <si>
    <t>OPORTUNIDADES</t>
  </si>
  <si>
    <t>Experiencia y compromisos de los servidores públicos vinculados al proceso.</t>
  </si>
  <si>
    <t>Capacitación constante del equipo de trabajo, según sus áreas, para fortalecer los conocimientos que se aplican a los productos realizados.</t>
  </si>
  <si>
    <t xml:space="preserve">Transferencia de conocimiento del desarrollo de los procesos </t>
  </si>
  <si>
    <t>Adquisición de suficientes unidades para el almacenamiento de material de fotografía y video, que facilite la búsqueda de insumos por temas.</t>
  </si>
  <si>
    <t>Cumplimiento en el seguimiento al Plan de Desarrollo en sus líneas de acción.</t>
  </si>
  <si>
    <t>La conformación de un archivo 100% digital de los diferentes informes que presenta la oficina (PAAC, Informe de Gestión, Plan de Acción, seguimiento al Plan de Trabajo) para facilitar su trazabilidad y el trabajo colaborativo en línea.</t>
  </si>
  <si>
    <t>Trabajo en equipo y excelentes relaciones interpersonales.</t>
  </si>
  <si>
    <t>Adecuación de espacios de trabajo, con mejoramiento de equipos tecnológicos propios de la administración.</t>
  </si>
  <si>
    <t>Mejoramiento en el rendimiento de publicaciones en redes sociales, teniendo en cuenta la evaluación constante de estadística analítica.</t>
  </si>
  <si>
    <t>Mejorar los tiempos de entrega de los productos solicitados por las diferentes dependencias.</t>
  </si>
  <si>
    <t>Versatilidad de perfiles profesionales para apoyar con otros procesos cuando así se requiera.</t>
  </si>
  <si>
    <t>Matriz Mapa Riesgos de Gestión</t>
  </si>
  <si>
    <t>Código: F-DPM-1210-238,37-013</t>
  </si>
  <si>
    <t>Versión: 3.0</t>
  </si>
  <si>
    <t>Fecha de aprobación: Octubre 19-2021</t>
  </si>
  <si>
    <t xml:space="preserve">Página: 1 de 1 </t>
  </si>
  <si>
    <t>Proceso:</t>
  </si>
  <si>
    <t>Objetivo:</t>
  </si>
  <si>
    <t>Generar, producir y publicar información de la Administración Municipal que décumplimiento a las metas del Plan de Desarrollo, a través de los  distintos  canales  institucionales,  para  informar  a  la  ciudadanía    y  a  los  colaboradores,  mantener  el  posicionamiento  de  la  imagen  de  la  entidad, generar participación ciudadana y for.talecer la percepción de transparencia y legalidad</t>
  </si>
  <si>
    <t>Alcance:</t>
  </si>
  <si>
    <t>Inicia con la formulación de plan de comunicaciones y termina con la divulgación interna y/o externa de los diferentes productos de comunicación.</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</si>
  <si>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</si>
  <si>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</si>
  <si>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</si>
  <si>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</si>
  <si>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</si>
  <si>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</si>
  <si>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</si>
  <si>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</si>
  <si>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</si>
  <si>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</si>
  <si>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</si>
  <si>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</si>
  <si>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</si>
  <si>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</si>
  <si>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</si>
  <si>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</si>
  <si>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</si>
  <si>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</si>
  <si>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</si>
  <si>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</si>
  <si>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</si>
  <si>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</si>
  <si>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</si>
  <si>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</si>
  <si>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</si>
  <si>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</si>
  <si>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</si>
  <si>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</si>
  <si>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</si>
  <si>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</si>
  <si>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</si>
  <si>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Debido a la deficiente rigurosidad de verificación de la información suministrada por las dependencias, y la interpretación inadecuada de la información.</t>
  </si>
  <si>
    <t>Posibilidad de afectación reputacional por investigaciones y sanciones disciplinarias por entes de control, debido a la deficiente rigurosidad de verificación de la información suministrada por las dependencias, y la interpretación inadecuada de la información.</t>
  </si>
  <si>
    <t>Ejecucion y Administracion de procesos</t>
  </si>
  <si>
    <t xml:space="preserve">     El riesgo afecta la imagen de de la entidad con efecto publicitario sostenido a nivel de sector administrativo, nivel departamental o municipal</t>
  </si>
  <si>
    <t>La jefe de Prensa y Comunicaciones revisa y valida que la información que se va a divulgar a la comunidad esté acorde a los lineamientos del Manual de Estilo y Plan de Comunicaciones, y demás normas de publicación de contenidos.</t>
  </si>
  <si>
    <t>Preventivo</t>
  </si>
  <si>
    <t>Manual</t>
  </si>
  <si>
    <t>Documentado</t>
  </si>
  <si>
    <t>Continua</t>
  </si>
  <si>
    <t>Con Registro</t>
  </si>
  <si>
    <t>Reducir (mitigar)</t>
  </si>
  <si>
    <t>Realizar una (1) socialización sobre los lineamientos y normas vigentes para publicaciones de los contenidos a divulgar</t>
  </si>
  <si>
    <t>Jefe de prensa y comunicaciones</t>
  </si>
  <si>
    <t>La jefe de Prensa y Comunicaciones monitorea el manejo adecuado y calidad de la información que se divulga a la ciudadanía a través de página web y redes sociales, para garantizar el acceso a dicha información y transparencia de la misma.</t>
  </si>
  <si>
    <t>Detectivo</t>
  </si>
  <si>
    <t>Realizar dos (2) informes de los monitoreos a los planes (de medios y comunicaciones), así como a la información que se divulga a través de página web y redes sociales.</t>
  </si>
  <si>
    <t>Económico y Reputacional</t>
  </si>
  <si>
    <t>Pérdida de imagen institucional y posibles  investigaciones disciplinarias</t>
  </si>
  <si>
    <t>Debido a la deficiente rigurosidad en el manejo y custodia de la información para evitar la pérdida de insumos fotográficos, audivisuales y gráficos.</t>
  </si>
  <si>
    <t>Posibilidad de afectación económica y reputacional por la pérdida de imagen institucional y posibles  investigaciones disciplinarias, debido a la deficiente rigurosidad en el manejo y custodia de la información para evitar la pérdida de insumos fotográficos, audivisuales y gráficos.</t>
  </si>
  <si>
    <t>El profesional encargado de la coordinación del grupo de audiovisuales realiza y vigila el aseguramiento de la información de acuerdo a las necesidades del proceso, a traves de la plataforma de almacenamiento MEGA y Disco duro.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</si>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</sst>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8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114" xfId="0" applyFont="1" applyBorder="1" applyAlignment="1">
      <alignment horizontal="center" vertical="center" wrapText="1"/>
    </xf>
    <xf numFmtId="0" fontId="59" fillId="0" borderId="17" xfId="0" applyFont="1" applyBorder="1" applyAlignment="1">
      <alignment horizontal="center" vertical="center" wrapText="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3" borderId="107" xfId="0" applyFont="1" applyFill="1" applyBorder="1" applyAlignment="1">
      <alignment horizontal="left" vertical="center"/>
    </xf>
    <xf numFmtId="0" fontId="1" fillId="3" borderId="106" xfId="0" applyFont="1" applyFill="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3" borderId="108"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3" borderId="115" xfId="0" applyFont="1" applyFill="1" applyBorder="1" applyAlignment="1">
      <alignment horizontal="left" wrapText="1"/>
    </xf>
    <xf numFmtId="0" fontId="66" fillId="3" borderId="116" xfId="0" applyFont="1" applyFill="1" applyBorder="1" applyAlignment="1">
      <alignment horizontal="left" wrapText="1"/>
    </xf>
    <xf numFmtId="0" fontId="66" fillId="3" borderId="117"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79" xfId="0" applyFont="1" applyFill="1" applyBorder="1" applyAlignment="1">
      <alignment horizontal="left" vertical="center" wrapText="1"/>
    </xf>
    <xf numFmtId="0" fontId="66" fillId="3" borderId="110" xfId="0" applyFont="1" applyFill="1" applyBorder="1" applyAlignment="1">
      <alignment horizontal="left" vertical="center" wrapText="1"/>
    </xf>
    <xf numFmtId="0" fontId="66" fillId="3" borderId="38"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3" borderId="110" xfId="0" applyFont="1" applyFill="1" applyBorder="1" applyAlignment="1">
      <alignment horizontal="left" vertical="center"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37" xfId="0" applyFont="1" applyBorder="1" applyAlignment="1">
      <alignment horizontal="left" vertical="center" wrapText="1"/>
    </xf>
    <xf numFmtId="0" fontId="66" fillId="0" borderId="38"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488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193" t="s">
        <v>0</v>
      </c>
      <c r="C2" s="194"/>
      <c r="D2" s="194"/>
      <c r="E2" s="194"/>
      <c r="F2" s="194"/>
      <c r="G2" s="194"/>
      <c r="H2" s="195"/>
    </row>
    <row r="3" spans="1:8">
      <c r="B3" s="120"/>
      <c r="C3" s="121"/>
      <c r="D3" s="121"/>
      <c r="E3" s="121"/>
      <c r="F3" s="121"/>
      <c r="G3" s="121"/>
      <c r="H3" s="122"/>
    </row>
    <row r="4" spans="1:8" ht="63" customHeight="1">
      <c r="B4" s="196" t="s">
        <v>1</v>
      </c>
      <c r="C4" s="197"/>
      <c r="D4" s="197"/>
      <c r="E4" s="197"/>
      <c r="F4" s="197"/>
      <c r="G4" s="197"/>
      <c r="H4" s="198"/>
    </row>
    <row r="5" spans="1:8" ht="63" customHeight="1">
      <c r="B5" s="199"/>
      <c r="C5" s="200"/>
      <c r="D5" s="200"/>
      <c r="E5" s="200"/>
      <c r="F5" s="200"/>
      <c r="G5" s="200"/>
      <c r="H5" s="201"/>
    </row>
    <row r="6" spans="1:8" ht="16.5">
      <c r="A6" s="123"/>
      <c r="B6" s="202" t="s">
        <v>2</v>
      </c>
      <c r="C6" s="203"/>
      <c r="D6" s="203"/>
      <c r="E6" s="203"/>
      <c r="F6" s="203"/>
      <c r="G6" s="203"/>
      <c r="H6" s="204"/>
    </row>
    <row r="7" spans="1:8" ht="95.25" customHeight="1">
      <c r="A7" s="123"/>
      <c r="B7" s="205" t="s">
        <v>3</v>
      </c>
      <c r="C7" s="205"/>
      <c r="D7" s="205"/>
      <c r="E7" s="205"/>
      <c r="F7" s="205"/>
      <c r="G7" s="205"/>
      <c r="H7" s="206"/>
    </row>
    <row r="8" spans="1:8" ht="16.5">
      <c r="A8" s="123"/>
      <c r="B8" s="124"/>
      <c r="C8" s="125"/>
      <c r="D8" s="125"/>
      <c r="E8" s="125"/>
      <c r="F8" s="125"/>
      <c r="G8" s="125"/>
      <c r="H8" s="126"/>
    </row>
    <row r="9" spans="1:8" ht="16.5" customHeight="1">
      <c r="A9" s="123"/>
      <c r="B9" s="207" t="s">
        <v>4</v>
      </c>
      <c r="C9" s="207"/>
      <c r="D9" s="207"/>
      <c r="E9" s="207"/>
      <c r="F9" s="207"/>
      <c r="G9" s="207"/>
      <c r="H9" s="208"/>
    </row>
    <row r="10" spans="1:8" ht="16.5" customHeight="1">
      <c r="A10" s="123"/>
      <c r="B10" s="207"/>
      <c r="C10" s="207"/>
      <c r="D10" s="207"/>
      <c r="E10" s="207"/>
      <c r="F10" s="207"/>
      <c r="G10" s="207"/>
      <c r="H10" s="208"/>
    </row>
    <row r="11" spans="1:8" ht="11.65" customHeight="1">
      <c r="A11" s="123"/>
      <c r="B11" s="207"/>
      <c r="C11" s="207"/>
      <c r="D11" s="207"/>
      <c r="E11" s="207"/>
      <c r="F11" s="207"/>
      <c r="G11" s="207"/>
      <c r="H11" s="208"/>
    </row>
    <row r="12" spans="1:8" ht="11.65" customHeight="1" thickBot="1">
      <c r="A12" s="123"/>
      <c r="B12" s="127"/>
      <c r="C12" s="127"/>
      <c r="D12" s="127"/>
      <c r="E12" s="127"/>
      <c r="F12" s="127"/>
      <c r="G12" s="127"/>
      <c r="H12" s="128"/>
    </row>
    <row r="13" spans="1:8" ht="15.4" customHeight="1" thickTop="1">
      <c r="A13" s="123"/>
      <c r="B13" s="127"/>
      <c r="C13" s="189" t="s">
        <v>5</v>
      </c>
      <c r="D13" s="190"/>
      <c r="E13" s="191" t="s">
        <v>6</v>
      </c>
      <c r="F13" s="192"/>
      <c r="G13" s="127"/>
      <c r="H13" s="128"/>
    </row>
    <row r="14" spans="1:8" ht="11.65" customHeight="1">
      <c r="A14" s="123"/>
      <c r="B14" s="127"/>
      <c r="C14" s="209" t="s">
        <v>7</v>
      </c>
      <c r="D14" s="210"/>
      <c r="E14" s="211" t="s">
        <v>8</v>
      </c>
      <c r="F14" s="212"/>
      <c r="G14" s="127"/>
      <c r="H14" s="128"/>
    </row>
    <row r="15" spans="1:8" ht="11.65" customHeight="1">
      <c r="A15" s="123"/>
      <c r="B15" s="127"/>
      <c r="C15" s="209" t="s">
        <v>9</v>
      </c>
      <c r="D15" s="210"/>
      <c r="E15" s="211" t="s">
        <v>10</v>
      </c>
      <c r="F15" s="212"/>
      <c r="G15" s="127"/>
      <c r="H15" s="128"/>
    </row>
    <row r="16" spans="1:8" ht="11.65" customHeight="1">
      <c r="A16" s="123"/>
      <c r="B16" s="127"/>
      <c r="C16" s="209" t="s">
        <v>11</v>
      </c>
      <c r="D16" s="210"/>
      <c r="E16" s="211" t="s">
        <v>12</v>
      </c>
      <c r="F16" s="212"/>
      <c r="G16" s="127"/>
      <c r="H16" s="128"/>
    </row>
    <row r="17" spans="1:8" ht="13.5" customHeight="1">
      <c r="A17" s="123"/>
      <c r="B17" s="127"/>
      <c r="C17" s="209" t="s">
        <v>13</v>
      </c>
      <c r="D17" s="210"/>
      <c r="E17" s="211" t="s">
        <v>14</v>
      </c>
      <c r="F17" s="212"/>
      <c r="G17" s="127"/>
      <c r="H17" s="129"/>
    </row>
    <row r="18" spans="1:8" ht="12.4" customHeight="1">
      <c r="A18" s="123"/>
      <c r="B18" s="127"/>
      <c r="C18" s="209" t="s">
        <v>15</v>
      </c>
      <c r="D18" s="210"/>
      <c r="E18" s="216" t="s">
        <v>16</v>
      </c>
      <c r="F18" s="212"/>
      <c r="G18" s="127"/>
      <c r="H18" s="128"/>
    </row>
    <row r="19" spans="1:8" ht="24" customHeight="1" thickBot="1">
      <c r="A19" s="123"/>
      <c r="B19" s="127"/>
      <c r="C19" s="217" t="s">
        <v>17</v>
      </c>
      <c r="D19" s="218"/>
      <c r="E19" s="219" t="s">
        <v>18</v>
      </c>
      <c r="F19" s="220"/>
      <c r="G19" s="127"/>
      <c r="H19" s="128"/>
    </row>
    <row r="20" spans="1:8" ht="11.65" customHeight="1" thickTop="1">
      <c r="A20" s="123"/>
      <c r="B20" s="127"/>
      <c r="C20" s="130"/>
      <c r="D20" s="130"/>
      <c r="E20" s="130"/>
      <c r="F20" s="130"/>
      <c r="G20" s="127"/>
      <c r="H20" s="128"/>
    </row>
    <row r="21" spans="1:8" ht="27.4" customHeight="1" thickBot="1">
      <c r="A21" s="123"/>
      <c r="B21" s="221" t="s">
        <v>19</v>
      </c>
      <c r="C21" s="222"/>
      <c r="D21" s="222"/>
      <c r="E21" s="222"/>
      <c r="F21" s="222"/>
      <c r="G21" s="222"/>
      <c r="H21" s="223"/>
    </row>
    <row r="22" spans="1:8" ht="15.75" thickTop="1">
      <c r="A22" s="123"/>
      <c r="B22" s="131"/>
      <c r="C22" s="224" t="s">
        <v>5</v>
      </c>
      <c r="D22" s="190"/>
      <c r="E22" s="191" t="s">
        <v>6</v>
      </c>
      <c r="F22" s="192"/>
      <c r="G22" s="130"/>
      <c r="H22" s="132"/>
    </row>
    <row r="23" spans="1:8" ht="13.5" customHeight="1">
      <c r="A23" s="123"/>
      <c r="B23" s="133"/>
      <c r="C23" s="225" t="s">
        <v>7</v>
      </c>
      <c r="D23" s="226"/>
      <c r="E23" s="227" t="s">
        <v>8</v>
      </c>
      <c r="F23" s="228"/>
      <c r="G23" s="134"/>
      <c r="H23" s="135"/>
    </row>
    <row r="24" spans="1:8" ht="13.5" customHeight="1">
      <c r="A24" s="123"/>
      <c r="B24" s="133"/>
      <c r="C24" s="213" t="s">
        <v>20</v>
      </c>
      <c r="D24" s="214"/>
      <c r="E24" s="215" t="s">
        <v>14</v>
      </c>
      <c r="F24" s="212"/>
      <c r="G24" s="134"/>
      <c r="H24" s="135"/>
    </row>
    <row r="25" spans="1:8" ht="13.5" customHeight="1">
      <c r="A25" s="123"/>
      <c r="B25" s="133"/>
      <c r="C25" s="213" t="s">
        <v>9</v>
      </c>
      <c r="D25" s="214"/>
      <c r="E25" s="215" t="s">
        <v>10</v>
      </c>
      <c r="F25" s="212"/>
      <c r="G25" s="134"/>
      <c r="H25" s="135"/>
    </row>
    <row r="26" spans="1:8" ht="22.9" customHeight="1">
      <c r="A26" s="123"/>
      <c r="B26" s="133"/>
      <c r="C26" s="213" t="s">
        <v>21</v>
      </c>
      <c r="D26" s="214"/>
      <c r="E26" s="229" t="s">
        <v>22</v>
      </c>
      <c r="F26" s="230"/>
      <c r="G26" s="134"/>
      <c r="H26" s="135"/>
    </row>
    <row r="27" spans="1:8" ht="69.75" customHeight="1">
      <c r="A27" s="123"/>
      <c r="B27" s="133"/>
      <c r="C27" s="231" t="s">
        <v>23</v>
      </c>
      <c r="D27" s="232"/>
      <c r="E27" s="233" t="s">
        <v>24</v>
      </c>
      <c r="F27" s="234"/>
      <c r="G27" s="134"/>
      <c r="H27" s="136"/>
    </row>
    <row r="28" spans="1:8" ht="34.5" customHeight="1">
      <c r="B28" s="137"/>
      <c r="C28" s="235" t="s">
        <v>25</v>
      </c>
      <c r="D28" s="232"/>
      <c r="E28" s="233" t="s">
        <v>26</v>
      </c>
      <c r="F28" s="234"/>
      <c r="G28" s="134"/>
      <c r="H28" s="136"/>
    </row>
    <row r="29" spans="1:8" ht="27.75" customHeight="1">
      <c r="B29" s="137"/>
      <c r="C29" s="235" t="s">
        <v>27</v>
      </c>
      <c r="D29" s="232"/>
      <c r="E29" s="233" t="s">
        <v>28</v>
      </c>
      <c r="F29" s="234"/>
      <c r="G29" s="134"/>
      <c r="H29" s="136"/>
    </row>
    <row r="30" spans="1:8" ht="28.5" customHeight="1">
      <c r="B30" s="137"/>
      <c r="C30" s="235" t="s">
        <v>29</v>
      </c>
      <c r="D30" s="232"/>
      <c r="E30" s="233" t="s">
        <v>30</v>
      </c>
      <c r="F30" s="234"/>
      <c r="G30" s="134"/>
      <c r="H30" s="136"/>
    </row>
    <row r="31" spans="1:8" ht="72.75" customHeight="1">
      <c r="B31" s="137"/>
      <c r="C31" s="235" t="s">
        <v>31</v>
      </c>
      <c r="D31" s="232"/>
      <c r="E31" s="233" t="s">
        <v>32</v>
      </c>
      <c r="F31" s="234"/>
      <c r="G31" s="134"/>
      <c r="H31" s="136"/>
    </row>
    <row r="32" spans="1:8" ht="64.5" customHeight="1">
      <c r="B32" s="137"/>
      <c r="C32" s="235" t="s">
        <v>33</v>
      </c>
      <c r="D32" s="232"/>
      <c r="E32" s="233" t="s">
        <v>34</v>
      </c>
      <c r="F32" s="234"/>
      <c r="G32" s="134"/>
      <c r="H32" s="136"/>
    </row>
    <row r="33" spans="2:8" ht="71.25" customHeight="1">
      <c r="B33" s="137"/>
      <c r="C33" s="236" t="s">
        <v>35</v>
      </c>
      <c r="D33" s="231"/>
      <c r="E33" s="233" t="s">
        <v>36</v>
      </c>
      <c r="F33" s="234"/>
      <c r="G33" s="134"/>
      <c r="H33" s="136"/>
    </row>
    <row r="34" spans="2:8" ht="55.5" customHeight="1">
      <c r="B34" s="137"/>
      <c r="C34" s="236" t="s">
        <v>37</v>
      </c>
      <c r="D34" s="231"/>
      <c r="E34" s="233" t="s">
        <v>38</v>
      </c>
      <c r="F34" s="234"/>
      <c r="G34" s="134"/>
      <c r="H34" s="136"/>
    </row>
    <row r="35" spans="2:8" ht="42" customHeight="1">
      <c r="B35" s="137"/>
      <c r="C35" s="236" t="s">
        <v>39</v>
      </c>
      <c r="D35" s="231"/>
      <c r="E35" s="233" t="s">
        <v>40</v>
      </c>
      <c r="F35" s="234"/>
      <c r="G35" s="134"/>
      <c r="H35" s="136"/>
    </row>
    <row r="36" spans="2:8" ht="59.25" customHeight="1">
      <c r="B36" s="137"/>
      <c r="C36" s="236" t="s">
        <v>41</v>
      </c>
      <c r="D36" s="231"/>
      <c r="E36" s="233" t="s">
        <v>42</v>
      </c>
      <c r="F36" s="234"/>
      <c r="G36" s="134"/>
      <c r="H36" s="136"/>
    </row>
    <row r="37" spans="2:8" ht="23.25" customHeight="1">
      <c r="B37" s="137"/>
      <c r="C37" s="236" t="s">
        <v>43</v>
      </c>
      <c r="D37" s="231"/>
      <c r="E37" s="233" t="s">
        <v>44</v>
      </c>
      <c r="F37" s="234"/>
      <c r="G37" s="134"/>
      <c r="H37" s="136"/>
    </row>
    <row r="38" spans="2:8" ht="30.75" customHeight="1">
      <c r="B38" s="137"/>
      <c r="C38" s="236" t="s">
        <v>45</v>
      </c>
      <c r="D38" s="231"/>
      <c r="E38" s="233" t="s">
        <v>46</v>
      </c>
      <c r="F38" s="234"/>
      <c r="G38" s="134"/>
      <c r="H38" s="136"/>
    </row>
    <row r="39" spans="2:8" ht="35.25" customHeight="1">
      <c r="B39" s="137"/>
      <c r="C39" s="236" t="s">
        <v>45</v>
      </c>
      <c r="D39" s="231"/>
      <c r="E39" s="233" t="s">
        <v>46</v>
      </c>
      <c r="F39" s="234"/>
      <c r="G39" s="134"/>
      <c r="H39" s="136"/>
    </row>
    <row r="40" spans="2:8" ht="33" customHeight="1">
      <c r="B40" s="137"/>
      <c r="C40" s="236" t="s">
        <v>47</v>
      </c>
      <c r="D40" s="231"/>
      <c r="E40" s="233" t="s">
        <v>48</v>
      </c>
      <c r="F40" s="234"/>
      <c r="G40" s="134"/>
      <c r="H40" s="136"/>
    </row>
    <row r="41" spans="2:8" ht="30" customHeight="1">
      <c r="B41" s="137"/>
      <c r="C41" s="236" t="s">
        <v>49</v>
      </c>
      <c r="D41" s="231"/>
      <c r="E41" s="233" t="s">
        <v>50</v>
      </c>
      <c r="F41" s="234"/>
      <c r="G41" s="134"/>
      <c r="H41" s="136"/>
    </row>
    <row r="42" spans="2:8" ht="35.25" customHeight="1">
      <c r="B42" s="137"/>
      <c r="C42" s="236" t="s">
        <v>51</v>
      </c>
      <c r="D42" s="231"/>
      <c r="E42" s="233" t="s">
        <v>52</v>
      </c>
      <c r="F42" s="234"/>
      <c r="G42" s="134"/>
      <c r="H42" s="136"/>
    </row>
    <row r="43" spans="2:8" ht="31.5" customHeight="1">
      <c r="B43" s="137"/>
      <c r="C43" s="236" t="s">
        <v>53</v>
      </c>
      <c r="D43" s="231"/>
      <c r="E43" s="233" t="s">
        <v>54</v>
      </c>
      <c r="F43" s="234"/>
      <c r="G43" s="134"/>
      <c r="H43" s="136"/>
    </row>
    <row r="44" spans="2:8" ht="54" customHeight="1">
      <c r="B44" s="137"/>
      <c r="C44" s="236" t="s">
        <v>55</v>
      </c>
      <c r="D44" s="231"/>
      <c r="E44" s="233" t="s">
        <v>56</v>
      </c>
      <c r="F44" s="234"/>
      <c r="G44" s="134"/>
      <c r="H44" s="136"/>
    </row>
    <row r="45" spans="2:8" ht="59.25" customHeight="1">
      <c r="B45" s="137"/>
      <c r="C45" s="236" t="s">
        <v>57</v>
      </c>
      <c r="D45" s="231"/>
      <c r="E45" s="233" t="s">
        <v>58</v>
      </c>
      <c r="F45" s="234"/>
      <c r="G45" s="134"/>
      <c r="H45" s="136"/>
    </row>
    <row r="46" spans="2:8" ht="84" customHeight="1">
      <c r="B46" s="137"/>
      <c r="C46" s="236" t="s">
        <v>59</v>
      </c>
      <c r="D46" s="231"/>
      <c r="E46" s="233" t="s">
        <v>60</v>
      </c>
      <c r="F46" s="234"/>
      <c r="G46" s="134"/>
      <c r="H46" s="136"/>
    </row>
    <row r="47" spans="2:8" ht="82.5" customHeight="1">
      <c r="B47" s="137"/>
      <c r="C47" s="236" t="s">
        <v>61</v>
      </c>
      <c r="D47" s="231"/>
      <c r="E47" s="233" t="s">
        <v>62</v>
      </c>
      <c r="F47" s="234"/>
      <c r="G47" s="134"/>
      <c r="H47" s="136"/>
    </row>
    <row r="48" spans="2:8" ht="46.5" customHeight="1" thickBot="1">
      <c r="B48" s="137"/>
      <c r="C48" s="237"/>
      <c r="D48" s="238"/>
      <c r="E48" s="239"/>
      <c r="F48" s="240"/>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163</v>
      </c>
    </row>
    <row r="4" spans="1:1">
      <c r="A4" s="10" t="s">
        <v>172</v>
      </c>
    </row>
    <row r="5" spans="1:1">
      <c r="A5" s="10" t="s">
        <v>256</v>
      </c>
    </row>
    <row r="6" spans="1:1">
      <c r="A6" s="10" t="s">
        <v>258</v>
      </c>
    </row>
    <row r="7" spans="1:1">
      <c r="A7" s="10" t="s">
        <v>164</v>
      </c>
    </row>
    <row r="8" spans="1:1">
      <c r="A8" s="10" t="s">
        <v>165</v>
      </c>
    </row>
    <row r="9" spans="1:1">
      <c r="A9" s="10" t="s">
        <v>264</v>
      </c>
    </row>
    <row r="10" spans="1:1">
      <c r="A10" s="10" t="s">
        <v>166</v>
      </c>
    </row>
    <row r="11" spans="1:1">
      <c r="A11" s="10" t="s">
        <v>267</v>
      </c>
    </row>
    <row r="12" spans="1:1">
      <c r="A12" s="10" t="s">
        <v>286</v>
      </c>
    </row>
    <row r="13" spans="1:1">
      <c r="A13" s="10" t="s">
        <v>287</v>
      </c>
    </row>
    <row r="14" spans="1:1">
      <c r="A14" s="10" t="s">
        <v>288</v>
      </c>
    </row>
    <row r="16" spans="1:1">
      <c r="A16" s="10" t="s">
        <v>289</v>
      </c>
    </row>
    <row r="17" spans="1:1">
      <c r="A17" s="10" t="s">
        <v>273</v>
      </c>
    </row>
    <row r="18" spans="1:1">
      <c r="A18" s="10" t="s">
        <v>275</v>
      </c>
    </row>
    <row r="20" spans="1:1">
      <c r="A20" s="10" t="s">
        <v>278</v>
      </c>
    </row>
    <row r="21" spans="1:1">
      <c r="A21" s="10" t="s">
        <v>279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3"/>
  <sheetViews>
    <sheetView showGridLines="0" topLeftCell="A7" zoomScale="50" zoomScaleNormal="50" workbookViewId="0">
      <selection activeCell="D40" sqref="D40"/>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246"/>
      <c r="C2" s="249" t="s">
        <v>69</v>
      </c>
      <c r="D2" s="250"/>
      <c r="E2" s="250"/>
      <c r="F2" s="147" t="s">
        <v>70</v>
      </c>
      <c r="AZ2" s="146" t="s">
        <v>71</v>
      </c>
    </row>
    <row r="3" spans="2:52" ht="18" customHeight="1" thickBot="1">
      <c r="B3" s="247"/>
      <c r="C3" s="251"/>
      <c r="D3" s="252"/>
      <c r="E3" s="252"/>
      <c r="F3" s="148" t="s">
        <v>72</v>
      </c>
      <c r="AZ3" s="146" t="s">
        <v>73</v>
      </c>
    </row>
    <row r="4" spans="2:52" ht="18" customHeight="1" thickBot="1">
      <c r="B4" s="247"/>
      <c r="C4" s="251"/>
      <c r="D4" s="252"/>
      <c r="E4" s="252"/>
      <c r="F4" s="148" t="s">
        <v>74</v>
      </c>
      <c r="AZ4" s="146" t="s">
        <v>75</v>
      </c>
    </row>
    <row r="5" spans="2:52" ht="18" customHeight="1" thickBot="1">
      <c r="B5" s="248"/>
      <c r="C5" s="253"/>
      <c r="D5" s="254"/>
      <c r="E5" s="254"/>
      <c r="F5" s="148" t="s">
        <v>76</v>
      </c>
      <c r="AZ5" s="149"/>
    </row>
    <row r="6" spans="2:52" ht="18" customHeight="1" thickBot="1">
      <c r="B6" s="150"/>
      <c r="C6" s="151"/>
      <c r="D6" s="151"/>
      <c r="E6" s="151"/>
      <c r="F6" s="152"/>
      <c r="AZ6" s="149"/>
    </row>
    <row r="7" spans="2:52" ht="33.4" customHeight="1">
      <c r="B7" s="153" t="s">
        <v>77</v>
      </c>
      <c r="C7" s="255" t="s">
        <v>78</v>
      </c>
      <c r="D7" s="256"/>
      <c r="E7" s="256"/>
      <c r="F7" s="257"/>
      <c r="AZ7" s="149"/>
    </row>
    <row r="8" spans="2:52" ht="49.5" customHeight="1" thickBot="1">
      <c r="B8" s="154" t="s">
        <v>79</v>
      </c>
      <c r="C8" s="258" t="s">
        <v>80</v>
      </c>
      <c r="D8" s="259"/>
      <c r="E8" s="259"/>
      <c r="F8" s="260"/>
      <c r="AZ8" s="149"/>
    </row>
    <row r="9" spans="2:52" ht="16.5" thickBot="1">
      <c r="B9" s="261"/>
      <c r="C9" s="261"/>
      <c r="D9" s="261"/>
      <c r="E9" s="261"/>
      <c r="F9" s="261"/>
    </row>
    <row r="10" spans="2:52" ht="15.6" customHeight="1" thickBot="1">
      <c r="B10" s="262" t="s">
        <v>69</v>
      </c>
      <c r="C10" s="263"/>
      <c r="D10" s="263"/>
      <c r="E10" s="263"/>
      <c r="F10" s="264"/>
    </row>
    <row r="11" spans="2:52" ht="32.25" thickBot="1">
      <c r="B11" s="265" t="s">
        <v>81</v>
      </c>
      <c r="C11" s="266"/>
      <c r="D11" s="155" t="s">
        <v>82</v>
      </c>
      <c r="E11" s="155" t="s">
        <v>83</v>
      </c>
      <c r="F11" s="156" t="s">
        <v>84</v>
      </c>
    </row>
    <row r="12" spans="2:52" ht="188.25" customHeight="1" thickBot="1">
      <c r="B12" s="267" t="s">
        <v>85</v>
      </c>
      <c r="C12" s="268"/>
      <c r="D12" s="187" t="s">
        <v>86</v>
      </c>
      <c r="E12" s="187" t="s">
        <v>87</v>
      </c>
      <c r="F12" s="188" t="s">
        <v>88</v>
      </c>
    </row>
    <row r="14" spans="2:52" ht="18">
      <c r="B14" s="269" t="s">
        <v>89</v>
      </c>
      <c r="C14" s="269"/>
      <c r="D14" s="269"/>
      <c r="E14" s="269"/>
      <c r="F14" s="269"/>
    </row>
    <row r="15" spans="2:52" ht="15.75">
      <c r="B15" s="157"/>
    </row>
    <row r="16" spans="2:52" ht="15.75" thickBot="1">
      <c r="B16" s="158"/>
    </row>
    <row r="17" spans="2:6" ht="16.5" thickBot="1">
      <c r="B17" s="270" t="s">
        <v>90</v>
      </c>
      <c r="C17" s="271"/>
      <c r="D17" s="272"/>
      <c r="E17" s="270" t="s">
        <v>91</v>
      </c>
      <c r="F17" s="272"/>
    </row>
    <row r="18" spans="2:6" ht="15" customHeight="1">
      <c r="B18" s="241" t="s">
        <v>92</v>
      </c>
      <c r="C18" s="242"/>
      <c r="D18" s="243"/>
      <c r="E18" s="244" t="s">
        <v>93</v>
      </c>
      <c r="F18" s="245"/>
    </row>
    <row r="19" spans="2:6" ht="15" customHeight="1">
      <c r="B19" s="276" t="s">
        <v>94</v>
      </c>
      <c r="C19" s="283"/>
      <c r="D19" s="277"/>
      <c r="E19" s="284" t="s">
        <v>95</v>
      </c>
      <c r="F19" s="285"/>
    </row>
    <row r="20" spans="2:6" ht="15" customHeight="1">
      <c r="B20" s="286" t="s">
        <v>96</v>
      </c>
      <c r="C20" s="287"/>
      <c r="D20" s="288"/>
      <c r="E20" s="284" t="s">
        <v>97</v>
      </c>
      <c r="F20" s="285"/>
    </row>
    <row r="21" spans="2:6" ht="15" customHeight="1">
      <c r="B21" s="286" t="s">
        <v>98</v>
      </c>
      <c r="C21" s="287"/>
      <c r="D21" s="288"/>
      <c r="E21" s="289" t="s">
        <v>99</v>
      </c>
      <c r="F21" s="288"/>
    </row>
    <row r="22" spans="2:6" ht="15" customHeight="1">
      <c r="B22" s="273" t="s">
        <v>100</v>
      </c>
      <c r="C22" s="274"/>
      <c r="D22" s="275"/>
      <c r="E22" s="276" t="s">
        <v>101</v>
      </c>
      <c r="F22" s="277"/>
    </row>
    <row r="23" spans="2:6" ht="15" customHeight="1">
      <c r="B23" s="278" t="s">
        <v>102</v>
      </c>
      <c r="C23" s="279"/>
      <c r="D23" s="280"/>
      <c r="E23" s="281" t="s">
        <v>103</v>
      </c>
      <c r="F23" s="282"/>
    </row>
    <row r="24" spans="2:6" ht="15" customHeight="1" thickBot="1">
      <c r="B24" s="290"/>
      <c r="C24" s="291"/>
      <c r="D24" s="292"/>
      <c r="E24" s="293"/>
      <c r="F24" s="294"/>
    </row>
    <row r="25" spans="2:6" ht="15" customHeight="1" thickBot="1">
      <c r="B25" s="295" t="s">
        <v>104</v>
      </c>
      <c r="C25" s="296"/>
      <c r="D25" s="296"/>
      <c r="E25" s="297" t="s">
        <v>105</v>
      </c>
      <c r="F25" s="298"/>
    </row>
    <row r="26" spans="2:6" ht="15.75" customHeight="1">
      <c r="B26" s="299" t="s">
        <v>106</v>
      </c>
      <c r="C26" s="300"/>
      <c r="D26" s="301"/>
      <c r="E26" s="302" t="s">
        <v>107</v>
      </c>
      <c r="F26" s="303"/>
    </row>
    <row r="27" spans="2:6" ht="16.5">
      <c r="B27" s="304" t="s">
        <v>108</v>
      </c>
      <c r="C27" s="305"/>
      <c r="D27" s="306"/>
      <c r="E27" s="307" t="s">
        <v>109</v>
      </c>
      <c r="F27" s="282"/>
    </row>
    <row r="28" spans="2:6" ht="16.5">
      <c r="B28" s="307" t="s">
        <v>110</v>
      </c>
      <c r="C28" s="308"/>
      <c r="D28" s="282"/>
      <c r="E28" s="309" t="s">
        <v>111</v>
      </c>
      <c r="F28" s="310"/>
    </row>
    <row r="29" spans="2:6" ht="16.5">
      <c r="B29" s="309" t="s">
        <v>112</v>
      </c>
      <c r="C29" s="311"/>
      <c r="D29" s="310"/>
      <c r="E29" s="312" t="s">
        <v>113</v>
      </c>
      <c r="F29" s="313"/>
    </row>
    <row r="30" spans="2:6" ht="16.5">
      <c r="B30" s="309" t="s">
        <v>114</v>
      </c>
      <c r="C30" s="311"/>
      <c r="D30" s="310"/>
      <c r="E30" s="304" t="s">
        <v>115</v>
      </c>
      <c r="F30" s="306"/>
    </row>
    <row r="31" spans="2:6" ht="22.5" customHeight="1">
      <c r="B31" s="309" t="s">
        <v>116</v>
      </c>
      <c r="C31" s="311"/>
      <c r="D31" s="310"/>
      <c r="E31" s="309"/>
      <c r="F31" s="310"/>
    </row>
    <row r="32" spans="2:6" ht="16.5">
      <c r="B32" s="309"/>
      <c r="C32" s="311"/>
      <c r="D32" s="310"/>
      <c r="E32" s="307"/>
      <c r="F32" s="282"/>
    </row>
    <row r="33" spans="2:6" ht="17.25" thickBot="1">
      <c r="B33" s="314"/>
      <c r="C33" s="315"/>
      <c r="D33" s="316"/>
      <c r="E33" s="317"/>
      <c r="F33" s="318"/>
    </row>
  </sheetData>
  <mergeCells count="43">
    <mergeCell ref="B33:D33"/>
    <mergeCell ref="E33:F33"/>
    <mergeCell ref="B30:D30"/>
    <mergeCell ref="E30:F30"/>
    <mergeCell ref="B31:D31"/>
    <mergeCell ref="E31:F31"/>
    <mergeCell ref="B32:D32"/>
    <mergeCell ref="E32:F32"/>
    <mergeCell ref="B27:D27"/>
    <mergeCell ref="E27:F27"/>
    <mergeCell ref="B28:D28"/>
    <mergeCell ref="E28:F28"/>
    <mergeCell ref="B29:D29"/>
    <mergeCell ref="E29:F29"/>
    <mergeCell ref="B24:D24"/>
    <mergeCell ref="E24:F24"/>
    <mergeCell ref="B25:D25"/>
    <mergeCell ref="E25:F25"/>
    <mergeCell ref="B26:D26"/>
    <mergeCell ref="E26:F26"/>
    <mergeCell ref="B22:D22"/>
    <mergeCell ref="E22:F22"/>
    <mergeCell ref="B23:D23"/>
    <mergeCell ref="E23:F23"/>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A64" zoomScale="55" zoomScaleNormal="55" workbookViewId="0">
      <selection activeCell="A24" sqref="A24:XFD71"/>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6"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33.85546875" style="1" customWidth="1"/>
    <col min="38" max="16384" width="11.42578125" style="1"/>
  </cols>
  <sheetData>
    <row r="1" spans="1:69" ht="15" customHeight="1">
      <c r="A1" s="407"/>
      <c r="B1" s="408"/>
      <c r="C1" s="408"/>
      <c r="D1" s="409"/>
      <c r="E1" s="424" t="s">
        <v>117</v>
      </c>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6"/>
      <c r="AJ1" s="422" t="s">
        <v>118</v>
      </c>
      <c r="AK1" s="423"/>
    </row>
    <row r="2" spans="1:69" ht="15" customHeight="1">
      <c r="A2" s="410"/>
      <c r="B2" s="411"/>
      <c r="C2" s="411"/>
      <c r="D2" s="412"/>
      <c r="E2" s="427"/>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9"/>
      <c r="AJ2" s="422" t="s">
        <v>119</v>
      </c>
      <c r="AK2" s="423"/>
    </row>
    <row r="3" spans="1:69" ht="15" customHeight="1">
      <c r="A3" s="410"/>
      <c r="B3" s="411"/>
      <c r="C3" s="411"/>
      <c r="D3" s="412"/>
      <c r="E3" s="427"/>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9"/>
      <c r="AJ3" s="422" t="s">
        <v>120</v>
      </c>
      <c r="AK3" s="423"/>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13"/>
      <c r="B4" s="414"/>
      <c r="C4" s="414"/>
      <c r="D4" s="415"/>
      <c r="E4" s="430"/>
      <c r="F4" s="431"/>
      <c r="G4" s="431"/>
      <c r="H4" s="431"/>
      <c r="I4" s="431"/>
      <c r="J4" s="431"/>
      <c r="K4" s="431"/>
      <c r="L4" s="431"/>
      <c r="M4" s="431"/>
      <c r="N4" s="431"/>
      <c r="O4" s="431"/>
      <c r="P4" s="431"/>
      <c r="Q4" s="431"/>
      <c r="R4" s="431"/>
      <c r="S4" s="431"/>
      <c r="T4" s="431"/>
      <c r="U4" s="431"/>
      <c r="V4" s="431"/>
      <c r="W4" s="431"/>
      <c r="X4" s="431"/>
      <c r="Y4" s="431"/>
      <c r="Z4" s="431"/>
      <c r="AA4" s="431"/>
      <c r="AB4" s="431"/>
      <c r="AC4" s="431"/>
      <c r="AD4" s="431"/>
      <c r="AE4" s="431"/>
      <c r="AF4" s="431"/>
      <c r="AG4" s="431"/>
      <c r="AH4" s="431"/>
      <c r="AI4" s="432"/>
      <c r="AJ4" s="422" t="s">
        <v>121</v>
      </c>
      <c r="AK4" s="423"/>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55" t="s">
        <v>122</v>
      </c>
      <c r="B6" s="356"/>
      <c r="C6" s="416" t="s">
        <v>78</v>
      </c>
      <c r="D6" s="417"/>
      <c r="E6" s="417"/>
      <c r="F6" s="417"/>
      <c r="G6" s="417"/>
      <c r="H6" s="417"/>
      <c r="I6" s="417"/>
      <c r="J6" s="417"/>
      <c r="K6" s="417"/>
      <c r="L6" s="417"/>
      <c r="M6" s="417"/>
      <c r="N6" s="418"/>
      <c r="O6" s="433"/>
      <c r="P6" s="433"/>
      <c r="Q6" s="433"/>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c r="A7" s="355" t="s">
        <v>123</v>
      </c>
      <c r="B7" s="356"/>
      <c r="C7" s="362" t="s">
        <v>124</v>
      </c>
      <c r="D7" s="363"/>
      <c r="E7" s="363"/>
      <c r="F7" s="363"/>
      <c r="G7" s="363"/>
      <c r="H7" s="363"/>
      <c r="I7" s="363"/>
      <c r="J7" s="363"/>
      <c r="K7" s="363"/>
      <c r="L7" s="363"/>
      <c r="M7" s="363"/>
      <c r="N7" s="364"/>
      <c r="O7" s="8"/>
      <c r="P7" s="18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355" t="s">
        <v>125</v>
      </c>
      <c r="B8" s="356"/>
      <c r="C8" s="362" t="s">
        <v>126</v>
      </c>
      <c r="D8" s="363"/>
      <c r="E8" s="363"/>
      <c r="F8" s="363"/>
      <c r="G8" s="363"/>
      <c r="H8" s="363"/>
      <c r="I8" s="363"/>
      <c r="J8" s="363"/>
      <c r="K8" s="363"/>
      <c r="L8" s="363"/>
      <c r="M8" s="363"/>
      <c r="N8" s="364"/>
      <c r="O8" s="8"/>
      <c r="P8" s="185"/>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419" t="s">
        <v>127</v>
      </c>
      <c r="B9" s="420"/>
      <c r="C9" s="420"/>
      <c r="D9" s="420"/>
      <c r="E9" s="420"/>
      <c r="F9" s="420"/>
      <c r="G9" s="421"/>
      <c r="H9" s="419" t="s">
        <v>128</v>
      </c>
      <c r="I9" s="420"/>
      <c r="J9" s="420"/>
      <c r="K9" s="420"/>
      <c r="L9" s="420"/>
      <c r="M9" s="420"/>
      <c r="N9" s="421"/>
      <c r="O9" s="419" t="s">
        <v>129</v>
      </c>
      <c r="P9" s="420"/>
      <c r="Q9" s="420"/>
      <c r="R9" s="420"/>
      <c r="S9" s="420"/>
      <c r="T9" s="420"/>
      <c r="U9" s="420"/>
      <c r="V9" s="420"/>
      <c r="W9" s="421"/>
      <c r="X9" s="419" t="s">
        <v>130</v>
      </c>
      <c r="Y9" s="420"/>
      <c r="Z9" s="420"/>
      <c r="AA9" s="420"/>
      <c r="AB9" s="420"/>
      <c r="AC9" s="420"/>
      <c r="AD9" s="421"/>
      <c r="AE9" s="419" t="s">
        <v>131</v>
      </c>
      <c r="AF9" s="420"/>
      <c r="AG9" s="420"/>
      <c r="AH9" s="420"/>
      <c r="AI9" s="420"/>
      <c r="AJ9" s="420"/>
      <c r="AK9" s="42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57" t="s">
        <v>132</v>
      </c>
      <c r="B10" s="350" t="s">
        <v>23</v>
      </c>
      <c r="C10" s="344" t="s">
        <v>25</v>
      </c>
      <c r="D10" s="344" t="s">
        <v>27</v>
      </c>
      <c r="E10" s="359" t="s">
        <v>29</v>
      </c>
      <c r="F10" s="351" t="s">
        <v>31</v>
      </c>
      <c r="G10" s="344" t="s">
        <v>133</v>
      </c>
      <c r="H10" s="346" t="s">
        <v>134</v>
      </c>
      <c r="I10" s="347" t="s">
        <v>135</v>
      </c>
      <c r="J10" s="351" t="s">
        <v>136</v>
      </c>
      <c r="K10" s="351" t="s">
        <v>137</v>
      </c>
      <c r="L10" s="349" t="s">
        <v>138</v>
      </c>
      <c r="M10" s="347" t="s">
        <v>135</v>
      </c>
      <c r="N10" s="344" t="s">
        <v>37</v>
      </c>
      <c r="O10" s="360" t="s">
        <v>139</v>
      </c>
      <c r="P10" s="345" t="s">
        <v>39</v>
      </c>
      <c r="Q10" s="351" t="s">
        <v>41</v>
      </c>
      <c r="R10" s="345" t="s">
        <v>140</v>
      </c>
      <c r="S10" s="345"/>
      <c r="T10" s="345"/>
      <c r="U10" s="345"/>
      <c r="V10" s="345"/>
      <c r="W10" s="345"/>
      <c r="X10" s="343" t="s">
        <v>141</v>
      </c>
      <c r="Y10" s="343" t="s">
        <v>142</v>
      </c>
      <c r="Z10" s="343" t="s">
        <v>135</v>
      </c>
      <c r="AA10" s="343" t="s">
        <v>143</v>
      </c>
      <c r="AB10" s="343" t="s">
        <v>135</v>
      </c>
      <c r="AC10" s="343" t="s">
        <v>144</v>
      </c>
      <c r="AD10" s="360" t="s">
        <v>57</v>
      </c>
      <c r="AE10" s="345" t="s">
        <v>131</v>
      </c>
      <c r="AF10" s="345" t="s">
        <v>145</v>
      </c>
      <c r="AG10" s="345" t="s">
        <v>146</v>
      </c>
      <c r="AH10" s="351" t="s">
        <v>147</v>
      </c>
      <c r="AI10" s="345" t="s">
        <v>148</v>
      </c>
      <c r="AJ10" s="345" t="s">
        <v>149</v>
      </c>
      <c r="AK10" s="345"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58"/>
      <c r="B11" s="350"/>
      <c r="C11" s="345"/>
      <c r="D11" s="345"/>
      <c r="E11" s="350"/>
      <c r="F11" s="344"/>
      <c r="G11" s="345"/>
      <c r="H11" s="344"/>
      <c r="I11" s="348"/>
      <c r="J11" s="344"/>
      <c r="K11" s="344"/>
      <c r="L11" s="348"/>
      <c r="M11" s="348"/>
      <c r="N11" s="345"/>
      <c r="O11" s="361"/>
      <c r="P11" s="345"/>
      <c r="Q11" s="344"/>
      <c r="R11" s="7" t="s">
        <v>150</v>
      </c>
      <c r="S11" s="7" t="s">
        <v>151</v>
      </c>
      <c r="T11" s="7" t="s">
        <v>152</v>
      </c>
      <c r="U11" s="7" t="s">
        <v>153</v>
      </c>
      <c r="V11" s="7" t="s">
        <v>154</v>
      </c>
      <c r="W11" s="7" t="s">
        <v>155</v>
      </c>
      <c r="X11" s="343"/>
      <c r="Y11" s="343"/>
      <c r="Z11" s="343"/>
      <c r="AA11" s="343"/>
      <c r="AB11" s="343"/>
      <c r="AC11" s="343"/>
      <c r="AD11" s="361"/>
      <c r="AE11" s="345"/>
      <c r="AF11" s="345"/>
      <c r="AG11" s="345"/>
      <c r="AH11" s="344"/>
      <c r="AI11" s="345"/>
      <c r="AJ11" s="345"/>
      <c r="AK11" s="34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72" customHeight="1">
      <c r="A12" s="328">
        <v>1</v>
      </c>
      <c r="B12" s="319" t="s">
        <v>156</v>
      </c>
      <c r="C12" s="319" t="s">
        <v>157</v>
      </c>
      <c r="D12" s="319" t="s">
        <v>158</v>
      </c>
      <c r="E12" s="331" t="s">
        <v>159</v>
      </c>
      <c r="F12" s="319" t="s">
        <v>160</v>
      </c>
      <c r="G12" s="322">
        <v>2000</v>
      </c>
      <c r="H12" s="325" t="str">
        <f>IF(G12&lt;=0,"",IF(G12&lt;=2,"Muy Baja",IF(G12&lt;=24,"Baja",IF(G12&lt;=500,"Media",IF(G12&lt;=5000,"Alta","Muy Alta")))))</f>
        <v>Alta</v>
      </c>
      <c r="I12" s="337">
        <f>IF(H12="","",IF(H12="Muy Baja",0.2,IF(H12="Baja",0.4,IF(H12="Media",0.6,IF(H12="Alta",0.8,IF(H12="Muy Alta",1,))))))</f>
        <v>0.8</v>
      </c>
      <c r="J12" s="340" t="s">
        <v>161</v>
      </c>
      <c r="K12" s="337" t="str">
        <f>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325" t="str">
        <f>IF(OR(K12='Tabla Impacto'!$C$11,K12='Tabla Impacto'!$D$11),"Leve",IF(OR(K12='Tabla Impacto'!$C$12,K12='Tabla Impacto'!$D$12),"Menor",IF(OR(K12='Tabla Impacto'!$C$13,K12='Tabla Impacto'!$D$13),"Moderado",IF(OR(K12='Tabla Impacto'!$C$14,K12='Tabla Impacto'!$D$14),"Mayor",IF(OR(K12='Tabla Impacto'!$C$15,K12='Tabla Impacto'!$D$15),"Catastrófico","")))))</f>
        <v>Mayor</v>
      </c>
      <c r="M12" s="337">
        <f>IF(L12="","",IF(L12="Leve",0.2,IF(L12="Menor",0.4,IF(L12="Moderado",0.6,IF(L12="Mayor",0.8,IF(L12="Catastrófico",1,))))))</f>
        <v>0.8</v>
      </c>
      <c r="N12" s="334"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6">
        <v>1</v>
      </c>
      <c r="P12" s="182" t="s">
        <v>162</v>
      </c>
      <c r="Q12" s="164" t="str">
        <f>IF(OR(R12="Preventivo",R12="Detectivo"),"Probabilidad",IF(R12="Correctivo","Impacto",""))</f>
        <v>Probabilidad</v>
      </c>
      <c r="R12" s="159" t="s">
        <v>163</v>
      </c>
      <c r="S12" s="159" t="s">
        <v>164</v>
      </c>
      <c r="T12" s="160" t="str">
        <f>IF(AND(R12="Preventivo",S12="Automático"),"50%",IF(AND(R12="Preventivo",S12="Manual"),"40%",IF(AND(R12="Detectivo",S12="Automático"),"40%",IF(AND(R12="Detectivo",S12="Manual"),"30%",IF(AND(R12="Correctivo",S12="Automático"),"35%",IF(AND(R12="Correctivo",S12="Manual"),"25%",""))))))</f>
        <v>40%</v>
      </c>
      <c r="U12" s="159" t="s">
        <v>165</v>
      </c>
      <c r="V12" s="159" t="s">
        <v>166</v>
      </c>
      <c r="W12" s="159" t="s">
        <v>167</v>
      </c>
      <c r="X12" s="161">
        <f>IFERROR(IF(Q12="Probabilidad",(I12-(+I12*T12)),IF(Q12="Impacto",I12,"")),"")</f>
        <v>0.48</v>
      </c>
      <c r="Y12" s="162" t="str">
        <f>IFERROR(IF(X12="","",IF(X12&lt;=0.2,"Muy Baja",IF(X12&lt;=0.4,"Baja",IF(X12&lt;=0.6,"Media",IF(X12&lt;=0.8,"Alta","Muy Alta"))))),"")</f>
        <v>Media</v>
      </c>
      <c r="Z12" s="163">
        <f>+X12</f>
        <v>0.48</v>
      </c>
      <c r="AA12" s="162" t="str">
        <f>IFERROR(IF(AB12="","",IF(AB12&lt;=0.2,"Leve",IF(AB12&lt;=0.4,"Menor",IF(AB12&lt;=0.6,"Moderado",IF(AB12&lt;=0.8,"Mayor","Catastrófico"))))),"")</f>
        <v>Mayor</v>
      </c>
      <c r="AB12" s="163">
        <f>IFERROR(IF(Q12="Impacto",(M12-(+M12*T12)),IF(Q12="Probabilidad",M12,"")),"")</f>
        <v>0.8</v>
      </c>
      <c r="AC12" s="168"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65" t="s">
        <v>168</v>
      </c>
      <c r="AE12" s="179" t="s">
        <v>169</v>
      </c>
      <c r="AF12" s="179" t="s">
        <v>170</v>
      </c>
      <c r="AG12" s="180">
        <v>44438</v>
      </c>
      <c r="AH12" s="180">
        <v>44560</v>
      </c>
      <c r="AI12" s="167">
        <v>44483</v>
      </c>
      <c r="AJ12" s="119"/>
      <c r="AK12" s="16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72" customHeight="1">
      <c r="A13" s="329"/>
      <c r="B13" s="320"/>
      <c r="C13" s="320"/>
      <c r="D13" s="320"/>
      <c r="E13" s="332"/>
      <c r="F13" s="320"/>
      <c r="G13" s="323"/>
      <c r="H13" s="326"/>
      <c r="I13" s="338"/>
      <c r="J13" s="341"/>
      <c r="K13" s="338">
        <f>IF(NOT(ISERROR(MATCH(J13,_xlfn.ANCHORARRAY(E24),0))),I26&amp;"Por favor no seleccionar los criterios de impacto",J13)</f>
        <v>0</v>
      </c>
      <c r="L13" s="326"/>
      <c r="M13" s="338"/>
      <c r="N13" s="335"/>
      <c r="O13" s="6">
        <v>2</v>
      </c>
      <c r="P13" s="182" t="s">
        <v>171</v>
      </c>
      <c r="Q13" s="164" t="str">
        <f>IF(OR(R13="Preventivo",R13="Detectivo"),"Probabilidad",IF(R13="Correctivo","Impacto",""))</f>
        <v>Probabilidad</v>
      </c>
      <c r="R13" s="159" t="s">
        <v>172</v>
      </c>
      <c r="S13" s="159" t="s">
        <v>164</v>
      </c>
      <c r="T13" s="160" t="str">
        <f t="shared" ref="T13:T17" si="0">IF(AND(R13="Preventivo",S13="Automático"),"50%",IF(AND(R13="Preventivo",S13="Manual"),"40%",IF(AND(R13="Detectivo",S13="Automático"),"40%",IF(AND(R13="Detectivo",S13="Manual"),"30%",IF(AND(R13="Correctivo",S13="Automático"),"35%",IF(AND(R13="Correctivo",S13="Manual"),"25%",""))))))</f>
        <v>30%</v>
      </c>
      <c r="U13" s="159" t="s">
        <v>165</v>
      </c>
      <c r="V13" s="159" t="s">
        <v>166</v>
      </c>
      <c r="W13" s="159" t="s">
        <v>167</v>
      </c>
      <c r="X13" s="161">
        <f>IFERROR(IF(AND(Q12="Probabilidad",Q13="Probabilidad"),(Z12-(+Z12*T13)),IF(Q13="Probabilidad",(I12-(+I12*T13)),IF(Q13="Impacto",Z12,""))),"")</f>
        <v>0.33599999999999997</v>
      </c>
      <c r="Y13" s="162" t="str">
        <f t="shared" ref="Y13:Y71" si="1">IFERROR(IF(X13="","",IF(X13&lt;=0.2,"Muy Baja",IF(X13&lt;=0.4,"Baja",IF(X13&lt;=0.6,"Media",IF(X13&lt;=0.8,"Alta","Muy Alta"))))),"")</f>
        <v>Baja</v>
      </c>
      <c r="Z13" s="163">
        <f t="shared" ref="Z13:Z17" si="2">+X13</f>
        <v>0.33599999999999997</v>
      </c>
      <c r="AA13" s="162" t="str">
        <f t="shared" ref="AA13:AA71" si="3">IFERROR(IF(AB13="","",IF(AB13&lt;=0.2,"Leve",IF(AB13&lt;=0.4,"Menor",IF(AB13&lt;=0.6,"Moderado",IF(AB13&lt;=0.8,"Mayor","Catastrófico"))))),"")</f>
        <v>Mayor</v>
      </c>
      <c r="AB13" s="163">
        <f>IFERROR(IF(AND(Q12="Impacto",Q13="Impacto"),(AB12-(+AB12*T13)),IF(Q13="Impacto",(M12-(+M12*T13)),IF(Q13="Probabilidad",AB12,""))),"")</f>
        <v>0.8</v>
      </c>
      <c r="AC13" s="168"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65" t="s">
        <v>168</v>
      </c>
      <c r="AE13" s="179" t="s">
        <v>173</v>
      </c>
      <c r="AF13" s="179" t="s">
        <v>170</v>
      </c>
      <c r="AG13" s="180">
        <v>44438</v>
      </c>
      <c r="AH13" s="180">
        <v>44560</v>
      </c>
      <c r="AI13" s="167">
        <v>44483</v>
      </c>
      <c r="AJ13" s="115"/>
      <c r="AK13" s="17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8" customHeight="1">
      <c r="A14" s="329"/>
      <c r="B14" s="320"/>
      <c r="C14" s="320"/>
      <c r="D14" s="320"/>
      <c r="E14" s="332"/>
      <c r="F14" s="320"/>
      <c r="G14" s="323"/>
      <c r="H14" s="326"/>
      <c r="I14" s="338"/>
      <c r="J14" s="341"/>
      <c r="K14" s="338">
        <f>IF(NOT(ISERROR(MATCH(J14,_xlfn.ANCHORARRAY(E25),0))),I27&amp;"Por favor no seleccionar los criterios de impacto",J14)</f>
        <v>0</v>
      </c>
      <c r="L14" s="326"/>
      <c r="M14" s="338"/>
      <c r="N14" s="335"/>
      <c r="O14" s="106">
        <v>3</v>
      </c>
      <c r="P14" s="183"/>
      <c r="Q14" s="107"/>
      <c r="R14" s="108"/>
      <c r="S14" s="108"/>
      <c r="T14" s="109"/>
      <c r="U14" s="118"/>
      <c r="V14" s="118"/>
      <c r="W14" s="118"/>
      <c r="X14" s="110"/>
      <c r="Y14" s="111"/>
      <c r="Z14" s="112"/>
      <c r="AA14" s="111"/>
      <c r="AB14" s="112"/>
      <c r="AC14" s="113"/>
      <c r="AD14" s="114"/>
      <c r="AE14" s="115"/>
      <c r="AF14" s="116"/>
      <c r="AG14" s="117"/>
      <c r="AH14" s="117"/>
      <c r="AI14" s="117"/>
      <c r="AJ14" s="115"/>
      <c r="AK14" s="116"/>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29"/>
      <c r="B15" s="320"/>
      <c r="C15" s="320"/>
      <c r="D15" s="320"/>
      <c r="E15" s="332"/>
      <c r="F15" s="320"/>
      <c r="G15" s="323"/>
      <c r="H15" s="326"/>
      <c r="I15" s="338"/>
      <c r="J15" s="341"/>
      <c r="K15" s="338">
        <f>IF(NOT(ISERROR(MATCH(J15,_xlfn.ANCHORARRAY(E26),0))),I28&amp;"Por favor no seleccionar los criterios de impacto",J15)</f>
        <v>0</v>
      </c>
      <c r="L15" s="326"/>
      <c r="M15" s="338"/>
      <c r="N15" s="335"/>
      <c r="O15" s="106">
        <v>4</v>
      </c>
      <c r="P15" s="182"/>
      <c r="Q15" s="107"/>
      <c r="R15" s="108"/>
      <c r="S15" s="108"/>
      <c r="T15" s="109"/>
      <c r="U15" s="108"/>
      <c r="V15" s="108"/>
      <c r="W15" s="10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29"/>
      <c r="B16" s="320"/>
      <c r="C16" s="320"/>
      <c r="D16" s="320"/>
      <c r="E16" s="332"/>
      <c r="F16" s="320"/>
      <c r="G16" s="323"/>
      <c r="H16" s="326"/>
      <c r="I16" s="338"/>
      <c r="J16" s="341"/>
      <c r="K16" s="338">
        <f>IF(NOT(ISERROR(MATCH(J16,_xlfn.ANCHORARRAY(E27),0))),I29&amp;"Por favor no seleccionar los criterios de impacto",J16)</f>
        <v>0</v>
      </c>
      <c r="L16" s="326"/>
      <c r="M16" s="338"/>
      <c r="N16" s="335"/>
      <c r="O16" s="106">
        <v>5</v>
      </c>
      <c r="P16" s="182"/>
      <c r="Q16" s="107" t="str">
        <f t="shared" ref="Q16:Q17" si="5">IF(OR(R16="Preventivo",R16="Detectivo"),"Probabilidad",IF(R16="Correctivo","Impacto",""))</f>
        <v/>
      </c>
      <c r="R16" s="108"/>
      <c r="S16" s="108"/>
      <c r="T16" s="109" t="str">
        <f t="shared" si="0"/>
        <v/>
      </c>
      <c r="U16" s="108"/>
      <c r="V16" s="108"/>
      <c r="W16" s="108"/>
      <c r="X16" s="110" t="str">
        <f t="shared" ref="X16:X17" si="6">IFERROR(IF(AND(Q15="Probabilidad",Q16="Probabilidad"),(Z15-(+Z15*T16)),IF(AND(Q15="Impacto",Q16="Probabilidad"),(Z14-(+Z14*T16)),IF(Q16="Impacto",Z15,""))),"")</f>
        <v/>
      </c>
      <c r="Y16" s="111" t="str">
        <f t="shared" si="1"/>
        <v/>
      </c>
      <c r="Z16" s="112" t="str">
        <f t="shared" si="2"/>
        <v/>
      </c>
      <c r="AA16" s="111" t="str">
        <f t="shared" si="3"/>
        <v/>
      </c>
      <c r="AB16" s="112" t="str">
        <f t="shared" ref="AB16:AB17" si="7">IFERROR(IF(AND(Q15="Impacto",Q16="Impacto"),(AB15-(+AB15*T16)),IF(AND(Q15="Probabilidad",Q16="Impacto"),(AB14-(+AB14*T16)),IF(Q16="Probabilidad",AB15,""))),"")</f>
        <v/>
      </c>
      <c r="AC16" s="113" t="str">
        <f t="shared" si="4"/>
        <v/>
      </c>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59.25" customHeight="1">
      <c r="A17" s="330"/>
      <c r="B17" s="321"/>
      <c r="C17" s="321"/>
      <c r="D17" s="321"/>
      <c r="E17" s="333"/>
      <c r="F17" s="321"/>
      <c r="G17" s="324"/>
      <c r="H17" s="327"/>
      <c r="I17" s="339"/>
      <c r="J17" s="342"/>
      <c r="K17" s="339">
        <f>IF(NOT(ISERROR(MATCH(J17,_xlfn.ANCHORARRAY(E28),0))),I30&amp;"Por favor no seleccionar los criterios de impacto",J17)</f>
        <v>0</v>
      </c>
      <c r="L17" s="327"/>
      <c r="M17" s="339"/>
      <c r="N17" s="336"/>
      <c r="O17" s="106">
        <v>6</v>
      </c>
      <c r="P17" s="182"/>
      <c r="Q17" s="107" t="str">
        <f t="shared" si="5"/>
        <v/>
      </c>
      <c r="R17" s="108"/>
      <c r="S17" s="108"/>
      <c r="T17" s="109" t="str">
        <f t="shared" si="0"/>
        <v/>
      </c>
      <c r="U17" s="108"/>
      <c r="V17" s="108"/>
      <c r="W17" s="108"/>
      <c r="X17" s="110" t="str">
        <f t="shared" si="6"/>
        <v/>
      </c>
      <c r="Y17" s="111" t="str">
        <f t="shared" si="1"/>
        <v/>
      </c>
      <c r="Z17" s="112" t="str">
        <f t="shared" si="2"/>
        <v/>
      </c>
      <c r="AA17" s="111" t="str">
        <f t="shared" si="3"/>
        <v/>
      </c>
      <c r="AB17" s="112" t="str">
        <f t="shared" si="7"/>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1.25" customHeight="1">
      <c r="A18" s="328">
        <v>2</v>
      </c>
      <c r="B18" s="392" t="s">
        <v>174</v>
      </c>
      <c r="C18" s="392" t="s">
        <v>175</v>
      </c>
      <c r="D18" s="392" t="s">
        <v>176</v>
      </c>
      <c r="E18" s="352" t="s">
        <v>177</v>
      </c>
      <c r="F18" s="392" t="s">
        <v>160</v>
      </c>
      <c r="G18" s="395">
        <v>20000</v>
      </c>
      <c r="H18" s="365" t="str">
        <f>IF(G18&lt;=0,"",IF(G18&lt;=2,"Muy Baja",IF(G18&lt;=24,"Baja",IF(G18&lt;=500,"Media",IF(G18&lt;=5000,"Alta","Muy Alta")))))</f>
        <v>Muy Alta</v>
      </c>
      <c r="I18" s="368">
        <f>IF(H18="","",IF(H18="Muy Baja",0.2,IF(H18="Baja",0.4,IF(H18="Media",0.6,IF(H18="Alta",0.8,IF(H18="Muy Alta",1,))))))</f>
        <v>1</v>
      </c>
      <c r="J18" s="398" t="s">
        <v>161</v>
      </c>
      <c r="K18" s="368" t="str">
        <f>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365" t="str">
        <f>IF(OR(K18='Tabla Impacto'!$C$11,K18='Tabla Impacto'!$D$11),"Leve",IF(OR(K18='Tabla Impacto'!$C$12,K18='Tabla Impacto'!$D$12),"Menor",IF(OR(K18='Tabla Impacto'!$C$13,K18='Tabla Impacto'!$D$13),"Moderado",IF(OR(K18='Tabla Impacto'!$C$14,K18='Tabla Impacto'!$D$14),"Mayor",IF(OR(K18='Tabla Impacto'!$C$15,K18='Tabla Impacto'!$D$15),"Catastrófico","")))))</f>
        <v>Mayor</v>
      </c>
      <c r="M18" s="368">
        <f>IF(L18="","",IF(L18="Leve",0.2,IF(L18="Menor",0.4,IF(L18="Moderado",0.6,IF(L18="Mayor",0.8,IF(L18="Catastrófico",1,))))))</f>
        <v>0.8</v>
      </c>
      <c r="N18" s="371"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Alto</v>
      </c>
      <c r="O18" s="106">
        <v>1</v>
      </c>
      <c r="P18" s="182" t="s">
        <v>178</v>
      </c>
      <c r="Q18" s="164" t="str">
        <f>IF(OR(R18="Preventivo",R18="Detectivo"),"Probabilidad",IF(R18="Correctivo","Impacto",""))</f>
        <v>Probabilidad</v>
      </c>
      <c r="R18" s="172" t="s">
        <v>163</v>
      </c>
      <c r="S18" s="172" t="s">
        <v>164</v>
      </c>
      <c r="T18" s="173" t="str">
        <f>IF(AND(R18="Preventivo",S18="Automático"),"50%",IF(AND(R18="Preventivo",S18="Manual"),"40%",IF(AND(R18="Detectivo",S18="Automático"),"40%",IF(AND(R18="Detectivo",S18="Manual"),"30%",IF(AND(R18="Correctivo",S18="Automático"),"35%",IF(AND(R18="Correctivo",S18="Manual"),"25%",""))))))</f>
        <v>40%</v>
      </c>
      <c r="U18" s="172" t="s">
        <v>165</v>
      </c>
      <c r="V18" s="172" t="s">
        <v>166</v>
      </c>
      <c r="W18" s="172" t="s">
        <v>167</v>
      </c>
      <c r="X18" s="161">
        <f>IFERROR(IF(Q18="Probabilidad",(I18-(+I18*T18)),IF(Q18="Impacto",I18,"")),"")</f>
        <v>0.6</v>
      </c>
      <c r="Y18" s="174" t="str">
        <f>IFERROR(IF(X18="","",IF(X18&lt;=0.2,"Muy Baja",IF(X18&lt;=0.4,"Baja",IF(X18&lt;=0.6,"Media",IF(X18&lt;=0.8,"Alta","Muy Alta"))))),"")</f>
        <v>Media</v>
      </c>
      <c r="Z18" s="175">
        <f>+X18</f>
        <v>0.6</v>
      </c>
      <c r="AA18" s="174" t="str">
        <f>IFERROR(IF(AB18="","",IF(AB18&lt;=0.2,"Leve",IF(AB18&lt;=0.4,"Menor",IF(AB18&lt;=0.6,"Moderado",IF(AB18&lt;=0.8,"Mayor","Catastrófico"))))),"")</f>
        <v>Mayor</v>
      </c>
      <c r="AB18" s="175">
        <f>IFERROR(IF(Q18="Impacto",(M18-(+M18*T18)),IF(Q18="Probabilidad",M18,"")),"")</f>
        <v>0.8</v>
      </c>
      <c r="AC18" s="176"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Alto</v>
      </c>
      <c r="AD18" s="177" t="s">
        <v>168</v>
      </c>
      <c r="AE18" s="179" t="s">
        <v>173</v>
      </c>
      <c r="AF18" s="179" t="s">
        <v>170</v>
      </c>
      <c r="AG18" s="180">
        <v>44469</v>
      </c>
      <c r="AH18" s="180">
        <v>44560</v>
      </c>
      <c r="AI18" s="167">
        <v>44483</v>
      </c>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8" customHeight="1">
      <c r="A19" s="329"/>
      <c r="B19" s="393"/>
      <c r="C19" s="393"/>
      <c r="D19" s="393"/>
      <c r="E19" s="353"/>
      <c r="F19" s="393"/>
      <c r="G19" s="396"/>
      <c r="H19" s="366"/>
      <c r="I19" s="369"/>
      <c r="J19" s="399"/>
      <c r="K19" s="369">
        <f>IF(NOT(ISERROR(MATCH(J19,_xlfn.ANCHORARRAY(E30),0))),I32&amp;"Por favor no seleccionar los criterios de impacto",J19)</f>
        <v>0</v>
      </c>
      <c r="L19" s="366"/>
      <c r="M19" s="369"/>
      <c r="N19" s="372"/>
      <c r="O19" s="106">
        <v>2</v>
      </c>
      <c r="P19" s="182"/>
      <c r="Q19" s="164" t="str">
        <f>IF(OR(R19="Preventivo",R19="Detectivo"),"Probabilidad",IF(R19="Correctivo","Impacto",""))</f>
        <v/>
      </c>
      <c r="R19" s="172"/>
      <c r="S19" s="172"/>
      <c r="T19" s="173" t="str">
        <f t="shared" ref="T19:T23" si="8">IF(AND(R19="Preventivo",S19="Automático"),"50%",IF(AND(R19="Preventivo",S19="Manual"),"40%",IF(AND(R19="Detectivo",S19="Automático"),"40%",IF(AND(R19="Detectivo",S19="Manual"),"30%",IF(AND(R19="Correctivo",S19="Automático"),"35%",IF(AND(R19="Correctivo",S19="Manual"),"25%",""))))))</f>
        <v/>
      </c>
      <c r="U19" s="172"/>
      <c r="V19" s="172"/>
      <c r="W19" s="172"/>
      <c r="X19" s="161" t="str">
        <f>IFERROR(IF(AND(Q18="Probabilidad",Q19="Probabilidad"),(Z18-(+Z18*T19)),IF(Q19="Probabilidad",(I18-(+I18*T19)),IF(Q19="Impacto",Z18,""))),"")</f>
        <v/>
      </c>
      <c r="Y19" s="174" t="str">
        <f t="shared" si="1"/>
        <v/>
      </c>
      <c r="Z19" s="175" t="str">
        <f t="shared" ref="Z19:Z23" si="9">+X19</f>
        <v/>
      </c>
      <c r="AA19" s="174" t="str">
        <f t="shared" si="3"/>
        <v/>
      </c>
      <c r="AB19" s="175" t="str">
        <f>IFERROR(IF(AND(Q18="Impacto",Q19="Impacto"),(AB18-(+AB18*T19)),IF(Q19="Impacto",(M18-(+M18*T19)),IF(Q19="Probabilidad",AB18,""))),"")</f>
        <v/>
      </c>
      <c r="AC19" s="176"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7"/>
      <c r="AE19" s="179"/>
      <c r="AF19" s="179"/>
      <c r="AG19" s="180"/>
      <c r="AH19" s="180"/>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8" customHeight="1">
      <c r="A20" s="329"/>
      <c r="B20" s="393"/>
      <c r="C20" s="393"/>
      <c r="D20" s="393"/>
      <c r="E20" s="353"/>
      <c r="F20" s="393"/>
      <c r="G20" s="396"/>
      <c r="H20" s="366"/>
      <c r="I20" s="369"/>
      <c r="J20" s="399"/>
      <c r="K20" s="369">
        <f>IF(NOT(ISERROR(MATCH(J20,_xlfn.ANCHORARRAY(E31),0))),I33&amp;"Por favor no seleccionar los criterios de impacto",J20)</f>
        <v>0</v>
      </c>
      <c r="L20" s="366"/>
      <c r="M20" s="369"/>
      <c r="N20" s="372"/>
      <c r="O20" s="106">
        <v>3</v>
      </c>
      <c r="P20" s="184"/>
      <c r="Q20" s="164" t="str">
        <f>IF(OR(R20="Preventivo",R20="Detectivo"),"Probabilidad",IF(R20="Correctivo","Impacto",""))</f>
        <v/>
      </c>
      <c r="R20" s="172"/>
      <c r="S20" s="172"/>
      <c r="T20" s="173" t="str">
        <f t="shared" si="8"/>
        <v/>
      </c>
      <c r="U20" s="172"/>
      <c r="V20" s="172"/>
      <c r="W20" s="172"/>
      <c r="X20" s="161" t="str">
        <f>IFERROR(IF(AND(Q19="Probabilidad",Q20="Probabilidad"),(Z19-(+Z19*T20)),IF(AND(Q19="Impacto",Q20="Probabilidad"),(Z18-(+Z18*T20)),IF(Q20="Impacto",Z19,""))),"")</f>
        <v/>
      </c>
      <c r="Y20" s="174" t="str">
        <f t="shared" si="1"/>
        <v/>
      </c>
      <c r="Z20" s="175" t="str">
        <f t="shared" si="9"/>
        <v/>
      </c>
      <c r="AA20" s="174" t="str">
        <f t="shared" si="3"/>
        <v/>
      </c>
      <c r="AB20" s="175" t="str">
        <f>IFERROR(IF(AND(Q19="Impacto",Q20="Impacto"),(AB19-(+AB19*T20)),IF(AND(Q19="Probabilidad",Q20="Impacto"),(AB18-(+AB18*T20)),IF(Q20="Probabilidad",AB19,""))),"")</f>
        <v/>
      </c>
      <c r="AC20" s="176" t="str">
        <f t="shared" si="10"/>
        <v/>
      </c>
      <c r="AD20" s="177"/>
      <c r="AE20" s="179"/>
      <c r="AF20" s="181"/>
      <c r="AG20" s="180"/>
      <c r="AH20" s="180"/>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29"/>
      <c r="B21" s="393"/>
      <c r="C21" s="393"/>
      <c r="D21" s="393"/>
      <c r="E21" s="353"/>
      <c r="F21" s="393"/>
      <c r="G21" s="396"/>
      <c r="H21" s="366"/>
      <c r="I21" s="369"/>
      <c r="J21" s="399"/>
      <c r="K21" s="369">
        <f>IF(NOT(ISERROR(MATCH(J21,_xlfn.ANCHORARRAY(E32),0))),I34&amp;"Por favor no seleccionar los criterios de impacto",J21)</f>
        <v>0</v>
      </c>
      <c r="L21" s="366"/>
      <c r="M21" s="369"/>
      <c r="N21" s="372"/>
      <c r="O21" s="106">
        <v>4</v>
      </c>
      <c r="P21" s="182"/>
      <c r="Q21" s="107" t="str">
        <f t="shared" ref="Q21:Q23" si="11">IF(OR(R21="Preventivo",R21="Detectivo"),"Probabilidad",IF(R21="Correctivo","Impacto",""))</f>
        <v/>
      </c>
      <c r="R21" s="108"/>
      <c r="S21" s="108"/>
      <c r="T21" s="109" t="str">
        <f t="shared" si="8"/>
        <v/>
      </c>
      <c r="U21" s="108"/>
      <c r="V21" s="108"/>
      <c r="W21" s="108"/>
      <c r="X21" s="110" t="str">
        <f t="shared" ref="X21:X23" si="12">IFERROR(IF(AND(Q20="Probabilidad",Q21="Probabilidad"),(Z20-(+Z20*T21)),IF(AND(Q20="Impacto",Q21="Probabilidad"),(Z19-(+Z19*T21)),IF(Q21="Impacto",Z20,""))),"")</f>
        <v/>
      </c>
      <c r="Y21" s="111" t="str">
        <f t="shared" si="1"/>
        <v/>
      </c>
      <c r="Z21" s="112" t="str">
        <f t="shared" si="9"/>
        <v/>
      </c>
      <c r="AA21" s="111" t="str">
        <f t="shared" si="3"/>
        <v/>
      </c>
      <c r="AB21" s="112" t="str">
        <f t="shared" ref="AB21:AB23" si="13">IFERROR(IF(AND(Q20="Impacto",Q21="Impacto"),(AB20-(+AB20*T21)),IF(AND(Q20="Probabilidad",Q21="Impacto"),(AB19-(+AB19*T21)),IF(Q21="Probabilidad",AB20,""))),"")</f>
        <v/>
      </c>
      <c r="AC21" s="113"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4"/>
      <c r="AE21" s="115"/>
      <c r="AF21" s="116"/>
      <c r="AG21" s="117"/>
      <c r="AH21" s="117"/>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29"/>
      <c r="B22" s="393"/>
      <c r="C22" s="393"/>
      <c r="D22" s="393"/>
      <c r="E22" s="353"/>
      <c r="F22" s="393"/>
      <c r="G22" s="396"/>
      <c r="H22" s="366"/>
      <c r="I22" s="369"/>
      <c r="J22" s="399"/>
      <c r="K22" s="369">
        <f>IF(NOT(ISERROR(MATCH(J22,_xlfn.ANCHORARRAY(E33),0))),I35&amp;"Por favor no seleccionar los criterios de impacto",J22)</f>
        <v>0</v>
      </c>
      <c r="L22" s="366"/>
      <c r="M22" s="369"/>
      <c r="N22" s="372"/>
      <c r="O22" s="106">
        <v>5</v>
      </c>
      <c r="P22" s="182"/>
      <c r="Q22" s="107" t="str">
        <f t="shared" si="11"/>
        <v/>
      </c>
      <c r="R22" s="108"/>
      <c r="S22" s="108"/>
      <c r="T22" s="109" t="str">
        <f t="shared" si="8"/>
        <v/>
      </c>
      <c r="U22" s="108"/>
      <c r="V22" s="108"/>
      <c r="W22" s="108"/>
      <c r="X22" s="110" t="str">
        <f t="shared" si="12"/>
        <v/>
      </c>
      <c r="Y22" s="111" t="str">
        <f t="shared" si="1"/>
        <v/>
      </c>
      <c r="Z22" s="112" t="str">
        <f t="shared" si="9"/>
        <v/>
      </c>
      <c r="AA22" s="111" t="str">
        <f t="shared" si="3"/>
        <v/>
      </c>
      <c r="AB22" s="112" t="str">
        <f t="shared" si="13"/>
        <v/>
      </c>
      <c r="AC22" s="113"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72.75" customHeight="1">
      <c r="A23" s="330"/>
      <c r="B23" s="394"/>
      <c r="C23" s="394"/>
      <c r="D23" s="394"/>
      <c r="E23" s="354"/>
      <c r="F23" s="394"/>
      <c r="G23" s="397"/>
      <c r="H23" s="367"/>
      <c r="I23" s="370"/>
      <c r="J23" s="400"/>
      <c r="K23" s="370">
        <f>IF(NOT(ISERROR(MATCH(J23,_xlfn.ANCHORARRAY(E34),0))),I36&amp;"Por favor no seleccionar los criterios de impacto",J23)</f>
        <v>0</v>
      </c>
      <c r="L23" s="367"/>
      <c r="M23" s="370"/>
      <c r="N23" s="373"/>
      <c r="O23" s="106">
        <v>6</v>
      </c>
      <c r="P23" s="182"/>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si="14"/>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8" hidden="1" customHeight="1">
      <c r="A24" s="328">
        <v>3</v>
      </c>
      <c r="B24" s="374"/>
      <c r="C24" s="374"/>
      <c r="D24" s="374"/>
      <c r="E24" s="377"/>
      <c r="F24" s="374"/>
      <c r="G24" s="380"/>
      <c r="H24" s="383" t="str">
        <f>IF(G24&lt;=0,"",IF(G24&lt;=2,"Muy Baja",IF(G24&lt;=24,"Baja",IF(G24&lt;=500,"Media",IF(G24&lt;=5000,"Alta","Muy Alta")))))</f>
        <v/>
      </c>
      <c r="I24" s="386" t="str">
        <f>IF(H24="","",IF(H24="Muy Baja",0.2,IF(H24="Baja",0.4,IF(H24="Media",0.6,IF(H24="Alta",0.8,IF(H24="Muy Alta",1,))))))</f>
        <v/>
      </c>
      <c r="J24" s="389"/>
      <c r="K24" s="386">
        <f>IF(NOT(ISERROR(MATCH(J24,'Tabla Impacto'!$B$221:$B$223,0))),'Tabla Impacto'!$F$223&amp;"Por favor no seleccionar los criterios de impacto(Afectación Económica o presupuestal y Pérdida Reputacional)",J24)</f>
        <v>0</v>
      </c>
      <c r="L24" s="383" t="str">
        <f>IF(OR(K24='Tabla Impacto'!$C$11,K24='Tabla Impacto'!$D$11),"Leve",IF(OR(K24='Tabla Impacto'!$C$12,K24='Tabla Impacto'!$D$12),"Menor",IF(OR(K24='Tabla Impacto'!$C$13,K24='Tabla Impacto'!$D$13),"Moderado",IF(OR(K24='Tabla Impacto'!$C$14,K24='Tabla Impacto'!$D$14),"Mayor",IF(OR(K24='Tabla Impacto'!$C$15,K24='Tabla Impacto'!$D$15),"Catastrófico","")))))</f>
        <v/>
      </c>
      <c r="M24" s="386" t="str">
        <f>IF(L24="","",IF(L24="Leve",0.2,IF(L24="Menor",0.4,IF(L24="Moderado",0.6,IF(L24="Mayor",0.8,IF(L24="Catastrófico",1,))))))</f>
        <v/>
      </c>
      <c r="N24" s="401"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106">
        <v>1</v>
      </c>
      <c r="P24" s="182"/>
      <c r="Q24" s="164" t="str">
        <f>IF(OR(R24="Preventivo",R24="Detectivo"),"Probabilidad",IF(R24="Correctivo","Impacto",""))</f>
        <v/>
      </c>
      <c r="R24" s="172"/>
      <c r="S24" s="172"/>
      <c r="T24" s="173" t="str">
        <f>IF(AND(R24="Preventivo",S24="Automático"),"50%",IF(AND(R24="Preventivo",S24="Manual"),"40%",IF(AND(R24="Detectivo",S24="Automático"),"40%",IF(AND(R24="Detectivo",S24="Manual"),"30%",IF(AND(R24="Correctivo",S24="Automático"),"35%",IF(AND(R24="Correctivo",S24="Manual"),"25%",""))))))</f>
        <v/>
      </c>
      <c r="U24" s="172"/>
      <c r="V24" s="172"/>
      <c r="W24" s="172"/>
      <c r="X24" s="161" t="str">
        <f>IFERROR(IF(Q24="Probabilidad",(I24-(+I24*T24)),IF(Q24="Impacto",I24,"")),"")</f>
        <v/>
      </c>
      <c r="Y24" s="174" t="str">
        <f>IFERROR(IF(X24="","",IF(X24&lt;=0.2,"Muy Baja",IF(X24&lt;=0.4,"Baja",IF(X24&lt;=0.6,"Media",IF(X24&lt;=0.8,"Alta","Muy Alta"))))),"")</f>
        <v/>
      </c>
      <c r="Z24" s="175" t="str">
        <f>+X24</f>
        <v/>
      </c>
      <c r="AA24" s="174" t="str">
        <f>IFERROR(IF(AB24="","",IF(AB24&lt;=0.2,"Leve",IF(AB24&lt;=0.4,"Menor",IF(AB24&lt;=0.6,"Moderado",IF(AB24&lt;=0.8,"Mayor","Catastrófico"))))),"")</f>
        <v/>
      </c>
      <c r="AB24" s="175" t="str">
        <f>IFERROR(IF(Q24="Impacto",(M24-(+M24*T24)),IF(Q24="Probabilidad",M24,"")),"")</f>
        <v/>
      </c>
      <c r="AC24" s="176"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77"/>
      <c r="AE24" s="179"/>
      <c r="AF24" s="178"/>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hidden="1" customHeight="1">
      <c r="A25" s="329"/>
      <c r="B25" s="375"/>
      <c r="C25" s="375"/>
      <c r="D25" s="375"/>
      <c r="E25" s="378"/>
      <c r="F25" s="375"/>
      <c r="G25" s="381"/>
      <c r="H25" s="384"/>
      <c r="I25" s="387"/>
      <c r="J25" s="390"/>
      <c r="K25" s="387">
        <f>IF(NOT(ISERROR(MATCH(J25,_xlfn.ANCHORARRAY(E36),0))),I38&amp;"Por favor no seleccionar los criterios de impacto",J25)</f>
        <v>0</v>
      </c>
      <c r="L25" s="384"/>
      <c r="M25" s="387"/>
      <c r="N25" s="402"/>
      <c r="O25" s="106">
        <v>2</v>
      </c>
      <c r="P25" s="182"/>
      <c r="Q25" s="107" t="str">
        <f>IF(OR(R25="Preventivo",R25="Detectivo"),"Probabilidad",IF(R25="Correctivo","Impacto",""))</f>
        <v/>
      </c>
      <c r="R25" s="172"/>
      <c r="S25" s="172"/>
      <c r="T25" s="173" t="str">
        <f t="shared" ref="T25:T29" si="15">IF(AND(R25="Preventivo",S25="Automático"),"50%",IF(AND(R25="Preventivo",S25="Manual"),"40%",IF(AND(R25="Detectivo",S25="Automático"),"40%",IF(AND(R25="Detectivo",S25="Manual"),"30%",IF(AND(R25="Correctivo",S25="Automático"),"35%",IF(AND(R25="Correctivo",S25="Manual"),"25%",""))))))</f>
        <v/>
      </c>
      <c r="U25" s="172"/>
      <c r="V25" s="172"/>
      <c r="W25" s="172"/>
      <c r="X25" s="161" t="str">
        <f>IFERROR(IF(AND(Q24="Probabilidad",Q25="Probabilidad"),(Z24-(+Z24*T25)),IF(Q25="Probabilidad",(I24-(+I24*T25)),IF(Q25="Impacto",Z24,""))),"")</f>
        <v/>
      </c>
      <c r="Y25" s="174" t="str">
        <f t="shared" si="1"/>
        <v/>
      </c>
      <c r="Z25" s="175" t="str">
        <f t="shared" ref="Z25:Z29" si="16">+X25</f>
        <v/>
      </c>
      <c r="AA25" s="174" t="str">
        <f t="shared" si="3"/>
        <v/>
      </c>
      <c r="AB25" s="175" t="str">
        <f>IFERROR(IF(AND(Q24="Impacto",Q25="Impacto"),(AB24-(+AB24*T25)),IF(Q25="Impacto",(M24-(+M24*T25)),IF(Q25="Probabilidad",AB24,""))),"")</f>
        <v/>
      </c>
      <c r="AC25" s="176"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7"/>
      <c r="AE25" s="179"/>
      <c r="AF25" s="178"/>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hidden="1" customHeight="1">
      <c r="A26" s="329"/>
      <c r="B26" s="375"/>
      <c r="C26" s="375"/>
      <c r="D26" s="375"/>
      <c r="E26" s="378"/>
      <c r="F26" s="375"/>
      <c r="G26" s="381"/>
      <c r="H26" s="384"/>
      <c r="I26" s="387"/>
      <c r="J26" s="390"/>
      <c r="K26" s="387">
        <f>IF(NOT(ISERROR(MATCH(J26,_xlfn.ANCHORARRAY(E37),0))),I39&amp;"Por favor no seleccionar los criterios de impacto",J26)</f>
        <v>0</v>
      </c>
      <c r="L26" s="384"/>
      <c r="M26" s="387"/>
      <c r="N26" s="402"/>
      <c r="O26" s="106">
        <v>3</v>
      </c>
      <c r="P26" s="183"/>
      <c r="Q26" s="107" t="str">
        <f>IF(OR(R26="Preventivo",R26="Detectivo"),"Probabilidad",IF(R26="Correctivo","Impacto",""))</f>
        <v/>
      </c>
      <c r="R26" s="108"/>
      <c r="S26" s="108"/>
      <c r="T26" s="109" t="str">
        <f t="shared" si="15"/>
        <v/>
      </c>
      <c r="U26" s="108"/>
      <c r="V26" s="108"/>
      <c r="W26" s="108"/>
      <c r="X26" s="110" t="str">
        <f>IFERROR(IF(AND(Q25="Probabilidad",Q26="Probabilidad"),(Z25-(+Z25*T26)),IF(AND(Q25="Impacto",Q26="Probabilidad"),(Z24-(+Z24*T26)),IF(Q26="Impacto",Z25,""))),"")</f>
        <v/>
      </c>
      <c r="Y26" s="111" t="str">
        <f t="shared" si="1"/>
        <v/>
      </c>
      <c r="Z26" s="112" t="str">
        <f t="shared" si="16"/>
        <v/>
      </c>
      <c r="AA26" s="111" t="str">
        <f t="shared" si="3"/>
        <v/>
      </c>
      <c r="AB26" s="112" t="str">
        <f>IFERROR(IF(AND(Q25="Impacto",Q26="Impacto"),(AB25-(+AB25*T26)),IF(AND(Q25="Probabilidad",Q26="Impacto"),(AB24-(+AB24*T26)),IF(Q26="Probabilidad",AB25,""))),"")</f>
        <v/>
      </c>
      <c r="AC26" s="113" t="str">
        <f t="shared" si="17"/>
        <v/>
      </c>
      <c r="AD26" s="114"/>
      <c r="AE26" s="115"/>
      <c r="AF26" s="116"/>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hidden="1" customHeight="1">
      <c r="A27" s="329"/>
      <c r="B27" s="375"/>
      <c r="C27" s="375"/>
      <c r="D27" s="375"/>
      <c r="E27" s="378"/>
      <c r="F27" s="375"/>
      <c r="G27" s="381"/>
      <c r="H27" s="384"/>
      <c r="I27" s="387"/>
      <c r="J27" s="390"/>
      <c r="K27" s="387">
        <f>IF(NOT(ISERROR(MATCH(J27,_xlfn.ANCHORARRAY(E38),0))),I40&amp;"Por favor no seleccionar los criterios de impacto",J27)</f>
        <v>0</v>
      </c>
      <c r="L27" s="384"/>
      <c r="M27" s="387"/>
      <c r="N27" s="402"/>
      <c r="O27" s="106">
        <v>4</v>
      </c>
      <c r="P27" s="182"/>
      <c r="Q27" s="107" t="str">
        <f t="shared" ref="Q27:Q29" si="18">IF(OR(R27="Preventivo",R27="Detectivo"),"Probabilidad",IF(R27="Correctivo","Impacto",""))</f>
        <v/>
      </c>
      <c r="R27" s="108"/>
      <c r="S27" s="108"/>
      <c r="T27" s="109" t="str">
        <f t="shared" si="15"/>
        <v/>
      </c>
      <c r="U27" s="108"/>
      <c r="V27" s="108"/>
      <c r="W27" s="108"/>
      <c r="X27" s="110" t="str">
        <f t="shared" ref="X27:X29" si="19">IFERROR(IF(AND(Q26="Probabilidad",Q27="Probabilidad"),(Z26-(+Z26*T27)),IF(AND(Q26="Impacto",Q27="Probabilidad"),(Z25-(+Z25*T27)),IF(Q27="Impacto",Z26,""))),"")</f>
        <v/>
      </c>
      <c r="Y27" s="111" t="str">
        <f t="shared" si="1"/>
        <v/>
      </c>
      <c r="Z27" s="112" t="str">
        <f t="shared" si="16"/>
        <v/>
      </c>
      <c r="AA27" s="111" t="str">
        <f t="shared" si="3"/>
        <v/>
      </c>
      <c r="AB27" s="112" t="str">
        <f t="shared" ref="AB27:AB29" si="20">IFERROR(IF(AND(Q26="Impacto",Q27="Impacto"),(AB26-(+AB26*T27)),IF(AND(Q26="Probabilidad",Q27="Impacto"),(AB25-(+AB25*T27)),IF(Q27="Probabilidad",AB26,""))),"")</f>
        <v/>
      </c>
      <c r="AC27" s="113"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hidden="1" customHeight="1">
      <c r="A28" s="329"/>
      <c r="B28" s="375"/>
      <c r="C28" s="375"/>
      <c r="D28" s="375"/>
      <c r="E28" s="378"/>
      <c r="F28" s="375"/>
      <c r="G28" s="381"/>
      <c r="H28" s="384"/>
      <c r="I28" s="387"/>
      <c r="J28" s="390"/>
      <c r="K28" s="387">
        <f>IF(NOT(ISERROR(MATCH(J28,_xlfn.ANCHORARRAY(E39),0))),I41&amp;"Por favor no seleccionar los criterios de impacto",J28)</f>
        <v>0</v>
      </c>
      <c r="L28" s="384"/>
      <c r="M28" s="387"/>
      <c r="N28" s="402"/>
      <c r="O28" s="106">
        <v>5</v>
      </c>
      <c r="P28" s="182"/>
      <c r="Q28" s="107" t="str">
        <f t="shared" si="18"/>
        <v/>
      </c>
      <c r="R28" s="108"/>
      <c r="S28" s="108"/>
      <c r="T28" s="109" t="str">
        <f t="shared" si="15"/>
        <v/>
      </c>
      <c r="U28" s="108"/>
      <c r="V28" s="108"/>
      <c r="W28" s="108"/>
      <c r="X28" s="110" t="str">
        <f t="shared" si="19"/>
        <v/>
      </c>
      <c r="Y28" s="111" t="str">
        <f t="shared" si="1"/>
        <v/>
      </c>
      <c r="Z28" s="112" t="str">
        <f t="shared" si="16"/>
        <v/>
      </c>
      <c r="AA28" s="111" t="str">
        <f t="shared" si="3"/>
        <v/>
      </c>
      <c r="AB28" s="112" t="str">
        <f t="shared" si="20"/>
        <v/>
      </c>
      <c r="AC28" s="113"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hidden="1" customHeight="1">
      <c r="A29" s="330"/>
      <c r="B29" s="376"/>
      <c r="C29" s="376"/>
      <c r="D29" s="376"/>
      <c r="E29" s="379"/>
      <c r="F29" s="376"/>
      <c r="G29" s="382"/>
      <c r="H29" s="385"/>
      <c r="I29" s="388"/>
      <c r="J29" s="391"/>
      <c r="K29" s="388">
        <f>IF(NOT(ISERROR(MATCH(J29,_xlfn.ANCHORARRAY(E40),0))),I42&amp;"Por favor no seleccionar los criterios de impacto",J29)</f>
        <v>0</v>
      </c>
      <c r="L29" s="385"/>
      <c r="M29" s="388"/>
      <c r="N29" s="403"/>
      <c r="O29" s="106">
        <v>6</v>
      </c>
      <c r="P29" s="182"/>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si="21"/>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hidden="1" customHeight="1">
      <c r="A30" s="328">
        <v>4</v>
      </c>
      <c r="B30" s="374"/>
      <c r="C30" s="374"/>
      <c r="D30" s="374"/>
      <c r="E30" s="377"/>
      <c r="F30" s="374"/>
      <c r="G30" s="380"/>
      <c r="H30" s="383" t="str">
        <f>IF(G30&lt;=0,"",IF(G30&lt;=2,"Muy Baja",IF(G30&lt;=24,"Baja",IF(G30&lt;=500,"Media",IF(G30&lt;=5000,"Alta","Muy Alta")))))</f>
        <v/>
      </c>
      <c r="I30" s="386" t="str">
        <f>IF(H30="","",IF(H30="Muy Baja",0.2,IF(H30="Baja",0.4,IF(H30="Media",0.6,IF(H30="Alta",0.8,IF(H30="Muy Alta",1,))))))</f>
        <v/>
      </c>
      <c r="J30" s="389"/>
      <c r="K30" s="386">
        <f>IF(NOT(ISERROR(MATCH(J30,'Tabla Impacto'!$B$221:$B$223,0))),'Tabla Impacto'!$F$223&amp;"Por favor no seleccionar los criterios de impacto(Afectación Económica o presupuestal y Pérdida Reputacional)",J30)</f>
        <v>0</v>
      </c>
      <c r="L30" s="383" t="str">
        <f>IF(OR(K30='Tabla Impacto'!$C$11,K30='Tabla Impacto'!$D$11),"Leve",IF(OR(K30='Tabla Impacto'!$C$12,K30='Tabla Impacto'!$D$12),"Menor",IF(OR(K30='Tabla Impacto'!$C$13,K30='Tabla Impacto'!$D$13),"Moderado",IF(OR(K30='Tabla Impacto'!$C$14,K30='Tabla Impacto'!$D$14),"Mayor",IF(OR(K30='Tabla Impacto'!$C$15,K30='Tabla Impacto'!$D$15),"Catastrófico","")))))</f>
        <v/>
      </c>
      <c r="M30" s="386" t="str">
        <f>IF(L30="","",IF(L30="Leve",0.2,IF(L30="Menor",0.4,IF(L30="Moderado",0.6,IF(L30="Mayor",0.8,IF(L30="Catastrófico",1,))))))</f>
        <v/>
      </c>
      <c r="N30" s="401"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106">
        <v>1</v>
      </c>
      <c r="P30" s="182"/>
      <c r="Q30" s="164" t="str">
        <f>IF(OR(R30="Preventivo",R30="Detectivo"),"Probabilidad",IF(R30="Correctivo","Impacto",""))</f>
        <v/>
      </c>
      <c r="R30" s="172"/>
      <c r="S30" s="172"/>
      <c r="T30" s="173"/>
      <c r="U30" s="172"/>
      <c r="V30" s="172"/>
      <c r="W30" s="172"/>
      <c r="X30" s="161" t="str">
        <f>IFERROR(IF(Q30="Probabilidad",(I30-(+I30*T30)),IF(Q30="Impacto",I30,"")),"")</f>
        <v/>
      </c>
      <c r="Y30" s="174" t="str">
        <f>IFERROR(IF(X30="","",IF(X30&lt;=0.2,"Muy Baja",IF(X30&lt;=0.4,"Baja",IF(X30&lt;=0.6,"Media",IF(X30&lt;=0.8,"Alta","Muy Alta"))))),"")</f>
        <v/>
      </c>
      <c r="Z30" s="175" t="str">
        <f>+X30</f>
        <v/>
      </c>
      <c r="AA30" s="174" t="str">
        <f>IFERROR(IF(AB30="","",IF(AB30&lt;=0.2,"Leve",IF(AB30&lt;=0.4,"Menor",IF(AB30&lt;=0.6,"Moderado",IF(AB30&lt;=0.8,"Mayor","Catastrófico"))))),"")</f>
        <v/>
      </c>
      <c r="AB30" s="175" t="str">
        <f>IFERROR(IF(Q30="Impacto",(M30-(+M30*T30)),IF(Q30="Probabilidad",M30,"")),"")</f>
        <v/>
      </c>
      <c r="AC30" s="176"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77"/>
      <c r="AE30" s="169"/>
      <c r="AF30" s="169"/>
      <c r="AG30" s="171"/>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hidden="1" customHeight="1">
      <c r="A31" s="329"/>
      <c r="B31" s="375"/>
      <c r="C31" s="375"/>
      <c r="D31" s="375"/>
      <c r="E31" s="378"/>
      <c r="F31" s="375"/>
      <c r="G31" s="381"/>
      <c r="H31" s="384"/>
      <c r="I31" s="387"/>
      <c r="J31" s="390"/>
      <c r="K31" s="387">
        <f>IF(NOT(ISERROR(MATCH(J31,_xlfn.ANCHORARRAY(E42),0))),I44&amp;"Por favor no seleccionar los criterios de impacto",J31)</f>
        <v>0</v>
      </c>
      <c r="L31" s="384"/>
      <c r="M31" s="387"/>
      <c r="N31" s="402"/>
      <c r="O31" s="106">
        <v>2</v>
      </c>
      <c r="P31" s="182"/>
      <c r="Q31" s="107" t="str">
        <f>IF(OR(R31="Preventivo",R31="Detectivo"),"Probabilidad",IF(R31="Correctivo","Impacto",""))</f>
        <v/>
      </c>
      <c r="R31" s="108"/>
      <c r="S31" s="108"/>
      <c r="T31" s="109" t="str">
        <f t="shared" ref="T31:T35" si="22">IF(AND(R31="Preventivo",S31="Automático"),"50%",IF(AND(R31="Preventivo",S31="Manual"),"40%",IF(AND(R31="Detectivo",S31="Automático"),"40%",IF(AND(R31="Detectivo",S31="Manual"),"30%",IF(AND(R31="Correctivo",S31="Automático"),"35%",IF(AND(R31="Correctivo",S31="Manual"),"25%",""))))))</f>
        <v/>
      </c>
      <c r="U31" s="108"/>
      <c r="V31" s="108"/>
      <c r="W31" s="108"/>
      <c r="X31" s="110" t="str">
        <f>IFERROR(IF(AND(Q30="Probabilidad",Q31="Probabilidad"),(Z30-(+Z30*T31)),IF(Q31="Probabilidad",(I30-(+I30*T31)),IF(Q31="Impacto",Z30,""))),"")</f>
        <v/>
      </c>
      <c r="Y31" s="111" t="str">
        <f t="shared" si="1"/>
        <v/>
      </c>
      <c r="Z31" s="112" t="str">
        <f t="shared" ref="Z31:Z35" si="23">+X31</f>
        <v/>
      </c>
      <c r="AA31" s="111" t="str">
        <f t="shared" si="3"/>
        <v/>
      </c>
      <c r="AB31" s="112" t="str">
        <f>IFERROR(IF(AND(Q30="Impacto",Q31="Impacto"),(AB30-(+AB30*T31)),IF(Q31="Impacto",(M30-(+M30*T31)),IF(Q31="Probabilidad",AB30,""))),"")</f>
        <v/>
      </c>
      <c r="AC31" s="113"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4"/>
      <c r="AE31" s="115"/>
      <c r="AF31" s="116"/>
      <c r="AG31" s="117"/>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hidden="1" customHeight="1">
      <c r="A32" s="329"/>
      <c r="B32" s="375"/>
      <c r="C32" s="375"/>
      <c r="D32" s="375"/>
      <c r="E32" s="378"/>
      <c r="F32" s="375"/>
      <c r="G32" s="381"/>
      <c r="H32" s="384"/>
      <c r="I32" s="387"/>
      <c r="J32" s="390"/>
      <c r="K32" s="387">
        <f>IF(NOT(ISERROR(MATCH(J32,_xlfn.ANCHORARRAY(E43),0))),I45&amp;"Por favor no seleccionar los criterios de impacto",J32)</f>
        <v>0</v>
      </c>
      <c r="L32" s="384"/>
      <c r="M32" s="387"/>
      <c r="N32" s="402"/>
      <c r="O32" s="106">
        <v>3</v>
      </c>
      <c r="P32" s="183"/>
      <c r="Q32" s="107" t="str">
        <f>IF(OR(R32="Preventivo",R32="Detectivo"),"Probabilidad",IF(R32="Correctivo","Impacto",""))</f>
        <v/>
      </c>
      <c r="R32" s="108"/>
      <c r="S32" s="108"/>
      <c r="T32" s="109" t="str">
        <f t="shared" si="22"/>
        <v/>
      </c>
      <c r="U32" s="108"/>
      <c r="V32" s="108"/>
      <c r="W32" s="108"/>
      <c r="X32" s="110" t="str">
        <f>IFERROR(IF(AND(Q31="Probabilidad",Q32="Probabilidad"),(Z31-(+Z31*T32)),IF(AND(Q31="Impacto",Q32="Probabilidad"),(Z30-(+Z30*T32)),IF(Q32="Impacto",Z31,""))),"")</f>
        <v/>
      </c>
      <c r="Y32" s="111" t="str">
        <f t="shared" si="1"/>
        <v/>
      </c>
      <c r="Z32" s="112" t="str">
        <f t="shared" si="23"/>
        <v/>
      </c>
      <c r="AA32" s="111" t="str">
        <f t="shared" si="3"/>
        <v/>
      </c>
      <c r="AB32" s="112" t="str">
        <f>IFERROR(IF(AND(Q31="Impacto",Q32="Impacto"),(AB31-(+AB31*T32)),IF(AND(Q31="Probabilidad",Q32="Impacto"),(AB30-(+AB30*T32)),IF(Q32="Probabilidad",AB31,""))),"")</f>
        <v/>
      </c>
      <c r="AC32" s="113" t="str">
        <f t="shared" si="24"/>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hidden="1" customHeight="1">
      <c r="A33" s="329"/>
      <c r="B33" s="375"/>
      <c r="C33" s="375"/>
      <c r="D33" s="375"/>
      <c r="E33" s="378"/>
      <c r="F33" s="375"/>
      <c r="G33" s="381"/>
      <c r="H33" s="384"/>
      <c r="I33" s="387"/>
      <c r="J33" s="390"/>
      <c r="K33" s="387">
        <f>IF(NOT(ISERROR(MATCH(J33,_xlfn.ANCHORARRAY(E44),0))),I46&amp;"Por favor no seleccionar los criterios de impacto",J33)</f>
        <v>0</v>
      </c>
      <c r="L33" s="384"/>
      <c r="M33" s="387"/>
      <c r="N33" s="402"/>
      <c r="O33" s="106">
        <v>4</v>
      </c>
      <c r="P33" s="182"/>
      <c r="Q33" s="107" t="str">
        <f t="shared" ref="Q33:Q35" si="25">IF(OR(R33="Preventivo",R33="Detectivo"),"Probabilidad",IF(R33="Correctivo","Impacto",""))</f>
        <v/>
      </c>
      <c r="R33" s="108"/>
      <c r="S33" s="108"/>
      <c r="T33" s="109" t="str">
        <f t="shared" si="22"/>
        <v/>
      </c>
      <c r="U33" s="108"/>
      <c r="V33" s="108"/>
      <c r="W33" s="108"/>
      <c r="X33" s="110" t="str">
        <f t="shared" ref="X33:X35" si="26">IFERROR(IF(AND(Q32="Probabilidad",Q33="Probabilidad"),(Z32-(+Z32*T33)),IF(AND(Q32="Impacto",Q33="Probabilidad"),(Z31-(+Z31*T33)),IF(Q33="Impacto",Z32,""))),"")</f>
        <v/>
      </c>
      <c r="Y33" s="111" t="str">
        <f t="shared" si="1"/>
        <v/>
      </c>
      <c r="Z33" s="112" t="str">
        <f t="shared" si="23"/>
        <v/>
      </c>
      <c r="AA33" s="111" t="str">
        <f t="shared" si="3"/>
        <v/>
      </c>
      <c r="AB33" s="112" t="str">
        <f t="shared" ref="AB33:AB35" si="27">IFERROR(IF(AND(Q32="Impacto",Q33="Impacto"),(AB32-(+AB32*T33)),IF(AND(Q32="Probabilidad",Q33="Impacto"),(AB31-(+AB31*T33)),IF(Q33="Probabilidad",AB32,""))),"")</f>
        <v/>
      </c>
      <c r="AC33" s="113"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hidden="1" customHeight="1">
      <c r="A34" s="329"/>
      <c r="B34" s="375"/>
      <c r="C34" s="375"/>
      <c r="D34" s="375"/>
      <c r="E34" s="378"/>
      <c r="F34" s="375"/>
      <c r="G34" s="381"/>
      <c r="H34" s="384"/>
      <c r="I34" s="387"/>
      <c r="J34" s="390"/>
      <c r="K34" s="387">
        <f>IF(NOT(ISERROR(MATCH(J34,_xlfn.ANCHORARRAY(E45),0))),I47&amp;"Por favor no seleccionar los criterios de impacto",J34)</f>
        <v>0</v>
      </c>
      <c r="L34" s="384"/>
      <c r="M34" s="387"/>
      <c r="N34" s="402"/>
      <c r="O34" s="106">
        <v>5</v>
      </c>
      <c r="P34" s="182"/>
      <c r="Q34" s="107" t="str">
        <f t="shared" si="25"/>
        <v/>
      </c>
      <c r="R34" s="108"/>
      <c r="S34" s="108"/>
      <c r="T34" s="109" t="str">
        <f t="shared" si="22"/>
        <v/>
      </c>
      <c r="U34" s="108"/>
      <c r="V34" s="108"/>
      <c r="W34" s="108"/>
      <c r="X34" s="110" t="str">
        <f t="shared" si="26"/>
        <v/>
      </c>
      <c r="Y34" s="111" t="str">
        <f>IFERROR(IF(X34="","",IF(X34&lt;=0.2,"Muy Baja",IF(X34&lt;=0.4,"Baja",IF(X34&lt;=0.6,"Media",IF(X34&lt;=0.8,"Alta","Muy Alta"))))),"")</f>
        <v/>
      </c>
      <c r="Z34" s="112" t="str">
        <f t="shared" si="23"/>
        <v/>
      </c>
      <c r="AA34" s="111" t="str">
        <f t="shared" si="3"/>
        <v/>
      </c>
      <c r="AB34" s="112" t="str">
        <f t="shared" si="27"/>
        <v/>
      </c>
      <c r="AC34" s="113"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hidden="1" customHeight="1">
      <c r="A35" s="330"/>
      <c r="B35" s="376"/>
      <c r="C35" s="376"/>
      <c r="D35" s="376"/>
      <c r="E35" s="379"/>
      <c r="F35" s="376"/>
      <c r="G35" s="382"/>
      <c r="H35" s="385"/>
      <c r="I35" s="388"/>
      <c r="J35" s="391"/>
      <c r="K35" s="388">
        <f>IF(NOT(ISERROR(MATCH(J35,_xlfn.ANCHORARRAY(E46),0))),I48&amp;"Por favor no seleccionar los criterios de impacto",J35)</f>
        <v>0</v>
      </c>
      <c r="L35" s="385"/>
      <c r="M35" s="388"/>
      <c r="N35" s="403"/>
      <c r="O35" s="106">
        <v>6</v>
      </c>
      <c r="P35" s="182"/>
      <c r="Q35" s="107" t="str">
        <f t="shared" si="25"/>
        <v/>
      </c>
      <c r="R35" s="108"/>
      <c r="S35" s="108"/>
      <c r="T35" s="109" t="str">
        <f t="shared" si="22"/>
        <v/>
      </c>
      <c r="U35" s="108"/>
      <c r="V35" s="108"/>
      <c r="W35" s="108"/>
      <c r="X35" s="110" t="str">
        <f t="shared" si="26"/>
        <v/>
      </c>
      <c r="Y35" s="111" t="str">
        <f t="shared" si="1"/>
        <v/>
      </c>
      <c r="Z35" s="112" t="str">
        <f t="shared" si="23"/>
        <v/>
      </c>
      <c r="AA35" s="111" t="str">
        <f t="shared" si="3"/>
        <v/>
      </c>
      <c r="AB35" s="112" t="str">
        <f t="shared" si="27"/>
        <v/>
      </c>
      <c r="AC35" s="113" t="str">
        <f t="shared" si="28"/>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hidden="1" customHeight="1">
      <c r="A36" s="328">
        <v>5</v>
      </c>
      <c r="B36" s="374"/>
      <c r="C36" s="374"/>
      <c r="D36" s="374"/>
      <c r="E36" s="377"/>
      <c r="F36" s="374"/>
      <c r="G36" s="380"/>
      <c r="H36" s="383"/>
      <c r="I36" s="386" t="str">
        <f>IF(H36="","",IF(H36="Muy Baja",0.2,IF(H36="Baja",0.4,IF(H36="Media",0.6,IF(H36="Alta",0.8,IF(H36="Muy Alta",1,))))))</f>
        <v/>
      </c>
      <c r="J36" s="389"/>
      <c r="K36" s="386">
        <f>IF(NOT(ISERROR(MATCH(J36,'Tabla Impacto'!$B$221:$B$223,0))),'Tabla Impacto'!$F$223&amp;"Por favor no seleccionar los criterios de impacto(Afectación Económica o presupuestal y Pérdida Reputacional)",J36)</f>
        <v>0</v>
      </c>
      <c r="L36" s="383" t="str">
        <f>IF(OR(K36='Tabla Impacto'!$C$11,K36='Tabla Impacto'!$D$11),"Leve",IF(OR(K36='Tabla Impacto'!$C$12,K36='Tabla Impacto'!$D$12),"Menor",IF(OR(K36='Tabla Impacto'!$C$13,K36='Tabla Impacto'!$D$13),"Moderado",IF(OR(K36='Tabla Impacto'!$C$14,K36='Tabla Impacto'!$D$14),"Mayor",IF(OR(K36='Tabla Impacto'!$C$15,K36='Tabla Impacto'!$D$15),"Catastrófico","")))))</f>
        <v/>
      </c>
      <c r="M36" s="386" t="str">
        <f>IF(L36="","",IF(L36="Leve",0.2,IF(L36="Menor",0.4,IF(L36="Moderado",0.6,IF(L36="Mayor",0.8,IF(L36="Catastrófico",1,))))))</f>
        <v/>
      </c>
      <c r="N36" s="401"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106">
        <v>1</v>
      </c>
      <c r="P36" s="182"/>
      <c r="Q36" s="164"/>
      <c r="R36" s="172"/>
      <c r="S36" s="172"/>
      <c r="T36" s="173"/>
      <c r="U36" s="172"/>
      <c r="V36" s="172"/>
      <c r="W36" s="172"/>
      <c r="X36" s="161" t="str">
        <f>IFERROR(IF(Q36="Probabilidad",(I36-(+I36*T36)),IF(Q36="Impacto",I36,"")),"")</f>
        <v/>
      </c>
      <c r="Y36" s="174" t="str">
        <f>IFERROR(IF(X36="","",IF(X36&lt;=0.2,"Muy Baja",IF(X36&lt;=0.4,"Baja",IF(X36&lt;=0.6,"Media",IF(X36&lt;=0.8,"Alta","Muy Alta"))))),"")</f>
        <v/>
      </c>
      <c r="Z36" s="175" t="str">
        <f>+X36</f>
        <v/>
      </c>
      <c r="AA36" s="174" t="str">
        <f>IFERROR(IF(AB36="","",IF(AB36&lt;=0.2,"Leve",IF(AB36&lt;=0.4,"Menor",IF(AB36&lt;=0.6,"Moderado",IF(AB36&lt;=0.8,"Mayor","Catastrófico"))))),"")</f>
        <v/>
      </c>
      <c r="AB36" s="175" t="str">
        <f>IFERROR(IF(Q36="Impacto",(M36-(+M36*T36)),IF(Q36="Probabilidad",M36,"")),"")</f>
        <v/>
      </c>
      <c r="AC36" s="176"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
      </c>
      <c r="AD36" s="177"/>
      <c r="AE36" s="178"/>
      <c r="AF36" s="179"/>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hidden="1" customHeight="1">
      <c r="A37" s="329"/>
      <c r="B37" s="375"/>
      <c r="C37" s="375"/>
      <c r="D37" s="375"/>
      <c r="E37" s="378"/>
      <c r="F37" s="375"/>
      <c r="G37" s="381"/>
      <c r="H37" s="384"/>
      <c r="I37" s="387"/>
      <c r="J37" s="390"/>
      <c r="K37" s="387">
        <f>IF(NOT(ISERROR(MATCH(J37,_xlfn.ANCHORARRAY(E48),0))),I50&amp;"Por favor no seleccionar los criterios de impacto",J37)</f>
        <v>0</v>
      </c>
      <c r="L37" s="384"/>
      <c r="M37" s="387"/>
      <c r="N37" s="402"/>
      <c r="O37" s="106">
        <v>2</v>
      </c>
      <c r="P37" s="182"/>
      <c r="Q37" s="107" t="str">
        <f>IF(OR(R37="Preventivo",R37="Detectivo"),"Probabilidad",IF(R37="Correctivo","Impacto",""))</f>
        <v/>
      </c>
      <c r="R37" s="108"/>
      <c r="S37" s="108"/>
      <c r="T37" s="109" t="str">
        <f t="shared" ref="T37:T41" si="29">IF(AND(R37="Preventivo",S37="Automático"),"50%",IF(AND(R37="Preventivo",S37="Manual"),"40%",IF(AND(R37="Detectivo",S37="Automático"),"40%",IF(AND(R37="Detectivo",S37="Manual"),"30%",IF(AND(R37="Correctivo",S37="Automático"),"35%",IF(AND(R37="Correctivo",S37="Manual"),"25%",""))))))</f>
        <v/>
      </c>
      <c r="U37" s="108"/>
      <c r="V37" s="108"/>
      <c r="W37" s="108"/>
      <c r="X37" s="110" t="str">
        <f>IFERROR(IF(AND(Q36="Probabilidad",Q37="Probabilidad"),(Z36-(+Z36*T37)),IF(Q37="Probabilidad",(I36-(+I36*T37)),IF(Q37="Impacto",Z36,""))),"")</f>
        <v/>
      </c>
      <c r="Y37" s="111" t="str">
        <f t="shared" si="1"/>
        <v/>
      </c>
      <c r="Z37" s="112" t="str">
        <f t="shared" ref="Z37:Z41" si="30">+X37</f>
        <v/>
      </c>
      <c r="AA37" s="111" t="str">
        <f t="shared" si="3"/>
        <v/>
      </c>
      <c r="AB37" s="112" t="str">
        <f>IFERROR(IF(AND(Q36="Impacto",Q37="Impacto"),(AB36-(+AB36*T37)),IF(Q37="Impacto",(M36-(+M36*T37)),IF(Q37="Probabilidad",AB36,""))),"")</f>
        <v/>
      </c>
      <c r="AC37" s="113"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4"/>
      <c r="AE37" s="115"/>
      <c r="AF37" s="116"/>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hidden="1" customHeight="1">
      <c r="A38" s="329"/>
      <c r="B38" s="375"/>
      <c r="C38" s="375"/>
      <c r="D38" s="375"/>
      <c r="E38" s="378"/>
      <c r="F38" s="375"/>
      <c r="G38" s="381"/>
      <c r="H38" s="384"/>
      <c r="I38" s="387"/>
      <c r="J38" s="390"/>
      <c r="K38" s="387">
        <f>IF(NOT(ISERROR(MATCH(J38,_xlfn.ANCHORARRAY(E49),0))),I51&amp;"Por favor no seleccionar los criterios de impacto",J38)</f>
        <v>0</v>
      </c>
      <c r="L38" s="384"/>
      <c r="M38" s="387"/>
      <c r="N38" s="402"/>
      <c r="O38" s="106">
        <v>3</v>
      </c>
      <c r="P38" s="183"/>
      <c r="Q38" s="107" t="str">
        <f>IF(OR(R38="Preventivo",R38="Detectivo"),"Probabilidad",IF(R38="Correctivo","Impacto",""))</f>
        <v/>
      </c>
      <c r="R38" s="108"/>
      <c r="S38" s="108"/>
      <c r="T38" s="109" t="str">
        <f t="shared" si="29"/>
        <v/>
      </c>
      <c r="U38" s="108"/>
      <c r="V38" s="108"/>
      <c r="W38" s="108"/>
      <c r="X38" s="110" t="str">
        <f>IFERROR(IF(AND(Q37="Probabilidad",Q38="Probabilidad"),(Z37-(+Z37*T38)),IF(AND(Q37="Impacto",Q38="Probabilidad"),(Z36-(+Z36*T38)),IF(Q38="Impacto",Z37,""))),"")</f>
        <v/>
      </c>
      <c r="Y38" s="111" t="str">
        <f t="shared" si="1"/>
        <v/>
      </c>
      <c r="Z38" s="112" t="str">
        <f t="shared" si="30"/>
        <v/>
      </c>
      <c r="AA38" s="111" t="str">
        <f t="shared" si="3"/>
        <v/>
      </c>
      <c r="AB38" s="112" t="str">
        <f>IFERROR(IF(AND(Q37="Impacto",Q38="Impacto"),(AB37-(+AB37*T38)),IF(AND(Q37="Probabilidad",Q38="Impacto"),(AB36-(+AB36*T38)),IF(Q38="Probabilidad",AB37,""))),"")</f>
        <v/>
      </c>
      <c r="AC38" s="113" t="str">
        <f t="shared" si="31"/>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hidden="1" customHeight="1">
      <c r="A39" s="329"/>
      <c r="B39" s="375"/>
      <c r="C39" s="375"/>
      <c r="D39" s="375"/>
      <c r="E39" s="378"/>
      <c r="F39" s="375"/>
      <c r="G39" s="381"/>
      <c r="H39" s="384"/>
      <c r="I39" s="387"/>
      <c r="J39" s="390"/>
      <c r="K39" s="387">
        <f>IF(NOT(ISERROR(MATCH(J39,_xlfn.ANCHORARRAY(E50),0))),I52&amp;"Por favor no seleccionar los criterios de impacto",J39)</f>
        <v>0</v>
      </c>
      <c r="L39" s="384"/>
      <c r="M39" s="387"/>
      <c r="N39" s="402"/>
      <c r="O39" s="106">
        <v>4</v>
      </c>
      <c r="P39" s="182"/>
      <c r="Q39" s="107" t="str">
        <f t="shared" ref="Q39:Q41" si="32">IF(OR(R39="Preventivo",R39="Detectivo"),"Probabilidad",IF(R39="Correctivo","Impacto",""))</f>
        <v/>
      </c>
      <c r="R39" s="108"/>
      <c r="S39" s="108"/>
      <c r="T39" s="109" t="str">
        <f t="shared" si="29"/>
        <v/>
      </c>
      <c r="U39" s="108"/>
      <c r="V39" s="108"/>
      <c r="W39" s="108"/>
      <c r="X39" s="110" t="str">
        <f t="shared" ref="X39:X41" si="33">IFERROR(IF(AND(Q38="Probabilidad",Q39="Probabilidad"),(Z38-(+Z38*T39)),IF(AND(Q38="Impacto",Q39="Probabilidad"),(Z37-(+Z37*T39)),IF(Q39="Impacto",Z38,""))),"")</f>
        <v/>
      </c>
      <c r="Y39" s="111" t="str">
        <f t="shared" si="1"/>
        <v/>
      </c>
      <c r="Z39" s="112" t="str">
        <f t="shared" si="30"/>
        <v/>
      </c>
      <c r="AA39" s="111" t="str">
        <f t="shared" si="3"/>
        <v/>
      </c>
      <c r="AB39" s="112" t="str">
        <f t="shared" ref="AB39:AB41" si="34">IFERROR(IF(AND(Q38="Impacto",Q39="Impacto"),(AB38-(+AB38*T39)),IF(AND(Q38="Probabilidad",Q39="Impacto"),(AB37-(+AB37*T39)),IF(Q39="Probabilidad",AB38,""))),"")</f>
        <v/>
      </c>
      <c r="AC39" s="113"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hidden="1" customHeight="1">
      <c r="A40" s="329"/>
      <c r="B40" s="375"/>
      <c r="C40" s="375"/>
      <c r="D40" s="375"/>
      <c r="E40" s="378"/>
      <c r="F40" s="375"/>
      <c r="G40" s="381"/>
      <c r="H40" s="384"/>
      <c r="I40" s="387"/>
      <c r="J40" s="390"/>
      <c r="K40" s="387">
        <f>IF(NOT(ISERROR(MATCH(J40,_xlfn.ANCHORARRAY(E51),0))),I53&amp;"Por favor no seleccionar los criterios de impacto",J40)</f>
        <v>0</v>
      </c>
      <c r="L40" s="384"/>
      <c r="M40" s="387"/>
      <c r="N40" s="402"/>
      <c r="O40" s="106">
        <v>5</v>
      </c>
      <c r="P40" s="182"/>
      <c r="Q40" s="107" t="str">
        <f t="shared" si="32"/>
        <v/>
      </c>
      <c r="R40" s="108"/>
      <c r="S40" s="108"/>
      <c r="T40" s="109" t="str">
        <f t="shared" si="29"/>
        <v/>
      </c>
      <c r="U40" s="108"/>
      <c r="V40" s="108"/>
      <c r="W40" s="108"/>
      <c r="X40" s="110" t="str">
        <f t="shared" si="33"/>
        <v/>
      </c>
      <c r="Y40" s="111" t="str">
        <f t="shared" si="1"/>
        <v/>
      </c>
      <c r="Z40" s="112" t="str">
        <f t="shared" si="30"/>
        <v/>
      </c>
      <c r="AA40" s="111" t="str">
        <f t="shared" si="3"/>
        <v/>
      </c>
      <c r="AB40" s="112" t="str">
        <f t="shared" si="34"/>
        <v/>
      </c>
      <c r="AC40" s="113"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hidden="1" customHeight="1">
      <c r="A41" s="330"/>
      <c r="B41" s="376"/>
      <c r="C41" s="376"/>
      <c r="D41" s="376"/>
      <c r="E41" s="379"/>
      <c r="F41" s="376"/>
      <c r="G41" s="382"/>
      <c r="H41" s="385"/>
      <c r="I41" s="388"/>
      <c r="J41" s="391"/>
      <c r="K41" s="388">
        <f>IF(NOT(ISERROR(MATCH(J41,_xlfn.ANCHORARRAY(E52),0))),I54&amp;"Por favor no seleccionar los criterios de impacto",J41)</f>
        <v>0</v>
      </c>
      <c r="L41" s="385"/>
      <c r="M41" s="388"/>
      <c r="N41" s="403"/>
      <c r="O41" s="106">
        <v>6</v>
      </c>
      <c r="P41" s="182"/>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si="35"/>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c r="A42" s="328">
        <v>6</v>
      </c>
      <c r="B42" s="374"/>
      <c r="C42" s="374"/>
      <c r="D42" s="374"/>
      <c r="E42" s="377"/>
      <c r="F42" s="374"/>
      <c r="G42" s="380"/>
      <c r="H42" s="383" t="str">
        <f>IF(G42&lt;=0,"",IF(G42&lt;=2,"Muy Baja",IF(G42&lt;=24,"Baja",IF(G42&lt;=500,"Media",IF(G42&lt;=5000,"Alta","Muy Alta")))))</f>
        <v/>
      </c>
      <c r="I42" s="386" t="str">
        <f>IF(H42="","",IF(H42="Muy Baja",0.2,IF(H42="Baja",0.4,IF(H42="Media",0.6,IF(H42="Alta",0.8,IF(H42="Muy Alta",1,))))))</f>
        <v/>
      </c>
      <c r="J42" s="389"/>
      <c r="K42" s="386">
        <f>IF(NOT(ISERROR(MATCH(J42,'Tabla Impacto'!$B$221:$B$223,0))),'Tabla Impacto'!$F$223&amp;"Por favor no seleccionar los criterios de impacto(Afectación Económica o presupuestal y Pérdida Reputacional)",J42)</f>
        <v>0</v>
      </c>
      <c r="L42" s="383" t="str">
        <f>IF(OR(K42='Tabla Impacto'!$C$11,K42='Tabla Impacto'!$D$11),"Leve",IF(OR(K42='Tabla Impacto'!$C$12,K42='Tabla Impacto'!$D$12),"Menor",IF(OR(K42='Tabla Impacto'!$C$13,K42='Tabla Impacto'!$D$13),"Moderado",IF(OR(K42='Tabla Impacto'!$C$14,K42='Tabla Impacto'!$D$14),"Mayor",IF(OR(K42='Tabla Impacto'!$C$15,K42='Tabla Impacto'!$D$15),"Catastrófico","")))))</f>
        <v/>
      </c>
      <c r="M42" s="386" t="str">
        <f>IF(L42="","",IF(L42="Leve",0.2,IF(L42="Menor",0.4,IF(L42="Moderado",0.6,IF(L42="Mayor",0.8,IF(L42="Catastrófico",1,))))))</f>
        <v/>
      </c>
      <c r="N42" s="401"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6">
        <v>1</v>
      </c>
      <c r="P42" s="182"/>
      <c r="Q42" s="107"/>
      <c r="R42" s="108"/>
      <c r="S42" s="108"/>
      <c r="T42" s="109"/>
      <c r="U42" s="108"/>
      <c r="V42" s="108"/>
      <c r="W42" s="108"/>
      <c r="X42" s="110" t="str">
        <f>IFERROR(IF(Q42="Probabilidad",(I42-(+I42*T42)),IF(Q42="Impacto",I42,"")),"")</f>
        <v/>
      </c>
      <c r="Y42" s="111" t="str">
        <f>IFERROR(IF(X42="","",IF(X42&lt;=0.2,"Muy Baja",IF(X42&lt;=0.4,"Baja",IF(X42&lt;=0.6,"Media",IF(X42&lt;=0.8,"Alta","Muy Alta"))))),"")</f>
        <v/>
      </c>
      <c r="Z42" s="112" t="str">
        <f>+X42</f>
        <v/>
      </c>
      <c r="AA42" s="111" t="str">
        <f>IFERROR(IF(AB42="","",IF(AB42&lt;=0.2,"Leve",IF(AB42&lt;=0.4,"Menor",IF(AB42&lt;=0.6,"Moderado",IF(AB42&lt;=0.8,"Mayor","Catastrófico"))))),"")</f>
        <v/>
      </c>
      <c r="AB42" s="112" t="str">
        <f>IFERROR(IF(Q42="Impacto",(M42-(+M42*T42)),IF(Q42="Probabilidad",M42,"")),"")</f>
        <v/>
      </c>
      <c r="AC42" s="113"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4"/>
      <c r="AE42" s="178"/>
      <c r="AF42" s="115"/>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c r="A43" s="329"/>
      <c r="B43" s="375"/>
      <c r="C43" s="375"/>
      <c r="D43" s="375"/>
      <c r="E43" s="378"/>
      <c r="F43" s="375"/>
      <c r="G43" s="381"/>
      <c r="H43" s="384"/>
      <c r="I43" s="387"/>
      <c r="J43" s="390"/>
      <c r="K43" s="387">
        <f>IF(NOT(ISERROR(MATCH(J43,_xlfn.ANCHORARRAY(E54),0))),I56&amp;"Por favor no seleccionar los criterios de impacto",J43)</f>
        <v>0</v>
      </c>
      <c r="L43" s="384"/>
      <c r="M43" s="387"/>
      <c r="N43" s="402"/>
      <c r="O43" s="106">
        <v>2</v>
      </c>
      <c r="P43" s="182"/>
      <c r="Q43" s="107" t="str">
        <f>IF(OR(R43="Preventivo",R43="Detectivo"),"Probabilidad",IF(R43="Correctivo","Impacto",""))</f>
        <v/>
      </c>
      <c r="R43" s="108"/>
      <c r="S43" s="108"/>
      <c r="T43" s="109" t="str">
        <f t="shared" ref="T43:T47" si="36">IF(AND(R43="Preventivo",S43="Automático"),"50%",IF(AND(R43="Preventivo",S43="Manual"),"40%",IF(AND(R43="Detectivo",S43="Automático"),"40%",IF(AND(R43="Detectivo",S43="Manual"),"30%",IF(AND(R43="Correctivo",S43="Automático"),"35%",IF(AND(R43="Correctivo",S43="Manual"),"25%",""))))))</f>
        <v/>
      </c>
      <c r="U43" s="108"/>
      <c r="V43" s="108"/>
      <c r="W43" s="108"/>
      <c r="X43" s="110" t="str">
        <f>IFERROR(IF(AND(Q42="Probabilidad",Q43="Probabilidad"),(Z42-(+Z42*T43)),IF(Q43="Probabilidad",(I42-(+I42*T43)),IF(Q43="Impacto",Z42,""))),"")</f>
        <v/>
      </c>
      <c r="Y43" s="111" t="str">
        <f t="shared" si="1"/>
        <v/>
      </c>
      <c r="Z43" s="112" t="str">
        <f t="shared" ref="Z43:Z47" si="37">+X43</f>
        <v/>
      </c>
      <c r="AA43" s="111" t="str">
        <f t="shared" si="3"/>
        <v/>
      </c>
      <c r="AB43" s="112" t="str">
        <f>IFERROR(IF(AND(Q42="Impacto",Q43="Impacto"),(AB42-(+AB42*T43)),IF(Q43="Impacto",(M42-(+M42*T43)),IF(Q43="Probabilidad",AB42,""))),"")</f>
        <v/>
      </c>
      <c r="AC43" s="113"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15"/>
      <c r="AF43" s="116"/>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c r="A44" s="329"/>
      <c r="B44" s="375"/>
      <c r="C44" s="375"/>
      <c r="D44" s="375"/>
      <c r="E44" s="378"/>
      <c r="F44" s="375"/>
      <c r="G44" s="381"/>
      <c r="H44" s="384"/>
      <c r="I44" s="387"/>
      <c r="J44" s="390"/>
      <c r="K44" s="387">
        <f>IF(NOT(ISERROR(MATCH(J44,_xlfn.ANCHORARRAY(E55),0))),I57&amp;"Por favor no seleccionar los criterios de impacto",J44)</f>
        <v>0</v>
      </c>
      <c r="L44" s="384"/>
      <c r="M44" s="387"/>
      <c r="N44" s="402"/>
      <c r="O44" s="106">
        <v>3</v>
      </c>
      <c r="P44" s="183"/>
      <c r="Q44" s="107" t="str">
        <f>IF(OR(R44="Preventivo",R44="Detectivo"),"Probabilidad",IF(R44="Correctivo","Impacto",""))</f>
        <v/>
      </c>
      <c r="R44" s="108"/>
      <c r="S44" s="108"/>
      <c r="T44" s="109" t="str">
        <f t="shared" si="36"/>
        <v/>
      </c>
      <c r="U44" s="108"/>
      <c r="V44" s="108"/>
      <c r="W44" s="108"/>
      <c r="X44" s="110" t="str">
        <f>IFERROR(IF(AND(Q43="Probabilidad",Q44="Probabilidad"),(Z43-(+Z43*T44)),IF(AND(Q43="Impacto",Q44="Probabilidad"),(Z42-(+Z42*T44)),IF(Q44="Impacto",Z43,""))),"")</f>
        <v/>
      </c>
      <c r="Y44" s="111" t="str">
        <f t="shared" si="1"/>
        <v/>
      </c>
      <c r="Z44" s="112" t="str">
        <f t="shared" si="37"/>
        <v/>
      </c>
      <c r="AA44" s="111" t="str">
        <f t="shared" si="3"/>
        <v/>
      </c>
      <c r="AB44" s="112" t="str">
        <f>IFERROR(IF(AND(Q43="Impacto",Q44="Impacto"),(AB43-(+AB43*T44)),IF(AND(Q43="Probabilidad",Q44="Impacto"),(AB42-(+AB42*T44)),IF(Q44="Probabilidad",AB43,""))),"")</f>
        <v/>
      </c>
      <c r="AC44" s="113" t="str">
        <f t="shared" si="38"/>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c r="A45" s="329"/>
      <c r="B45" s="375"/>
      <c r="C45" s="375"/>
      <c r="D45" s="375"/>
      <c r="E45" s="378"/>
      <c r="F45" s="375"/>
      <c r="G45" s="381"/>
      <c r="H45" s="384"/>
      <c r="I45" s="387"/>
      <c r="J45" s="390"/>
      <c r="K45" s="387">
        <f>IF(NOT(ISERROR(MATCH(J45,_xlfn.ANCHORARRAY(E56),0))),I58&amp;"Por favor no seleccionar los criterios de impacto",J45)</f>
        <v>0</v>
      </c>
      <c r="L45" s="384"/>
      <c r="M45" s="387"/>
      <c r="N45" s="402"/>
      <c r="O45" s="106">
        <v>4</v>
      </c>
      <c r="P45" s="182"/>
      <c r="Q45" s="107" t="str">
        <f t="shared" ref="Q45:Q47" si="39">IF(OR(R45="Preventivo",R45="Detectivo"),"Probabilidad",IF(R45="Correctivo","Impacto",""))</f>
        <v/>
      </c>
      <c r="R45" s="108"/>
      <c r="S45" s="108"/>
      <c r="T45" s="109" t="str">
        <f t="shared" si="36"/>
        <v/>
      </c>
      <c r="U45" s="108"/>
      <c r="V45" s="108"/>
      <c r="W45" s="108"/>
      <c r="X45" s="110" t="str">
        <f t="shared" ref="X45:X47" si="40">IFERROR(IF(AND(Q44="Probabilidad",Q45="Probabilidad"),(Z44-(+Z44*T45)),IF(AND(Q44="Impacto",Q45="Probabilidad"),(Z43-(+Z43*T45)),IF(Q45="Impacto",Z44,""))),"")</f>
        <v/>
      </c>
      <c r="Y45" s="111" t="str">
        <f t="shared" si="1"/>
        <v/>
      </c>
      <c r="Z45" s="112" t="str">
        <f t="shared" si="37"/>
        <v/>
      </c>
      <c r="AA45" s="111" t="str">
        <f t="shared" si="3"/>
        <v/>
      </c>
      <c r="AB45" s="112" t="str">
        <f t="shared" ref="AB45:AB47" si="41">IFERROR(IF(AND(Q44="Impacto",Q45="Impacto"),(AB44-(+AB44*T45)),IF(AND(Q44="Probabilidad",Q45="Impacto"),(AB43-(+AB43*T45)),IF(Q45="Probabilidad",AB44,""))),"")</f>
        <v/>
      </c>
      <c r="AC45" s="11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c r="A46" s="329"/>
      <c r="B46" s="375"/>
      <c r="C46" s="375"/>
      <c r="D46" s="375"/>
      <c r="E46" s="378"/>
      <c r="F46" s="375"/>
      <c r="G46" s="381"/>
      <c r="H46" s="384"/>
      <c r="I46" s="387"/>
      <c r="J46" s="390"/>
      <c r="K46" s="387">
        <f>IF(NOT(ISERROR(MATCH(J46,_xlfn.ANCHORARRAY(E57),0))),I59&amp;"Por favor no seleccionar los criterios de impacto",J46)</f>
        <v>0</v>
      </c>
      <c r="L46" s="384"/>
      <c r="M46" s="387"/>
      <c r="N46" s="402"/>
      <c r="O46" s="106">
        <v>5</v>
      </c>
      <c r="P46" s="182"/>
      <c r="Q46" s="107" t="str">
        <f t="shared" si="39"/>
        <v/>
      </c>
      <c r="R46" s="108"/>
      <c r="S46" s="108"/>
      <c r="T46" s="109" t="str">
        <f t="shared" si="36"/>
        <v/>
      </c>
      <c r="U46" s="108"/>
      <c r="V46" s="108"/>
      <c r="W46" s="108"/>
      <c r="X46" s="110" t="str">
        <f t="shared" si="40"/>
        <v/>
      </c>
      <c r="Y46" s="111" t="str">
        <f t="shared" si="1"/>
        <v/>
      </c>
      <c r="Z46" s="112" t="str">
        <f t="shared" si="37"/>
        <v/>
      </c>
      <c r="AA46" s="111" t="str">
        <f t="shared" si="3"/>
        <v/>
      </c>
      <c r="AB46" s="112" t="str">
        <f t="shared" si="41"/>
        <v/>
      </c>
      <c r="AC46" s="113"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c r="A47" s="330"/>
      <c r="B47" s="376"/>
      <c r="C47" s="376"/>
      <c r="D47" s="376"/>
      <c r="E47" s="379"/>
      <c r="F47" s="376"/>
      <c r="G47" s="382"/>
      <c r="H47" s="385"/>
      <c r="I47" s="388"/>
      <c r="J47" s="391"/>
      <c r="K47" s="388">
        <f>IF(NOT(ISERROR(MATCH(J47,_xlfn.ANCHORARRAY(E58),0))),I60&amp;"Por favor no seleccionar los criterios de impacto",J47)</f>
        <v>0</v>
      </c>
      <c r="L47" s="385"/>
      <c r="M47" s="388"/>
      <c r="N47" s="403"/>
      <c r="O47" s="106">
        <v>6</v>
      </c>
      <c r="P47" s="182"/>
      <c r="Q47" s="107" t="str">
        <f t="shared" si="39"/>
        <v/>
      </c>
      <c r="R47" s="108"/>
      <c r="S47" s="108"/>
      <c r="T47" s="109" t="str">
        <f t="shared" si="36"/>
        <v/>
      </c>
      <c r="U47" s="108"/>
      <c r="V47" s="108"/>
      <c r="W47" s="108"/>
      <c r="X47" s="110" t="str">
        <f t="shared" si="40"/>
        <v/>
      </c>
      <c r="Y47" s="111" t="str">
        <f t="shared" si="1"/>
        <v/>
      </c>
      <c r="Z47" s="112" t="str">
        <f t="shared" si="37"/>
        <v/>
      </c>
      <c r="AA47" s="111" t="str">
        <f>IFERROR(IF(AB47="","",IF(AB47&lt;=0.2,"Leve",IF(AB47&lt;=0.4,"Menor",IF(AB47&lt;=0.6,"Moderado",IF(AB47&lt;=0.8,"Mayor","Catastrófico"))))),"")</f>
        <v/>
      </c>
      <c r="AB47" s="112" t="str">
        <f t="shared" si="41"/>
        <v/>
      </c>
      <c r="AC47" s="113"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c r="A48" s="328">
        <v>7</v>
      </c>
      <c r="B48" s="374"/>
      <c r="C48" s="374"/>
      <c r="D48" s="374"/>
      <c r="E48" s="377"/>
      <c r="F48" s="374"/>
      <c r="G48" s="380"/>
      <c r="H48" s="383" t="str">
        <f>IF(G48&lt;=0,"",IF(G48&lt;=2,"Muy Baja",IF(G48&lt;=24,"Baja",IF(G48&lt;=500,"Media",IF(G48&lt;=5000,"Alta","Muy Alta")))))</f>
        <v/>
      </c>
      <c r="I48" s="386" t="str">
        <f>IF(H48="","",IF(H48="Muy Baja",0.2,IF(H48="Baja",0.4,IF(H48="Media",0.6,IF(H48="Alta",0.8,IF(H48="Muy Alta",1,))))))</f>
        <v/>
      </c>
      <c r="J48" s="389"/>
      <c r="K48" s="386">
        <f>IF(NOT(ISERROR(MATCH(J48,'Tabla Impacto'!$B$221:$B$223,0))),'Tabla Impacto'!$F$223&amp;"Por favor no seleccionar los criterios de impacto(Afectación Económica o presupuestal y Pérdida Reputacional)",J48)</f>
        <v>0</v>
      </c>
      <c r="L48" s="383" t="str">
        <f>IF(OR(K48='Tabla Impacto'!$C$11,K48='Tabla Impacto'!$D$11),"Leve",IF(OR(K48='Tabla Impacto'!$C$12,K48='Tabla Impacto'!$D$12),"Menor",IF(OR(K48='Tabla Impacto'!$C$13,K48='Tabla Impacto'!$D$13),"Moderado",IF(OR(K48='Tabla Impacto'!$C$14,K48='Tabla Impacto'!$D$14),"Mayor",IF(OR(K48='Tabla Impacto'!$C$15,K48='Tabla Impacto'!$D$15),"Catastrófico","")))))</f>
        <v/>
      </c>
      <c r="M48" s="386" t="str">
        <f>IF(L48="","",IF(L48="Leve",0.2,IF(L48="Menor",0.4,IF(L48="Moderado",0.6,IF(L48="Mayor",0.8,IF(L48="Catastrófico",1,))))))</f>
        <v/>
      </c>
      <c r="N48" s="401"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6">
        <v>1</v>
      </c>
      <c r="P48" s="182"/>
      <c r="Q48" s="164" t="str">
        <f>IF(OR(R48="Preventivo",R48="Detectivo"),"Probabilidad",IF(R48="Correctivo","Impacto",""))</f>
        <v/>
      </c>
      <c r="R48" s="172"/>
      <c r="S48" s="172"/>
      <c r="T48" s="173" t="str">
        <f>IF(AND(R48="Preventivo",S48="Automático"),"50%",IF(AND(R48="Preventivo",S48="Manual"),"40%",IF(AND(R48="Detectivo",S48="Automático"),"40%",IF(AND(R48="Detectivo",S48="Manual"),"30%",IF(AND(R48="Correctivo",S48="Automático"),"35%",IF(AND(R48="Correctivo",S48="Manual"),"25%",""))))))</f>
        <v/>
      </c>
      <c r="U48" s="172"/>
      <c r="V48" s="172"/>
      <c r="W48" s="172"/>
      <c r="X48" s="161" t="str">
        <f>IFERROR(IF(Q48="Probabilidad",(I48-(+I48*T48)),IF(Q48="Impacto",I48,"")),"")</f>
        <v/>
      </c>
      <c r="Y48" s="174" t="str">
        <f>IFERROR(IF(X48="","",IF(X48&lt;=0.2,"Muy Baja",IF(X48&lt;=0.4,"Baja",IF(X48&lt;=0.6,"Media",IF(X48&lt;=0.8,"Alta","Muy Alta"))))),"")</f>
        <v/>
      </c>
      <c r="Z48" s="175" t="str">
        <f>+X48</f>
        <v/>
      </c>
      <c r="AA48" s="174" t="str">
        <f>IFERROR(IF(AB48="","",IF(AB48&lt;=0.2,"Leve",IF(AB48&lt;=0.4,"Menor",IF(AB48&lt;=0.6,"Moderado",IF(AB48&lt;=0.8,"Mayor","Catastrófico"))))),"")</f>
        <v/>
      </c>
      <c r="AB48" s="175" t="str">
        <f>IFERROR(IF(Q48="Impacto",(M48-(+M48*T48)),IF(Q48="Probabilidad",M48,"")),"")</f>
        <v/>
      </c>
      <c r="AC48" s="176"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7"/>
      <c r="AE48" s="115"/>
      <c r="AF48" s="115"/>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c r="A49" s="329"/>
      <c r="B49" s="375"/>
      <c r="C49" s="375"/>
      <c r="D49" s="375"/>
      <c r="E49" s="378"/>
      <c r="F49" s="375"/>
      <c r="G49" s="381"/>
      <c r="H49" s="384"/>
      <c r="I49" s="387"/>
      <c r="J49" s="390"/>
      <c r="K49" s="387">
        <f>IF(NOT(ISERROR(MATCH(J49,_xlfn.ANCHORARRAY(E60),0))),I62&amp;"Por favor no seleccionar los criterios de impacto",J49)</f>
        <v>0</v>
      </c>
      <c r="L49" s="384"/>
      <c r="M49" s="387"/>
      <c r="N49" s="402"/>
      <c r="O49" s="106">
        <v>2</v>
      </c>
      <c r="P49" s="182"/>
      <c r="Q49" s="164" t="str">
        <f>IF(OR(R49="Preventivo",R49="Detectivo"),"Probabilidad",IF(R49="Correctivo","Impacto",""))</f>
        <v/>
      </c>
      <c r="R49" s="172"/>
      <c r="S49" s="172"/>
      <c r="T49" s="173" t="str">
        <f t="shared" ref="T49:T53" si="43">IF(AND(R49="Preventivo",S49="Automático"),"50%",IF(AND(R49="Preventivo",S49="Manual"),"40%",IF(AND(R49="Detectivo",S49="Automático"),"40%",IF(AND(R49="Detectivo",S49="Manual"),"30%",IF(AND(R49="Correctivo",S49="Automático"),"35%",IF(AND(R49="Correctivo",S49="Manual"),"25%",""))))))</f>
        <v/>
      </c>
      <c r="U49" s="172"/>
      <c r="V49" s="172"/>
      <c r="W49" s="172"/>
      <c r="X49" s="161" t="str">
        <f>IFERROR(IF(AND(Q48="Probabilidad",Q49="Probabilidad"),(Z48-(+Z48*T49)),IF(Q49="Probabilidad",(I48-(+I48*T49)),IF(Q49="Impacto",Z48,""))),"")</f>
        <v/>
      </c>
      <c r="Y49" s="174" t="str">
        <f t="shared" si="1"/>
        <v/>
      </c>
      <c r="Z49" s="175" t="str">
        <f t="shared" ref="Z49:Z53" si="44">+X49</f>
        <v/>
      </c>
      <c r="AA49" s="174" t="str">
        <f t="shared" si="3"/>
        <v/>
      </c>
      <c r="AB49" s="175" t="str">
        <f>IFERROR(IF(AND(Q48="Impacto",Q49="Impacto"),(AB48-(+AB48*T49)),IF(Q49="Impacto",(M48-(+M48*T49)),IF(Q49="Probabilidad",AB48,""))),"")</f>
        <v/>
      </c>
      <c r="AC49" s="176"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7"/>
      <c r="AE49" s="115"/>
      <c r="AF49" s="116"/>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c r="A50" s="329"/>
      <c r="B50" s="375"/>
      <c r="C50" s="375"/>
      <c r="D50" s="375"/>
      <c r="E50" s="378"/>
      <c r="F50" s="375"/>
      <c r="G50" s="381"/>
      <c r="H50" s="384"/>
      <c r="I50" s="387"/>
      <c r="J50" s="390"/>
      <c r="K50" s="387">
        <f>IF(NOT(ISERROR(MATCH(J50,_xlfn.ANCHORARRAY(E61),0))),I63&amp;"Por favor no seleccionar los criterios de impacto",J50)</f>
        <v>0</v>
      </c>
      <c r="L50" s="384"/>
      <c r="M50" s="387"/>
      <c r="N50" s="402"/>
      <c r="O50" s="106">
        <v>3</v>
      </c>
      <c r="P50" s="183"/>
      <c r="Q50" s="107" t="str">
        <f>IF(OR(R50="Preventivo",R50="Detectivo"),"Probabilidad",IF(R50="Correctivo","Impacto",""))</f>
        <v/>
      </c>
      <c r="R50" s="108"/>
      <c r="S50" s="108"/>
      <c r="T50" s="109" t="str">
        <f t="shared" si="43"/>
        <v/>
      </c>
      <c r="U50" s="108"/>
      <c r="V50" s="108"/>
      <c r="W50" s="108"/>
      <c r="X50" s="110" t="str">
        <f>IFERROR(IF(AND(Q49="Probabilidad",Q50="Probabilidad"),(Z49-(+Z49*T50)),IF(AND(Q49="Impacto",Q50="Probabilidad"),(Z48-(+Z48*T50)),IF(Q50="Impacto",Z49,""))),"")</f>
        <v/>
      </c>
      <c r="Y50" s="111" t="str">
        <f t="shared" si="1"/>
        <v/>
      </c>
      <c r="Z50" s="112" t="str">
        <f t="shared" si="44"/>
        <v/>
      </c>
      <c r="AA50" s="111" t="str">
        <f t="shared" si="3"/>
        <v/>
      </c>
      <c r="AB50" s="112" t="str">
        <f>IFERROR(IF(AND(Q49="Impacto",Q50="Impacto"),(AB49-(+AB49*T50)),IF(AND(Q49="Probabilidad",Q50="Impacto"),(AB48-(+AB48*T50)),IF(Q50="Probabilidad",AB49,""))),"")</f>
        <v/>
      </c>
      <c r="AC50" s="113" t="str">
        <f t="shared" si="45"/>
        <v/>
      </c>
      <c r="AD50" s="114"/>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c r="A51" s="329"/>
      <c r="B51" s="375"/>
      <c r="C51" s="375"/>
      <c r="D51" s="375"/>
      <c r="E51" s="378"/>
      <c r="F51" s="375"/>
      <c r="G51" s="381"/>
      <c r="H51" s="384"/>
      <c r="I51" s="387"/>
      <c r="J51" s="390"/>
      <c r="K51" s="387">
        <f>IF(NOT(ISERROR(MATCH(J51,_xlfn.ANCHORARRAY(E62),0))),I64&amp;"Por favor no seleccionar los criterios de impacto",J51)</f>
        <v>0</v>
      </c>
      <c r="L51" s="384"/>
      <c r="M51" s="387"/>
      <c r="N51" s="402"/>
      <c r="O51" s="106">
        <v>4</v>
      </c>
      <c r="P51" s="182"/>
      <c r="Q51" s="107" t="str">
        <f t="shared" ref="Q51:Q53" si="46">IF(OR(R51="Preventivo",R51="Detectivo"),"Probabilidad",IF(R51="Correctivo","Impacto",""))</f>
        <v/>
      </c>
      <c r="R51" s="108"/>
      <c r="S51" s="108"/>
      <c r="T51" s="109" t="str">
        <f t="shared" si="43"/>
        <v/>
      </c>
      <c r="U51" s="108"/>
      <c r="V51" s="108"/>
      <c r="W51" s="108"/>
      <c r="X51" s="110" t="str">
        <f t="shared" ref="X51:X53" si="47">IFERROR(IF(AND(Q50="Probabilidad",Q51="Probabilidad"),(Z50-(+Z50*T51)),IF(AND(Q50="Impacto",Q51="Probabilidad"),(Z49-(+Z49*T51)),IF(Q51="Impacto",Z50,""))),"")</f>
        <v/>
      </c>
      <c r="Y51" s="111" t="str">
        <f t="shared" si="1"/>
        <v/>
      </c>
      <c r="Z51" s="112" t="str">
        <f t="shared" si="44"/>
        <v/>
      </c>
      <c r="AA51" s="111" t="str">
        <f t="shared" si="3"/>
        <v/>
      </c>
      <c r="AB51" s="112" t="str">
        <f t="shared" ref="AB51:AB53" si="48">IFERROR(IF(AND(Q50="Impacto",Q51="Impacto"),(AB50-(+AB50*T51)),IF(AND(Q50="Probabilidad",Q51="Impacto"),(AB49-(+AB49*T51)),IF(Q51="Probabilidad",AB50,""))),"")</f>
        <v/>
      </c>
      <c r="AC51" s="113"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c r="A52" s="329"/>
      <c r="B52" s="375"/>
      <c r="C52" s="375"/>
      <c r="D52" s="375"/>
      <c r="E52" s="378"/>
      <c r="F52" s="375"/>
      <c r="G52" s="381"/>
      <c r="H52" s="384"/>
      <c r="I52" s="387"/>
      <c r="J52" s="390"/>
      <c r="K52" s="387">
        <f>IF(NOT(ISERROR(MATCH(J52,_xlfn.ANCHORARRAY(E63),0))),I65&amp;"Por favor no seleccionar los criterios de impacto",J52)</f>
        <v>0</v>
      </c>
      <c r="L52" s="384"/>
      <c r="M52" s="387"/>
      <c r="N52" s="402"/>
      <c r="O52" s="106">
        <v>5</v>
      </c>
      <c r="P52" s="182"/>
      <c r="Q52" s="107" t="str">
        <f t="shared" si="46"/>
        <v/>
      </c>
      <c r="R52" s="108"/>
      <c r="S52" s="108"/>
      <c r="T52" s="109" t="str">
        <f t="shared" si="43"/>
        <v/>
      </c>
      <c r="U52" s="108"/>
      <c r="V52" s="108"/>
      <c r="W52" s="108"/>
      <c r="X52" s="110" t="str">
        <f t="shared" si="47"/>
        <v/>
      </c>
      <c r="Y52" s="111" t="str">
        <f t="shared" si="1"/>
        <v/>
      </c>
      <c r="Z52" s="112" t="str">
        <f t="shared" si="44"/>
        <v/>
      </c>
      <c r="AA52" s="111" t="str">
        <f t="shared" si="3"/>
        <v/>
      </c>
      <c r="AB52" s="112" t="str">
        <f t="shared" si="48"/>
        <v/>
      </c>
      <c r="AC52" s="113"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c r="A53" s="330"/>
      <c r="B53" s="376"/>
      <c r="C53" s="376"/>
      <c r="D53" s="376"/>
      <c r="E53" s="379"/>
      <c r="F53" s="376"/>
      <c r="G53" s="382"/>
      <c r="H53" s="385"/>
      <c r="I53" s="388"/>
      <c r="J53" s="391"/>
      <c r="K53" s="388">
        <f>IF(NOT(ISERROR(MATCH(J53,_xlfn.ANCHORARRAY(E64),0))),I66&amp;"Por favor no seleccionar los criterios de impacto",J53)</f>
        <v>0</v>
      </c>
      <c r="L53" s="385"/>
      <c r="M53" s="388"/>
      <c r="N53" s="403"/>
      <c r="O53" s="106">
        <v>6</v>
      </c>
      <c r="P53" s="182"/>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si="49"/>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c r="A54" s="328">
        <v>8</v>
      </c>
      <c r="B54" s="374"/>
      <c r="C54" s="374"/>
      <c r="D54" s="374"/>
      <c r="E54" s="377"/>
      <c r="F54" s="374"/>
      <c r="G54" s="380"/>
      <c r="H54" s="383" t="str">
        <f>IF(G54&lt;=0,"",IF(G54&lt;=2,"Muy Baja",IF(G54&lt;=24,"Baja",IF(G54&lt;=500,"Media",IF(G54&lt;=5000,"Alta","Muy Alta")))))</f>
        <v/>
      </c>
      <c r="I54" s="386" t="str">
        <f>IF(H54="","",IF(H54="Muy Baja",0.2,IF(H54="Baja",0.4,IF(H54="Media",0.6,IF(H54="Alta",0.8,IF(H54="Muy Alta",1,))))))</f>
        <v/>
      </c>
      <c r="J54" s="389"/>
      <c r="K54" s="386">
        <f>IF(NOT(ISERROR(MATCH(J54,'Tabla Impacto'!$B$221:$B$223,0))),'Tabla Impacto'!$F$223&amp;"Por favor no seleccionar los criterios de impacto(Afectación Económica o presupuestal y Pérdida Reputacional)",J54)</f>
        <v>0</v>
      </c>
      <c r="L54" s="383" t="str">
        <f>IF(OR(K54='Tabla Impacto'!$C$11,K54='Tabla Impacto'!$D$11),"Leve",IF(OR(K54='Tabla Impacto'!$C$12,K54='Tabla Impacto'!$D$12),"Menor",IF(OR(K54='Tabla Impacto'!$C$13,K54='Tabla Impacto'!$D$13),"Moderado",IF(OR(K54='Tabla Impacto'!$C$14,K54='Tabla Impacto'!$D$14),"Mayor",IF(OR(K54='Tabla Impacto'!$C$15,K54='Tabla Impacto'!$D$15),"Catastrófico","")))))</f>
        <v/>
      </c>
      <c r="M54" s="386" t="str">
        <f>IF(L54="","",IF(L54="Leve",0.2,IF(L54="Menor",0.4,IF(L54="Moderado",0.6,IF(L54="Mayor",0.8,IF(L54="Catastrófico",1,))))))</f>
        <v/>
      </c>
      <c r="N54" s="401"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6">
        <v>1</v>
      </c>
      <c r="P54" s="182"/>
      <c r="Q54" s="164"/>
      <c r="R54" s="172"/>
      <c r="S54" s="172"/>
      <c r="T54" s="173" t="str">
        <f>IF(AND(R54="Preventivo",S54="Automático"),"50%",IF(AND(R54="Preventivo",S54="Manual"),"40%",IF(AND(R54="Detectivo",S54="Automático"),"40%",IF(AND(R54="Detectivo",S54="Manual"),"30%",IF(AND(R54="Correctivo",S54="Automático"),"35%",IF(AND(R54="Correctivo",S54="Manual"),"25%",""))))))</f>
        <v/>
      </c>
      <c r="U54" s="172"/>
      <c r="V54" s="172"/>
      <c r="W54" s="172"/>
      <c r="X54" s="161" t="str">
        <f>IFERROR(IF(Q54="Probabilidad",(I54-(+I54*T54)),IF(Q54="Impacto",I54,"")),"")</f>
        <v/>
      </c>
      <c r="Y54" s="174" t="str">
        <f>IFERROR(IF(X54="","",IF(X54&lt;=0.2,"Muy Baja",IF(X54&lt;=0.4,"Baja",IF(X54&lt;=0.6,"Media",IF(X54&lt;=0.8,"Alta","Muy Alta"))))),"")</f>
        <v/>
      </c>
      <c r="Z54" s="175" t="str">
        <f>+X54</f>
        <v/>
      </c>
      <c r="AA54" s="174" t="str">
        <f>IFERROR(IF(AB54="","",IF(AB54&lt;=0.2,"Leve",IF(AB54&lt;=0.4,"Menor",IF(AB54&lt;=0.6,"Moderado",IF(AB54&lt;=0.8,"Mayor","Catastrófico"))))),"")</f>
        <v/>
      </c>
      <c r="AB54" s="175" t="str">
        <f>IFERROR(IF(Q54="Impacto",(M54-(+M54*T54)),IF(Q54="Probabilidad",M54,"")),"")</f>
        <v/>
      </c>
      <c r="AC54" s="176"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7"/>
      <c r="AE54" s="115"/>
      <c r="AF54" s="115"/>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c r="A55" s="329"/>
      <c r="B55" s="375"/>
      <c r="C55" s="375"/>
      <c r="D55" s="375"/>
      <c r="E55" s="378"/>
      <c r="F55" s="375"/>
      <c r="G55" s="381"/>
      <c r="H55" s="384"/>
      <c r="I55" s="387"/>
      <c r="J55" s="390"/>
      <c r="K55" s="387">
        <f>IF(NOT(ISERROR(MATCH(J55,_xlfn.ANCHORARRAY(E66),0))),I68&amp;"Por favor no seleccionar los criterios de impacto",J55)</f>
        <v>0</v>
      </c>
      <c r="L55" s="384"/>
      <c r="M55" s="387"/>
      <c r="N55" s="402"/>
      <c r="O55" s="106">
        <v>2</v>
      </c>
      <c r="P55" s="182"/>
      <c r="Q55" s="107" t="str">
        <f>IF(OR(R55="Preventivo",R55="Detectivo"),"Probabilidad",IF(R55="Correctivo","Impacto",""))</f>
        <v/>
      </c>
      <c r="R55" s="108"/>
      <c r="S55" s="108"/>
      <c r="T55" s="109" t="str">
        <f t="shared" ref="T55:T59" si="50">IF(AND(R55="Preventivo",S55="Automático"),"50%",IF(AND(R55="Preventivo",S55="Manual"),"40%",IF(AND(R55="Detectivo",S55="Automático"),"40%",IF(AND(R55="Detectivo",S55="Manual"),"30%",IF(AND(R55="Correctivo",S55="Automático"),"35%",IF(AND(R55="Correctivo",S55="Manual"),"25%",""))))))</f>
        <v/>
      </c>
      <c r="U55" s="108"/>
      <c r="V55" s="108"/>
      <c r="W55" s="108"/>
      <c r="X55" s="110" t="str">
        <f>IFERROR(IF(AND(Q54="Probabilidad",Q55="Probabilidad"),(Z54-(+Z54*T55)),IF(Q55="Probabilidad",(I54-(+I54*T55)),IF(Q55="Impacto",Z54,""))),"")</f>
        <v/>
      </c>
      <c r="Y55" s="111" t="str">
        <f t="shared" si="1"/>
        <v/>
      </c>
      <c r="Z55" s="112" t="str">
        <f t="shared" ref="Z55:Z59" si="51">+X55</f>
        <v/>
      </c>
      <c r="AA55" s="111" t="str">
        <f t="shared" si="3"/>
        <v/>
      </c>
      <c r="AB55" s="112" t="str">
        <f>IFERROR(IF(AND(Q54="Impacto",Q55="Impacto"),(AB54-(+AB54*T55)),IF(Q55="Impacto",(M54-(+M54*T55)),IF(Q55="Probabilidad",AB54,""))),"")</f>
        <v/>
      </c>
      <c r="AC55" s="113"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4"/>
      <c r="AE55" s="115"/>
      <c r="AF55" s="116"/>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c r="A56" s="329"/>
      <c r="B56" s="375"/>
      <c r="C56" s="375"/>
      <c r="D56" s="375"/>
      <c r="E56" s="378"/>
      <c r="F56" s="375"/>
      <c r="G56" s="381"/>
      <c r="H56" s="384"/>
      <c r="I56" s="387"/>
      <c r="J56" s="390"/>
      <c r="K56" s="387">
        <f>IF(NOT(ISERROR(MATCH(J56,_xlfn.ANCHORARRAY(E67),0))),I69&amp;"Por favor no seleccionar los criterios de impacto",J56)</f>
        <v>0</v>
      </c>
      <c r="L56" s="384"/>
      <c r="M56" s="387"/>
      <c r="N56" s="402"/>
      <c r="O56" s="106">
        <v>3</v>
      </c>
      <c r="P56" s="183"/>
      <c r="Q56" s="107" t="str">
        <f>IF(OR(R56="Preventivo",R56="Detectivo"),"Probabilidad",IF(R56="Correctivo","Impacto",""))</f>
        <v/>
      </c>
      <c r="R56" s="108"/>
      <c r="S56" s="108"/>
      <c r="T56" s="109" t="str">
        <f t="shared" si="50"/>
        <v/>
      </c>
      <c r="U56" s="108"/>
      <c r="V56" s="108"/>
      <c r="W56" s="108"/>
      <c r="X56" s="110" t="str">
        <f>IFERROR(IF(AND(Q55="Probabilidad",Q56="Probabilidad"),(Z55-(+Z55*T56)),IF(AND(Q55="Impacto",Q56="Probabilidad"),(Z54-(+Z54*T56)),IF(Q56="Impacto",Z55,""))),"")</f>
        <v/>
      </c>
      <c r="Y56" s="111" t="str">
        <f t="shared" si="1"/>
        <v/>
      </c>
      <c r="Z56" s="112" t="str">
        <f t="shared" si="51"/>
        <v/>
      </c>
      <c r="AA56" s="111" t="str">
        <f t="shared" si="3"/>
        <v/>
      </c>
      <c r="AB56" s="112" t="str">
        <f>IFERROR(IF(AND(Q55="Impacto",Q56="Impacto"),(AB55-(+AB55*T56)),IF(AND(Q55="Probabilidad",Q56="Impacto"),(AB54-(+AB54*T56)),IF(Q56="Probabilidad",AB55,""))),"")</f>
        <v/>
      </c>
      <c r="AC56" s="113" t="str">
        <f t="shared" si="52"/>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c r="A57" s="329"/>
      <c r="B57" s="375"/>
      <c r="C57" s="375"/>
      <c r="D57" s="375"/>
      <c r="E57" s="378"/>
      <c r="F57" s="375"/>
      <c r="G57" s="381"/>
      <c r="H57" s="384"/>
      <c r="I57" s="387"/>
      <c r="J57" s="390"/>
      <c r="K57" s="387">
        <f>IF(NOT(ISERROR(MATCH(J57,_xlfn.ANCHORARRAY(E68),0))),I70&amp;"Por favor no seleccionar los criterios de impacto",J57)</f>
        <v>0</v>
      </c>
      <c r="L57" s="384"/>
      <c r="M57" s="387"/>
      <c r="N57" s="402"/>
      <c r="O57" s="106">
        <v>4</v>
      </c>
      <c r="P57" s="182"/>
      <c r="Q57" s="107" t="str">
        <f t="shared" ref="Q57:Q59" si="53">IF(OR(R57="Preventivo",R57="Detectivo"),"Probabilidad",IF(R57="Correctivo","Impacto",""))</f>
        <v/>
      </c>
      <c r="R57" s="108"/>
      <c r="S57" s="108"/>
      <c r="T57" s="109" t="str">
        <f t="shared" si="50"/>
        <v/>
      </c>
      <c r="U57" s="108"/>
      <c r="V57" s="108"/>
      <c r="W57" s="108"/>
      <c r="X57" s="110" t="str">
        <f t="shared" ref="X57:X59" si="54">IFERROR(IF(AND(Q56="Probabilidad",Q57="Probabilidad"),(Z56-(+Z56*T57)),IF(AND(Q56="Impacto",Q57="Probabilidad"),(Z55-(+Z55*T57)),IF(Q57="Impacto",Z56,""))),"")</f>
        <v/>
      </c>
      <c r="Y57" s="111" t="str">
        <f t="shared" si="1"/>
        <v/>
      </c>
      <c r="Z57" s="112" t="str">
        <f t="shared" si="51"/>
        <v/>
      </c>
      <c r="AA57" s="111" t="str">
        <f t="shared" si="3"/>
        <v/>
      </c>
      <c r="AB57" s="112" t="str">
        <f t="shared" ref="AB57:AB59" si="55">IFERROR(IF(AND(Q56="Impacto",Q57="Impacto"),(AB56-(+AB56*T57)),IF(AND(Q56="Probabilidad",Q57="Impacto"),(AB55-(+AB55*T57)),IF(Q57="Probabilidad",AB56,""))),"")</f>
        <v/>
      </c>
      <c r="AC57" s="113"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c r="A58" s="329"/>
      <c r="B58" s="375"/>
      <c r="C58" s="375"/>
      <c r="D58" s="375"/>
      <c r="E58" s="378"/>
      <c r="F58" s="375"/>
      <c r="G58" s="381"/>
      <c r="H58" s="384"/>
      <c r="I58" s="387"/>
      <c r="J58" s="390"/>
      <c r="K58" s="387">
        <f>IF(NOT(ISERROR(MATCH(J58,_xlfn.ANCHORARRAY(E69),0))),I71&amp;"Por favor no seleccionar los criterios de impacto",J58)</f>
        <v>0</v>
      </c>
      <c r="L58" s="384"/>
      <c r="M58" s="387"/>
      <c r="N58" s="402"/>
      <c r="O58" s="106">
        <v>5</v>
      </c>
      <c r="P58" s="182"/>
      <c r="Q58" s="107" t="str">
        <f t="shared" si="53"/>
        <v/>
      </c>
      <c r="R58" s="108"/>
      <c r="S58" s="108"/>
      <c r="T58" s="109" t="str">
        <f t="shared" si="50"/>
        <v/>
      </c>
      <c r="U58" s="108"/>
      <c r="V58" s="108"/>
      <c r="W58" s="108"/>
      <c r="X58" s="110" t="str">
        <f t="shared" si="54"/>
        <v/>
      </c>
      <c r="Y58" s="111" t="str">
        <f t="shared" si="1"/>
        <v/>
      </c>
      <c r="Z58" s="112" t="str">
        <f t="shared" si="51"/>
        <v/>
      </c>
      <c r="AA58" s="111" t="str">
        <f t="shared" si="3"/>
        <v/>
      </c>
      <c r="AB58" s="112" t="str">
        <f t="shared" si="55"/>
        <v/>
      </c>
      <c r="AC58" s="113"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c r="A59" s="330"/>
      <c r="B59" s="376"/>
      <c r="C59" s="376"/>
      <c r="D59" s="376"/>
      <c r="E59" s="379"/>
      <c r="F59" s="376"/>
      <c r="G59" s="382"/>
      <c r="H59" s="385"/>
      <c r="I59" s="388"/>
      <c r="J59" s="391"/>
      <c r="K59" s="388">
        <f>IF(NOT(ISERROR(MATCH(J59,_xlfn.ANCHORARRAY(E70),0))),I72&amp;"Por favor no seleccionar los criterios de impacto",J59)</f>
        <v>0</v>
      </c>
      <c r="L59" s="385"/>
      <c r="M59" s="388"/>
      <c r="N59" s="403"/>
      <c r="O59" s="106">
        <v>6</v>
      </c>
      <c r="P59" s="182"/>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si="56"/>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c r="A60" s="328">
        <v>9</v>
      </c>
      <c r="B60" s="374"/>
      <c r="C60" s="374"/>
      <c r="D60" s="374"/>
      <c r="E60" s="377"/>
      <c r="F60" s="374"/>
      <c r="G60" s="380"/>
      <c r="H60" s="383" t="str">
        <f>IF(G60&lt;=0,"",IF(G60&lt;=2,"Muy Baja",IF(G60&lt;=24,"Baja",IF(G60&lt;=500,"Media",IF(G60&lt;=5000,"Alta","Muy Alta")))))</f>
        <v/>
      </c>
      <c r="I60" s="386" t="str">
        <f>IF(H60="","",IF(H60="Muy Baja",0.2,IF(H60="Baja",0.4,IF(H60="Media",0.6,IF(H60="Alta",0.8,IF(H60="Muy Alta",1,))))))</f>
        <v/>
      </c>
      <c r="J60" s="389"/>
      <c r="K60" s="386">
        <f>IF(NOT(ISERROR(MATCH(J60,'Tabla Impacto'!$B$221:$B$223,0))),'Tabla Impacto'!$F$223&amp;"Por favor no seleccionar los criterios de impacto(Afectación Económica o presupuestal y Pérdida Reputacional)",J60)</f>
        <v>0</v>
      </c>
      <c r="L60" s="383" t="str">
        <f>IF(OR(K60='Tabla Impacto'!$C$11,K60='Tabla Impacto'!$D$11),"Leve",IF(OR(K60='Tabla Impacto'!$C$12,K60='Tabla Impacto'!$D$12),"Menor",IF(OR(K60='Tabla Impacto'!$C$13,K60='Tabla Impacto'!$D$13),"Moderado",IF(OR(K60='Tabla Impacto'!$C$14,K60='Tabla Impacto'!$D$14),"Mayor",IF(OR(K60='Tabla Impacto'!$C$15,K60='Tabla Impacto'!$D$15),"Catastrófico","")))))</f>
        <v/>
      </c>
      <c r="M60" s="386" t="str">
        <f>IF(L60="","",IF(L60="Leve",0.2,IF(L60="Menor",0.4,IF(L60="Moderado",0.6,IF(L60="Mayor",0.8,IF(L60="Catastrófico",1,))))))</f>
        <v/>
      </c>
      <c r="N60" s="401"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6">
        <v>1</v>
      </c>
      <c r="P60" s="182"/>
      <c r="Q60" s="164"/>
      <c r="R60" s="172"/>
      <c r="S60" s="172"/>
      <c r="T60" s="173" t="str">
        <f>IF(AND(R60="Preventivo",S60="Automático"),"50%",IF(AND(R60="Preventivo",S60="Manual"),"40%",IF(AND(R60="Detectivo",S60="Automático"),"40%",IF(AND(R60="Detectivo",S60="Manual"),"30%",IF(AND(R60="Correctivo",S60="Automático"),"35%",IF(AND(R60="Correctivo",S60="Manual"),"25%",""))))))</f>
        <v/>
      </c>
      <c r="U60" s="172"/>
      <c r="V60" s="172"/>
      <c r="W60" s="172"/>
      <c r="X60" s="161" t="str">
        <f>IFERROR(IF(Q60="Probabilidad",(I60-(+I60*T60)),IF(Q60="Impacto",I60,"")),"")</f>
        <v/>
      </c>
      <c r="Y60" s="174" t="str">
        <f>IFERROR(IF(X60="","",IF(X60&lt;=0.2,"Muy Baja",IF(X60&lt;=0.4,"Baja",IF(X60&lt;=0.6,"Media",IF(X60&lt;=0.8,"Alta","Muy Alta"))))),"")</f>
        <v/>
      </c>
      <c r="Z60" s="175" t="str">
        <f>+X60</f>
        <v/>
      </c>
      <c r="AA60" s="174" t="str">
        <f>IFERROR(IF(AB60="","",IF(AB60&lt;=0.2,"Leve",IF(AB60&lt;=0.4,"Menor",IF(AB60&lt;=0.6,"Moderado",IF(AB60&lt;=0.8,"Mayor","Catastrófico"))))),"")</f>
        <v/>
      </c>
      <c r="AB60" s="175" t="str">
        <f>IFERROR(IF(Q60="Impacto",(M60-(+M60*T60)),IF(Q60="Probabilidad",M60,"")),"")</f>
        <v/>
      </c>
      <c r="AC60" s="176"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7"/>
      <c r="AE60" s="115"/>
      <c r="AF60" s="115"/>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c r="A61" s="329"/>
      <c r="B61" s="375"/>
      <c r="C61" s="375"/>
      <c r="D61" s="375"/>
      <c r="E61" s="378"/>
      <c r="F61" s="375"/>
      <c r="G61" s="381"/>
      <c r="H61" s="384"/>
      <c r="I61" s="387"/>
      <c r="J61" s="390"/>
      <c r="K61" s="387">
        <f>IF(NOT(ISERROR(MATCH(J61,_xlfn.ANCHORARRAY(E72),0))),I74&amp;"Por favor no seleccionar los criterios de impacto",J61)</f>
        <v>0</v>
      </c>
      <c r="L61" s="384"/>
      <c r="M61" s="387"/>
      <c r="N61" s="402"/>
      <c r="O61" s="106">
        <v>2</v>
      </c>
      <c r="P61" s="182"/>
      <c r="Q61" s="107" t="str">
        <f>IF(OR(R61="Preventivo",R61="Detectivo"),"Probabilidad",IF(R61="Correctivo","Impacto",""))</f>
        <v/>
      </c>
      <c r="R61" s="108"/>
      <c r="S61" s="108"/>
      <c r="T61" s="109" t="str">
        <f t="shared" ref="T61:T65" si="57">IF(AND(R61="Preventivo",S61="Automático"),"50%",IF(AND(R61="Preventivo",S61="Manual"),"40%",IF(AND(R61="Detectivo",S61="Automático"),"40%",IF(AND(R61="Detectivo",S61="Manual"),"30%",IF(AND(R61="Correctivo",S61="Automático"),"35%",IF(AND(R61="Correctivo",S61="Manual"),"25%",""))))))</f>
        <v/>
      </c>
      <c r="U61" s="108"/>
      <c r="V61" s="108"/>
      <c r="W61" s="108"/>
      <c r="X61" s="110" t="str">
        <f>IFERROR(IF(AND(Q60="Probabilidad",Q61="Probabilidad"),(Z60-(+Z60*T61)),IF(Q61="Probabilidad",(I60-(+I60*T61)),IF(Q61="Impacto",Z60,""))),"")</f>
        <v/>
      </c>
      <c r="Y61" s="111" t="str">
        <f t="shared" si="1"/>
        <v/>
      </c>
      <c r="Z61" s="112" t="str">
        <f t="shared" ref="Z61:Z65" si="58">+X61</f>
        <v/>
      </c>
      <c r="AA61" s="111" t="str">
        <f t="shared" si="3"/>
        <v/>
      </c>
      <c r="AB61" s="112" t="str">
        <f>IFERROR(IF(AND(Q60="Impacto",Q61="Impacto"),(AB60-(+AB60*T61)),IF(Q61="Impacto",(M60-(+M60*T61)),IF(Q61="Probabilidad",AB60,""))),"")</f>
        <v/>
      </c>
      <c r="AC61" s="113"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4"/>
      <c r="AE61" s="115"/>
      <c r="AF61" s="116"/>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c r="A62" s="329"/>
      <c r="B62" s="375"/>
      <c r="C62" s="375"/>
      <c r="D62" s="375"/>
      <c r="E62" s="378"/>
      <c r="F62" s="375"/>
      <c r="G62" s="381"/>
      <c r="H62" s="384"/>
      <c r="I62" s="387"/>
      <c r="J62" s="390"/>
      <c r="K62" s="387">
        <f>IF(NOT(ISERROR(MATCH(J62,_xlfn.ANCHORARRAY(E73),0))),I75&amp;"Por favor no seleccionar los criterios de impacto",J62)</f>
        <v>0</v>
      </c>
      <c r="L62" s="384"/>
      <c r="M62" s="387"/>
      <c r="N62" s="402"/>
      <c r="O62" s="106">
        <v>3</v>
      </c>
      <c r="P62" s="183"/>
      <c r="Q62" s="107" t="str">
        <f>IF(OR(R62="Preventivo",R62="Detectivo"),"Probabilidad",IF(R62="Correctivo","Impacto",""))</f>
        <v/>
      </c>
      <c r="R62" s="108"/>
      <c r="S62" s="108"/>
      <c r="T62" s="109" t="str">
        <f t="shared" si="57"/>
        <v/>
      </c>
      <c r="U62" s="108"/>
      <c r="V62" s="108"/>
      <c r="W62" s="108"/>
      <c r="X62" s="110" t="str">
        <f>IFERROR(IF(AND(Q61="Probabilidad",Q62="Probabilidad"),(Z61-(+Z61*T62)),IF(AND(Q61="Impacto",Q62="Probabilidad"),(Z60-(+Z60*T62)),IF(Q62="Impacto",Z61,""))),"")</f>
        <v/>
      </c>
      <c r="Y62" s="111" t="str">
        <f t="shared" si="1"/>
        <v/>
      </c>
      <c r="Z62" s="112" t="str">
        <f t="shared" si="58"/>
        <v/>
      </c>
      <c r="AA62" s="111" t="str">
        <f t="shared" si="3"/>
        <v/>
      </c>
      <c r="AB62" s="112" t="str">
        <f>IFERROR(IF(AND(Q61="Impacto",Q62="Impacto"),(AB61-(+AB61*T62)),IF(AND(Q61="Probabilidad",Q62="Impacto"),(AB60-(+AB60*T62)),IF(Q62="Probabilidad",AB61,""))),"")</f>
        <v/>
      </c>
      <c r="AC62" s="113" t="str">
        <f t="shared" si="59"/>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c r="A63" s="329"/>
      <c r="B63" s="375"/>
      <c r="C63" s="375"/>
      <c r="D63" s="375"/>
      <c r="E63" s="378"/>
      <c r="F63" s="375"/>
      <c r="G63" s="381"/>
      <c r="H63" s="384"/>
      <c r="I63" s="387"/>
      <c r="J63" s="390"/>
      <c r="K63" s="387">
        <f>IF(NOT(ISERROR(MATCH(J63,_xlfn.ANCHORARRAY(E74),0))),I76&amp;"Por favor no seleccionar los criterios de impacto",J63)</f>
        <v>0</v>
      </c>
      <c r="L63" s="384"/>
      <c r="M63" s="387"/>
      <c r="N63" s="402"/>
      <c r="O63" s="106">
        <v>4</v>
      </c>
      <c r="P63" s="182"/>
      <c r="Q63" s="107" t="str">
        <f t="shared" ref="Q63:Q65" si="60">IF(OR(R63="Preventivo",R63="Detectivo"),"Probabilidad",IF(R63="Correctivo","Impacto",""))</f>
        <v/>
      </c>
      <c r="R63" s="108"/>
      <c r="S63" s="108"/>
      <c r="T63" s="109" t="str">
        <f t="shared" si="57"/>
        <v/>
      </c>
      <c r="U63" s="108"/>
      <c r="V63" s="108"/>
      <c r="W63" s="108"/>
      <c r="X63" s="110" t="str">
        <f t="shared" ref="X63:X64" si="61">IFERROR(IF(AND(Q62="Probabilidad",Q63="Probabilidad"),(Z62-(+Z62*T63)),IF(AND(Q62="Impacto",Q63="Probabilidad"),(Z61-(+Z61*T63)),IF(Q63="Impacto",Z62,""))),"")</f>
        <v/>
      </c>
      <c r="Y63" s="111" t="str">
        <f t="shared" si="1"/>
        <v/>
      </c>
      <c r="Z63" s="112" t="str">
        <f t="shared" si="58"/>
        <v/>
      </c>
      <c r="AA63" s="111" t="str">
        <f t="shared" si="3"/>
        <v/>
      </c>
      <c r="AB63" s="112" t="str">
        <f t="shared" ref="AB63:AB64" si="62">IFERROR(IF(AND(Q62="Impacto",Q63="Impacto"),(AB62-(+AB62*T63)),IF(AND(Q62="Probabilidad",Q63="Impacto"),(AB61-(+AB61*T63)),IF(Q63="Probabilidad",AB62,""))),"")</f>
        <v/>
      </c>
      <c r="AC63" s="113"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c r="A64" s="329"/>
      <c r="B64" s="375"/>
      <c r="C64" s="375"/>
      <c r="D64" s="375"/>
      <c r="E64" s="378"/>
      <c r="F64" s="375"/>
      <c r="G64" s="381"/>
      <c r="H64" s="384"/>
      <c r="I64" s="387"/>
      <c r="J64" s="390"/>
      <c r="K64" s="387">
        <f>IF(NOT(ISERROR(MATCH(J64,_xlfn.ANCHORARRAY(E75),0))),I77&amp;"Por favor no seleccionar los criterios de impacto",J64)</f>
        <v>0</v>
      </c>
      <c r="L64" s="384"/>
      <c r="M64" s="387"/>
      <c r="N64" s="402"/>
      <c r="O64" s="106">
        <v>5</v>
      </c>
      <c r="P64" s="182"/>
      <c r="Q64" s="107" t="str">
        <f t="shared" si="60"/>
        <v/>
      </c>
      <c r="R64" s="108"/>
      <c r="S64" s="108"/>
      <c r="T64" s="109" t="str">
        <f t="shared" si="57"/>
        <v/>
      </c>
      <c r="U64" s="108"/>
      <c r="V64" s="108"/>
      <c r="W64" s="108"/>
      <c r="X64" s="110" t="str">
        <f t="shared" si="61"/>
        <v/>
      </c>
      <c r="Y64" s="111" t="str">
        <f t="shared" si="1"/>
        <v/>
      </c>
      <c r="Z64" s="112" t="str">
        <f t="shared" si="58"/>
        <v/>
      </c>
      <c r="AA64" s="111" t="str">
        <f t="shared" si="3"/>
        <v/>
      </c>
      <c r="AB64" s="112" t="str">
        <f t="shared" si="62"/>
        <v/>
      </c>
      <c r="AC64" s="113"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c r="A65" s="330"/>
      <c r="B65" s="376"/>
      <c r="C65" s="376"/>
      <c r="D65" s="376"/>
      <c r="E65" s="379"/>
      <c r="F65" s="376"/>
      <c r="G65" s="382"/>
      <c r="H65" s="385"/>
      <c r="I65" s="388"/>
      <c r="J65" s="391"/>
      <c r="K65" s="388">
        <f>IF(NOT(ISERROR(MATCH(J65,_xlfn.ANCHORARRAY(E76),0))),I78&amp;"Por favor no seleccionar los criterios de impacto",J65)</f>
        <v>0</v>
      </c>
      <c r="L65" s="385"/>
      <c r="M65" s="388"/>
      <c r="N65" s="403"/>
      <c r="O65" s="106">
        <v>6</v>
      </c>
      <c r="P65" s="182"/>
      <c r="Q65" s="107" t="str">
        <f t="shared" si="60"/>
        <v/>
      </c>
      <c r="R65" s="108"/>
      <c r="S65" s="108"/>
      <c r="T65" s="109" t="str">
        <f t="shared" si="57"/>
        <v/>
      </c>
      <c r="U65" s="108"/>
      <c r="V65" s="108"/>
      <c r="W65" s="108"/>
      <c r="X65" s="110" t="str">
        <f>IFERROR(IF(AND(Q64="Probabilidad",Q65="Probabilidad"),(Z64-(+Z64*T65)),IF(AND(Q64="Impacto",Q65="Probabilidad"),(Z63-(+Z63*T65)),IF(Q65="Impacto",Z64,""))),"")</f>
        <v/>
      </c>
      <c r="Y65" s="111" t="str">
        <f t="shared" si="1"/>
        <v/>
      </c>
      <c r="Z65" s="112" t="str">
        <f t="shared" si="58"/>
        <v/>
      </c>
      <c r="AA65" s="111" t="str">
        <f t="shared" si="3"/>
        <v/>
      </c>
      <c r="AB65" s="112" t="str">
        <f>IFERROR(IF(AND(Q64="Impacto",Q65="Impacto"),(AB64-(+AB64*T65)),IF(AND(Q64="Probabilidad",Q65="Impacto"),(AB63-(+AB63*T65)),IF(Q65="Probabilidad",AB64,""))),"")</f>
        <v/>
      </c>
      <c r="AC65" s="113" t="str">
        <f t="shared" si="63"/>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c r="A66" s="328">
        <v>10</v>
      </c>
      <c r="B66" s="374"/>
      <c r="C66" s="374"/>
      <c r="D66" s="374"/>
      <c r="E66" s="377"/>
      <c r="F66" s="374"/>
      <c r="G66" s="380"/>
      <c r="H66" s="383" t="str">
        <f>IF(G66&lt;=0,"",IF(G66&lt;=2,"Muy Baja",IF(G66&lt;=24,"Baja",IF(G66&lt;=500,"Media",IF(G66&lt;=5000,"Alta","Muy Alta")))))</f>
        <v/>
      </c>
      <c r="I66" s="386" t="str">
        <f>IF(H66="","",IF(H66="Muy Baja",0.2,IF(H66="Baja",0.4,IF(H66="Media",0.6,IF(H66="Alta",0.8,IF(H66="Muy Alta",1,))))))</f>
        <v/>
      </c>
      <c r="J66" s="389"/>
      <c r="K66" s="386">
        <f>IF(NOT(ISERROR(MATCH(J66,'Tabla Impacto'!$B$221:$B$223,0))),'Tabla Impacto'!$F$223&amp;"Por favor no seleccionar los criterios de impacto(Afectación Económica o presupuestal y Pérdida Reputacional)",J66)</f>
        <v>0</v>
      </c>
      <c r="L66" s="383" t="str">
        <f>IF(OR(K66='Tabla Impacto'!$C$11,K66='Tabla Impacto'!$D$11),"Leve",IF(OR(K66='Tabla Impacto'!$C$12,K66='Tabla Impacto'!$D$12),"Menor",IF(OR(K66='Tabla Impacto'!$C$13,K66='Tabla Impacto'!$D$13),"Moderado",IF(OR(K66='Tabla Impacto'!$C$14,K66='Tabla Impacto'!$D$14),"Mayor",IF(OR(K66='Tabla Impacto'!$C$15,K66='Tabla Impacto'!$D$15),"Catastrófico","")))))</f>
        <v/>
      </c>
      <c r="M66" s="386" t="str">
        <f>IF(L66="","",IF(L66="Leve",0.2,IF(L66="Menor",0.4,IF(L66="Moderado",0.6,IF(L66="Mayor",0.8,IF(L66="Catastrófico",1,))))))</f>
        <v/>
      </c>
      <c r="N66" s="401"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6">
        <v>1</v>
      </c>
      <c r="P66" s="182"/>
      <c r="Q66" s="164"/>
      <c r="R66" s="172"/>
      <c r="S66" s="172"/>
      <c r="T66" s="173" t="str">
        <f>IF(AND(R66="Preventivo",S66="Automático"),"50%",IF(AND(R66="Preventivo",S66="Manual"),"40%",IF(AND(R66="Detectivo",S66="Automático"),"40%",IF(AND(R66="Detectivo",S66="Manual"),"30%",IF(AND(R66="Correctivo",S66="Automático"),"35%",IF(AND(R66="Correctivo",S66="Manual"),"25%",""))))))</f>
        <v/>
      </c>
      <c r="U66" s="172"/>
      <c r="V66" s="172"/>
      <c r="W66" s="172"/>
      <c r="X66" s="161" t="str">
        <f>IFERROR(IF(Q66="Probabilidad",(I66-(+I66*T66)),IF(Q66="Impacto",I66,"")),"")</f>
        <v/>
      </c>
      <c r="Y66" s="174" t="str">
        <f>IFERROR(IF(X66="","",IF(X66&lt;=0.2,"Muy Baja",IF(X66&lt;=0.4,"Baja",IF(X66&lt;=0.6,"Media",IF(X66&lt;=0.8,"Alta","Muy Alta"))))),"")</f>
        <v/>
      </c>
      <c r="Z66" s="175" t="str">
        <f>+X66</f>
        <v/>
      </c>
      <c r="AA66" s="174" t="str">
        <f>IFERROR(IF(AB66="","",IF(AB66&lt;=0.2,"Leve",IF(AB66&lt;=0.4,"Menor",IF(AB66&lt;=0.6,"Moderado",IF(AB66&lt;=0.8,"Mayor","Catastrófico"))))),"")</f>
        <v/>
      </c>
      <c r="AB66" s="175" t="str">
        <f>IFERROR(IF(Q66="Impacto",(M66-(+M66*T66)),IF(Q66="Probabilidad",M66,"")),"")</f>
        <v/>
      </c>
      <c r="AC66" s="176"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7"/>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c r="A67" s="329"/>
      <c r="B67" s="375"/>
      <c r="C67" s="375"/>
      <c r="D67" s="375"/>
      <c r="E67" s="378"/>
      <c r="F67" s="375"/>
      <c r="G67" s="381"/>
      <c r="H67" s="384"/>
      <c r="I67" s="387"/>
      <c r="J67" s="390"/>
      <c r="K67" s="387">
        <f>IF(NOT(ISERROR(MATCH(J67,_xlfn.ANCHORARRAY(E78),0))),I80&amp;"Por favor no seleccionar los criterios de impacto",J67)</f>
        <v>0</v>
      </c>
      <c r="L67" s="384"/>
      <c r="M67" s="387"/>
      <c r="N67" s="402"/>
      <c r="O67" s="106">
        <v>2</v>
      </c>
      <c r="P67" s="182"/>
      <c r="Q67" s="107" t="str">
        <f>IF(OR(R67="Preventivo",R67="Detectivo"),"Probabilidad",IF(R67="Correctivo","Impacto",""))</f>
        <v/>
      </c>
      <c r="R67" s="108"/>
      <c r="S67" s="108"/>
      <c r="T67" s="109" t="str">
        <f t="shared" ref="T67:T71" si="64">IF(AND(R67="Preventivo",S67="Automático"),"50%",IF(AND(R67="Preventivo",S67="Manual"),"40%",IF(AND(R67="Detectivo",S67="Automático"),"40%",IF(AND(R67="Detectivo",S67="Manual"),"30%",IF(AND(R67="Correctivo",S67="Automático"),"35%",IF(AND(R67="Correctivo",S67="Manual"),"25%",""))))))</f>
        <v/>
      </c>
      <c r="U67" s="108"/>
      <c r="V67" s="108"/>
      <c r="W67" s="108"/>
      <c r="X67" s="110" t="str">
        <f>IFERROR(IF(AND(Q66="Probabilidad",Q67="Probabilidad"),(Z66-(+Z66*T67)),IF(Q67="Probabilidad",(I66-(+I66*T67)),IF(Q67="Impacto",Z66,""))),"")</f>
        <v/>
      </c>
      <c r="Y67" s="111" t="str">
        <f t="shared" si="1"/>
        <v/>
      </c>
      <c r="Z67" s="112" t="str">
        <f t="shared" ref="Z67:Z71" si="65">+X67</f>
        <v/>
      </c>
      <c r="AA67" s="111" t="str">
        <f t="shared" si="3"/>
        <v/>
      </c>
      <c r="AB67" s="112" t="str">
        <f>IFERROR(IF(AND(Q66="Impacto",Q67="Impacto"),(AB66-(+AB66*T67)),IF(Q67="Impacto",(M66-(+M66*T67)),IF(Q67="Probabilidad",AB66,""))),"")</f>
        <v/>
      </c>
      <c r="AC67" s="113"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4"/>
      <c r="AE67" s="115"/>
      <c r="AF67" s="116"/>
      <c r="AG67" s="117"/>
      <c r="AH67" s="117"/>
      <c r="AI67" s="117"/>
      <c r="AJ67" s="115"/>
      <c r="AK67" s="116"/>
    </row>
    <row r="68" spans="1:69" ht="18" hidden="1" customHeight="1">
      <c r="A68" s="329"/>
      <c r="B68" s="375"/>
      <c r="C68" s="375"/>
      <c r="D68" s="375"/>
      <c r="E68" s="378"/>
      <c r="F68" s="375"/>
      <c r="G68" s="381"/>
      <c r="H68" s="384"/>
      <c r="I68" s="387"/>
      <c r="J68" s="390"/>
      <c r="K68" s="387">
        <f>IF(NOT(ISERROR(MATCH(J68,_xlfn.ANCHORARRAY(E79),0))),I81&amp;"Por favor no seleccionar los criterios de impacto",J68)</f>
        <v>0</v>
      </c>
      <c r="L68" s="384"/>
      <c r="M68" s="387"/>
      <c r="N68" s="402"/>
      <c r="O68" s="106">
        <v>3</v>
      </c>
      <c r="P68" s="183"/>
      <c r="Q68" s="107" t="str">
        <f>IF(OR(R68="Preventivo",R68="Detectivo"),"Probabilidad",IF(R68="Correctivo","Impacto",""))</f>
        <v/>
      </c>
      <c r="R68" s="108"/>
      <c r="S68" s="108"/>
      <c r="T68" s="109" t="str">
        <f t="shared" si="64"/>
        <v/>
      </c>
      <c r="U68" s="108"/>
      <c r="V68" s="108"/>
      <c r="W68" s="108"/>
      <c r="X68" s="110" t="str">
        <f>IFERROR(IF(AND(Q67="Probabilidad",Q68="Probabilidad"),(Z67-(+Z67*T68)),IF(AND(Q67="Impacto",Q68="Probabilidad"),(Z66-(+Z66*T68)),IF(Q68="Impacto",Z67,""))),"")</f>
        <v/>
      </c>
      <c r="Y68" s="111" t="str">
        <f t="shared" si="1"/>
        <v/>
      </c>
      <c r="Z68" s="112" t="str">
        <f t="shared" si="65"/>
        <v/>
      </c>
      <c r="AA68" s="111" t="str">
        <f t="shared" si="3"/>
        <v/>
      </c>
      <c r="AB68" s="112" t="str">
        <f>IFERROR(IF(AND(Q67="Impacto",Q68="Impacto"),(AB67-(+AB67*T68)),IF(AND(Q67="Probabilidad",Q68="Impacto"),(AB66-(+AB66*T68)),IF(Q68="Probabilidad",AB67,""))),"")</f>
        <v/>
      </c>
      <c r="AC68" s="113" t="str">
        <f t="shared" si="66"/>
        <v/>
      </c>
      <c r="AD68" s="114"/>
      <c r="AE68" s="115"/>
      <c r="AF68" s="116"/>
      <c r="AG68" s="117"/>
      <c r="AH68" s="117"/>
      <c r="AI68" s="117"/>
      <c r="AJ68" s="115"/>
      <c r="AK68" s="116"/>
    </row>
    <row r="69" spans="1:69" ht="18" hidden="1" customHeight="1">
      <c r="A69" s="329"/>
      <c r="B69" s="375"/>
      <c r="C69" s="375"/>
      <c r="D69" s="375"/>
      <c r="E69" s="378"/>
      <c r="F69" s="375"/>
      <c r="G69" s="381"/>
      <c r="H69" s="384"/>
      <c r="I69" s="387"/>
      <c r="J69" s="390"/>
      <c r="K69" s="387">
        <f>IF(NOT(ISERROR(MATCH(J69,_xlfn.ANCHORARRAY(E80),0))),I82&amp;"Por favor no seleccionar los criterios de impacto",J69)</f>
        <v>0</v>
      </c>
      <c r="L69" s="384"/>
      <c r="M69" s="387"/>
      <c r="N69" s="402"/>
      <c r="O69" s="106">
        <v>4</v>
      </c>
      <c r="P69" s="182"/>
      <c r="Q69" s="107" t="str">
        <f t="shared" ref="Q69:Q71" si="67">IF(OR(R69="Preventivo",R69="Detectivo"),"Probabilidad",IF(R69="Correctivo","Impacto",""))</f>
        <v/>
      </c>
      <c r="R69" s="108"/>
      <c r="S69" s="108"/>
      <c r="T69" s="109" t="str">
        <f t="shared" si="64"/>
        <v/>
      </c>
      <c r="U69" s="108"/>
      <c r="V69" s="108"/>
      <c r="W69" s="108"/>
      <c r="X69" s="110" t="str">
        <f t="shared" ref="X69:X70" si="68">IFERROR(IF(AND(Q68="Probabilidad",Q69="Probabilidad"),(Z68-(+Z68*T69)),IF(AND(Q68="Impacto",Q69="Probabilidad"),(Z67-(+Z67*T69)),IF(Q69="Impacto",Z68,""))),"")</f>
        <v/>
      </c>
      <c r="Y69" s="111" t="str">
        <f t="shared" si="1"/>
        <v/>
      </c>
      <c r="Z69" s="112" t="str">
        <f t="shared" si="65"/>
        <v/>
      </c>
      <c r="AA69" s="111" t="str">
        <f t="shared" si="3"/>
        <v/>
      </c>
      <c r="AB69" s="112" t="str">
        <f t="shared" ref="AB69:AB70" si="69">IFERROR(IF(AND(Q68="Impacto",Q69="Impacto"),(AB68-(+AB68*T69)),IF(AND(Q68="Probabilidad",Q69="Impacto"),(AB67-(+AB67*T69)),IF(Q69="Probabilidad",AB68,""))),"")</f>
        <v/>
      </c>
      <c r="AC69" s="113"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4"/>
      <c r="AE69" s="115"/>
      <c r="AF69" s="116"/>
      <c r="AG69" s="117"/>
      <c r="AH69" s="117"/>
      <c r="AI69" s="117"/>
      <c r="AJ69" s="115"/>
      <c r="AK69" s="116"/>
    </row>
    <row r="70" spans="1:69" ht="18" hidden="1" customHeight="1">
      <c r="A70" s="329"/>
      <c r="B70" s="375"/>
      <c r="C70" s="375"/>
      <c r="D70" s="375"/>
      <c r="E70" s="378"/>
      <c r="F70" s="375"/>
      <c r="G70" s="381"/>
      <c r="H70" s="384"/>
      <c r="I70" s="387"/>
      <c r="J70" s="390"/>
      <c r="K70" s="387">
        <f>IF(NOT(ISERROR(MATCH(J70,_xlfn.ANCHORARRAY(E81),0))),I83&amp;"Por favor no seleccionar los criterios de impacto",J70)</f>
        <v>0</v>
      </c>
      <c r="L70" s="384"/>
      <c r="M70" s="387"/>
      <c r="N70" s="402"/>
      <c r="O70" s="106">
        <v>5</v>
      </c>
      <c r="P70" s="182"/>
      <c r="Q70" s="107" t="str">
        <f t="shared" si="67"/>
        <v/>
      </c>
      <c r="R70" s="108"/>
      <c r="S70" s="108"/>
      <c r="T70" s="109" t="str">
        <f t="shared" si="64"/>
        <v/>
      </c>
      <c r="U70" s="108"/>
      <c r="V70" s="108"/>
      <c r="W70" s="108"/>
      <c r="X70" s="110" t="str">
        <f t="shared" si="68"/>
        <v/>
      </c>
      <c r="Y70" s="111" t="str">
        <f t="shared" si="1"/>
        <v/>
      </c>
      <c r="Z70" s="112" t="str">
        <f t="shared" si="65"/>
        <v/>
      </c>
      <c r="AA70" s="111" t="str">
        <f t="shared" si="3"/>
        <v/>
      </c>
      <c r="AB70" s="112" t="str">
        <f t="shared" si="69"/>
        <v/>
      </c>
      <c r="AC70" s="113"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hidden="1" customHeight="1">
      <c r="A71" s="330"/>
      <c r="B71" s="376"/>
      <c r="C71" s="376"/>
      <c r="D71" s="376"/>
      <c r="E71" s="379"/>
      <c r="F71" s="376"/>
      <c r="G71" s="382"/>
      <c r="H71" s="385"/>
      <c r="I71" s="388"/>
      <c r="J71" s="391"/>
      <c r="K71" s="388">
        <f>IF(NOT(ISERROR(MATCH(J71,_xlfn.ANCHORARRAY(E82),0))),I84&amp;"Por favor no seleccionar los criterios de impacto",J71)</f>
        <v>0</v>
      </c>
      <c r="L71" s="385"/>
      <c r="M71" s="388"/>
      <c r="N71" s="403"/>
      <c r="O71" s="106">
        <v>6</v>
      </c>
      <c r="P71" s="182"/>
      <c r="Q71" s="107" t="str">
        <f t="shared" si="67"/>
        <v/>
      </c>
      <c r="R71" s="108"/>
      <c r="S71" s="108"/>
      <c r="T71" s="109" t="str">
        <f t="shared" si="64"/>
        <v/>
      </c>
      <c r="U71" s="108"/>
      <c r="V71" s="108"/>
      <c r="W71" s="108"/>
      <c r="X71" s="110" t="str">
        <f>IFERROR(IF(AND(Q70="Probabilidad",Q71="Probabilidad"),(Z70-(+Z70*T71)),IF(AND(Q70="Impacto",Q71="Probabilidad"),(Z69-(+Z69*T71)),IF(Q71="Impacto",Z70,""))),"")</f>
        <v/>
      </c>
      <c r="Y71" s="111" t="str">
        <f t="shared" si="1"/>
        <v/>
      </c>
      <c r="Z71" s="112" t="str">
        <f t="shared" si="65"/>
        <v/>
      </c>
      <c r="AA71" s="111" t="str">
        <f t="shared" si="3"/>
        <v/>
      </c>
      <c r="AB71" s="112" t="str">
        <f>IFERROR(IF(AND(Q70="Impacto",Q71="Impacto"),(AB70-(+AB70*T71)),IF(AND(Q70="Probabilidad",Q71="Impacto"),(AB69-(+AB69*T71)),IF(Q71="Probabilidad",AB70,""))),"")</f>
        <v/>
      </c>
      <c r="AC71" s="113" t="str">
        <f t="shared" si="70"/>
        <v/>
      </c>
      <c r="AD71" s="114"/>
      <c r="AE71" s="115"/>
      <c r="AF71" s="116"/>
      <c r="AG71" s="117"/>
      <c r="AH71" s="117"/>
      <c r="AI71" s="117"/>
      <c r="AJ71" s="115"/>
      <c r="AK71" s="116"/>
    </row>
    <row r="72" spans="1:69" ht="34.5" customHeight="1">
      <c r="A72" s="6"/>
      <c r="B72" s="404" t="s">
        <v>179</v>
      </c>
      <c r="C72" s="405"/>
      <c r="D72" s="405"/>
      <c r="E72" s="405"/>
      <c r="F72" s="405"/>
      <c r="G72" s="405"/>
      <c r="H72" s="405"/>
      <c r="I72" s="405"/>
      <c r="J72" s="405"/>
      <c r="K72" s="405"/>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5"/>
      <c r="AK72" s="406"/>
    </row>
    <row r="74" spans="1:69">
      <c r="A74" s="1"/>
      <c r="B74" s="24" t="s">
        <v>180</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434" t="s">
        <v>181</v>
      </c>
      <c r="C2" s="434"/>
      <c r="D2" s="434"/>
      <c r="E2" s="434"/>
      <c r="F2" s="434"/>
      <c r="G2" s="434"/>
      <c r="H2" s="434"/>
      <c r="I2" s="434"/>
      <c r="J2" s="471" t="s">
        <v>23</v>
      </c>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434"/>
      <c r="C3" s="434"/>
      <c r="D3" s="434"/>
      <c r="E3" s="434"/>
      <c r="F3" s="434"/>
      <c r="G3" s="434"/>
      <c r="H3" s="434"/>
      <c r="I3" s="434"/>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434"/>
      <c r="C4" s="434"/>
      <c r="D4" s="434"/>
      <c r="E4" s="434"/>
      <c r="F4" s="434"/>
      <c r="G4" s="434"/>
      <c r="H4" s="434"/>
      <c r="I4" s="434"/>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82" t="s">
        <v>182</v>
      </c>
      <c r="C6" s="482"/>
      <c r="D6" s="483"/>
      <c r="E6" s="472" t="s">
        <v>183</v>
      </c>
      <c r="F6" s="473"/>
      <c r="G6" s="473"/>
      <c r="H6" s="473"/>
      <c r="I6" s="474"/>
      <c r="J6" s="468" t="str">
        <f>IF(AND('Mapa de Riesgos'!$H$12="Muy Alta",'Mapa de Riesgos'!$L$12="Leve"),CONCATENATE("R",'Mapa de Riesgos'!$A$12),"")</f>
        <v/>
      </c>
      <c r="K6" s="469"/>
      <c r="L6" s="469" t="str">
        <f>IF(AND('Mapa de Riesgos'!$H$18="Muy Alta",'Mapa de Riesgos'!$L$18="Leve"),CONCATENATE("R",'Mapa de Riesgos'!$A$18),"")</f>
        <v/>
      </c>
      <c r="M6" s="469"/>
      <c r="N6" s="469" t="str">
        <f>IF(AND('Mapa de Riesgos'!$H$24="Muy Alta",'Mapa de Riesgos'!$L$24="Leve"),CONCATENATE("R",'Mapa de Riesgos'!$A$24),"")</f>
        <v/>
      </c>
      <c r="O6" s="470"/>
      <c r="P6" s="468" t="str">
        <f>IF(AND('Mapa de Riesgos'!$H$12="Muy Alta",'Mapa de Riesgos'!$L$12="Menor"),CONCATENATE("R",'Mapa de Riesgos'!$A$12),"")</f>
        <v/>
      </c>
      <c r="Q6" s="469"/>
      <c r="R6" s="469" t="str">
        <f>IF(AND('Mapa de Riesgos'!$H$18="Muy Alta",'Mapa de Riesgos'!$L$18="Menor"),CONCATENATE("R",'Mapa de Riesgos'!$A$18),"")</f>
        <v/>
      </c>
      <c r="S6" s="469"/>
      <c r="T6" s="469" t="str">
        <f>IF(AND('Mapa de Riesgos'!$H$24="Muy Alta",'Mapa de Riesgos'!$L$24="Menor"),CONCATENATE("R",'Mapa de Riesgos'!$A$24),"")</f>
        <v/>
      </c>
      <c r="U6" s="470"/>
      <c r="V6" s="468" t="str">
        <f>IF(AND('Mapa de Riesgos'!$H$12="Muy Alta",'Mapa de Riesgos'!$L$12="Moderado"),CONCATENATE("R",'Mapa de Riesgos'!$A$12),"")</f>
        <v/>
      </c>
      <c r="W6" s="469"/>
      <c r="X6" s="469" t="str">
        <f>IF(AND('Mapa de Riesgos'!$H$18="Muy Alta",'Mapa de Riesgos'!$L$18="Moderado"),CONCATENATE("R",'Mapa de Riesgos'!$A$18),"")</f>
        <v/>
      </c>
      <c r="Y6" s="469"/>
      <c r="Z6" s="469" t="str">
        <f>IF(AND('Mapa de Riesgos'!$H$24="Muy Alta",'Mapa de Riesgos'!$L$24="Moderado"),CONCATENATE("R",'Mapa de Riesgos'!$A$24),"")</f>
        <v/>
      </c>
      <c r="AA6" s="470"/>
      <c r="AB6" s="468" t="str">
        <f>IF(AND('Mapa de Riesgos'!$H$12="Muy Alta",'Mapa de Riesgos'!$L$12="Mayor"),CONCATENATE("R",'Mapa de Riesgos'!$A$12),"")</f>
        <v/>
      </c>
      <c r="AC6" s="469"/>
      <c r="AD6" s="469" t="str">
        <f>IF(AND('Mapa de Riesgos'!$H$18="Muy Alta",'Mapa de Riesgos'!$L$18="Mayor"),CONCATENATE("R",'Mapa de Riesgos'!$A$18),"")</f>
        <v>R2</v>
      </c>
      <c r="AE6" s="469"/>
      <c r="AF6" s="469" t="str">
        <f>IF(AND('Mapa de Riesgos'!$H$24="Muy Alta",'Mapa de Riesgos'!$L$24="Mayor"),CONCATENATE("R",'Mapa de Riesgos'!$A$24),"")</f>
        <v/>
      </c>
      <c r="AG6" s="470"/>
      <c r="AH6" s="459" t="str">
        <f>IF(AND('Mapa de Riesgos'!$H$12="Muy Alta",'Mapa de Riesgos'!$L$12="Catastrófico"),CONCATENATE("R",'Mapa de Riesgos'!$A$12),"")</f>
        <v/>
      </c>
      <c r="AI6" s="460"/>
      <c r="AJ6" s="460" t="str">
        <f>IF(AND('Mapa de Riesgos'!$H$18="Muy Alta",'Mapa de Riesgos'!$L$18="Catastrófico"),CONCATENATE("R",'Mapa de Riesgos'!$A$18),"")</f>
        <v/>
      </c>
      <c r="AK6" s="460"/>
      <c r="AL6" s="460" t="str">
        <f>IF(AND('Mapa de Riesgos'!$H$24="Muy Alta",'Mapa de Riesgos'!$L$24="Catastrófico"),CONCATENATE("R",'Mapa de Riesgos'!$A$24),"")</f>
        <v/>
      </c>
      <c r="AM6" s="461"/>
      <c r="AO6" s="484" t="s">
        <v>184</v>
      </c>
      <c r="AP6" s="485"/>
      <c r="AQ6" s="485"/>
      <c r="AR6" s="485"/>
      <c r="AS6" s="485"/>
      <c r="AT6" s="48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82"/>
      <c r="C7" s="482"/>
      <c r="D7" s="483"/>
      <c r="E7" s="475"/>
      <c r="F7" s="476"/>
      <c r="G7" s="476"/>
      <c r="H7" s="476"/>
      <c r="I7" s="477"/>
      <c r="J7" s="462"/>
      <c r="K7" s="463"/>
      <c r="L7" s="463"/>
      <c r="M7" s="463"/>
      <c r="N7" s="463"/>
      <c r="O7" s="464"/>
      <c r="P7" s="462"/>
      <c r="Q7" s="463"/>
      <c r="R7" s="463"/>
      <c r="S7" s="463"/>
      <c r="T7" s="463"/>
      <c r="U7" s="464"/>
      <c r="V7" s="462"/>
      <c r="W7" s="463"/>
      <c r="X7" s="463"/>
      <c r="Y7" s="463"/>
      <c r="Z7" s="463"/>
      <c r="AA7" s="464"/>
      <c r="AB7" s="462"/>
      <c r="AC7" s="463"/>
      <c r="AD7" s="463"/>
      <c r="AE7" s="463"/>
      <c r="AF7" s="463"/>
      <c r="AG7" s="464"/>
      <c r="AH7" s="453"/>
      <c r="AI7" s="454"/>
      <c r="AJ7" s="454"/>
      <c r="AK7" s="454"/>
      <c r="AL7" s="454"/>
      <c r="AM7" s="455"/>
      <c r="AN7" s="83"/>
      <c r="AO7" s="487"/>
      <c r="AP7" s="488"/>
      <c r="AQ7" s="488"/>
      <c r="AR7" s="488"/>
      <c r="AS7" s="488"/>
      <c r="AT7" s="48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82"/>
      <c r="C8" s="482"/>
      <c r="D8" s="483"/>
      <c r="E8" s="475"/>
      <c r="F8" s="476"/>
      <c r="G8" s="476"/>
      <c r="H8" s="476"/>
      <c r="I8" s="477"/>
      <c r="J8" s="462" t="str">
        <f>IF(AND('Mapa de Riesgos'!$H$30="Muy Alta",'Mapa de Riesgos'!$L$30="Leve"),CONCATENATE("R",'Mapa de Riesgos'!$A$30),"")</f>
        <v/>
      </c>
      <c r="K8" s="463"/>
      <c r="L8" s="463" t="str">
        <f>IF(AND('Mapa de Riesgos'!$H$36="Muy Alta",'Mapa de Riesgos'!$L$36="Leve"),CONCATENATE("R",'Mapa de Riesgos'!$A$36),"")</f>
        <v/>
      </c>
      <c r="M8" s="463"/>
      <c r="N8" s="463" t="str">
        <f>IF(AND('Mapa de Riesgos'!$H$42="Muy Alta",'Mapa de Riesgos'!$L$42="Leve"),CONCATENATE("R",'Mapa de Riesgos'!$A$42),"")</f>
        <v/>
      </c>
      <c r="O8" s="464"/>
      <c r="P8" s="462" t="str">
        <f>IF(AND('Mapa de Riesgos'!$H$30="Muy Alta",'Mapa de Riesgos'!$L$30="Menor"),CONCATENATE("R",'Mapa de Riesgos'!$A$30),"")</f>
        <v/>
      </c>
      <c r="Q8" s="463"/>
      <c r="R8" s="463" t="str">
        <f>IF(AND('Mapa de Riesgos'!$H$36="Muy Alta",'Mapa de Riesgos'!$L$36="Menor"),CONCATENATE("R",'Mapa de Riesgos'!$A$36),"")</f>
        <v/>
      </c>
      <c r="S8" s="463"/>
      <c r="T8" s="463" t="str">
        <f>IF(AND('Mapa de Riesgos'!$H$42="Muy Alta",'Mapa de Riesgos'!$L$42="Menor"),CONCATENATE("R",'Mapa de Riesgos'!$A$42),"")</f>
        <v/>
      </c>
      <c r="U8" s="464"/>
      <c r="V8" s="462" t="str">
        <f>IF(AND('Mapa de Riesgos'!$H$30="Muy Alta",'Mapa de Riesgos'!$L$30="Moderado"),CONCATENATE("R",'Mapa de Riesgos'!$A$30),"")</f>
        <v/>
      </c>
      <c r="W8" s="463"/>
      <c r="X8" s="463" t="str">
        <f>IF(AND('Mapa de Riesgos'!$H$36="Muy Alta",'Mapa de Riesgos'!$L$36="Moderado"),CONCATENATE("R",'Mapa de Riesgos'!$A$36),"")</f>
        <v/>
      </c>
      <c r="Y8" s="463"/>
      <c r="Z8" s="463" t="str">
        <f>IF(AND('Mapa de Riesgos'!$H$42="Muy Alta",'Mapa de Riesgos'!$L$42="Moderado"),CONCATENATE("R",'Mapa de Riesgos'!$A$42),"")</f>
        <v/>
      </c>
      <c r="AA8" s="464"/>
      <c r="AB8" s="462" t="str">
        <f>IF(AND('Mapa de Riesgos'!$H$30="Muy Alta",'Mapa de Riesgos'!$L$30="Mayor"),CONCATENATE("R",'Mapa de Riesgos'!$A$30),"")</f>
        <v/>
      </c>
      <c r="AC8" s="463"/>
      <c r="AD8" s="463" t="str">
        <f>IF(AND('Mapa de Riesgos'!$H$36="Muy Alta",'Mapa de Riesgos'!$L$36="Mayor"),CONCATENATE("R",'Mapa de Riesgos'!$A$36),"")</f>
        <v/>
      </c>
      <c r="AE8" s="463"/>
      <c r="AF8" s="463" t="str">
        <f>IF(AND('Mapa de Riesgos'!$H$42="Muy Alta",'Mapa de Riesgos'!$L$42="Mayor"),CONCATENATE("R",'Mapa de Riesgos'!$A$42),"")</f>
        <v/>
      </c>
      <c r="AG8" s="464"/>
      <c r="AH8" s="453" t="str">
        <f>IF(AND('Mapa de Riesgos'!$H$30="Muy Alta",'Mapa de Riesgos'!$L$30="Catastrófico"),CONCATENATE("R",'Mapa de Riesgos'!$A$30),"")</f>
        <v/>
      </c>
      <c r="AI8" s="454"/>
      <c r="AJ8" s="454" t="str">
        <f>IF(AND('Mapa de Riesgos'!$H$36="Muy Alta",'Mapa de Riesgos'!$L$36="Catastrófico"),CONCATENATE("R",'Mapa de Riesgos'!$A$36),"")</f>
        <v/>
      </c>
      <c r="AK8" s="454"/>
      <c r="AL8" s="454" t="str">
        <f>IF(AND('Mapa de Riesgos'!$H$42="Muy Alta",'Mapa de Riesgos'!$L$42="Catastrófico"),CONCATENATE("R",'Mapa de Riesgos'!$A$42),"")</f>
        <v/>
      </c>
      <c r="AM8" s="455"/>
      <c r="AN8" s="83"/>
      <c r="AO8" s="487"/>
      <c r="AP8" s="488"/>
      <c r="AQ8" s="488"/>
      <c r="AR8" s="488"/>
      <c r="AS8" s="488"/>
      <c r="AT8" s="48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82"/>
      <c r="C9" s="482"/>
      <c r="D9" s="483"/>
      <c r="E9" s="475"/>
      <c r="F9" s="476"/>
      <c r="G9" s="476"/>
      <c r="H9" s="476"/>
      <c r="I9" s="477"/>
      <c r="J9" s="462"/>
      <c r="K9" s="463"/>
      <c r="L9" s="463"/>
      <c r="M9" s="463"/>
      <c r="N9" s="463"/>
      <c r="O9" s="464"/>
      <c r="P9" s="462"/>
      <c r="Q9" s="463"/>
      <c r="R9" s="463"/>
      <c r="S9" s="463"/>
      <c r="T9" s="463"/>
      <c r="U9" s="464"/>
      <c r="V9" s="462"/>
      <c r="W9" s="463"/>
      <c r="X9" s="463"/>
      <c r="Y9" s="463"/>
      <c r="Z9" s="463"/>
      <c r="AA9" s="464"/>
      <c r="AB9" s="462"/>
      <c r="AC9" s="463"/>
      <c r="AD9" s="463"/>
      <c r="AE9" s="463"/>
      <c r="AF9" s="463"/>
      <c r="AG9" s="464"/>
      <c r="AH9" s="453"/>
      <c r="AI9" s="454"/>
      <c r="AJ9" s="454"/>
      <c r="AK9" s="454"/>
      <c r="AL9" s="454"/>
      <c r="AM9" s="455"/>
      <c r="AN9" s="83"/>
      <c r="AO9" s="487"/>
      <c r="AP9" s="488"/>
      <c r="AQ9" s="488"/>
      <c r="AR9" s="488"/>
      <c r="AS9" s="488"/>
      <c r="AT9" s="48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82"/>
      <c r="C10" s="482"/>
      <c r="D10" s="483"/>
      <c r="E10" s="475"/>
      <c r="F10" s="476"/>
      <c r="G10" s="476"/>
      <c r="H10" s="476"/>
      <c r="I10" s="477"/>
      <c r="J10" s="462" t="str">
        <f>IF(AND('Mapa de Riesgos'!$H$48="Muy Alta",'Mapa de Riesgos'!$L$48="Leve"),CONCATENATE("R",'Mapa de Riesgos'!$A$48),"")</f>
        <v/>
      </c>
      <c r="K10" s="463"/>
      <c r="L10" s="463" t="str">
        <f>IF(AND('Mapa de Riesgos'!$H$54="Muy Alta",'Mapa de Riesgos'!$L$54="Leve"),CONCATENATE("R",'Mapa de Riesgos'!$A$54),"")</f>
        <v/>
      </c>
      <c r="M10" s="463"/>
      <c r="N10" s="463" t="str">
        <f>IF(AND('Mapa de Riesgos'!$H$60="Muy Alta",'Mapa de Riesgos'!$L$60="Leve"),CONCATENATE("R",'Mapa de Riesgos'!$A$60),"")</f>
        <v/>
      </c>
      <c r="O10" s="464"/>
      <c r="P10" s="462" t="str">
        <f>IF(AND('Mapa de Riesgos'!$H$48="Muy Alta",'Mapa de Riesgos'!$L$48="Menor"),CONCATENATE("R",'Mapa de Riesgos'!$A$48),"")</f>
        <v/>
      </c>
      <c r="Q10" s="463"/>
      <c r="R10" s="463" t="str">
        <f>IF(AND('Mapa de Riesgos'!$H$54="Muy Alta",'Mapa de Riesgos'!$L$54="Menor"),CONCATENATE("R",'Mapa de Riesgos'!$A$54),"")</f>
        <v/>
      </c>
      <c r="S10" s="463"/>
      <c r="T10" s="463" t="str">
        <f>IF(AND('Mapa de Riesgos'!$H$60="Muy Alta",'Mapa de Riesgos'!$L$60="Menor"),CONCATENATE("R",'Mapa de Riesgos'!$A$60),"")</f>
        <v/>
      </c>
      <c r="U10" s="464"/>
      <c r="V10" s="462" t="str">
        <f>IF(AND('Mapa de Riesgos'!$H$48="Muy Alta",'Mapa de Riesgos'!$L$48="Moderado"),CONCATENATE("R",'Mapa de Riesgos'!$A$48),"")</f>
        <v/>
      </c>
      <c r="W10" s="463"/>
      <c r="X10" s="463" t="str">
        <f>IF(AND('Mapa de Riesgos'!$H$54="Muy Alta",'Mapa de Riesgos'!$L$54="Moderado"),CONCATENATE("R",'Mapa de Riesgos'!$A$54),"")</f>
        <v/>
      </c>
      <c r="Y10" s="463"/>
      <c r="Z10" s="463" t="str">
        <f>IF(AND('Mapa de Riesgos'!$H$60="Muy Alta",'Mapa de Riesgos'!$L$60="Moderado"),CONCATENATE("R",'Mapa de Riesgos'!$A$60),"")</f>
        <v/>
      </c>
      <c r="AA10" s="464"/>
      <c r="AB10" s="462" t="str">
        <f>IF(AND('Mapa de Riesgos'!$H$48="Muy Alta",'Mapa de Riesgos'!$L$48="Mayor"),CONCATENATE("R",'Mapa de Riesgos'!$A$48),"")</f>
        <v/>
      </c>
      <c r="AC10" s="463"/>
      <c r="AD10" s="463" t="str">
        <f>IF(AND('Mapa de Riesgos'!$H$54="Muy Alta",'Mapa de Riesgos'!$L$54="Mayor"),CONCATENATE("R",'Mapa de Riesgos'!$A$54),"")</f>
        <v/>
      </c>
      <c r="AE10" s="463"/>
      <c r="AF10" s="463" t="str">
        <f>IF(AND('Mapa de Riesgos'!$H$60="Muy Alta",'Mapa de Riesgos'!$L$60="Mayor"),CONCATENATE("R",'Mapa de Riesgos'!$A$60),"")</f>
        <v/>
      </c>
      <c r="AG10" s="464"/>
      <c r="AH10" s="453" t="str">
        <f>IF(AND('Mapa de Riesgos'!$H$48="Muy Alta",'Mapa de Riesgos'!$L$48="Catastrófico"),CONCATENATE("R",'Mapa de Riesgos'!$A$48),"")</f>
        <v/>
      </c>
      <c r="AI10" s="454"/>
      <c r="AJ10" s="454" t="str">
        <f>IF(AND('Mapa de Riesgos'!$H$54="Muy Alta",'Mapa de Riesgos'!$L$54="Catastrófico"),CONCATENATE("R",'Mapa de Riesgos'!$A$54),"")</f>
        <v/>
      </c>
      <c r="AK10" s="454"/>
      <c r="AL10" s="454" t="str">
        <f>IF(AND('Mapa de Riesgos'!$H$60="Muy Alta",'Mapa de Riesgos'!$L$60="Catastrófico"),CONCATENATE("R",'Mapa de Riesgos'!$A$60),"")</f>
        <v/>
      </c>
      <c r="AM10" s="455"/>
      <c r="AN10" s="83"/>
      <c r="AO10" s="487"/>
      <c r="AP10" s="488"/>
      <c r="AQ10" s="488"/>
      <c r="AR10" s="488"/>
      <c r="AS10" s="488"/>
      <c r="AT10" s="48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82"/>
      <c r="C11" s="482"/>
      <c r="D11" s="483"/>
      <c r="E11" s="475"/>
      <c r="F11" s="476"/>
      <c r="G11" s="476"/>
      <c r="H11" s="476"/>
      <c r="I11" s="477"/>
      <c r="J11" s="462"/>
      <c r="K11" s="463"/>
      <c r="L11" s="463"/>
      <c r="M11" s="463"/>
      <c r="N11" s="463"/>
      <c r="O11" s="464"/>
      <c r="P11" s="462"/>
      <c r="Q11" s="463"/>
      <c r="R11" s="463"/>
      <c r="S11" s="463"/>
      <c r="T11" s="463"/>
      <c r="U11" s="464"/>
      <c r="V11" s="462"/>
      <c r="W11" s="463"/>
      <c r="X11" s="463"/>
      <c r="Y11" s="463"/>
      <c r="Z11" s="463"/>
      <c r="AA11" s="464"/>
      <c r="AB11" s="462"/>
      <c r="AC11" s="463"/>
      <c r="AD11" s="463"/>
      <c r="AE11" s="463"/>
      <c r="AF11" s="463"/>
      <c r="AG11" s="464"/>
      <c r="AH11" s="453"/>
      <c r="AI11" s="454"/>
      <c r="AJ11" s="454"/>
      <c r="AK11" s="454"/>
      <c r="AL11" s="454"/>
      <c r="AM11" s="455"/>
      <c r="AN11" s="83"/>
      <c r="AO11" s="487"/>
      <c r="AP11" s="488"/>
      <c r="AQ11" s="488"/>
      <c r="AR11" s="488"/>
      <c r="AS11" s="488"/>
      <c r="AT11" s="48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82"/>
      <c r="C12" s="482"/>
      <c r="D12" s="483"/>
      <c r="E12" s="475"/>
      <c r="F12" s="476"/>
      <c r="G12" s="476"/>
      <c r="H12" s="476"/>
      <c r="I12" s="477"/>
      <c r="J12" s="462" t="str">
        <f>IF(AND('Mapa de Riesgos'!$H$66="Muy Alta",'Mapa de Riesgos'!$L$66="Leve"),CONCATENATE("R",'Mapa de Riesgos'!$A$66),"")</f>
        <v/>
      </c>
      <c r="K12" s="463"/>
      <c r="L12" s="463" t="str">
        <f>IF(AND('Mapa de Riesgos'!$H$72="Muy Alta",'Mapa de Riesgos'!$L$72="Leve"),CONCATENATE("R",'Mapa de Riesgos'!$A$72),"")</f>
        <v/>
      </c>
      <c r="M12" s="463"/>
      <c r="N12" s="463" t="str">
        <f>IF(AND('Mapa de Riesgos'!$H$78="Muy Alta",'Mapa de Riesgos'!$L$78="Leve"),CONCATENATE("R",'Mapa de Riesgos'!$A$78),"")</f>
        <v/>
      </c>
      <c r="O12" s="464"/>
      <c r="P12" s="462" t="str">
        <f>IF(AND('Mapa de Riesgos'!$H$66="Muy Alta",'Mapa de Riesgos'!$L$66="Menor"),CONCATENATE("R",'Mapa de Riesgos'!$A$66),"")</f>
        <v/>
      </c>
      <c r="Q12" s="463"/>
      <c r="R12" s="463" t="str">
        <f>IF(AND('Mapa de Riesgos'!$H$72="Muy Alta",'Mapa de Riesgos'!$L$72="Menor"),CONCATENATE("R",'Mapa de Riesgos'!$A$72),"")</f>
        <v/>
      </c>
      <c r="S12" s="463"/>
      <c r="T12" s="463" t="str">
        <f>IF(AND('Mapa de Riesgos'!$H$78="Muy Alta",'Mapa de Riesgos'!$L$78="Menor"),CONCATENATE("R",'Mapa de Riesgos'!$A$78),"")</f>
        <v/>
      </c>
      <c r="U12" s="464"/>
      <c r="V12" s="462" t="str">
        <f>IF(AND('Mapa de Riesgos'!$H$66="Muy Alta",'Mapa de Riesgos'!$L$66="Moderado"),CONCATENATE("R",'Mapa de Riesgos'!$A$66),"")</f>
        <v/>
      </c>
      <c r="W12" s="463"/>
      <c r="X12" s="463" t="str">
        <f>IF(AND('Mapa de Riesgos'!$H$72="Muy Alta",'Mapa de Riesgos'!$L$72="Moderado"),CONCATENATE("R",'Mapa de Riesgos'!$A$72),"")</f>
        <v/>
      </c>
      <c r="Y12" s="463"/>
      <c r="Z12" s="463" t="str">
        <f>IF(AND('Mapa de Riesgos'!$H$78="Muy Alta",'Mapa de Riesgos'!$L$78="Moderado"),CONCATENATE("R",'Mapa de Riesgos'!$A$78),"")</f>
        <v/>
      </c>
      <c r="AA12" s="464"/>
      <c r="AB12" s="462" t="str">
        <f>IF(AND('Mapa de Riesgos'!$H$66="Muy Alta",'Mapa de Riesgos'!$L$66="Mayor"),CONCATENATE("R",'Mapa de Riesgos'!$A$66),"")</f>
        <v/>
      </c>
      <c r="AC12" s="463"/>
      <c r="AD12" s="463" t="str">
        <f>IF(AND('Mapa de Riesgos'!$H$72="Muy Alta",'Mapa de Riesgos'!$L$72="Mayor"),CONCATENATE("R",'Mapa de Riesgos'!$A$72),"")</f>
        <v/>
      </c>
      <c r="AE12" s="463"/>
      <c r="AF12" s="463" t="str">
        <f>IF(AND('Mapa de Riesgos'!$H$78="Muy Alta",'Mapa de Riesgos'!$L$78="Mayor"),CONCATENATE("R",'Mapa de Riesgos'!$A$78),"")</f>
        <v/>
      </c>
      <c r="AG12" s="464"/>
      <c r="AH12" s="453" t="str">
        <f>IF(AND('Mapa de Riesgos'!$H$66="Muy Alta",'Mapa de Riesgos'!$L$66="Catastrófico"),CONCATENATE("R",'Mapa de Riesgos'!$A$66),"")</f>
        <v/>
      </c>
      <c r="AI12" s="454"/>
      <c r="AJ12" s="454" t="str">
        <f>IF(AND('Mapa de Riesgos'!$H$72="Muy Alta",'Mapa de Riesgos'!$L$72="Catastrófico"),CONCATENATE("R",'Mapa de Riesgos'!$A$72),"")</f>
        <v/>
      </c>
      <c r="AK12" s="454"/>
      <c r="AL12" s="454" t="str">
        <f>IF(AND('Mapa de Riesgos'!$H$78="Muy Alta",'Mapa de Riesgos'!$L$78="Catastrófico"),CONCATENATE("R",'Mapa de Riesgos'!$A$78),"")</f>
        <v/>
      </c>
      <c r="AM12" s="455"/>
      <c r="AN12" s="83"/>
      <c r="AO12" s="487"/>
      <c r="AP12" s="488"/>
      <c r="AQ12" s="488"/>
      <c r="AR12" s="488"/>
      <c r="AS12" s="488"/>
      <c r="AT12" s="48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82"/>
      <c r="C13" s="482"/>
      <c r="D13" s="483"/>
      <c r="E13" s="478"/>
      <c r="F13" s="479"/>
      <c r="G13" s="479"/>
      <c r="H13" s="479"/>
      <c r="I13" s="480"/>
      <c r="J13" s="462"/>
      <c r="K13" s="463"/>
      <c r="L13" s="463"/>
      <c r="M13" s="463"/>
      <c r="N13" s="463"/>
      <c r="O13" s="464"/>
      <c r="P13" s="462"/>
      <c r="Q13" s="463"/>
      <c r="R13" s="463"/>
      <c r="S13" s="463"/>
      <c r="T13" s="463"/>
      <c r="U13" s="464"/>
      <c r="V13" s="462"/>
      <c r="W13" s="463"/>
      <c r="X13" s="463"/>
      <c r="Y13" s="463"/>
      <c r="Z13" s="463"/>
      <c r="AA13" s="464"/>
      <c r="AB13" s="462"/>
      <c r="AC13" s="463"/>
      <c r="AD13" s="463"/>
      <c r="AE13" s="463"/>
      <c r="AF13" s="463"/>
      <c r="AG13" s="464"/>
      <c r="AH13" s="456"/>
      <c r="AI13" s="457"/>
      <c r="AJ13" s="457"/>
      <c r="AK13" s="457"/>
      <c r="AL13" s="457"/>
      <c r="AM13" s="458"/>
      <c r="AN13" s="83"/>
      <c r="AO13" s="490"/>
      <c r="AP13" s="491"/>
      <c r="AQ13" s="491"/>
      <c r="AR13" s="491"/>
      <c r="AS13" s="491"/>
      <c r="AT13" s="49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82"/>
      <c r="C14" s="482"/>
      <c r="D14" s="483"/>
      <c r="E14" s="472" t="s">
        <v>185</v>
      </c>
      <c r="F14" s="473"/>
      <c r="G14" s="473"/>
      <c r="H14" s="473"/>
      <c r="I14" s="473"/>
      <c r="J14" s="450" t="str">
        <f>IF(AND('Mapa de Riesgos'!$H$12="Alta",'Mapa de Riesgos'!$L$12="Leve"),CONCATENATE("R",'Mapa de Riesgos'!$A$12),"")</f>
        <v/>
      </c>
      <c r="K14" s="451"/>
      <c r="L14" s="451" t="str">
        <f>IF(AND('Mapa de Riesgos'!$H$18="Alta",'Mapa de Riesgos'!$L$18="Leve"),CONCATENATE("R",'Mapa de Riesgos'!$A$18),"")</f>
        <v/>
      </c>
      <c r="M14" s="451"/>
      <c r="N14" s="451" t="str">
        <f>IF(AND('Mapa de Riesgos'!$H$24="Alta",'Mapa de Riesgos'!$L$24="Leve"),CONCATENATE("R",'Mapa de Riesgos'!$A$24),"")</f>
        <v/>
      </c>
      <c r="O14" s="452"/>
      <c r="P14" s="450" t="str">
        <f>IF(AND('Mapa de Riesgos'!$H$12="Alta",'Mapa de Riesgos'!$L$12="Menor"),CONCATENATE("R",'Mapa de Riesgos'!$A$12),"")</f>
        <v/>
      </c>
      <c r="Q14" s="451"/>
      <c r="R14" s="451" t="str">
        <f>IF(AND('Mapa de Riesgos'!$H$18="Alta",'Mapa de Riesgos'!$L$18="Menor"),CONCATENATE("R",'Mapa de Riesgos'!$A$18),"")</f>
        <v/>
      </c>
      <c r="S14" s="451"/>
      <c r="T14" s="451" t="str">
        <f>IF(AND('Mapa de Riesgos'!$H$24="Alta",'Mapa de Riesgos'!$L$24="Menor"),CONCATENATE("R",'Mapa de Riesgos'!$A$24),"")</f>
        <v/>
      </c>
      <c r="U14" s="452"/>
      <c r="V14" s="468" t="str">
        <f>IF(AND('Mapa de Riesgos'!$H$12="Alta",'Mapa de Riesgos'!$L$12="Moderado"),CONCATENATE("R",'Mapa de Riesgos'!$A$12),"")</f>
        <v/>
      </c>
      <c r="W14" s="469"/>
      <c r="X14" s="469" t="str">
        <f>IF(AND('Mapa de Riesgos'!$H$18="Alta",'Mapa de Riesgos'!$L$18="Moderado"),CONCATENATE("R",'Mapa de Riesgos'!$A$18),"")</f>
        <v/>
      </c>
      <c r="Y14" s="469"/>
      <c r="Z14" s="469" t="str">
        <f>IF(AND('Mapa de Riesgos'!$H$24="Alta",'Mapa de Riesgos'!$L$24="Moderado"),CONCATENATE("R",'Mapa de Riesgos'!$A$24),"")</f>
        <v/>
      </c>
      <c r="AA14" s="470"/>
      <c r="AB14" s="468" t="str">
        <f>IF(AND('Mapa de Riesgos'!$H$12="Alta",'Mapa de Riesgos'!$L$12="Mayor"),CONCATENATE("R",'Mapa de Riesgos'!$A$12),"")</f>
        <v>R1</v>
      </c>
      <c r="AC14" s="469"/>
      <c r="AD14" s="469" t="str">
        <f>IF(AND('Mapa de Riesgos'!$H$18="Alta",'Mapa de Riesgos'!$L$18="Mayor"),CONCATENATE("R",'Mapa de Riesgos'!$A$18),"")</f>
        <v/>
      </c>
      <c r="AE14" s="469"/>
      <c r="AF14" s="469" t="str">
        <f>IF(AND('Mapa de Riesgos'!$H$24="Alta",'Mapa de Riesgos'!$L$24="Mayor"),CONCATENATE("R",'Mapa de Riesgos'!$A$24),"")</f>
        <v/>
      </c>
      <c r="AG14" s="470"/>
      <c r="AH14" s="459" t="str">
        <f>IF(AND('Mapa de Riesgos'!$H$12="Alta",'Mapa de Riesgos'!$L$12="Catastrófico"),CONCATENATE("R",'Mapa de Riesgos'!$A$12),"")</f>
        <v/>
      </c>
      <c r="AI14" s="460"/>
      <c r="AJ14" s="460" t="str">
        <f>IF(AND('Mapa de Riesgos'!$H$18="Alta",'Mapa de Riesgos'!$L$18="Catastrófico"),CONCATENATE("R",'Mapa de Riesgos'!$A$18),"")</f>
        <v/>
      </c>
      <c r="AK14" s="460"/>
      <c r="AL14" s="460" t="str">
        <f>IF(AND('Mapa de Riesgos'!$H$24="Alta",'Mapa de Riesgos'!$L$24="Catastrófico"),CONCATENATE("R",'Mapa de Riesgos'!$A$24),"")</f>
        <v/>
      </c>
      <c r="AM14" s="461"/>
      <c r="AN14" s="83"/>
      <c r="AO14" s="493" t="s">
        <v>186</v>
      </c>
      <c r="AP14" s="494"/>
      <c r="AQ14" s="494"/>
      <c r="AR14" s="494"/>
      <c r="AS14" s="494"/>
      <c r="AT14" s="49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82"/>
      <c r="C15" s="482"/>
      <c r="D15" s="483"/>
      <c r="E15" s="475"/>
      <c r="F15" s="476"/>
      <c r="G15" s="476"/>
      <c r="H15" s="476"/>
      <c r="I15" s="476"/>
      <c r="J15" s="444"/>
      <c r="K15" s="445"/>
      <c r="L15" s="445"/>
      <c r="M15" s="445"/>
      <c r="N15" s="445"/>
      <c r="O15" s="446"/>
      <c r="P15" s="444"/>
      <c r="Q15" s="445"/>
      <c r="R15" s="445"/>
      <c r="S15" s="445"/>
      <c r="T15" s="445"/>
      <c r="U15" s="446"/>
      <c r="V15" s="462"/>
      <c r="W15" s="463"/>
      <c r="X15" s="463"/>
      <c r="Y15" s="463"/>
      <c r="Z15" s="463"/>
      <c r="AA15" s="464"/>
      <c r="AB15" s="462"/>
      <c r="AC15" s="463"/>
      <c r="AD15" s="463"/>
      <c r="AE15" s="463"/>
      <c r="AF15" s="463"/>
      <c r="AG15" s="464"/>
      <c r="AH15" s="453"/>
      <c r="AI15" s="454"/>
      <c r="AJ15" s="454"/>
      <c r="AK15" s="454"/>
      <c r="AL15" s="454"/>
      <c r="AM15" s="455"/>
      <c r="AN15" s="83"/>
      <c r="AO15" s="496"/>
      <c r="AP15" s="497"/>
      <c r="AQ15" s="497"/>
      <c r="AR15" s="497"/>
      <c r="AS15" s="497"/>
      <c r="AT15" s="49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82"/>
      <c r="C16" s="482"/>
      <c r="D16" s="483"/>
      <c r="E16" s="475"/>
      <c r="F16" s="476"/>
      <c r="G16" s="476"/>
      <c r="H16" s="476"/>
      <c r="I16" s="476"/>
      <c r="J16" s="444" t="str">
        <f>IF(AND('Mapa de Riesgos'!$H$30="Alta",'Mapa de Riesgos'!$L$30="Leve"),CONCATENATE("R",'Mapa de Riesgos'!$A$30),"")</f>
        <v/>
      </c>
      <c r="K16" s="445"/>
      <c r="L16" s="445" t="str">
        <f>IF(AND('Mapa de Riesgos'!$H$36="Alta",'Mapa de Riesgos'!$L$36="Leve"),CONCATENATE("R",'Mapa de Riesgos'!$A$36),"")</f>
        <v/>
      </c>
      <c r="M16" s="445"/>
      <c r="N16" s="445" t="str">
        <f>IF(AND('Mapa de Riesgos'!$H$42="Alta",'Mapa de Riesgos'!$L$42="Leve"),CONCATENATE("R",'Mapa de Riesgos'!$A$42),"")</f>
        <v/>
      </c>
      <c r="O16" s="446"/>
      <c r="P16" s="444" t="str">
        <f>IF(AND('Mapa de Riesgos'!$H$30="Alta",'Mapa de Riesgos'!$L$30="Menor"),CONCATENATE("R",'Mapa de Riesgos'!$A$30),"")</f>
        <v/>
      </c>
      <c r="Q16" s="445"/>
      <c r="R16" s="445" t="str">
        <f>IF(AND('Mapa de Riesgos'!$H$36="Alta",'Mapa de Riesgos'!$L$36="Menor"),CONCATENATE("R",'Mapa de Riesgos'!$A$36),"")</f>
        <v/>
      </c>
      <c r="S16" s="445"/>
      <c r="T16" s="445" t="str">
        <f>IF(AND('Mapa de Riesgos'!$H$42="Alta",'Mapa de Riesgos'!$L$42="Menor"),CONCATENATE("R",'Mapa de Riesgos'!$A$42),"")</f>
        <v/>
      </c>
      <c r="U16" s="446"/>
      <c r="V16" s="462" t="str">
        <f>IF(AND('Mapa de Riesgos'!$H$30="Alta",'Mapa de Riesgos'!$L$30="Moderado"),CONCATENATE("R",'Mapa de Riesgos'!$A$30),"")</f>
        <v/>
      </c>
      <c r="W16" s="463"/>
      <c r="X16" s="463" t="str">
        <f>IF(AND('Mapa de Riesgos'!$H$36="Alta",'Mapa de Riesgos'!$L$36="Moderado"),CONCATENATE("R",'Mapa de Riesgos'!$A$36),"")</f>
        <v/>
      </c>
      <c r="Y16" s="463"/>
      <c r="Z16" s="463" t="str">
        <f>IF(AND('Mapa de Riesgos'!$H$42="Alta",'Mapa de Riesgos'!$L$42="Moderado"),CONCATENATE("R",'Mapa de Riesgos'!$A$42),"")</f>
        <v/>
      </c>
      <c r="AA16" s="464"/>
      <c r="AB16" s="462" t="str">
        <f>IF(AND('Mapa de Riesgos'!$H$30="Alta",'Mapa de Riesgos'!$L$30="Mayor"),CONCATENATE("R",'Mapa de Riesgos'!$A$30),"")</f>
        <v/>
      </c>
      <c r="AC16" s="463"/>
      <c r="AD16" s="463" t="str">
        <f>IF(AND('Mapa de Riesgos'!$H$36="Alta",'Mapa de Riesgos'!$L$36="Mayor"),CONCATENATE("R",'Mapa de Riesgos'!$A$36),"")</f>
        <v/>
      </c>
      <c r="AE16" s="463"/>
      <c r="AF16" s="463" t="str">
        <f>IF(AND('Mapa de Riesgos'!$H$42="Alta",'Mapa de Riesgos'!$L$42="Mayor"),CONCATENATE("R",'Mapa de Riesgos'!$A$42),"")</f>
        <v/>
      </c>
      <c r="AG16" s="464"/>
      <c r="AH16" s="453" t="str">
        <f>IF(AND('Mapa de Riesgos'!$H$30="Alta",'Mapa de Riesgos'!$L$30="Catastrófico"),CONCATENATE("R",'Mapa de Riesgos'!$A$30),"")</f>
        <v/>
      </c>
      <c r="AI16" s="454"/>
      <c r="AJ16" s="454" t="str">
        <f>IF(AND('Mapa de Riesgos'!$H$36="Alta",'Mapa de Riesgos'!$L$36="Catastrófico"),CONCATENATE("R",'Mapa de Riesgos'!$A$36),"")</f>
        <v/>
      </c>
      <c r="AK16" s="454"/>
      <c r="AL16" s="454" t="str">
        <f>IF(AND('Mapa de Riesgos'!$H$42="Alta",'Mapa de Riesgos'!$L$42="Catastrófico"),CONCATENATE("R",'Mapa de Riesgos'!$A$42),"")</f>
        <v/>
      </c>
      <c r="AM16" s="455"/>
      <c r="AN16" s="83"/>
      <c r="AO16" s="496"/>
      <c r="AP16" s="497"/>
      <c r="AQ16" s="497"/>
      <c r="AR16" s="497"/>
      <c r="AS16" s="497"/>
      <c r="AT16" s="49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82"/>
      <c r="C17" s="482"/>
      <c r="D17" s="483"/>
      <c r="E17" s="475"/>
      <c r="F17" s="476"/>
      <c r="G17" s="476"/>
      <c r="H17" s="476"/>
      <c r="I17" s="476"/>
      <c r="J17" s="444"/>
      <c r="K17" s="445"/>
      <c r="L17" s="445"/>
      <c r="M17" s="445"/>
      <c r="N17" s="445"/>
      <c r="O17" s="446"/>
      <c r="P17" s="444"/>
      <c r="Q17" s="445"/>
      <c r="R17" s="445"/>
      <c r="S17" s="445"/>
      <c r="T17" s="445"/>
      <c r="U17" s="446"/>
      <c r="V17" s="462"/>
      <c r="W17" s="463"/>
      <c r="X17" s="463"/>
      <c r="Y17" s="463"/>
      <c r="Z17" s="463"/>
      <c r="AA17" s="464"/>
      <c r="AB17" s="462"/>
      <c r="AC17" s="463"/>
      <c r="AD17" s="463"/>
      <c r="AE17" s="463"/>
      <c r="AF17" s="463"/>
      <c r="AG17" s="464"/>
      <c r="AH17" s="453"/>
      <c r="AI17" s="454"/>
      <c r="AJ17" s="454"/>
      <c r="AK17" s="454"/>
      <c r="AL17" s="454"/>
      <c r="AM17" s="455"/>
      <c r="AN17" s="83"/>
      <c r="AO17" s="496"/>
      <c r="AP17" s="497"/>
      <c r="AQ17" s="497"/>
      <c r="AR17" s="497"/>
      <c r="AS17" s="497"/>
      <c r="AT17" s="49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82"/>
      <c r="C18" s="482"/>
      <c r="D18" s="483"/>
      <c r="E18" s="475"/>
      <c r="F18" s="476"/>
      <c r="G18" s="476"/>
      <c r="H18" s="476"/>
      <c r="I18" s="476"/>
      <c r="J18" s="444" t="str">
        <f>IF(AND('Mapa de Riesgos'!$H$48="Alta",'Mapa de Riesgos'!$L$48="Leve"),CONCATENATE("R",'Mapa de Riesgos'!$A$48),"")</f>
        <v/>
      </c>
      <c r="K18" s="445"/>
      <c r="L18" s="445" t="str">
        <f>IF(AND('Mapa de Riesgos'!$H$54="Alta",'Mapa de Riesgos'!$L$54="Leve"),CONCATENATE("R",'Mapa de Riesgos'!$A$54),"")</f>
        <v/>
      </c>
      <c r="M18" s="445"/>
      <c r="N18" s="445" t="str">
        <f>IF(AND('Mapa de Riesgos'!$H$60="Alta",'Mapa de Riesgos'!$L$60="Leve"),CONCATENATE("R",'Mapa de Riesgos'!$A$60),"")</f>
        <v/>
      </c>
      <c r="O18" s="446"/>
      <c r="P18" s="444" t="str">
        <f>IF(AND('Mapa de Riesgos'!$H$48="Alta",'Mapa de Riesgos'!$L$48="Menor"),CONCATENATE("R",'Mapa de Riesgos'!$A$48),"")</f>
        <v/>
      </c>
      <c r="Q18" s="445"/>
      <c r="R18" s="445" t="str">
        <f>IF(AND('Mapa de Riesgos'!$H$54="Alta",'Mapa de Riesgos'!$L$54="Menor"),CONCATENATE("R",'Mapa de Riesgos'!$A$54),"")</f>
        <v/>
      </c>
      <c r="S18" s="445"/>
      <c r="T18" s="445" t="str">
        <f>IF(AND('Mapa de Riesgos'!$H$60="Alta",'Mapa de Riesgos'!$L$60="Menor"),CONCATENATE("R",'Mapa de Riesgos'!$A$60),"")</f>
        <v/>
      </c>
      <c r="U18" s="446"/>
      <c r="V18" s="462" t="str">
        <f>IF(AND('Mapa de Riesgos'!$H$48="Alta",'Mapa de Riesgos'!$L$48="Moderado"),CONCATENATE("R",'Mapa de Riesgos'!$A$48),"")</f>
        <v/>
      </c>
      <c r="W18" s="463"/>
      <c r="X18" s="463" t="str">
        <f>IF(AND('Mapa de Riesgos'!$H$54="Alta",'Mapa de Riesgos'!$L$54="Moderado"),CONCATENATE("R",'Mapa de Riesgos'!$A$54),"")</f>
        <v/>
      </c>
      <c r="Y18" s="463"/>
      <c r="Z18" s="463" t="str">
        <f>IF(AND('Mapa de Riesgos'!$H$60="Alta",'Mapa de Riesgos'!$L$60="Moderado"),CONCATENATE("R",'Mapa de Riesgos'!$A$60),"")</f>
        <v/>
      </c>
      <c r="AA18" s="464"/>
      <c r="AB18" s="462" t="str">
        <f>IF(AND('Mapa de Riesgos'!$H$48="Alta",'Mapa de Riesgos'!$L$48="Mayor"),CONCATENATE("R",'Mapa de Riesgos'!$A$48),"")</f>
        <v/>
      </c>
      <c r="AC18" s="463"/>
      <c r="AD18" s="463" t="str">
        <f>IF(AND('Mapa de Riesgos'!$H$54="Alta",'Mapa de Riesgos'!$L$54="Mayor"),CONCATENATE("R",'Mapa de Riesgos'!$A$54),"")</f>
        <v/>
      </c>
      <c r="AE18" s="463"/>
      <c r="AF18" s="463" t="str">
        <f>IF(AND('Mapa de Riesgos'!$H$60="Alta",'Mapa de Riesgos'!$L$60="Mayor"),CONCATENATE("R",'Mapa de Riesgos'!$A$60),"")</f>
        <v/>
      </c>
      <c r="AG18" s="464"/>
      <c r="AH18" s="453" t="str">
        <f>IF(AND('Mapa de Riesgos'!$H$48="Alta",'Mapa de Riesgos'!$L$48="Catastrófico"),CONCATENATE("R",'Mapa de Riesgos'!$A$48),"")</f>
        <v/>
      </c>
      <c r="AI18" s="454"/>
      <c r="AJ18" s="454" t="str">
        <f>IF(AND('Mapa de Riesgos'!$H$54="Alta",'Mapa de Riesgos'!$L$54="Catastrófico"),CONCATENATE("R",'Mapa de Riesgos'!$A$54),"")</f>
        <v/>
      </c>
      <c r="AK18" s="454"/>
      <c r="AL18" s="454" t="str">
        <f>IF(AND('Mapa de Riesgos'!$H$60="Alta",'Mapa de Riesgos'!$L$60="Catastrófico"),CONCATENATE("R",'Mapa de Riesgos'!$A$60),"")</f>
        <v/>
      </c>
      <c r="AM18" s="455"/>
      <c r="AN18" s="83"/>
      <c r="AO18" s="496"/>
      <c r="AP18" s="497"/>
      <c r="AQ18" s="497"/>
      <c r="AR18" s="497"/>
      <c r="AS18" s="497"/>
      <c r="AT18" s="49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82"/>
      <c r="C19" s="482"/>
      <c r="D19" s="483"/>
      <c r="E19" s="475"/>
      <c r="F19" s="476"/>
      <c r="G19" s="476"/>
      <c r="H19" s="476"/>
      <c r="I19" s="476"/>
      <c r="J19" s="444"/>
      <c r="K19" s="445"/>
      <c r="L19" s="445"/>
      <c r="M19" s="445"/>
      <c r="N19" s="445"/>
      <c r="O19" s="446"/>
      <c r="P19" s="444"/>
      <c r="Q19" s="445"/>
      <c r="R19" s="445"/>
      <c r="S19" s="445"/>
      <c r="T19" s="445"/>
      <c r="U19" s="446"/>
      <c r="V19" s="462"/>
      <c r="W19" s="463"/>
      <c r="X19" s="463"/>
      <c r="Y19" s="463"/>
      <c r="Z19" s="463"/>
      <c r="AA19" s="464"/>
      <c r="AB19" s="462"/>
      <c r="AC19" s="463"/>
      <c r="AD19" s="463"/>
      <c r="AE19" s="463"/>
      <c r="AF19" s="463"/>
      <c r="AG19" s="464"/>
      <c r="AH19" s="453"/>
      <c r="AI19" s="454"/>
      <c r="AJ19" s="454"/>
      <c r="AK19" s="454"/>
      <c r="AL19" s="454"/>
      <c r="AM19" s="455"/>
      <c r="AN19" s="83"/>
      <c r="AO19" s="496"/>
      <c r="AP19" s="497"/>
      <c r="AQ19" s="497"/>
      <c r="AR19" s="497"/>
      <c r="AS19" s="497"/>
      <c r="AT19" s="49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82"/>
      <c r="C20" s="482"/>
      <c r="D20" s="483"/>
      <c r="E20" s="475"/>
      <c r="F20" s="476"/>
      <c r="G20" s="476"/>
      <c r="H20" s="476"/>
      <c r="I20" s="476"/>
      <c r="J20" s="444" t="str">
        <f>IF(AND('Mapa de Riesgos'!$H$66="Alta",'Mapa de Riesgos'!$L$66="Leve"),CONCATENATE("R",'Mapa de Riesgos'!$A$66),"")</f>
        <v/>
      </c>
      <c r="K20" s="445"/>
      <c r="L20" s="445" t="str">
        <f>IF(AND('Mapa de Riesgos'!$H$72="Alta",'Mapa de Riesgos'!$L$72="Leve"),CONCATENATE("R",'Mapa de Riesgos'!$A$72),"")</f>
        <v/>
      </c>
      <c r="M20" s="445"/>
      <c r="N20" s="445" t="str">
        <f>IF(AND('Mapa de Riesgos'!$H$78="Alta",'Mapa de Riesgos'!$L$78="Leve"),CONCATENATE("R",'Mapa de Riesgos'!$A$78),"")</f>
        <v/>
      </c>
      <c r="O20" s="446"/>
      <c r="P20" s="444" t="str">
        <f>IF(AND('Mapa de Riesgos'!$H$66="Alta",'Mapa de Riesgos'!$L$66="Menor"),CONCATENATE("R",'Mapa de Riesgos'!$A$66),"")</f>
        <v/>
      </c>
      <c r="Q20" s="445"/>
      <c r="R20" s="445" t="str">
        <f>IF(AND('Mapa de Riesgos'!$H$72="Alta",'Mapa de Riesgos'!$L$72="Menor"),CONCATENATE("R",'Mapa de Riesgos'!$A$72),"")</f>
        <v/>
      </c>
      <c r="S20" s="445"/>
      <c r="T20" s="445" t="str">
        <f>IF(AND('Mapa de Riesgos'!$H$78="Alta",'Mapa de Riesgos'!$L$78="Menor"),CONCATENATE("R",'Mapa de Riesgos'!$A$78),"")</f>
        <v/>
      </c>
      <c r="U20" s="446"/>
      <c r="V20" s="462" t="str">
        <f>IF(AND('Mapa de Riesgos'!$H$66="Alta",'Mapa de Riesgos'!$L$66="Moderado"),CONCATENATE("R",'Mapa de Riesgos'!$A$66),"")</f>
        <v/>
      </c>
      <c r="W20" s="463"/>
      <c r="X20" s="463" t="str">
        <f>IF(AND('Mapa de Riesgos'!$H$72="Alta",'Mapa de Riesgos'!$L$72="Moderado"),CONCATENATE("R",'Mapa de Riesgos'!$A$72),"")</f>
        <v/>
      </c>
      <c r="Y20" s="463"/>
      <c r="Z20" s="463" t="str">
        <f>IF(AND('Mapa de Riesgos'!$H$78="Alta",'Mapa de Riesgos'!$L$78="Moderado"),CONCATENATE("R",'Mapa de Riesgos'!$A$78),"")</f>
        <v/>
      </c>
      <c r="AA20" s="464"/>
      <c r="AB20" s="462" t="str">
        <f>IF(AND('Mapa de Riesgos'!$H$66="Alta",'Mapa de Riesgos'!$L$66="Mayor"),CONCATENATE("R",'Mapa de Riesgos'!$A$66),"")</f>
        <v/>
      </c>
      <c r="AC20" s="463"/>
      <c r="AD20" s="463" t="str">
        <f>IF(AND('Mapa de Riesgos'!$H$72="Alta",'Mapa de Riesgos'!$L$72="Mayor"),CONCATENATE("R",'Mapa de Riesgos'!$A$72),"")</f>
        <v/>
      </c>
      <c r="AE20" s="463"/>
      <c r="AF20" s="463" t="str">
        <f>IF(AND('Mapa de Riesgos'!$H$78="Alta",'Mapa de Riesgos'!$L$78="Mayor"),CONCATENATE("R",'Mapa de Riesgos'!$A$78),"")</f>
        <v/>
      </c>
      <c r="AG20" s="464"/>
      <c r="AH20" s="453" t="str">
        <f>IF(AND('Mapa de Riesgos'!$H$66="Alta",'Mapa de Riesgos'!$L$66="Catastrófico"),CONCATENATE("R",'Mapa de Riesgos'!$A$66),"")</f>
        <v/>
      </c>
      <c r="AI20" s="454"/>
      <c r="AJ20" s="454" t="str">
        <f>IF(AND('Mapa de Riesgos'!$H$72="Alta",'Mapa de Riesgos'!$L$72="Catastrófico"),CONCATENATE("R",'Mapa de Riesgos'!$A$72),"")</f>
        <v/>
      </c>
      <c r="AK20" s="454"/>
      <c r="AL20" s="454" t="str">
        <f>IF(AND('Mapa de Riesgos'!$H$78="Alta",'Mapa de Riesgos'!$L$78="Catastrófico"),CONCATENATE("R",'Mapa de Riesgos'!$A$78),"")</f>
        <v/>
      </c>
      <c r="AM20" s="455"/>
      <c r="AN20" s="83"/>
      <c r="AO20" s="496"/>
      <c r="AP20" s="497"/>
      <c r="AQ20" s="497"/>
      <c r="AR20" s="497"/>
      <c r="AS20" s="497"/>
      <c r="AT20" s="49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82"/>
      <c r="C21" s="482"/>
      <c r="D21" s="483"/>
      <c r="E21" s="478"/>
      <c r="F21" s="479"/>
      <c r="G21" s="479"/>
      <c r="H21" s="479"/>
      <c r="I21" s="479"/>
      <c r="J21" s="447"/>
      <c r="K21" s="448"/>
      <c r="L21" s="448"/>
      <c r="M21" s="448"/>
      <c r="N21" s="448"/>
      <c r="O21" s="449"/>
      <c r="P21" s="447"/>
      <c r="Q21" s="448"/>
      <c r="R21" s="448"/>
      <c r="S21" s="448"/>
      <c r="T21" s="448"/>
      <c r="U21" s="449"/>
      <c r="V21" s="465"/>
      <c r="W21" s="466"/>
      <c r="X21" s="466"/>
      <c r="Y21" s="466"/>
      <c r="Z21" s="466"/>
      <c r="AA21" s="467"/>
      <c r="AB21" s="465"/>
      <c r="AC21" s="466"/>
      <c r="AD21" s="466"/>
      <c r="AE21" s="466"/>
      <c r="AF21" s="466"/>
      <c r="AG21" s="467"/>
      <c r="AH21" s="456"/>
      <c r="AI21" s="457"/>
      <c r="AJ21" s="457"/>
      <c r="AK21" s="457"/>
      <c r="AL21" s="457"/>
      <c r="AM21" s="458"/>
      <c r="AN21" s="83"/>
      <c r="AO21" s="499"/>
      <c r="AP21" s="500"/>
      <c r="AQ21" s="500"/>
      <c r="AR21" s="500"/>
      <c r="AS21" s="500"/>
      <c r="AT21" s="50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82"/>
      <c r="C22" s="482"/>
      <c r="D22" s="483"/>
      <c r="E22" s="472" t="s">
        <v>187</v>
      </c>
      <c r="F22" s="473"/>
      <c r="G22" s="473"/>
      <c r="H22" s="473"/>
      <c r="I22" s="474"/>
      <c r="J22" s="450" t="str">
        <f>IF(AND('Mapa de Riesgos'!$H$12="Media",'Mapa de Riesgos'!$L$12="Leve"),CONCATENATE("R",'Mapa de Riesgos'!$A$12),"")</f>
        <v/>
      </c>
      <c r="K22" s="451"/>
      <c r="L22" s="451" t="str">
        <f>IF(AND('Mapa de Riesgos'!$H$18="Media",'Mapa de Riesgos'!$L$18="Leve"),CONCATENATE("R",'Mapa de Riesgos'!$A$18),"")</f>
        <v/>
      </c>
      <c r="M22" s="451"/>
      <c r="N22" s="451" t="str">
        <f>IF(AND('Mapa de Riesgos'!$H$24="Media",'Mapa de Riesgos'!$L$24="Leve"),CONCATENATE("R",'Mapa de Riesgos'!$A$24),"")</f>
        <v/>
      </c>
      <c r="O22" s="452"/>
      <c r="P22" s="450" t="str">
        <f>IF(AND('Mapa de Riesgos'!$H$12="Media",'Mapa de Riesgos'!$L$12="Menor"),CONCATENATE("R",'Mapa de Riesgos'!$A$12),"")</f>
        <v/>
      </c>
      <c r="Q22" s="451"/>
      <c r="R22" s="451" t="str">
        <f>IF(AND('Mapa de Riesgos'!$H$18="Media",'Mapa de Riesgos'!$L$18="Menor"),CONCATENATE("R",'Mapa de Riesgos'!$A$18),"")</f>
        <v/>
      </c>
      <c r="S22" s="451"/>
      <c r="T22" s="451" t="str">
        <f>IF(AND('Mapa de Riesgos'!$H$24="Media",'Mapa de Riesgos'!$L$24="Menor"),CONCATENATE("R",'Mapa de Riesgos'!$A$24),"")</f>
        <v/>
      </c>
      <c r="U22" s="452"/>
      <c r="V22" s="450" t="str">
        <f>IF(AND('Mapa de Riesgos'!$H$12="Media",'Mapa de Riesgos'!$L$12="Moderado"),CONCATENATE("R",'Mapa de Riesgos'!$A$12),"")</f>
        <v/>
      </c>
      <c r="W22" s="451"/>
      <c r="X22" s="451" t="str">
        <f>IF(AND('Mapa de Riesgos'!$H$18="Media",'Mapa de Riesgos'!$L$18="Moderado"),CONCATENATE("R",'Mapa de Riesgos'!$A$18),"")</f>
        <v/>
      </c>
      <c r="Y22" s="451"/>
      <c r="Z22" s="451" t="str">
        <f>IF(AND('Mapa de Riesgos'!$H$24="Media",'Mapa de Riesgos'!$L$24="Moderado"),CONCATENATE("R",'Mapa de Riesgos'!$A$24),"")</f>
        <v/>
      </c>
      <c r="AA22" s="452"/>
      <c r="AB22" s="468" t="str">
        <f>IF(AND('Mapa de Riesgos'!$H$12="Media",'Mapa de Riesgos'!$L$12="Mayor"),CONCATENATE("R",'Mapa de Riesgos'!$A$12),"")</f>
        <v/>
      </c>
      <c r="AC22" s="469"/>
      <c r="AD22" s="469" t="str">
        <f>IF(AND('Mapa de Riesgos'!$H$18="Media",'Mapa de Riesgos'!$L$18="Mayor"),CONCATENATE("R",'Mapa de Riesgos'!$A$18),"")</f>
        <v/>
      </c>
      <c r="AE22" s="469"/>
      <c r="AF22" s="469" t="str">
        <f>IF(AND('Mapa de Riesgos'!$H$24="Media",'Mapa de Riesgos'!$L$24="Mayor"),CONCATENATE("R",'Mapa de Riesgos'!$A$24),"")</f>
        <v/>
      </c>
      <c r="AG22" s="470"/>
      <c r="AH22" s="459" t="str">
        <f>IF(AND('Mapa de Riesgos'!$H$12="Media",'Mapa de Riesgos'!$L$12="Catastrófico"),CONCATENATE("R",'Mapa de Riesgos'!$A$12),"")</f>
        <v/>
      </c>
      <c r="AI22" s="460"/>
      <c r="AJ22" s="460" t="str">
        <f>IF(AND('Mapa de Riesgos'!$H$18="Media",'Mapa de Riesgos'!$L$18="Catastrófico"),CONCATENATE("R",'Mapa de Riesgos'!$A$18),"")</f>
        <v/>
      </c>
      <c r="AK22" s="460"/>
      <c r="AL22" s="460" t="str">
        <f>IF(AND('Mapa de Riesgos'!$H$24="Media",'Mapa de Riesgos'!$L$24="Catastrófico"),CONCATENATE("R",'Mapa de Riesgos'!$A$24),"")</f>
        <v/>
      </c>
      <c r="AM22" s="461"/>
      <c r="AN22" s="83"/>
      <c r="AO22" s="502" t="s">
        <v>188</v>
      </c>
      <c r="AP22" s="503"/>
      <c r="AQ22" s="503"/>
      <c r="AR22" s="503"/>
      <c r="AS22" s="503"/>
      <c r="AT22" s="50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82"/>
      <c r="C23" s="482"/>
      <c r="D23" s="483"/>
      <c r="E23" s="475"/>
      <c r="F23" s="476"/>
      <c r="G23" s="476"/>
      <c r="H23" s="476"/>
      <c r="I23" s="477"/>
      <c r="J23" s="444"/>
      <c r="K23" s="445"/>
      <c r="L23" s="445"/>
      <c r="M23" s="445"/>
      <c r="N23" s="445"/>
      <c r="O23" s="446"/>
      <c r="P23" s="444"/>
      <c r="Q23" s="445"/>
      <c r="R23" s="445"/>
      <c r="S23" s="445"/>
      <c r="T23" s="445"/>
      <c r="U23" s="446"/>
      <c r="V23" s="444"/>
      <c r="W23" s="445"/>
      <c r="X23" s="445"/>
      <c r="Y23" s="445"/>
      <c r="Z23" s="445"/>
      <c r="AA23" s="446"/>
      <c r="AB23" s="462"/>
      <c r="AC23" s="463"/>
      <c r="AD23" s="463"/>
      <c r="AE23" s="463"/>
      <c r="AF23" s="463"/>
      <c r="AG23" s="464"/>
      <c r="AH23" s="453"/>
      <c r="AI23" s="454"/>
      <c r="AJ23" s="454"/>
      <c r="AK23" s="454"/>
      <c r="AL23" s="454"/>
      <c r="AM23" s="455"/>
      <c r="AN23" s="83"/>
      <c r="AO23" s="505"/>
      <c r="AP23" s="506"/>
      <c r="AQ23" s="506"/>
      <c r="AR23" s="506"/>
      <c r="AS23" s="506"/>
      <c r="AT23" s="50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82"/>
      <c r="C24" s="482"/>
      <c r="D24" s="483"/>
      <c r="E24" s="475"/>
      <c r="F24" s="476"/>
      <c r="G24" s="476"/>
      <c r="H24" s="476"/>
      <c r="I24" s="477"/>
      <c r="J24" s="444" t="str">
        <f>IF(AND('Mapa de Riesgos'!$H$30="Media",'Mapa de Riesgos'!$L$30="Leve"),CONCATENATE("R",'Mapa de Riesgos'!$A$30),"")</f>
        <v/>
      </c>
      <c r="K24" s="445"/>
      <c r="L24" s="445" t="str">
        <f>IF(AND('Mapa de Riesgos'!$H$36="Media",'Mapa de Riesgos'!$L$36="Leve"),CONCATENATE("R",'Mapa de Riesgos'!$A$36),"")</f>
        <v/>
      </c>
      <c r="M24" s="445"/>
      <c r="N24" s="445" t="str">
        <f>IF(AND('Mapa de Riesgos'!$H$42="Media",'Mapa de Riesgos'!$L$42="Leve"),CONCATENATE("R",'Mapa de Riesgos'!$A$42),"")</f>
        <v/>
      </c>
      <c r="O24" s="446"/>
      <c r="P24" s="444" t="str">
        <f>IF(AND('Mapa de Riesgos'!$H$30="Media",'Mapa de Riesgos'!$L$30="Menor"),CONCATENATE("R",'Mapa de Riesgos'!$A$30),"")</f>
        <v/>
      </c>
      <c r="Q24" s="445"/>
      <c r="R24" s="445" t="str">
        <f>IF(AND('Mapa de Riesgos'!$H$36="Media",'Mapa de Riesgos'!$L$36="Menor"),CONCATENATE("R",'Mapa de Riesgos'!$A$36),"")</f>
        <v/>
      </c>
      <c r="S24" s="445"/>
      <c r="T24" s="445" t="str">
        <f>IF(AND('Mapa de Riesgos'!$H$42="Media",'Mapa de Riesgos'!$L$42="Menor"),CONCATENATE("R",'Mapa de Riesgos'!$A$42),"")</f>
        <v/>
      </c>
      <c r="U24" s="446"/>
      <c r="V24" s="444" t="str">
        <f>IF(AND('Mapa de Riesgos'!$H$30="Media",'Mapa de Riesgos'!$L$30="Moderado"),CONCATENATE("R",'Mapa de Riesgos'!$A$30),"")</f>
        <v/>
      </c>
      <c r="W24" s="445"/>
      <c r="X24" s="445" t="str">
        <f>IF(AND('Mapa de Riesgos'!$H$36="Media",'Mapa de Riesgos'!$L$36="Moderado"),CONCATENATE("R",'Mapa de Riesgos'!$A$36),"")</f>
        <v/>
      </c>
      <c r="Y24" s="445"/>
      <c r="Z24" s="445" t="str">
        <f>IF(AND('Mapa de Riesgos'!$H$42="Media",'Mapa de Riesgos'!$L$42="Moderado"),CONCATENATE("R",'Mapa de Riesgos'!$A$42),"")</f>
        <v/>
      </c>
      <c r="AA24" s="446"/>
      <c r="AB24" s="462" t="str">
        <f>IF(AND('Mapa de Riesgos'!$H$30="Media",'Mapa de Riesgos'!$L$30="Mayor"),CONCATENATE("R",'Mapa de Riesgos'!$A$30),"")</f>
        <v/>
      </c>
      <c r="AC24" s="463"/>
      <c r="AD24" s="463" t="str">
        <f>IF(AND('Mapa de Riesgos'!$H$36="Media",'Mapa de Riesgos'!$L$36="Mayor"),CONCATENATE("R",'Mapa de Riesgos'!$A$36),"")</f>
        <v/>
      </c>
      <c r="AE24" s="463"/>
      <c r="AF24" s="463" t="str">
        <f>IF(AND('Mapa de Riesgos'!$H$42="Media",'Mapa de Riesgos'!$L$42="Mayor"),CONCATENATE("R",'Mapa de Riesgos'!$A$42),"")</f>
        <v/>
      </c>
      <c r="AG24" s="464"/>
      <c r="AH24" s="453" t="str">
        <f>IF(AND('Mapa de Riesgos'!$H$30="Media",'Mapa de Riesgos'!$L$30="Catastrófico"),CONCATENATE("R",'Mapa de Riesgos'!$A$30),"")</f>
        <v/>
      </c>
      <c r="AI24" s="454"/>
      <c r="AJ24" s="454" t="str">
        <f>IF(AND('Mapa de Riesgos'!$H$36="Media",'Mapa de Riesgos'!$L$36="Catastrófico"),CONCATENATE("R",'Mapa de Riesgos'!$A$36),"")</f>
        <v/>
      </c>
      <c r="AK24" s="454"/>
      <c r="AL24" s="454" t="str">
        <f>IF(AND('Mapa de Riesgos'!$H$42="Media",'Mapa de Riesgos'!$L$42="Catastrófico"),CONCATENATE("R",'Mapa de Riesgos'!$A$42),"")</f>
        <v/>
      </c>
      <c r="AM24" s="455"/>
      <c r="AN24" s="83"/>
      <c r="AO24" s="505"/>
      <c r="AP24" s="506"/>
      <c r="AQ24" s="506"/>
      <c r="AR24" s="506"/>
      <c r="AS24" s="506"/>
      <c r="AT24" s="50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82"/>
      <c r="C25" s="482"/>
      <c r="D25" s="483"/>
      <c r="E25" s="475"/>
      <c r="F25" s="476"/>
      <c r="G25" s="476"/>
      <c r="H25" s="476"/>
      <c r="I25" s="477"/>
      <c r="J25" s="444"/>
      <c r="K25" s="445"/>
      <c r="L25" s="445"/>
      <c r="M25" s="445"/>
      <c r="N25" s="445"/>
      <c r="O25" s="446"/>
      <c r="P25" s="444"/>
      <c r="Q25" s="445"/>
      <c r="R25" s="445"/>
      <c r="S25" s="445"/>
      <c r="T25" s="445"/>
      <c r="U25" s="446"/>
      <c r="V25" s="444"/>
      <c r="W25" s="445"/>
      <c r="X25" s="445"/>
      <c r="Y25" s="445"/>
      <c r="Z25" s="445"/>
      <c r="AA25" s="446"/>
      <c r="AB25" s="462"/>
      <c r="AC25" s="463"/>
      <c r="AD25" s="463"/>
      <c r="AE25" s="463"/>
      <c r="AF25" s="463"/>
      <c r="AG25" s="464"/>
      <c r="AH25" s="453"/>
      <c r="AI25" s="454"/>
      <c r="AJ25" s="454"/>
      <c r="AK25" s="454"/>
      <c r="AL25" s="454"/>
      <c r="AM25" s="455"/>
      <c r="AN25" s="83"/>
      <c r="AO25" s="505"/>
      <c r="AP25" s="506"/>
      <c r="AQ25" s="506"/>
      <c r="AR25" s="506"/>
      <c r="AS25" s="506"/>
      <c r="AT25" s="50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82"/>
      <c r="C26" s="482"/>
      <c r="D26" s="483"/>
      <c r="E26" s="475"/>
      <c r="F26" s="476"/>
      <c r="G26" s="476"/>
      <c r="H26" s="476"/>
      <c r="I26" s="477"/>
      <c r="J26" s="444" t="str">
        <f>IF(AND('Mapa de Riesgos'!$H$48="Media",'Mapa de Riesgos'!$L$48="Leve"),CONCATENATE("R",'Mapa de Riesgos'!$A$48),"")</f>
        <v/>
      </c>
      <c r="K26" s="445"/>
      <c r="L26" s="445" t="str">
        <f>IF(AND('Mapa de Riesgos'!$H$54="Media",'Mapa de Riesgos'!$L$54="Leve"),CONCATENATE("R",'Mapa de Riesgos'!$A$54),"")</f>
        <v/>
      </c>
      <c r="M26" s="445"/>
      <c r="N26" s="445" t="str">
        <f>IF(AND('Mapa de Riesgos'!$H$60="Media",'Mapa de Riesgos'!$L$60="Leve"),CONCATENATE("R",'Mapa de Riesgos'!$A$60),"")</f>
        <v/>
      </c>
      <c r="O26" s="446"/>
      <c r="P26" s="444" t="str">
        <f>IF(AND('Mapa de Riesgos'!$H$48="Media",'Mapa de Riesgos'!$L$48="Menor"),CONCATENATE("R",'Mapa de Riesgos'!$A$48),"")</f>
        <v/>
      </c>
      <c r="Q26" s="445"/>
      <c r="R26" s="445" t="str">
        <f>IF(AND('Mapa de Riesgos'!$H$54="Media",'Mapa de Riesgos'!$L$54="Menor"),CONCATENATE("R",'Mapa de Riesgos'!$A$54),"")</f>
        <v/>
      </c>
      <c r="S26" s="445"/>
      <c r="T26" s="445" t="str">
        <f>IF(AND('Mapa de Riesgos'!$H$60="Media",'Mapa de Riesgos'!$L$60="Menor"),CONCATENATE("R",'Mapa de Riesgos'!$A$60),"")</f>
        <v/>
      </c>
      <c r="U26" s="446"/>
      <c r="V26" s="444" t="str">
        <f>IF(AND('Mapa de Riesgos'!$H$48="Media",'Mapa de Riesgos'!$L$48="Moderado"),CONCATENATE("R",'Mapa de Riesgos'!$A$48),"")</f>
        <v/>
      </c>
      <c r="W26" s="445"/>
      <c r="X26" s="445" t="str">
        <f>IF(AND('Mapa de Riesgos'!$H$54="Media",'Mapa de Riesgos'!$L$54="Moderado"),CONCATENATE("R",'Mapa de Riesgos'!$A$54),"")</f>
        <v/>
      </c>
      <c r="Y26" s="445"/>
      <c r="Z26" s="445" t="str">
        <f>IF(AND('Mapa de Riesgos'!$H$60="Media",'Mapa de Riesgos'!$L$60="Moderado"),CONCATENATE("R",'Mapa de Riesgos'!$A$60),"")</f>
        <v/>
      </c>
      <c r="AA26" s="446"/>
      <c r="AB26" s="462" t="str">
        <f>IF(AND('Mapa de Riesgos'!$H$48="Media",'Mapa de Riesgos'!$L$48="Mayor"),CONCATENATE("R",'Mapa de Riesgos'!$A$48),"")</f>
        <v/>
      </c>
      <c r="AC26" s="463"/>
      <c r="AD26" s="463" t="str">
        <f>IF(AND('Mapa de Riesgos'!$H$54="Media",'Mapa de Riesgos'!$L$54="Mayor"),CONCATENATE("R",'Mapa de Riesgos'!$A$54),"")</f>
        <v/>
      </c>
      <c r="AE26" s="463"/>
      <c r="AF26" s="463" t="str">
        <f>IF(AND('Mapa de Riesgos'!$H$60="Media",'Mapa de Riesgos'!$L$60="Mayor"),CONCATENATE("R",'Mapa de Riesgos'!$A$60),"")</f>
        <v/>
      </c>
      <c r="AG26" s="464"/>
      <c r="AH26" s="453" t="str">
        <f>IF(AND('Mapa de Riesgos'!$H$48="Media",'Mapa de Riesgos'!$L$48="Catastrófico"),CONCATENATE("R",'Mapa de Riesgos'!$A$48),"")</f>
        <v/>
      </c>
      <c r="AI26" s="454"/>
      <c r="AJ26" s="454" t="str">
        <f>IF(AND('Mapa de Riesgos'!$H$54="Media",'Mapa de Riesgos'!$L$54="Catastrófico"),CONCATENATE("R",'Mapa de Riesgos'!$A$54),"")</f>
        <v/>
      </c>
      <c r="AK26" s="454"/>
      <c r="AL26" s="454" t="str">
        <f>IF(AND('Mapa de Riesgos'!$H$60="Media",'Mapa de Riesgos'!$L$60="Catastrófico"),CONCATENATE("R",'Mapa de Riesgos'!$A$60),"")</f>
        <v/>
      </c>
      <c r="AM26" s="455"/>
      <c r="AN26" s="83"/>
      <c r="AO26" s="505"/>
      <c r="AP26" s="506"/>
      <c r="AQ26" s="506"/>
      <c r="AR26" s="506"/>
      <c r="AS26" s="506"/>
      <c r="AT26" s="50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82"/>
      <c r="C27" s="482"/>
      <c r="D27" s="483"/>
      <c r="E27" s="475"/>
      <c r="F27" s="476"/>
      <c r="G27" s="476"/>
      <c r="H27" s="476"/>
      <c r="I27" s="477"/>
      <c r="J27" s="444"/>
      <c r="K27" s="445"/>
      <c r="L27" s="445"/>
      <c r="M27" s="445"/>
      <c r="N27" s="445"/>
      <c r="O27" s="446"/>
      <c r="P27" s="444"/>
      <c r="Q27" s="445"/>
      <c r="R27" s="445"/>
      <c r="S27" s="445"/>
      <c r="T27" s="445"/>
      <c r="U27" s="446"/>
      <c r="V27" s="444"/>
      <c r="W27" s="445"/>
      <c r="X27" s="445"/>
      <c r="Y27" s="445"/>
      <c r="Z27" s="445"/>
      <c r="AA27" s="446"/>
      <c r="AB27" s="462"/>
      <c r="AC27" s="463"/>
      <c r="AD27" s="463"/>
      <c r="AE27" s="463"/>
      <c r="AF27" s="463"/>
      <c r="AG27" s="464"/>
      <c r="AH27" s="453"/>
      <c r="AI27" s="454"/>
      <c r="AJ27" s="454"/>
      <c r="AK27" s="454"/>
      <c r="AL27" s="454"/>
      <c r="AM27" s="455"/>
      <c r="AN27" s="83"/>
      <c r="AO27" s="505"/>
      <c r="AP27" s="506"/>
      <c r="AQ27" s="506"/>
      <c r="AR27" s="506"/>
      <c r="AS27" s="506"/>
      <c r="AT27" s="50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82"/>
      <c r="C28" s="482"/>
      <c r="D28" s="483"/>
      <c r="E28" s="475"/>
      <c r="F28" s="476"/>
      <c r="G28" s="476"/>
      <c r="H28" s="476"/>
      <c r="I28" s="477"/>
      <c r="J28" s="444" t="str">
        <f>IF(AND('Mapa de Riesgos'!$H$66="Media",'Mapa de Riesgos'!$L$66="Leve"),CONCATENATE("R",'Mapa de Riesgos'!$A$66),"")</f>
        <v/>
      </c>
      <c r="K28" s="445"/>
      <c r="L28" s="445" t="str">
        <f>IF(AND('Mapa de Riesgos'!$H$72="Media",'Mapa de Riesgos'!$L$72="Leve"),CONCATENATE("R",'Mapa de Riesgos'!$A$72),"")</f>
        <v/>
      </c>
      <c r="M28" s="445"/>
      <c r="N28" s="445" t="str">
        <f>IF(AND('Mapa de Riesgos'!$H$78="Media",'Mapa de Riesgos'!$L$78="Leve"),CONCATENATE("R",'Mapa de Riesgos'!$A$78),"")</f>
        <v/>
      </c>
      <c r="O28" s="446"/>
      <c r="P28" s="444" t="str">
        <f>IF(AND('Mapa de Riesgos'!$H$66="Media",'Mapa de Riesgos'!$L$66="Menor"),CONCATENATE("R",'Mapa de Riesgos'!$A$66),"")</f>
        <v/>
      </c>
      <c r="Q28" s="445"/>
      <c r="R28" s="445" t="str">
        <f>IF(AND('Mapa de Riesgos'!$H$72="Media",'Mapa de Riesgos'!$L$72="Menor"),CONCATENATE("R",'Mapa de Riesgos'!$A$72),"")</f>
        <v/>
      </c>
      <c r="S28" s="445"/>
      <c r="T28" s="445" t="str">
        <f>IF(AND('Mapa de Riesgos'!$H$78="Media",'Mapa de Riesgos'!$L$78="Menor"),CONCATENATE("R",'Mapa de Riesgos'!$A$78),"")</f>
        <v/>
      </c>
      <c r="U28" s="446"/>
      <c r="V28" s="444" t="str">
        <f>IF(AND('Mapa de Riesgos'!$H$66="Media",'Mapa de Riesgos'!$L$66="Moderado"),CONCATENATE("R",'Mapa de Riesgos'!$A$66),"")</f>
        <v/>
      </c>
      <c r="W28" s="445"/>
      <c r="X28" s="445" t="str">
        <f>IF(AND('Mapa de Riesgos'!$H$72="Media",'Mapa de Riesgos'!$L$72="Moderado"),CONCATENATE("R",'Mapa de Riesgos'!$A$72),"")</f>
        <v/>
      </c>
      <c r="Y28" s="445"/>
      <c r="Z28" s="445" t="str">
        <f>IF(AND('Mapa de Riesgos'!$H$78="Media",'Mapa de Riesgos'!$L$78="Moderado"),CONCATENATE("R",'Mapa de Riesgos'!$A$78),"")</f>
        <v/>
      </c>
      <c r="AA28" s="446"/>
      <c r="AB28" s="462" t="str">
        <f>IF(AND('Mapa de Riesgos'!$H$66="Media",'Mapa de Riesgos'!$L$66="Mayor"),CONCATENATE("R",'Mapa de Riesgos'!$A$66),"")</f>
        <v/>
      </c>
      <c r="AC28" s="463"/>
      <c r="AD28" s="463" t="str">
        <f>IF(AND('Mapa de Riesgos'!$H$72="Media",'Mapa de Riesgos'!$L$72="Mayor"),CONCATENATE("R",'Mapa de Riesgos'!$A$72),"")</f>
        <v/>
      </c>
      <c r="AE28" s="463"/>
      <c r="AF28" s="463" t="str">
        <f>IF(AND('Mapa de Riesgos'!$H$78="Media",'Mapa de Riesgos'!$L$78="Mayor"),CONCATENATE("R",'Mapa de Riesgos'!$A$78),"")</f>
        <v/>
      </c>
      <c r="AG28" s="464"/>
      <c r="AH28" s="453" t="str">
        <f>IF(AND('Mapa de Riesgos'!$H$66="Media",'Mapa de Riesgos'!$L$66="Catastrófico"),CONCATENATE("R",'Mapa de Riesgos'!$A$66),"")</f>
        <v/>
      </c>
      <c r="AI28" s="454"/>
      <c r="AJ28" s="454" t="str">
        <f>IF(AND('Mapa de Riesgos'!$H$72="Media",'Mapa de Riesgos'!$L$72="Catastrófico"),CONCATENATE("R",'Mapa de Riesgos'!$A$72),"")</f>
        <v/>
      </c>
      <c r="AK28" s="454"/>
      <c r="AL28" s="454" t="str">
        <f>IF(AND('Mapa de Riesgos'!$H$78="Media",'Mapa de Riesgos'!$L$78="Catastrófico"),CONCATENATE("R",'Mapa de Riesgos'!$A$78),"")</f>
        <v/>
      </c>
      <c r="AM28" s="455"/>
      <c r="AN28" s="83"/>
      <c r="AO28" s="505"/>
      <c r="AP28" s="506"/>
      <c r="AQ28" s="506"/>
      <c r="AR28" s="506"/>
      <c r="AS28" s="506"/>
      <c r="AT28" s="50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82"/>
      <c r="C29" s="482"/>
      <c r="D29" s="483"/>
      <c r="E29" s="478"/>
      <c r="F29" s="479"/>
      <c r="G29" s="479"/>
      <c r="H29" s="479"/>
      <c r="I29" s="480"/>
      <c r="J29" s="444"/>
      <c r="K29" s="445"/>
      <c r="L29" s="445"/>
      <c r="M29" s="445"/>
      <c r="N29" s="445"/>
      <c r="O29" s="446"/>
      <c r="P29" s="447"/>
      <c r="Q29" s="448"/>
      <c r="R29" s="448"/>
      <c r="S29" s="448"/>
      <c r="T29" s="448"/>
      <c r="U29" s="449"/>
      <c r="V29" s="447"/>
      <c r="W29" s="448"/>
      <c r="X29" s="448"/>
      <c r="Y29" s="448"/>
      <c r="Z29" s="448"/>
      <c r="AA29" s="449"/>
      <c r="AB29" s="465"/>
      <c r="AC29" s="466"/>
      <c r="AD29" s="466"/>
      <c r="AE29" s="466"/>
      <c r="AF29" s="466"/>
      <c r="AG29" s="467"/>
      <c r="AH29" s="456"/>
      <c r="AI29" s="457"/>
      <c r="AJ29" s="457"/>
      <c r="AK29" s="457"/>
      <c r="AL29" s="457"/>
      <c r="AM29" s="458"/>
      <c r="AN29" s="83"/>
      <c r="AO29" s="508"/>
      <c r="AP29" s="509"/>
      <c r="AQ29" s="509"/>
      <c r="AR29" s="509"/>
      <c r="AS29" s="509"/>
      <c r="AT29" s="51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82"/>
      <c r="C30" s="482"/>
      <c r="D30" s="483"/>
      <c r="E30" s="472" t="s">
        <v>189</v>
      </c>
      <c r="F30" s="473"/>
      <c r="G30" s="473"/>
      <c r="H30" s="473"/>
      <c r="I30" s="473"/>
      <c r="J30" s="441" t="str">
        <f>IF(AND('Mapa de Riesgos'!$H$12="Baja",'Mapa de Riesgos'!$L$12="Leve"),CONCATENATE("R",'Mapa de Riesgos'!$A$12),"")</f>
        <v/>
      </c>
      <c r="K30" s="442"/>
      <c r="L30" s="442" t="str">
        <f>IF(AND('Mapa de Riesgos'!$H$18="Baja",'Mapa de Riesgos'!$L$18="Leve"),CONCATENATE("R",'Mapa de Riesgos'!$A$18),"")</f>
        <v/>
      </c>
      <c r="M30" s="442"/>
      <c r="N30" s="442" t="str">
        <f>IF(AND('Mapa de Riesgos'!$H$24="Baja",'Mapa de Riesgos'!$L$24="Leve"),CONCATENATE("R",'Mapa de Riesgos'!$A$24),"")</f>
        <v/>
      </c>
      <c r="O30" s="443"/>
      <c r="P30" s="451" t="str">
        <f>IF(AND('Mapa de Riesgos'!$H$12="Baja",'Mapa de Riesgos'!$L$12="Menor"),CONCATENATE("R",'Mapa de Riesgos'!$A$12),"")</f>
        <v/>
      </c>
      <c r="Q30" s="451"/>
      <c r="R30" s="451" t="str">
        <f>IF(AND('Mapa de Riesgos'!$H$18="Baja",'Mapa de Riesgos'!$L$18="Menor"),CONCATENATE("R",'Mapa de Riesgos'!$A$18),"")</f>
        <v/>
      </c>
      <c r="S30" s="451"/>
      <c r="T30" s="451" t="str">
        <f>IF(AND('Mapa de Riesgos'!$H$24="Baja",'Mapa de Riesgos'!$L$24="Menor"),CONCATENATE("R",'Mapa de Riesgos'!$A$24),"")</f>
        <v/>
      </c>
      <c r="U30" s="452"/>
      <c r="V30" s="450" t="str">
        <f>IF(AND('Mapa de Riesgos'!$H$12="Baja",'Mapa de Riesgos'!$L$12="Moderado"),CONCATENATE("R",'Mapa de Riesgos'!$A$12),"")</f>
        <v/>
      </c>
      <c r="W30" s="451"/>
      <c r="X30" s="451" t="str">
        <f>IF(AND('Mapa de Riesgos'!$H$18="Baja",'Mapa de Riesgos'!$L$18="Moderado"),CONCATENATE("R",'Mapa de Riesgos'!$A$18),"")</f>
        <v/>
      </c>
      <c r="Y30" s="451"/>
      <c r="Z30" s="451" t="str">
        <f>IF(AND('Mapa de Riesgos'!$H$24="Baja",'Mapa de Riesgos'!$L$24="Moderado"),CONCATENATE("R",'Mapa de Riesgos'!$A$24),"")</f>
        <v/>
      </c>
      <c r="AA30" s="452"/>
      <c r="AB30" s="468" t="str">
        <f>IF(AND('Mapa de Riesgos'!$H$12="Baja",'Mapa de Riesgos'!$L$12="Mayor"),CONCATENATE("R",'Mapa de Riesgos'!$A$12),"")</f>
        <v/>
      </c>
      <c r="AC30" s="469"/>
      <c r="AD30" s="469" t="str">
        <f>IF(AND('Mapa de Riesgos'!$H$18="Baja",'Mapa de Riesgos'!$L$18="Mayor"),CONCATENATE("R",'Mapa de Riesgos'!$A$18),"")</f>
        <v/>
      </c>
      <c r="AE30" s="469"/>
      <c r="AF30" s="469" t="str">
        <f>IF(AND('Mapa de Riesgos'!$H$24="Baja",'Mapa de Riesgos'!$L$24="Mayor"),CONCATENATE("R",'Mapa de Riesgos'!$A$24),"")</f>
        <v/>
      </c>
      <c r="AG30" s="470"/>
      <c r="AH30" s="459" t="str">
        <f>IF(AND('Mapa de Riesgos'!$H$12="Baja",'Mapa de Riesgos'!$L$12="Catastrófico"),CONCATENATE("R",'Mapa de Riesgos'!$A$12),"")</f>
        <v/>
      </c>
      <c r="AI30" s="460"/>
      <c r="AJ30" s="460" t="str">
        <f>IF(AND('Mapa de Riesgos'!$H$18="Baja",'Mapa de Riesgos'!$L$18="Catastrófico"),CONCATENATE("R",'Mapa de Riesgos'!$A$18),"")</f>
        <v/>
      </c>
      <c r="AK30" s="460"/>
      <c r="AL30" s="460" t="str">
        <f>IF(AND('Mapa de Riesgos'!$H$24="Baja",'Mapa de Riesgos'!$L$24="Catastrófico"),CONCATENATE("R",'Mapa de Riesgos'!$A$24),"")</f>
        <v/>
      </c>
      <c r="AM30" s="461"/>
      <c r="AN30" s="83"/>
      <c r="AO30" s="511" t="s">
        <v>190</v>
      </c>
      <c r="AP30" s="512"/>
      <c r="AQ30" s="512"/>
      <c r="AR30" s="512"/>
      <c r="AS30" s="512"/>
      <c r="AT30" s="51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82"/>
      <c r="C31" s="482"/>
      <c r="D31" s="483"/>
      <c r="E31" s="475"/>
      <c r="F31" s="476"/>
      <c r="G31" s="476"/>
      <c r="H31" s="476"/>
      <c r="I31" s="476"/>
      <c r="J31" s="435"/>
      <c r="K31" s="436"/>
      <c r="L31" s="436"/>
      <c r="M31" s="436"/>
      <c r="N31" s="436"/>
      <c r="O31" s="437"/>
      <c r="P31" s="445"/>
      <c r="Q31" s="445"/>
      <c r="R31" s="445"/>
      <c r="S31" s="445"/>
      <c r="T31" s="445"/>
      <c r="U31" s="446"/>
      <c r="V31" s="444"/>
      <c r="W31" s="445"/>
      <c r="X31" s="445"/>
      <c r="Y31" s="445"/>
      <c r="Z31" s="445"/>
      <c r="AA31" s="446"/>
      <c r="AB31" s="462"/>
      <c r="AC31" s="463"/>
      <c r="AD31" s="463"/>
      <c r="AE31" s="463"/>
      <c r="AF31" s="463"/>
      <c r="AG31" s="464"/>
      <c r="AH31" s="453"/>
      <c r="AI31" s="454"/>
      <c r="AJ31" s="454"/>
      <c r="AK31" s="454"/>
      <c r="AL31" s="454"/>
      <c r="AM31" s="455"/>
      <c r="AN31" s="83"/>
      <c r="AO31" s="514"/>
      <c r="AP31" s="515"/>
      <c r="AQ31" s="515"/>
      <c r="AR31" s="515"/>
      <c r="AS31" s="515"/>
      <c r="AT31" s="51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82"/>
      <c r="C32" s="482"/>
      <c r="D32" s="483"/>
      <c r="E32" s="475"/>
      <c r="F32" s="476"/>
      <c r="G32" s="476"/>
      <c r="H32" s="476"/>
      <c r="I32" s="476"/>
      <c r="J32" s="435" t="str">
        <f>IF(AND('Mapa de Riesgos'!$H$30="Baja",'Mapa de Riesgos'!$L$30="Leve"),CONCATENATE("R",'Mapa de Riesgos'!$A$30),"")</f>
        <v/>
      </c>
      <c r="K32" s="436"/>
      <c r="L32" s="436" t="str">
        <f>IF(AND('Mapa de Riesgos'!$H$36="Baja",'Mapa de Riesgos'!$L$36="Leve"),CONCATENATE("R",'Mapa de Riesgos'!$A$36),"")</f>
        <v/>
      </c>
      <c r="M32" s="436"/>
      <c r="N32" s="436" t="str">
        <f>IF(AND('Mapa de Riesgos'!$H$42="Baja",'Mapa de Riesgos'!$L$42="Leve"),CONCATENATE("R",'Mapa de Riesgos'!$A$42),"")</f>
        <v/>
      </c>
      <c r="O32" s="437"/>
      <c r="P32" s="445" t="str">
        <f>IF(AND('Mapa de Riesgos'!$H$30="Baja",'Mapa de Riesgos'!$L$30="Menor"),CONCATENATE("R",'Mapa de Riesgos'!$A$30),"")</f>
        <v/>
      </c>
      <c r="Q32" s="445"/>
      <c r="R32" s="445" t="str">
        <f>IF(AND('Mapa de Riesgos'!$H$36="Baja",'Mapa de Riesgos'!$L$36="Menor"),CONCATENATE("R",'Mapa de Riesgos'!$A$36),"")</f>
        <v/>
      </c>
      <c r="S32" s="445"/>
      <c r="T32" s="445" t="str">
        <f>IF(AND('Mapa de Riesgos'!$H$42="Baja",'Mapa de Riesgos'!$L$42="Menor"),CONCATENATE("R",'Mapa de Riesgos'!$A$42),"")</f>
        <v/>
      </c>
      <c r="U32" s="446"/>
      <c r="V32" s="444" t="str">
        <f>IF(AND('Mapa de Riesgos'!$H$30="Baja",'Mapa de Riesgos'!$L$30="Moderado"),CONCATENATE("R",'Mapa de Riesgos'!$A$30),"")</f>
        <v/>
      </c>
      <c r="W32" s="445"/>
      <c r="X32" s="445" t="str">
        <f>IF(AND('Mapa de Riesgos'!$H$36="Baja",'Mapa de Riesgos'!$L$36="Moderado"),CONCATENATE("R",'Mapa de Riesgos'!$A$36),"")</f>
        <v/>
      </c>
      <c r="Y32" s="445"/>
      <c r="Z32" s="445" t="str">
        <f>IF(AND('Mapa de Riesgos'!$H$42="Baja",'Mapa de Riesgos'!$L$42="Moderado"),CONCATENATE("R",'Mapa de Riesgos'!$A$42),"")</f>
        <v/>
      </c>
      <c r="AA32" s="446"/>
      <c r="AB32" s="462" t="str">
        <f>IF(AND('Mapa de Riesgos'!$H$30="Baja",'Mapa de Riesgos'!$L$30="Mayor"),CONCATENATE("R",'Mapa de Riesgos'!$A$30),"")</f>
        <v/>
      </c>
      <c r="AC32" s="463"/>
      <c r="AD32" s="463" t="str">
        <f>IF(AND('Mapa de Riesgos'!$H$36="Baja",'Mapa de Riesgos'!$L$36="Mayor"),CONCATENATE("R",'Mapa de Riesgos'!$A$36),"")</f>
        <v/>
      </c>
      <c r="AE32" s="463"/>
      <c r="AF32" s="463" t="str">
        <f>IF(AND('Mapa de Riesgos'!$H$42="Baja",'Mapa de Riesgos'!$L$42="Mayor"),CONCATENATE("R",'Mapa de Riesgos'!$A$42),"")</f>
        <v/>
      </c>
      <c r="AG32" s="464"/>
      <c r="AH32" s="453" t="str">
        <f>IF(AND('Mapa de Riesgos'!$H$30="Baja",'Mapa de Riesgos'!$L$30="Catastrófico"),CONCATENATE("R",'Mapa de Riesgos'!$A$30),"")</f>
        <v/>
      </c>
      <c r="AI32" s="454"/>
      <c r="AJ32" s="454" t="str">
        <f>IF(AND('Mapa de Riesgos'!$H$36="Baja",'Mapa de Riesgos'!$L$36="Catastrófico"),CONCATENATE("R",'Mapa de Riesgos'!$A$36),"")</f>
        <v/>
      </c>
      <c r="AK32" s="454"/>
      <c r="AL32" s="454" t="str">
        <f>IF(AND('Mapa de Riesgos'!$H$42="Baja",'Mapa de Riesgos'!$L$42="Catastrófico"),CONCATENATE("R",'Mapa de Riesgos'!$A$42),"")</f>
        <v/>
      </c>
      <c r="AM32" s="455"/>
      <c r="AN32" s="83"/>
      <c r="AO32" s="514"/>
      <c r="AP32" s="515"/>
      <c r="AQ32" s="515"/>
      <c r="AR32" s="515"/>
      <c r="AS32" s="515"/>
      <c r="AT32" s="51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82"/>
      <c r="C33" s="482"/>
      <c r="D33" s="483"/>
      <c r="E33" s="475"/>
      <c r="F33" s="476"/>
      <c r="G33" s="476"/>
      <c r="H33" s="476"/>
      <c r="I33" s="476"/>
      <c r="J33" s="435"/>
      <c r="K33" s="436"/>
      <c r="L33" s="436"/>
      <c r="M33" s="436"/>
      <c r="N33" s="436"/>
      <c r="O33" s="437"/>
      <c r="P33" s="445"/>
      <c r="Q33" s="445"/>
      <c r="R33" s="445"/>
      <c r="S33" s="445"/>
      <c r="T33" s="445"/>
      <c r="U33" s="446"/>
      <c r="V33" s="444"/>
      <c r="W33" s="445"/>
      <c r="X33" s="445"/>
      <c r="Y33" s="445"/>
      <c r="Z33" s="445"/>
      <c r="AA33" s="446"/>
      <c r="AB33" s="462"/>
      <c r="AC33" s="463"/>
      <c r="AD33" s="463"/>
      <c r="AE33" s="463"/>
      <c r="AF33" s="463"/>
      <c r="AG33" s="464"/>
      <c r="AH33" s="453"/>
      <c r="AI33" s="454"/>
      <c r="AJ33" s="454"/>
      <c r="AK33" s="454"/>
      <c r="AL33" s="454"/>
      <c r="AM33" s="455"/>
      <c r="AN33" s="83"/>
      <c r="AO33" s="514"/>
      <c r="AP33" s="515"/>
      <c r="AQ33" s="515"/>
      <c r="AR33" s="515"/>
      <c r="AS33" s="515"/>
      <c r="AT33" s="51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82"/>
      <c r="C34" s="482"/>
      <c r="D34" s="483"/>
      <c r="E34" s="475"/>
      <c r="F34" s="476"/>
      <c r="G34" s="476"/>
      <c r="H34" s="476"/>
      <c r="I34" s="476"/>
      <c r="J34" s="435" t="str">
        <f>IF(AND('Mapa de Riesgos'!$H$48="Baja",'Mapa de Riesgos'!$L$48="Leve"),CONCATENATE("R",'Mapa de Riesgos'!$A$48),"")</f>
        <v/>
      </c>
      <c r="K34" s="436"/>
      <c r="L34" s="436" t="str">
        <f>IF(AND('Mapa de Riesgos'!$H$54="Baja",'Mapa de Riesgos'!$L$54="Leve"),CONCATENATE("R",'Mapa de Riesgos'!$A$54),"")</f>
        <v/>
      </c>
      <c r="M34" s="436"/>
      <c r="N34" s="436" t="str">
        <f>IF(AND('Mapa de Riesgos'!$H$60="Baja",'Mapa de Riesgos'!$L$60="Leve"),CONCATENATE("R",'Mapa de Riesgos'!$A$60),"")</f>
        <v/>
      </c>
      <c r="O34" s="437"/>
      <c r="P34" s="445" t="str">
        <f>IF(AND('Mapa de Riesgos'!$H$48="Baja",'Mapa de Riesgos'!$L$48="Menor"),CONCATENATE("R",'Mapa de Riesgos'!$A$48),"")</f>
        <v/>
      </c>
      <c r="Q34" s="445"/>
      <c r="R34" s="445" t="str">
        <f>IF(AND('Mapa de Riesgos'!$H$54="Baja",'Mapa de Riesgos'!$L$54="Menor"),CONCATENATE("R",'Mapa de Riesgos'!$A$54),"")</f>
        <v/>
      </c>
      <c r="S34" s="445"/>
      <c r="T34" s="445" t="str">
        <f>IF(AND('Mapa de Riesgos'!$H$60="Baja",'Mapa de Riesgos'!$L$60="Menor"),CONCATENATE("R",'Mapa de Riesgos'!$A$60),"")</f>
        <v/>
      </c>
      <c r="U34" s="446"/>
      <c r="V34" s="444" t="str">
        <f>IF(AND('Mapa de Riesgos'!$H$48="Baja",'Mapa de Riesgos'!$L$48="Moderado"),CONCATENATE("R",'Mapa de Riesgos'!$A$48),"")</f>
        <v/>
      </c>
      <c r="W34" s="445"/>
      <c r="X34" s="445" t="str">
        <f>IF(AND('Mapa de Riesgos'!$H$54="Baja",'Mapa de Riesgos'!$L$54="Moderado"),CONCATENATE("R",'Mapa de Riesgos'!$A$54),"")</f>
        <v/>
      </c>
      <c r="Y34" s="445"/>
      <c r="Z34" s="445" t="str">
        <f>IF(AND('Mapa de Riesgos'!$H$60="Baja",'Mapa de Riesgos'!$L$60="Moderado"),CONCATENATE("R",'Mapa de Riesgos'!$A$60),"")</f>
        <v/>
      </c>
      <c r="AA34" s="446"/>
      <c r="AB34" s="462" t="str">
        <f>IF(AND('Mapa de Riesgos'!$H$48="Baja",'Mapa de Riesgos'!$L$48="Mayor"),CONCATENATE("R",'Mapa de Riesgos'!$A$48),"")</f>
        <v/>
      </c>
      <c r="AC34" s="463"/>
      <c r="AD34" s="463" t="str">
        <f>IF(AND('Mapa de Riesgos'!$H$54="Baja",'Mapa de Riesgos'!$L$54="Mayor"),CONCATENATE("R",'Mapa de Riesgos'!$A$54),"")</f>
        <v/>
      </c>
      <c r="AE34" s="463"/>
      <c r="AF34" s="463" t="str">
        <f>IF(AND('Mapa de Riesgos'!$H$60="Baja",'Mapa de Riesgos'!$L$60="Mayor"),CONCATENATE("R",'Mapa de Riesgos'!$A$60),"")</f>
        <v/>
      </c>
      <c r="AG34" s="464"/>
      <c r="AH34" s="453" t="str">
        <f>IF(AND('Mapa de Riesgos'!$H$48="Baja",'Mapa de Riesgos'!$L$48="Catastrófico"),CONCATENATE("R",'Mapa de Riesgos'!$A$48),"")</f>
        <v/>
      </c>
      <c r="AI34" s="454"/>
      <c r="AJ34" s="454" t="str">
        <f>IF(AND('Mapa de Riesgos'!$H$54="Baja",'Mapa de Riesgos'!$L$54="Catastrófico"),CONCATENATE("R",'Mapa de Riesgos'!$A$54),"")</f>
        <v/>
      </c>
      <c r="AK34" s="454"/>
      <c r="AL34" s="454" t="str">
        <f>IF(AND('Mapa de Riesgos'!$H$60="Baja",'Mapa de Riesgos'!$L$60="Catastrófico"),CONCATENATE("R",'Mapa de Riesgos'!$A$60),"")</f>
        <v/>
      </c>
      <c r="AM34" s="455"/>
      <c r="AN34" s="83"/>
      <c r="AO34" s="514"/>
      <c r="AP34" s="515"/>
      <c r="AQ34" s="515"/>
      <c r="AR34" s="515"/>
      <c r="AS34" s="515"/>
      <c r="AT34" s="51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82"/>
      <c r="C35" s="482"/>
      <c r="D35" s="483"/>
      <c r="E35" s="475"/>
      <c r="F35" s="476"/>
      <c r="G35" s="476"/>
      <c r="H35" s="476"/>
      <c r="I35" s="476"/>
      <c r="J35" s="435"/>
      <c r="K35" s="436"/>
      <c r="L35" s="436"/>
      <c r="M35" s="436"/>
      <c r="N35" s="436"/>
      <c r="O35" s="437"/>
      <c r="P35" s="445"/>
      <c r="Q35" s="445"/>
      <c r="R35" s="445"/>
      <c r="S35" s="445"/>
      <c r="T35" s="445"/>
      <c r="U35" s="446"/>
      <c r="V35" s="444"/>
      <c r="W35" s="445"/>
      <c r="X35" s="445"/>
      <c r="Y35" s="445"/>
      <c r="Z35" s="445"/>
      <c r="AA35" s="446"/>
      <c r="AB35" s="462"/>
      <c r="AC35" s="463"/>
      <c r="AD35" s="463"/>
      <c r="AE35" s="463"/>
      <c r="AF35" s="463"/>
      <c r="AG35" s="464"/>
      <c r="AH35" s="453"/>
      <c r="AI35" s="454"/>
      <c r="AJ35" s="454"/>
      <c r="AK35" s="454"/>
      <c r="AL35" s="454"/>
      <c r="AM35" s="455"/>
      <c r="AN35" s="83"/>
      <c r="AO35" s="514"/>
      <c r="AP35" s="515"/>
      <c r="AQ35" s="515"/>
      <c r="AR35" s="515"/>
      <c r="AS35" s="515"/>
      <c r="AT35" s="51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82"/>
      <c r="C36" s="482"/>
      <c r="D36" s="483"/>
      <c r="E36" s="475"/>
      <c r="F36" s="476"/>
      <c r="G36" s="476"/>
      <c r="H36" s="476"/>
      <c r="I36" s="476"/>
      <c r="J36" s="435" t="str">
        <f>IF(AND('Mapa de Riesgos'!$H$66="Baja",'Mapa de Riesgos'!$L$66="Leve"),CONCATENATE("R",'Mapa de Riesgos'!$A$66),"")</f>
        <v/>
      </c>
      <c r="K36" s="436"/>
      <c r="L36" s="436" t="str">
        <f>IF(AND('Mapa de Riesgos'!$H$72="Baja",'Mapa de Riesgos'!$L$72="Leve"),CONCATENATE("R",'Mapa de Riesgos'!$A$72),"")</f>
        <v/>
      </c>
      <c r="M36" s="436"/>
      <c r="N36" s="436" t="str">
        <f>IF(AND('Mapa de Riesgos'!$H$78="Baja",'Mapa de Riesgos'!$L$78="Leve"),CONCATENATE("R",'Mapa de Riesgos'!$A$78),"")</f>
        <v/>
      </c>
      <c r="O36" s="437"/>
      <c r="P36" s="445" t="str">
        <f>IF(AND('Mapa de Riesgos'!$H$66="Baja",'Mapa de Riesgos'!$L$66="Menor"),CONCATENATE("R",'Mapa de Riesgos'!$A$66),"")</f>
        <v/>
      </c>
      <c r="Q36" s="445"/>
      <c r="R36" s="445" t="str">
        <f>IF(AND('Mapa de Riesgos'!$H$72="Baja",'Mapa de Riesgos'!$L$72="Menor"),CONCATENATE("R",'Mapa de Riesgos'!$A$72),"")</f>
        <v/>
      </c>
      <c r="S36" s="445"/>
      <c r="T36" s="445" t="str">
        <f>IF(AND('Mapa de Riesgos'!$H$78="Baja",'Mapa de Riesgos'!$L$78="Menor"),CONCATENATE("R",'Mapa de Riesgos'!$A$78),"")</f>
        <v/>
      </c>
      <c r="U36" s="446"/>
      <c r="V36" s="444" t="str">
        <f>IF(AND('Mapa de Riesgos'!$H$66="Baja",'Mapa de Riesgos'!$L$66="Moderado"),CONCATENATE("R",'Mapa de Riesgos'!$A$66),"")</f>
        <v/>
      </c>
      <c r="W36" s="445"/>
      <c r="X36" s="445" t="str">
        <f>IF(AND('Mapa de Riesgos'!$H$72="Baja",'Mapa de Riesgos'!$L$72="Moderado"),CONCATENATE("R",'Mapa de Riesgos'!$A$72),"")</f>
        <v/>
      </c>
      <c r="Y36" s="445"/>
      <c r="Z36" s="445" t="str">
        <f>IF(AND('Mapa de Riesgos'!$H$78="Baja",'Mapa de Riesgos'!$L$78="Moderado"),CONCATENATE("R",'Mapa de Riesgos'!$A$78),"")</f>
        <v/>
      </c>
      <c r="AA36" s="446"/>
      <c r="AB36" s="462" t="str">
        <f>IF(AND('Mapa de Riesgos'!$H$66="Baja",'Mapa de Riesgos'!$L$66="Mayor"),CONCATENATE("R",'Mapa de Riesgos'!$A$66),"")</f>
        <v/>
      </c>
      <c r="AC36" s="463"/>
      <c r="AD36" s="463" t="str">
        <f>IF(AND('Mapa de Riesgos'!$H$72="Baja",'Mapa de Riesgos'!$L$72="Mayor"),CONCATENATE("R",'Mapa de Riesgos'!$A$72),"")</f>
        <v/>
      </c>
      <c r="AE36" s="463"/>
      <c r="AF36" s="463" t="str">
        <f>IF(AND('Mapa de Riesgos'!$H$78="Baja",'Mapa de Riesgos'!$L$78="Mayor"),CONCATENATE("R",'Mapa de Riesgos'!$A$78),"")</f>
        <v/>
      </c>
      <c r="AG36" s="464"/>
      <c r="AH36" s="453" t="str">
        <f>IF(AND('Mapa de Riesgos'!$H$66="Baja",'Mapa de Riesgos'!$L$66="Catastrófico"),CONCATENATE("R",'Mapa de Riesgos'!$A$66),"")</f>
        <v/>
      </c>
      <c r="AI36" s="454"/>
      <c r="AJ36" s="454" t="str">
        <f>IF(AND('Mapa de Riesgos'!$H$72="Baja",'Mapa de Riesgos'!$L$72="Catastrófico"),CONCATENATE("R",'Mapa de Riesgos'!$A$72),"")</f>
        <v/>
      </c>
      <c r="AK36" s="454"/>
      <c r="AL36" s="454" t="str">
        <f>IF(AND('Mapa de Riesgos'!$H$78="Baja",'Mapa de Riesgos'!$L$78="Catastrófico"),CONCATENATE("R",'Mapa de Riesgos'!$A$78),"")</f>
        <v/>
      </c>
      <c r="AM36" s="455"/>
      <c r="AN36" s="83"/>
      <c r="AO36" s="514"/>
      <c r="AP36" s="515"/>
      <c r="AQ36" s="515"/>
      <c r="AR36" s="515"/>
      <c r="AS36" s="515"/>
      <c r="AT36" s="51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82"/>
      <c r="C37" s="482"/>
      <c r="D37" s="483"/>
      <c r="E37" s="478"/>
      <c r="F37" s="479"/>
      <c r="G37" s="479"/>
      <c r="H37" s="479"/>
      <c r="I37" s="479"/>
      <c r="J37" s="438"/>
      <c r="K37" s="439"/>
      <c r="L37" s="439"/>
      <c r="M37" s="439"/>
      <c r="N37" s="439"/>
      <c r="O37" s="440"/>
      <c r="P37" s="448"/>
      <c r="Q37" s="448"/>
      <c r="R37" s="448"/>
      <c r="S37" s="448"/>
      <c r="T37" s="448"/>
      <c r="U37" s="449"/>
      <c r="V37" s="447"/>
      <c r="W37" s="448"/>
      <c r="X37" s="448"/>
      <c r="Y37" s="448"/>
      <c r="Z37" s="448"/>
      <c r="AA37" s="449"/>
      <c r="AB37" s="465"/>
      <c r="AC37" s="466"/>
      <c r="AD37" s="466"/>
      <c r="AE37" s="466"/>
      <c r="AF37" s="466"/>
      <c r="AG37" s="467"/>
      <c r="AH37" s="456"/>
      <c r="AI37" s="457"/>
      <c r="AJ37" s="457"/>
      <c r="AK37" s="457"/>
      <c r="AL37" s="457"/>
      <c r="AM37" s="458"/>
      <c r="AN37" s="83"/>
      <c r="AO37" s="517"/>
      <c r="AP37" s="518"/>
      <c r="AQ37" s="518"/>
      <c r="AR37" s="518"/>
      <c r="AS37" s="518"/>
      <c r="AT37" s="51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82"/>
      <c r="C38" s="482"/>
      <c r="D38" s="483"/>
      <c r="E38" s="472" t="s">
        <v>191</v>
      </c>
      <c r="F38" s="473"/>
      <c r="G38" s="473"/>
      <c r="H38" s="473"/>
      <c r="I38" s="474"/>
      <c r="J38" s="441" t="str">
        <f>IF(AND('Mapa de Riesgos'!$H$12="Muy Baja",'Mapa de Riesgos'!$L$12="Leve"),CONCATENATE("R",'Mapa de Riesgos'!$A$12),"")</f>
        <v/>
      </c>
      <c r="K38" s="442"/>
      <c r="L38" s="442" t="str">
        <f>IF(AND('Mapa de Riesgos'!$H$18="Muy Baja",'Mapa de Riesgos'!$L$18="Leve"),CONCATENATE("R",'Mapa de Riesgos'!$A$18),"")</f>
        <v/>
      </c>
      <c r="M38" s="442"/>
      <c r="N38" s="442" t="str">
        <f>IF(AND('Mapa de Riesgos'!$H$24="Muy Baja",'Mapa de Riesgos'!$L$24="Leve"),CONCATENATE("R",'Mapa de Riesgos'!$A$24),"")</f>
        <v/>
      </c>
      <c r="O38" s="443"/>
      <c r="P38" s="441" t="str">
        <f>IF(AND('Mapa de Riesgos'!$H$12="Muy Baja",'Mapa de Riesgos'!$L$12="Menor"),CONCATENATE("R",'Mapa de Riesgos'!$A$12),"")</f>
        <v/>
      </c>
      <c r="Q38" s="442"/>
      <c r="R38" s="442" t="str">
        <f>IF(AND('Mapa de Riesgos'!$H$18="Muy Baja",'Mapa de Riesgos'!$L$18="Menor"),CONCATENATE("R",'Mapa de Riesgos'!$A$18),"")</f>
        <v/>
      </c>
      <c r="S38" s="442"/>
      <c r="T38" s="442" t="str">
        <f>IF(AND('Mapa de Riesgos'!$H$24="Muy Baja",'Mapa de Riesgos'!$L$24="Menor"),CONCATENATE("R",'Mapa de Riesgos'!$A$24),"")</f>
        <v/>
      </c>
      <c r="U38" s="443"/>
      <c r="V38" s="450" t="str">
        <f>IF(AND('Mapa de Riesgos'!$H$12="Muy Baja",'Mapa de Riesgos'!$L$12="Moderado"),CONCATENATE("R",'Mapa de Riesgos'!$A$12),"")</f>
        <v/>
      </c>
      <c r="W38" s="451"/>
      <c r="X38" s="451" t="str">
        <f>IF(AND('Mapa de Riesgos'!$H$18="Muy Baja",'Mapa de Riesgos'!$L$18="Moderado"),CONCATENATE("R",'Mapa de Riesgos'!$A$18),"")</f>
        <v/>
      </c>
      <c r="Y38" s="451"/>
      <c r="Z38" s="451" t="str">
        <f>IF(AND('Mapa de Riesgos'!$H$24="Muy Baja",'Mapa de Riesgos'!$L$24="Moderado"),CONCATENATE("R",'Mapa de Riesgos'!$A$24),"")</f>
        <v/>
      </c>
      <c r="AA38" s="452"/>
      <c r="AB38" s="468" t="str">
        <f>IF(AND('Mapa de Riesgos'!$H$12="Muy Baja",'Mapa de Riesgos'!$L$12="Mayor"),CONCATENATE("R",'Mapa de Riesgos'!$A$12),"")</f>
        <v/>
      </c>
      <c r="AC38" s="469"/>
      <c r="AD38" s="469" t="str">
        <f>IF(AND('Mapa de Riesgos'!$H$18="Muy Baja",'Mapa de Riesgos'!$L$18="Mayor"),CONCATENATE("R",'Mapa de Riesgos'!$A$18),"")</f>
        <v/>
      </c>
      <c r="AE38" s="469"/>
      <c r="AF38" s="469" t="str">
        <f>IF(AND('Mapa de Riesgos'!$H$24="Muy Baja",'Mapa de Riesgos'!$L$24="Mayor"),CONCATENATE("R",'Mapa de Riesgos'!$A$24),"")</f>
        <v/>
      </c>
      <c r="AG38" s="470"/>
      <c r="AH38" s="459" t="str">
        <f>IF(AND('Mapa de Riesgos'!$H$12="Muy Baja",'Mapa de Riesgos'!$L$12="Catastrófico"),CONCATENATE("R",'Mapa de Riesgos'!$A$12),"")</f>
        <v/>
      </c>
      <c r="AI38" s="460"/>
      <c r="AJ38" s="460" t="str">
        <f>IF(AND('Mapa de Riesgos'!$H$18="Muy Baja",'Mapa de Riesgos'!$L$18="Catastrófico"),CONCATENATE("R",'Mapa de Riesgos'!$A$18),"")</f>
        <v/>
      </c>
      <c r="AK38" s="460"/>
      <c r="AL38" s="460" t="str">
        <f>IF(AND('Mapa de Riesgos'!$H$24="Muy Baja",'Mapa de Riesgos'!$L$24="Catastrófico"),CONCATENATE("R",'Mapa de Riesgos'!$A$24),"")</f>
        <v/>
      </c>
      <c r="AM38" s="46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82"/>
      <c r="C39" s="482"/>
      <c r="D39" s="483"/>
      <c r="E39" s="475"/>
      <c r="F39" s="476"/>
      <c r="G39" s="476"/>
      <c r="H39" s="476"/>
      <c r="I39" s="477"/>
      <c r="J39" s="435"/>
      <c r="K39" s="436"/>
      <c r="L39" s="436"/>
      <c r="M39" s="436"/>
      <c r="N39" s="436"/>
      <c r="O39" s="437"/>
      <c r="P39" s="435"/>
      <c r="Q39" s="436"/>
      <c r="R39" s="436"/>
      <c r="S39" s="436"/>
      <c r="T39" s="436"/>
      <c r="U39" s="437"/>
      <c r="V39" s="444"/>
      <c r="W39" s="445"/>
      <c r="X39" s="445"/>
      <c r="Y39" s="445"/>
      <c r="Z39" s="445"/>
      <c r="AA39" s="446"/>
      <c r="AB39" s="462"/>
      <c r="AC39" s="463"/>
      <c r="AD39" s="463"/>
      <c r="AE39" s="463"/>
      <c r="AF39" s="463"/>
      <c r="AG39" s="464"/>
      <c r="AH39" s="453"/>
      <c r="AI39" s="454"/>
      <c r="AJ39" s="454"/>
      <c r="AK39" s="454"/>
      <c r="AL39" s="454"/>
      <c r="AM39" s="45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82"/>
      <c r="C40" s="482"/>
      <c r="D40" s="483"/>
      <c r="E40" s="475"/>
      <c r="F40" s="476"/>
      <c r="G40" s="476"/>
      <c r="H40" s="476"/>
      <c r="I40" s="477"/>
      <c r="J40" s="435" t="str">
        <f>IF(AND('Mapa de Riesgos'!$H$30="Muy Baja",'Mapa de Riesgos'!$L$30="Leve"),CONCATENATE("R",'Mapa de Riesgos'!$A$30),"")</f>
        <v/>
      </c>
      <c r="K40" s="436"/>
      <c r="L40" s="436" t="str">
        <f>IF(AND('Mapa de Riesgos'!$H$36="Muy Baja",'Mapa de Riesgos'!$L$36="Leve"),CONCATENATE("R",'Mapa de Riesgos'!$A$36),"")</f>
        <v/>
      </c>
      <c r="M40" s="436"/>
      <c r="N40" s="436" t="str">
        <f>IF(AND('Mapa de Riesgos'!$H$42="Muy Baja",'Mapa de Riesgos'!$L$42="Leve"),CONCATENATE("R",'Mapa de Riesgos'!$A$42),"")</f>
        <v/>
      </c>
      <c r="O40" s="437"/>
      <c r="P40" s="435" t="str">
        <f>IF(AND('Mapa de Riesgos'!$H$30="Muy Baja",'Mapa de Riesgos'!$L$30="Menor"),CONCATENATE("R",'Mapa de Riesgos'!$A$30),"")</f>
        <v/>
      </c>
      <c r="Q40" s="436"/>
      <c r="R40" s="436" t="str">
        <f>IF(AND('Mapa de Riesgos'!$H$36="Muy Baja",'Mapa de Riesgos'!$L$36="Menor"),CONCATENATE("R",'Mapa de Riesgos'!$A$36),"")</f>
        <v/>
      </c>
      <c r="S40" s="436"/>
      <c r="T40" s="436" t="str">
        <f>IF(AND('Mapa de Riesgos'!$H$42="Muy Baja",'Mapa de Riesgos'!$L$42="Menor"),CONCATENATE("R",'Mapa de Riesgos'!$A$42),"")</f>
        <v/>
      </c>
      <c r="U40" s="437"/>
      <c r="V40" s="444" t="str">
        <f>IF(AND('Mapa de Riesgos'!$H$30="Muy Baja",'Mapa de Riesgos'!$L$30="Moderado"),CONCATENATE("R",'Mapa de Riesgos'!$A$30),"")</f>
        <v/>
      </c>
      <c r="W40" s="445"/>
      <c r="X40" s="445" t="str">
        <f>IF(AND('Mapa de Riesgos'!$H$36="Muy Baja",'Mapa de Riesgos'!$L$36="Moderado"),CONCATENATE("R",'Mapa de Riesgos'!$A$36),"")</f>
        <v/>
      </c>
      <c r="Y40" s="445"/>
      <c r="Z40" s="445" t="str">
        <f>IF(AND('Mapa de Riesgos'!$H$42="Muy Baja",'Mapa de Riesgos'!$L$42="Moderado"),CONCATENATE("R",'Mapa de Riesgos'!$A$42),"")</f>
        <v/>
      </c>
      <c r="AA40" s="446"/>
      <c r="AB40" s="462" t="str">
        <f>IF(AND('Mapa de Riesgos'!$H$30="Muy Baja",'Mapa de Riesgos'!$L$30="Mayor"),CONCATENATE("R",'Mapa de Riesgos'!$A$30),"")</f>
        <v/>
      </c>
      <c r="AC40" s="463"/>
      <c r="AD40" s="463" t="str">
        <f>IF(AND('Mapa de Riesgos'!$H$36="Muy Baja",'Mapa de Riesgos'!$L$36="Mayor"),CONCATENATE("R",'Mapa de Riesgos'!$A$36),"")</f>
        <v/>
      </c>
      <c r="AE40" s="463"/>
      <c r="AF40" s="463" t="str">
        <f>IF(AND('Mapa de Riesgos'!$H$42="Muy Baja",'Mapa de Riesgos'!$L$42="Mayor"),CONCATENATE("R",'Mapa de Riesgos'!$A$42),"")</f>
        <v/>
      </c>
      <c r="AG40" s="464"/>
      <c r="AH40" s="453" t="str">
        <f>IF(AND('Mapa de Riesgos'!$H$30="Muy Baja",'Mapa de Riesgos'!$L$30="Catastrófico"),CONCATENATE("R",'Mapa de Riesgos'!$A$30),"")</f>
        <v/>
      </c>
      <c r="AI40" s="454"/>
      <c r="AJ40" s="454" t="str">
        <f>IF(AND('Mapa de Riesgos'!$H$36="Muy Baja",'Mapa de Riesgos'!$L$36="Catastrófico"),CONCATENATE("R",'Mapa de Riesgos'!$A$36),"")</f>
        <v/>
      </c>
      <c r="AK40" s="454"/>
      <c r="AL40" s="454" t="str">
        <f>IF(AND('Mapa de Riesgos'!$H$42="Muy Baja",'Mapa de Riesgos'!$L$42="Catastrófico"),CONCATENATE("R",'Mapa de Riesgos'!$A$42),"")</f>
        <v/>
      </c>
      <c r="AM40" s="45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82"/>
      <c r="C41" s="482"/>
      <c r="D41" s="483"/>
      <c r="E41" s="475"/>
      <c r="F41" s="476"/>
      <c r="G41" s="476"/>
      <c r="H41" s="476"/>
      <c r="I41" s="477"/>
      <c r="J41" s="435"/>
      <c r="K41" s="436"/>
      <c r="L41" s="436"/>
      <c r="M41" s="436"/>
      <c r="N41" s="436"/>
      <c r="O41" s="437"/>
      <c r="P41" s="435"/>
      <c r="Q41" s="436"/>
      <c r="R41" s="436"/>
      <c r="S41" s="436"/>
      <c r="T41" s="436"/>
      <c r="U41" s="437"/>
      <c r="V41" s="444"/>
      <c r="W41" s="445"/>
      <c r="X41" s="445"/>
      <c r="Y41" s="445"/>
      <c r="Z41" s="445"/>
      <c r="AA41" s="446"/>
      <c r="AB41" s="462"/>
      <c r="AC41" s="463"/>
      <c r="AD41" s="463"/>
      <c r="AE41" s="463"/>
      <c r="AF41" s="463"/>
      <c r="AG41" s="464"/>
      <c r="AH41" s="453"/>
      <c r="AI41" s="454"/>
      <c r="AJ41" s="454"/>
      <c r="AK41" s="454"/>
      <c r="AL41" s="454"/>
      <c r="AM41" s="45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82"/>
      <c r="C42" s="482"/>
      <c r="D42" s="483"/>
      <c r="E42" s="475"/>
      <c r="F42" s="476"/>
      <c r="G42" s="476"/>
      <c r="H42" s="476"/>
      <c r="I42" s="477"/>
      <c r="J42" s="435" t="str">
        <f>IF(AND('Mapa de Riesgos'!$H$48="Muy Baja",'Mapa de Riesgos'!$L$48="Leve"),CONCATENATE("R",'Mapa de Riesgos'!$A$48),"")</f>
        <v/>
      </c>
      <c r="K42" s="436"/>
      <c r="L42" s="436" t="str">
        <f>IF(AND('Mapa de Riesgos'!$H$54="Muy Baja",'Mapa de Riesgos'!$L$54="Leve"),CONCATENATE("R",'Mapa de Riesgos'!$A$54),"")</f>
        <v/>
      </c>
      <c r="M42" s="436"/>
      <c r="N42" s="436" t="str">
        <f>IF(AND('Mapa de Riesgos'!$H$60="Muy Baja",'Mapa de Riesgos'!$L$60="Leve"),CONCATENATE("R",'Mapa de Riesgos'!$A$60),"")</f>
        <v/>
      </c>
      <c r="O42" s="437"/>
      <c r="P42" s="435" t="str">
        <f>IF(AND('Mapa de Riesgos'!$H$48="Muy Baja",'Mapa de Riesgos'!$L$48="Menor"),CONCATENATE("R",'Mapa de Riesgos'!$A$48),"")</f>
        <v/>
      </c>
      <c r="Q42" s="436"/>
      <c r="R42" s="436" t="str">
        <f>IF(AND('Mapa de Riesgos'!$H$54="Muy Baja",'Mapa de Riesgos'!$L$54="Menor"),CONCATENATE("R",'Mapa de Riesgos'!$A$54),"")</f>
        <v/>
      </c>
      <c r="S42" s="436"/>
      <c r="T42" s="436" t="str">
        <f>IF(AND('Mapa de Riesgos'!$H$60="Muy Baja",'Mapa de Riesgos'!$L$60="Menor"),CONCATENATE("R",'Mapa de Riesgos'!$A$60),"")</f>
        <v/>
      </c>
      <c r="U42" s="437"/>
      <c r="V42" s="444" t="str">
        <f>IF(AND('Mapa de Riesgos'!$H$48="Muy Baja",'Mapa de Riesgos'!$L$48="Moderado"),CONCATENATE("R",'Mapa de Riesgos'!$A$48),"")</f>
        <v/>
      </c>
      <c r="W42" s="445"/>
      <c r="X42" s="445" t="str">
        <f>IF(AND('Mapa de Riesgos'!$H$54="Muy Baja",'Mapa de Riesgos'!$L$54="Moderado"),CONCATENATE("R",'Mapa de Riesgos'!$A$54),"")</f>
        <v/>
      </c>
      <c r="Y42" s="445"/>
      <c r="Z42" s="445" t="str">
        <f>IF(AND('Mapa de Riesgos'!$H$60="Muy Baja",'Mapa de Riesgos'!$L$60="Moderado"),CONCATENATE("R",'Mapa de Riesgos'!$A$60),"")</f>
        <v/>
      </c>
      <c r="AA42" s="446"/>
      <c r="AB42" s="462" t="str">
        <f>IF(AND('Mapa de Riesgos'!$H$48="Muy Baja",'Mapa de Riesgos'!$L$48="Mayor"),CONCATENATE("R",'Mapa de Riesgos'!$A$48),"")</f>
        <v/>
      </c>
      <c r="AC42" s="463"/>
      <c r="AD42" s="463" t="str">
        <f>IF(AND('Mapa de Riesgos'!$H$54="Muy Baja",'Mapa de Riesgos'!$L$54="Mayor"),CONCATENATE("R",'Mapa de Riesgos'!$A$54),"")</f>
        <v/>
      </c>
      <c r="AE42" s="463"/>
      <c r="AF42" s="463" t="str">
        <f>IF(AND('Mapa de Riesgos'!$H$60="Muy Baja",'Mapa de Riesgos'!$L$60="Mayor"),CONCATENATE("R",'Mapa de Riesgos'!$A$60),"")</f>
        <v/>
      </c>
      <c r="AG42" s="464"/>
      <c r="AH42" s="453" t="str">
        <f>IF(AND('Mapa de Riesgos'!$H$48="Muy Baja",'Mapa de Riesgos'!$L$48="Catastrófico"),CONCATENATE("R",'Mapa de Riesgos'!$A$48),"")</f>
        <v/>
      </c>
      <c r="AI42" s="454"/>
      <c r="AJ42" s="454" t="str">
        <f>IF(AND('Mapa de Riesgos'!$H$54="Muy Baja",'Mapa de Riesgos'!$L$54="Catastrófico"),CONCATENATE("R",'Mapa de Riesgos'!$A$54),"")</f>
        <v/>
      </c>
      <c r="AK42" s="454"/>
      <c r="AL42" s="454" t="str">
        <f>IF(AND('Mapa de Riesgos'!$H$60="Muy Baja",'Mapa de Riesgos'!$L$60="Catastrófico"),CONCATENATE("R",'Mapa de Riesgos'!$A$60),"")</f>
        <v/>
      </c>
      <c r="AM42" s="45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82"/>
      <c r="C43" s="482"/>
      <c r="D43" s="483"/>
      <c r="E43" s="475"/>
      <c r="F43" s="476"/>
      <c r="G43" s="476"/>
      <c r="H43" s="476"/>
      <c r="I43" s="477"/>
      <c r="J43" s="435"/>
      <c r="K43" s="436"/>
      <c r="L43" s="436"/>
      <c r="M43" s="436"/>
      <c r="N43" s="436"/>
      <c r="O43" s="437"/>
      <c r="P43" s="435"/>
      <c r="Q43" s="436"/>
      <c r="R43" s="436"/>
      <c r="S43" s="436"/>
      <c r="T43" s="436"/>
      <c r="U43" s="437"/>
      <c r="V43" s="444"/>
      <c r="W43" s="445"/>
      <c r="X43" s="445"/>
      <c r="Y43" s="445"/>
      <c r="Z43" s="445"/>
      <c r="AA43" s="446"/>
      <c r="AB43" s="462"/>
      <c r="AC43" s="463"/>
      <c r="AD43" s="463"/>
      <c r="AE43" s="463"/>
      <c r="AF43" s="463"/>
      <c r="AG43" s="464"/>
      <c r="AH43" s="453"/>
      <c r="AI43" s="454"/>
      <c r="AJ43" s="454"/>
      <c r="AK43" s="454"/>
      <c r="AL43" s="454"/>
      <c r="AM43" s="45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82"/>
      <c r="C44" s="482"/>
      <c r="D44" s="483"/>
      <c r="E44" s="475"/>
      <c r="F44" s="476"/>
      <c r="G44" s="476"/>
      <c r="H44" s="476"/>
      <c r="I44" s="477"/>
      <c r="J44" s="435" t="str">
        <f>IF(AND('Mapa de Riesgos'!$H$66="Muy Baja",'Mapa de Riesgos'!$L$66="Leve"),CONCATENATE("R",'Mapa de Riesgos'!$A$66),"")</f>
        <v/>
      </c>
      <c r="K44" s="436"/>
      <c r="L44" s="436" t="str">
        <f>IF(AND('Mapa de Riesgos'!$H$72="Muy Baja",'Mapa de Riesgos'!$L$72="Leve"),CONCATENATE("R",'Mapa de Riesgos'!$A$72),"")</f>
        <v/>
      </c>
      <c r="M44" s="436"/>
      <c r="N44" s="436" t="str">
        <f>IF(AND('Mapa de Riesgos'!$H$78="Muy Baja",'Mapa de Riesgos'!$L$78="Leve"),CONCATENATE("R",'Mapa de Riesgos'!$A$78),"")</f>
        <v/>
      </c>
      <c r="O44" s="437"/>
      <c r="P44" s="435" t="str">
        <f>IF(AND('Mapa de Riesgos'!$H$66="Muy Baja",'Mapa de Riesgos'!$L$66="Menor"),CONCATENATE("R",'Mapa de Riesgos'!$A$66),"")</f>
        <v/>
      </c>
      <c r="Q44" s="436"/>
      <c r="R44" s="436" t="str">
        <f>IF(AND('Mapa de Riesgos'!$H$72="Muy Baja",'Mapa de Riesgos'!$L$72="Menor"),CONCATENATE("R",'Mapa de Riesgos'!$A$72),"")</f>
        <v/>
      </c>
      <c r="S44" s="436"/>
      <c r="T44" s="436" t="str">
        <f>IF(AND('Mapa de Riesgos'!$H$78="Muy Baja",'Mapa de Riesgos'!$L$78="Menor"),CONCATENATE("R",'Mapa de Riesgos'!$A$78),"")</f>
        <v/>
      </c>
      <c r="U44" s="437"/>
      <c r="V44" s="444" t="str">
        <f>IF(AND('Mapa de Riesgos'!$H$66="Muy Baja",'Mapa de Riesgos'!$L$66="Moderado"),CONCATENATE("R",'Mapa de Riesgos'!$A$66),"")</f>
        <v/>
      </c>
      <c r="W44" s="445"/>
      <c r="X44" s="445" t="str">
        <f>IF(AND('Mapa de Riesgos'!$H$72="Muy Baja",'Mapa de Riesgos'!$L$72="Moderado"),CONCATENATE("R",'Mapa de Riesgos'!$A$72),"")</f>
        <v/>
      </c>
      <c r="Y44" s="445"/>
      <c r="Z44" s="445" t="str">
        <f>IF(AND('Mapa de Riesgos'!$H$78="Muy Baja",'Mapa de Riesgos'!$L$78="Moderado"),CONCATENATE("R",'Mapa de Riesgos'!$A$78),"")</f>
        <v/>
      </c>
      <c r="AA44" s="446"/>
      <c r="AB44" s="462" t="str">
        <f>IF(AND('Mapa de Riesgos'!$H$66="Muy Baja",'Mapa de Riesgos'!$L$66="Mayor"),CONCATENATE("R",'Mapa de Riesgos'!$A$66),"")</f>
        <v/>
      </c>
      <c r="AC44" s="463"/>
      <c r="AD44" s="463" t="str">
        <f>IF(AND('Mapa de Riesgos'!$H$72="Muy Baja",'Mapa de Riesgos'!$L$72="Mayor"),CONCATENATE("R",'Mapa de Riesgos'!$A$72),"")</f>
        <v/>
      </c>
      <c r="AE44" s="463"/>
      <c r="AF44" s="463" t="str">
        <f>IF(AND('Mapa de Riesgos'!$H$78="Muy Baja",'Mapa de Riesgos'!$L$78="Mayor"),CONCATENATE("R",'Mapa de Riesgos'!$A$78),"")</f>
        <v/>
      </c>
      <c r="AG44" s="464"/>
      <c r="AH44" s="453" t="str">
        <f>IF(AND('Mapa de Riesgos'!$H$66="Muy Baja",'Mapa de Riesgos'!$L$66="Catastrófico"),CONCATENATE("R",'Mapa de Riesgos'!$A$66),"")</f>
        <v/>
      </c>
      <c r="AI44" s="454"/>
      <c r="AJ44" s="454" t="str">
        <f>IF(AND('Mapa de Riesgos'!$H$72="Muy Baja",'Mapa de Riesgos'!$L$72="Catastrófico"),CONCATENATE("R",'Mapa de Riesgos'!$A$72),"")</f>
        <v/>
      </c>
      <c r="AK44" s="454"/>
      <c r="AL44" s="454" t="str">
        <f>IF(AND('Mapa de Riesgos'!$H$78="Muy Baja",'Mapa de Riesgos'!$L$78="Catastrófico"),CONCATENATE("R",'Mapa de Riesgos'!$A$78),"")</f>
        <v/>
      </c>
      <c r="AM44" s="45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82"/>
      <c r="C45" s="482"/>
      <c r="D45" s="483"/>
      <c r="E45" s="478"/>
      <c r="F45" s="479"/>
      <c r="G45" s="479"/>
      <c r="H45" s="479"/>
      <c r="I45" s="480"/>
      <c r="J45" s="438"/>
      <c r="K45" s="439"/>
      <c r="L45" s="439"/>
      <c r="M45" s="439"/>
      <c r="N45" s="439"/>
      <c r="O45" s="440"/>
      <c r="P45" s="438"/>
      <c r="Q45" s="439"/>
      <c r="R45" s="439"/>
      <c r="S45" s="439"/>
      <c r="T45" s="439"/>
      <c r="U45" s="440"/>
      <c r="V45" s="447"/>
      <c r="W45" s="448"/>
      <c r="X45" s="448"/>
      <c r="Y45" s="448"/>
      <c r="Z45" s="448"/>
      <c r="AA45" s="449"/>
      <c r="AB45" s="465"/>
      <c r="AC45" s="466"/>
      <c r="AD45" s="466"/>
      <c r="AE45" s="466"/>
      <c r="AF45" s="466"/>
      <c r="AG45" s="467"/>
      <c r="AH45" s="456"/>
      <c r="AI45" s="457"/>
      <c r="AJ45" s="457"/>
      <c r="AK45" s="457"/>
      <c r="AL45" s="457"/>
      <c r="AM45" s="45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72" t="s">
        <v>192</v>
      </c>
      <c r="K46" s="473"/>
      <c r="L46" s="473"/>
      <c r="M46" s="473"/>
      <c r="N46" s="473"/>
      <c r="O46" s="474"/>
      <c r="P46" s="472" t="s">
        <v>193</v>
      </c>
      <c r="Q46" s="473"/>
      <c r="R46" s="473"/>
      <c r="S46" s="473"/>
      <c r="T46" s="473"/>
      <c r="U46" s="474"/>
      <c r="V46" s="472" t="s">
        <v>194</v>
      </c>
      <c r="W46" s="473"/>
      <c r="X46" s="473"/>
      <c r="Y46" s="473"/>
      <c r="Z46" s="473"/>
      <c r="AA46" s="474"/>
      <c r="AB46" s="472" t="s">
        <v>195</v>
      </c>
      <c r="AC46" s="481"/>
      <c r="AD46" s="473"/>
      <c r="AE46" s="473"/>
      <c r="AF46" s="473"/>
      <c r="AG46" s="474"/>
      <c r="AH46" s="472" t="s">
        <v>196</v>
      </c>
      <c r="AI46" s="473"/>
      <c r="AJ46" s="473"/>
      <c r="AK46" s="473"/>
      <c r="AL46" s="473"/>
      <c r="AM46" s="474"/>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75"/>
      <c r="K47" s="476"/>
      <c r="L47" s="476"/>
      <c r="M47" s="476"/>
      <c r="N47" s="476"/>
      <c r="O47" s="477"/>
      <c r="P47" s="475"/>
      <c r="Q47" s="476"/>
      <c r="R47" s="476"/>
      <c r="S47" s="476"/>
      <c r="T47" s="476"/>
      <c r="U47" s="477"/>
      <c r="V47" s="475"/>
      <c r="W47" s="476"/>
      <c r="X47" s="476"/>
      <c r="Y47" s="476"/>
      <c r="Z47" s="476"/>
      <c r="AA47" s="477"/>
      <c r="AB47" s="475"/>
      <c r="AC47" s="476"/>
      <c r="AD47" s="476"/>
      <c r="AE47" s="476"/>
      <c r="AF47" s="476"/>
      <c r="AG47" s="477"/>
      <c r="AH47" s="475"/>
      <c r="AI47" s="476"/>
      <c r="AJ47" s="476"/>
      <c r="AK47" s="476"/>
      <c r="AL47" s="476"/>
      <c r="AM47" s="477"/>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75"/>
      <c r="K48" s="476"/>
      <c r="L48" s="476"/>
      <c r="M48" s="476"/>
      <c r="N48" s="476"/>
      <c r="O48" s="477"/>
      <c r="P48" s="475"/>
      <c r="Q48" s="476"/>
      <c r="R48" s="476"/>
      <c r="S48" s="476"/>
      <c r="T48" s="476"/>
      <c r="U48" s="477"/>
      <c r="V48" s="475"/>
      <c r="W48" s="476"/>
      <c r="X48" s="476"/>
      <c r="Y48" s="476"/>
      <c r="Z48" s="476"/>
      <c r="AA48" s="477"/>
      <c r="AB48" s="475"/>
      <c r="AC48" s="476"/>
      <c r="AD48" s="476"/>
      <c r="AE48" s="476"/>
      <c r="AF48" s="476"/>
      <c r="AG48" s="477"/>
      <c r="AH48" s="475"/>
      <c r="AI48" s="476"/>
      <c r="AJ48" s="476"/>
      <c r="AK48" s="476"/>
      <c r="AL48" s="476"/>
      <c r="AM48" s="477"/>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75"/>
      <c r="K49" s="476"/>
      <c r="L49" s="476"/>
      <c r="M49" s="476"/>
      <c r="N49" s="476"/>
      <c r="O49" s="477"/>
      <c r="P49" s="475"/>
      <c r="Q49" s="476"/>
      <c r="R49" s="476"/>
      <c r="S49" s="476"/>
      <c r="T49" s="476"/>
      <c r="U49" s="477"/>
      <c r="V49" s="475"/>
      <c r="W49" s="476"/>
      <c r="X49" s="476"/>
      <c r="Y49" s="476"/>
      <c r="Z49" s="476"/>
      <c r="AA49" s="477"/>
      <c r="AB49" s="475"/>
      <c r="AC49" s="476"/>
      <c r="AD49" s="476"/>
      <c r="AE49" s="476"/>
      <c r="AF49" s="476"/>
      <c r="AG49" s="477"/>
      <c r="AH49" s="475"/>
      <c r="AI49" s="476"/>
      <c r="AJ49" s="476"/>
      <c r="AK49" s="476"/>
      <c r="AL49" s="476"/>
      <c r="AM49" s="477"/>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75"/>
      <c r="K50" s="476"/>
      <c r="L50" s="476"/>
      <c r="M50" s="476"/>
      <c r="N50" s="476"/>
      <c r="O50" s="477"/>
      <c r="P50" s="475"/>
      <c r="Q50" s="476"/>
      <c r="R50" s="476"/>
      <c r="S50" s="476"/>
      <c r="T50" s="476"/>
      <c r="U50" s="477"/>
      <c r="V50" s="475"/>
      <c r="W50" s="476"/>
      <c r="X50" s="476"/>
      <c r="Y50" s="476"/>
      <c r="Z50" s="476"/>
      <c r="AA50" s="477"/>
      <c r="AB50" s="475"/>
      <c r="AC50" s="476"/>
      <c r="AD50" s="476"/>
      <c r="AE50" s="476"/>
      <c r="AF50" s="476"/>
      <c r="AG50" s="477"/>
      <c r="AH50" s="475"/>
      <c r="AI50" s="476"/>
      <c r="AJ50" s="476"/>
      <c r="AK50" s="476"/>
      <c r="AL50" s="476"/>
      <c r="AM50" s="477"/>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478"/>
      <c r="K51" s="479"/>
      <c r="L51" s="479"/>
      <c r="M51" s="479"/>
      <c r="N51" s="479"/>
      <c r="O51" s="480"/>
      <c r="P51" s="478"/>
      <c r="Q51" s="479"/>
      <c r="R51" s="479"/>
      <c r="S51" s="479"/>
      <c r="T51" s="479"/>
      <c r="U51" s="480"/>
      <c r="V51" s="478"/>
      <c r="W51" s="479"/>
      <c r="X51" s="479"/>
      <c r="Y51" s="479"/>
      <c r="Z51" s="479"/>
      <c r="AA51" s="480"/>
      <c r="AB51" s="478"/>
      <c r="AC51" s="479"/>
      <c r="AD51" s="479"/>
      <c r="AE51" s="479"/>
      <c r="AF51" s="479"/>
      <c r="AG51" s="480"/>
      <c r="AH51" s="478"/>
      <c r="AI51" s="479"/>
      <c r="AJ51" s="479"/>
      <c r="AK51" s="479"/>
      <c r="AL51" s="479"/>
      <c r="AM51" s="480"/>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49" t="s">
        <v>197</v>
      </c>
      <c r="C2" s="550"/>
      <c r="D2" s="550"/>
      <c r="E2" s="550"/>
      <c r="F2" s="550"/>
      <c r="G2" s="550"/>
      <c r="H2" s="550"/>
      <c r="I2" s="550"/>
      <c r="J2" s="471" t="s">
        <v>23</v>
      </c>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50"/>
      <c r="C3" s="550"/>
      <c r="D3" s="550"/>
      <c r="E3" s="550"/>
      <c r="F3" s="550"/>
      <c r="G3" s="550"/>
      <c r="H3" s="550"/>
      <c r="I3" s="550"/>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50"/>
      <c r="C4" s="550"/>
      <c r="D4" s="550"/>
      <c r="E4" s="550"/>
      <c r="F4" s="550"/>
      <c r="G4" s="550"/>
      <c r="H4" s="550"/>
      <c r="I4" s="550"/>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82" t="s">
        <v>182</v>
      </c>
      <c r="C6" s="482"/>
      <c r="D6" s="483"/>
      <c r="E6" s="520" t="s">
        <v>183</v>
      </c>
      <c r="F6" s="521"/>
      <c r="G6" s="521"/>
      <c r="H6" s="521"/>
      <c r="I6" s="522"/>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40" t="s">
        <v>184</v>
      </c>
      <c r="AP6" s="541"/>
      <c r="AQ6" s="541"/>
      <c r="AR6" s="541"/>
      <c r="AS6" s="541"/>
      <c r="AT6" s="5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82"/>
      <c r="C7" s="482"/>
      <c r="D7" s="483"/>
      <c r="E7" s="523"/>
      <c r="F7" s="524"/>
      <c r="G7" s="524"/>
      <c r="H7" s="524"/>
      <c r="I7" s="525"/>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43"/>
      <c r="AP7" s="544"/>
      <c r="AQ7" s="544"/>
      <c r="AR7" s="544"/>
      <c r="AS7" s="544"/>
      <c r="AT7" s="5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82"/>
      <c r="C8" s="482"/>
      <c r="D8" s="483"/>
      <c r="E8" s="523"/>
      <c r="F8" s="524"/>
      <c r="G8" s="524"/>
      <c r="H8" s="524"/>
      <c r="I8" s="525"/>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43"/>
      <c r="AP8" s="544"/>
      <c r="AQ8" s="544"/>
      <c r="AR8" s="544"/>
      <c r="AS8" s="544"/>
      <c r="AT8" s="5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82"/>
      <c r="C9" s="482"/>
      <c r="D9" s="483"/>
      <c r="E9" s="523"/>
      <c r="F9" s="524"/>
      <c r="G9" s="524"/>
      <c r="H9" s="524"/>
      <c r="I9" s="525"/>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43"/>
      <c r="AP9" s="544"/>
      <c r="AQ9" s="544"/>
      <c r="AR9" s="544"/>
      <c r="AS9" s="544"/>
      <c r="AT9" s="5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82"/>
      <c r="C10" s="482"/>
      <c r="D10" s="483"/>
      <c r="E10" s="523"/>
      <c r="F10" s="524"/>
      <c r="G10" s="524"/>
      <c r="H10" s="524"/>
      <c r="I10" s="525"/>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43"/>
      <c r="AP10" s="544"/>
      <c r="AQ10" s="544"/>
      <c r="AR10" s="544"/>
      <c r="AS10" s="544"/>
      <c r="AT10" s="5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82"/>
      <c r="C11" s="482"/>
      <c r="D11" s="483"/>
      <c r="E11" s="523"/>
      <c r="F11" s="524"/>
      <c r="G11" s="524"/>
      <c r="H11" s="524"/>
      <c r="I11" s="525"/>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43"/>
      <c r="AP11" s="544"/>
      <c r="AQ11" s="544"/>
      <c r="AR11" s="544"/>
      <c r="AS11" s="544"/>
      <c r="AT11" s="5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82"/>
      <c r="C12" s="482"/>
      <c r="D12" s="483"/>
      <c r="E12" s="523"/>
      <c r="F12" s="524"/>
      <c r="G12" s="524"/>
      <c r="H12" s="524"/>
      <c r="I12" s="525"/>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43"/>
      <c r="AP12" s="544"/>
      <c r="AQ12" s="544"/>
      <c r="AR12" s="544"/>
      <c r="AS12" s="544"/>
      <c r="AT12" s="5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82"/>
      <c r="C13" s="482"/>
      <c r="D13" s="483"/>
      <c r="E13" s="523"/>
      <c r="F13" s="524"/>
      <c r="G13" s="524"/>
      <c r="H13" s="524"/>
      <c r="I13" s="525"/>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43"/>
      <c r="AP13" s="544"/>
      <c r="AQ13" s="544"/>
      <c r="AR13" s="544"/>
      <c r="AS13" s="544"/>
      <c r="AT13" s="54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82"/>
      <c r="C14" s="482"/>
      <c r="D14" s="483"/>
      <c r="E14" s="523"/>
      <c r="F14" s="524"/>
      <c r="G14" s="524"/>
      <c r="H14" s="524"/>
      <c r="I14" s="525"/>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43"/>
      <c r="AP14" s="544"/>
      <c r="AQ14" s="544"/>
      <c r="AR14" s="544"/>
      <c r="AS14" s="544"/>
      <c r="AT14" s="54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82"/>
      <c r="C15" s="482"/>
      <c r="D15" s="483"/>
      <c r="E15" s="526"/>
      <c r="F15" s="527"/>
      <c r="G15" s="527"/>
      <c r="H15" s="527"/>
      <c r="I15" s="528"/>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46"/>
      <c r="AP15" s="547"/>
      <c r="AQ15" s="547"/>
      <c r="AR15" s="547"/>
      <c r="AS15" s="547"/>
      <c r="AT15" s="54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82"/>
      <c r="C16" s="482"/>
      <c r="D16" s="483"/>
      <c r="E16" s="520" t="s">
        <v>185</v>
      </c>
      <c r="F16" s="521"/>
      <c r="G16" s="521"/>
      <c r="H16" s="521"/>
      <c r="I16" s="521"/>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30" t="s">
        <v>186</v>
      </c>
      <c r="AP16" s="531"/>
      <c r="AQ16" s="531"/>
      <c r="AR16" s="531"/>
      <c r="AS16" s="531"/>
      <c r="AT16" s="53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82"/>
      <c r="C17" s="482"/>
      <c r="D17" s="483"/>
      <c r="E17" s="539"/>
      <c r="F17" s="524"/>
      <c r="G17" s="524"/>
      <c r="H17" s="524"/>
      <c r="I17" s="524"/>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33"/>
      <c r="AP17" s="534"/>
      <c r="AQ17" s="534"/>
      <c r="AR17" s="534"/>
      <c r="AS17" s="534"/>
      <c r="AT17" s="53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82"/>
      <c r="C18" s="482"/>
      <c r="D18" s="483"/>
      <c r="E18" s="523"/>
      <c r="F18" s="524"/>
      <c r="G18" s="524"/>
      <c r="H18" s="524"/>
      <c r="I18" s="524"/>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33"/>
      <c r="AP18" s="534"/>
      <c r="AQ18" s="534"/>
      <c r="AR18" s="534"/>
      <c r="AS18" s="534"/>
      <c r="AT18" s="53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82"/>
      <c r="C19" s="482"/>
      <c r="D19" s="483"/>
      <c r="E19" s="523"/>
      <c r="F19" s="524"/>
      <c r="G19" s="524"/>
      <c r="H19" s="524"/>
      <c r="I19" s="524"/>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33"/>
      <c r="AP19" s="534"/>
      <c r="AQ19" s="534"/>
      <c r="AR19" s="534"/>
      <c r="AS19" s="534"/>
      <c r="AT19" s="53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82"/>
      <c r="C20" s="482"/>
      <c r="D20" s="483"/>
      <c r="E20" s="523"/>
      <c r="F20" s="524"/>
      <c r="G20" s="524"/>
      <c r="H20" s="524"/>
      <c r="I20" s="524"/>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33"/>
      <c r="AP20" s="534"/>
      <c r="AQ20" s="534"/>
      <c r="AR20" s="534"/>
      <c r="AS20" s="534"/>
      <c r="AT20" s="53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82"/>
      <c r="C21" s="482"/>
      <c r="D21" s="483"/>
      <c r="E21" s="523"/>
      <c r="F21" s="524"/>
      <c r="G21" s="524"/>
      <c r="H21" s="524"/>
      <c r="I21" s="524"/>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33"/>
      <c r="AP21" s="534"/>
      <c r="AQ21" s="534"/>
      <c r="AR21" s="534"/>
      <c r="AS21" s="534"/>
      <c r="AT21" s="53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82"/>
      <c r="C22" s="482"/>
      <c r="D22" s="483"/>
      <c r="E22" s="523"/>
      <c r="F22" s="524"/>
      <c r="G22" s="524"/>
      <c r="H22" s="524"/>
      <c r="I22" s="524"/>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33"/>
      <c r="AP22" s="534"/>
      <c r="AQ22" s="534"/>
      <c r="AR22" s="534"/>
      <c r="AS22" s="534"/>
      <c r="AT22" s="53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82"/>
      <c r="C23" s="482"/>
      <c r="D23" s="483"/>
      <c r="E23" s="523"/>
      <c r="F23" s="524"/>
      <c r="G23" s="524"/>
      <c r="H23" s="524"/>
      <c r="I23" s="524"/>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33"/>
      <c r="AP23" s="534"/>
      <c r="AQ23" s="534"/>
      <c r="AR23" s="534"/>
      <c r="AS23" s="534"/>
      <c r="AT23" s="53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82"/>
      <c r="C24" s="482"/>
      <c r="D24" s="483"/>
      <c r="E24" s="523"/>
      <c r="F24" s="524"/>
      <c r="G24" s="524"/>
      <c r="H24" s="524"/>
      <c r="I24" s="524"/>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33"/>
      <c r="AP24" s="534"/>
      <c r="AQ24" s="534"/>
      <c r="AR24" s="534"/>
      <c r="AS24" s="534"/>
      <c r="AT24" s="53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82"/>
      <c r="C25" s="482"/>
      <c r="D25" s="483"/>
      <c r="E25" s="526"/>
      <c r="F25" s="527"/>
      <c r="G25" s="527"/>
      <c r="H25" s="527"/>
      <c r="I25" s="527"/>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36"/>
      <c r="AP25" s="537"/>
      <c r="AQ25" s="537"/>
      <c r="AR25" s="537"/>
      <c r="AS25" s="537"/>
      <c r="AT25" s="53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82"/>
      <c r="C26" s="482"/>
      <c r="D26" s="483"/>
      <c r="E26" s="520" t="s">
        <v>187</v>
      </c>
      <c r="F26" s="521"/>
      <c r="G26" s="521"/>
      <c r="H26" s="521"/>
      <c r="I26" s="522"/>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R1C1</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60" t="s">
        <v>188</v>
      </c>
      <c r="AP26" s="561"/>
      <c r="AQ26" s="561"/>
      <c r="AR26" s="561"/>
      <c r="AS26" s="561"/>
      <c r="AT26" s="5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82"/>
      <c r="C27" s="482"/>
      <c r="D27" s="483"/>
      <c r="E27" s="539"/>
      <c r="F27" s="524"/>
      <c r="G27" s="524"/>
      <c r="H27" s="524"/>
      <c r="I27" s="525"/>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R2C1</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63"/>
      <c r="AP27" s="564"/>
      <c r="AQ27" s="564"/>
      <c r="AR27" s="564"/>
      <c r="AS27" s="564"/>
      <c r="AT27" s="56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82"/>
      <c r="C28" s="482"/>
      <c r="D28" s="483"/>
      <c r="E28" s="523"/>
      <c r="F28" s="524"/>
      <c r="G28" s="524"/>
      <c r="H28" s="524"/>
      <c r="I28" s="525"/>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63"/>
      <c r="AP28" s="564"/>
      <c r="AQ28" s="564"/>
      <c r="AR28" s="564"/>
      <c r="AS28" s="564"/>
      <c r="AT28" s="56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82"/>
      <c r="C29" s="482"/>
      <c r="D29" s="483"/>
      <c r="E29" s="523"/>
      <c r="F29" s="524"/>
      <c r="G29" s="524"/>
      <c r="H29" s="524"/>
      <c r="I29" s="525"/>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63"/>
      <c r="AP29" s="564"/>
      <c r="AQ29" s="564"/>
      <c r="AR29" s="564"/>
      <c r="AS29" s="564"/>
      <c r="AT29" s="5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82"/>
      <c r="C30" s="482"/>
      <c r="D30" s="483"/>
      <c r="E30" s="523"/>
      <c r="F30" s="524"/>
      <c r="G30" s="524"/>
      <c r="H30" s="524"/>
      <c r="I30" s="525"/>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63"/>
      <c r="AP30" s="564"/>
      <c r="AQ30" s="564"/>
      <c r="AR30" s="564"/>
      <c r="AS30" s="564"/>
      <c r="AT30" s="56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82"/>
      <c r="C31" s="482"/>
      <c r="D31" s="483"/>
      <c r="E31" s="523"/>
      <c r="F31" s="524"/>
      <c r="G31" s="524"/>
      <c r="H31" s="524"/>
      <c r="I31" s="525"/>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63"/>
      <c r="AP31" s="564"/>
      <c r="AQ31" s="564"/>
      <c r="AR31" s="564"/>
      <c r="AS31" s="564"/>
      <c r="AT31" s="56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82"/>
      <c r="C32" s="482"/>
      <c r="D32" s="483"/>
      <c r="E32" s="523"/>
      <c r="F32" s="524"/>
      <c r="G32" s="524"/>
      <c r="H32" s="524"/>
      <c r="I32" s="525"/>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63"/>
      <c r="AP32" s="564"/>
      <c r="AQ32" s="564"/>
      <c r="AR32" s="564"/>
      <c r="AS32" s="564"/>
      <c r="AT32" s="56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82"/>
      <c r="C33" s="482"/>
      <c r="D33" s="483"/>
      <c r="E33" s="523"/>
      <c r="F33" s="524"/>
      <c r="G33" s="524"/>
      <c r="H33" s="524"/>
      <c r="I33" s="525"/>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63"/>
      <c r="AP33" s="564"/>
      <c r="AQ33" s="564"/>
      <c r="AR33" s="564"/>
      <c r="AS33" s="564"/>
      <c r="AT33" s="56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82"/>
      <c r="C34" s="482"/>
      <c r="D34" s="483"/>
      <c r="E34" s="523"/>
      <c r="F34" s="524"/>
      <c r="G34" s="524"/>
      <c r="H34" s="524"/>
      <c r="I34" s="525"/>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63"/>
      <c r="AP34" s="564"/>
      <c r="AQ34" s="564"/>
      <c r="AR34" s="564"/>
      <c r="AS34" s="564"/>
      <c r="AT34" s="56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82"/>
      <c r="C35" s="482"/>
      <c r="D35" s="483"/>
      <c r="E35" s="526"/>
      <c r="F35" s="527"/>
      <c r="G35" s="527"/>
      <c r="H35" s="527"/>
      <c r="I35" s="528"/>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66"/>
      <c r="AP35" s="567"/>
      <c r="AQ35" s="567"/>
      <c r="AR35" s="567"/>
      <c r="AS35" s="567"/>
      <c r="AT35" s="56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82"/>
      <c r="C36" s="482"/>
      <c r="D36" s="483"/>
      <c r="E36" s="520" t="s">
        <v>189</v>
      </c>
      <c r="F36" s="521"/>
      <c r="G36" s="521"/>
      <c r="H36" s="521"/>
      <c r="I36" s="521"/>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
      </c>
      <c r="W36" s="65" t="str">
        <f>IF(AND('Mapa de Riesgos'!$Y$13="Baja",'Mapa de Riesgos'!$AA$13="Moderado"),CONCATENATE("R1C",'Mapa de Riesgos'!$O$13),"")</f>
        <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R1C2</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51" t="s">
        <v>190</v>
      </c>
      <c r="AP36" s="552"/>
      <c r="AQ36" s="552"/>
      <c r="AR36" s="552"/>
      <c r="AS36" s="552"/>
      <c r="AT36" s="55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82"/>
      <c r="C37" s="482"/>
      <c r="D37" s="483"/>
      <c r="E37" s="539"/>
      <c r="F37" s="524"/>
      <c r="G37" s="524"/>
      <c r="H37" s="524"/>
      <c r="I37" s="524"/>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54"/>
      <c r="AP37" s="555"/>
      <c r="AQ37" s="555"/>
      <c r="AR37" s="555"/>
      <c r="AS37" s="555"/>
      <c r="AT37" s="55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82"/>
      <c r="C38" s="482"/>
      <c r="D38" s="483"/>
      <c r="E38" s="523"/>
      <c r="F38" s="524"/>
      <c r="G38" s="524"/>
      <c r="H38" s="524"/>
      <c r="I38" s="524"/>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54"/>
      <c r="AP38" s="555"/>
      <c r="AQ38" s="555"/>
      <c r="AR38" s="555"/>
      <c r="AS38" s="555"/>
      <c r="AT38" s="556"/>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82"/>
      <c r="C39" s="482"/>
      <c r="D39" s="483"/>
      <c r="E39" s="523"/>
      <c r="F39" s="524"/>
      <c r="G39" s="524"/>
      <c r="H39" s="524"/>
      <c r="I39" s="524"/>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54"/>
      <c r="AP39" s="555"/>
      <c r="AQ39" s="555"/>
      <c r="AR39" s="555"/>
      <c r="AS39" s="555"/>
      <c r="AT39" s="556"/>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82"/>
      <c r="C40" s="482"/>
      <c r="D40" s="483"/>
      <c r="E40" s="523"/>
      <c r="F40" s="524"/>
      <c r="G40" s="524"/>
      <c r="H40" s="524"/>
      <c r="I40" s="524"/>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54"/>
      <c r="AP40" s="555"/>
      <c r="AQ40" s="555"/>
      <c r="AR40" s="555"/>
      <c r="AS40" s="555"/>
      <c r="AT40" s="556"/>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82"/>
      <c r="C41" s="482"/>
      <c r="D41" s="483"/>
      <c r="E41" s="523"/>
      <c r="F41" s="524"/>
      <c r="G41" s="524"/>
      <c r="H41" s="524"/>
      <c r="I41" s="524"/>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54"/>
      <c r="AP41" s="555"/>
      <c r="AQ41" s="555"/>
      <c r="AR41" s="555"/>
      <c r="AS41" s="555"/>
      <c r="AT41" s="556"/>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82"/>
      <c r="C42" s="482"/>
      <c r="D42" s="483"/>
      <c r="E42" s="523"/>
      <c r="F42" s="524"/>
      <c r="G42" s="524"/>
      <c r="H42" s="524"/>
      <c r="I42" s="524"/>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54"/>
      <c r="AP42" s="555"/>
      <c r="AQ42" s="555"/>
      <c r="AR42" s="555"/>
      <c r="AS42" s="555"/>
      <c r="AT42" s="556"/>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82"/>
      <c r="C43" s="482"/>
      <c r="D43" s="483"/>
      <c r="E43" s="523"/>
      <c r="F43" s="524"/>
      <c r="G43" s="524"/>
      <c r="H43" s="524"/>
      <c r="I43" s="524"/>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54"/>
      <c r="AP43" s="555"/>
      <c r="AQ43" s="555"/>
      <c r="AR43" s="555"/>
      <c r="AS43" s="555"/>
      <c r="AT43" s="556"/>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82"/>
      <c r="C44" s="482"/>
      <c r="D44" s="483"/>
      <c r="E44" s="523"/>
      <c r="F44" s="524"/>
      <c r="G44" s="524"/>
      <c r="H44" s="524"/>
      <c r="I44" s="524"/>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54"/>
      <c r="AP44" s="555"/>
      <c r="AQ44" s="555"/>
      <c r="AR44" s="555"/>
      <c r="AS44" s="555"/>
      <c r="AT44" s="556"/>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82"/>
      <c r="C45" s="482"/>
      <c r="D45" s="483"/>
      <c r="E45" s="526"/>
      <c r="F45" s="527"/>
      <c r="G45" s="527"/>
      <c r="H45" s="527"/>
      <c r="I45" s="527"/>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57"/>
      <c r="AP45" s="558"/>
      <c r="AQ45" s="558"/>
      <c r="AR45" s="558"/>
      <c r="AS45" s="558"/>
      <c r="AT45" s="559"/>
    </row>
    <row r="46" spans="1:80" ht="46.5" customHeight="1">
      <c r="A46" s="83"/>
      <c r="B46" s="482"/>
      <c r="C46" s="482"/>
      <c r="D46" s="483"/>
      <c r="E46" s="520" t="s">
        <v>191</v>
      </c>
      <c r="F46" s="521"/>
      <c r="G46" s="521"/>
      <c r="H46" s="521"/>
      <c r="I46" s="522"/>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82"/>
      <c r="C47" s="482"/>
      <c r="D47" s="483"/>
      <c r="E47" s="539"/>
      <c r="F47" s="524"/>
      <c r="G47" s="524"/>
      <c r="H47" s="524"/>
      <c r="I47" s="525"/>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82"/>
      <c r="C48" s="482"/>
      <c r="D48" s="483"/>
      <c r="E48" s="539"/>
      <c r="F48" s="524"/>
      <c r="G48" s="524"/>
      <c r="H48" s="524"/>
      <c r="I48" s="525"/>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82"/>
      <c r="C49" s="482"/>
      <c r="D49" s="483"/>
      <c r="E49" s="523"/>
      <c r="F49" s="524"/>
      <c r="G49" s="524"/>
      <c r="H49" s="524"/>
      <c r="I49" s="525"/>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82"/>
      <c r="C50" s="482"/>
      <c r="D50" s="483"/>
      <c r="E50" s="523"/>
      <c r="F50" s="524"/>
      <c r="G50" s="524"/>
      <c r="H50" s="524"/>
      <c r="I50" s="525"/>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82"/>
      <c r="C51" s="482"/>
      <c r="D51" s="483"/>
      <c r="E51" s="523"/>
      <c r="F51" s="524"/>
      <c r="G51" s="524"/>
      <c r="H51" s="524"/>
      <c r="I51" s="525"/>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82"/>
      <c r="C52" s="482"/>
      <c r="D52" s="483"/>
      <c r="E52" s="523"/>
      <c r="F52" s="524"/>
      <c r="G52" s="524"/>
      <c r="H52" s="524"/>
      <c r="I52" s="525"/>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82"/>
      <c r="C53" s="482"/>
      <c r="D53" s="483"/>
      <c r="E53" s="523"/>
      <c r="F53" s="524"/>
      <c r="G53" s="524"/>
      <c r="H53" s="524"/>
      <c r="I53" s="525"/>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82"/>
      <c r="C54" s="482"/>
      <c r="D54" s="483"/>
      <c r="E54" s="523"/>
      <c r="F54" s="524"/>
      <c r="G54" s="524"/>
      <c r="H54" s="524"/>
      <c r="I54" s="525"/>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82"/>
      <c r="C55" s="482"/>
      <c r="D55" s="483"/>
      <c r="E55" s="526"/>
      <c r="F55" s="527"/>
      <c r="G55" s="527"/>
      <c r="H55" s="527"/>
      <c r="I55" s="528"/>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20" t="s">
        <v>192</v>
      </c>
      <c r="K56" s="521"/>
      <c r="L56" s="521"/>
      <c r="M56" s="521"/>
      <c r="N56" s="521"/>
      <c r="O56" s="522"/>
      <c r="P56" s="520" t="s">
        <v>193</v>
      </c>
      <c r="Q56" s="521"/>
      <c r="R56" s="521"/>
      <c r="S56" s="521"/>
      <c r="T56" s="521"/>
      <c r="U56" s="522"/>
      <c r="V56" s="520" t="s">
        <v>194</v>
      </c>
      <c r="W56" s="521"/>
      <c r="X56" s="521"/>
      <c r="Y56" s="521"/>
      <c r="Z56" s="521"/>
      <c r="AA56" s="522"/>
      <c r="AB56" s="520" t="s">
        <v>195</v>
      </c>
      <c r="AC56" s="529"/>
      <c r="AD56" s="521"/>
      <c r="AE56" s="521"/>
      <c r="AF56" s="521"/>
      <c r="AG56" s="522"/>
      <c r="AH56" s="520" t="s">
        <v>196</v>
      </c>
      <c r="AI56" s="521"/>
      <c r="AJ56" s="521"/>
      <c r="AK56" s="521"/>
      <c r="AL56" s="521"/>
      <c r="AM56" s="52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23"/>
      <c r="K57" s="524"/>
      <c r="L57" s="524"/>
      <c r="M57" s="524"/>
      <c r="N57" s="524"/>
      <c r="O57" s="525"/>
      <c r="P57" s="523"/>
      <c r="Q57" s="524"/>
      <c r="R57" s="524"/>
      <c r="S57" s="524"/>
      <c r="T57" s="524"/>
      <c r="U57" s="525"/>
      <c r="V57" s="523"/>
      <c r="W57" s="524"/>
      <c r="X57" s="524"/>
      <c r="Y57" s="524"/>
      <c r="Z57" s="524"/>
      <c r="AA57" s="525"/>
      <c r="AB57" s="523"/>
      <c r="AC57" s="524"/>
      <c r="AD57" s="524"/>
      <c r="AE57" s="524"/>
      <c r="AF57" s="524"/>
      <c r="AG57" s="525"/>
      <c r="AH57" s="523"/>
      <c r="AI57" s="524"/>
      <c r="AJ57" s="524"/>
      <c r="AK57" s="524"/>
      <c r="AL57" s="524"/>
      <c r="AM57" s="52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23"/>
      <c r="K58" s="524"/>
      <c r="L58" s="524"/>
      <c r="M58" s="524"/>
      <c r="N58" s="524"/>
      <c r="O58" s="525"/>
      <c r="P58" s="523"/>
      <c r="Q58" s="524"/>
      <c r="R58" s="524"/>
      <c r="S58" s="524"/>
      <c r="T58" s="524"/>
      <c r="U58" s="525"/>
      <c r="V58" s="523"/>
      <c r="W58" s="524"/>
      <c r="X58" s="524"/>
      <c r="Y58" s="524"/>
      <c r="Z58" s="524"/>
      <c r="AA58" s="525"/>
      <c r="AB58" s="523"/>
      <c r="AC58" s="524"/>
      <c r="AD58" s="524"/>
      <c r="AE58" s="524"/>
      <c r="AF58" s="524"/>
      <c r="AG58" s="525"/>
      <c r="AH58" s="523"/>
      <c r="AI58" s="524"/>
      <c r="AJ58" s="524"/>
      <c r="AK58" s="524"/>
      <c r="AL58" s="524"/>
      <c r="AM58" s="52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23"/>
      <c r="K59" s="524"/>
      <c r="L59" s="524"/>
      <c r="M59" s="524"/>
      <c r="N59" s="524"/>
      <c r="O59" s="525"/>
      <c r="P59" s="523"/>
      <c r="Q59" s="524"/>
      <c r="R59" s="524"/>
      <c r="S59" s="524"/>
      <c r="T59" s="524"/>
      <c r="U59" s="525"/>
      <c r="V59" s="523"/>
      <c r="W59" s="524"/>
      <c r="X59" s="524"/>
      <c r="Y59" s="524"/>
      <c r="Z59" s="524"/>
      <c r="AA59" s="525"/>
      <c r="AB59" s="523"/>
      <c r="AC59" s="524"/>
      <c r="AD59" s="524"/>
      <c r="AE59" s="524"/>
      <c r="AF59" s="524"/>
      <c r="AG59" s="525"/>
      <c r="AH59" s="523"/>
      <c r="AI59" s="524"/>
      <c r="AJ59" s="524"/>
      <c r="AK59" s="524"/>
      <c r="AL59" s="524"/>
      <c r="AM59" s="52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23"/>
      <c r="K60" s="524"/>
      <c r="L60" s="524"/>
      <c r="M60" s="524"/>
      <c r="N60" s="524"/>
      <c r="O60" s="525"/>
      <c r="P60" s="523"/>
      <c r="Q60" s="524"/>
      <c r="R60" s="524"/>
      <c r="S60" s="524"/>
      <c r="T60" s="524"/>
      <c r="U60" s="525"/>
      <c r="V60" s="523"/>
      <c r="W60" s="524"/>
      <c r="X60" s="524"/>
      <c r="Y60" s="524"/>
      <c r="Z60" s="524"/>
      <c r="AA60" s="525"/>
      <c r="AB60" s="523"/>
      <c r="AC60" s="524"/>
      <c r="AD60" s="524"/>
      <c r="AE60" s="524"/>
      <c r="AF60" s="524"/>
      <c r="AG60" s="525"/>
      <c r="AH60" s="523"/>
      <c r="AI60" s="524"/>
      <c r="AJ60" s="524"/>
      <c r="AK60" s="524"/>
      <c r="AL60" s="524"/>
      <c r="AM60" s="52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26"/>
      <c r="K61" s="527"/>
      <c r="L61" s="527"/>
      <c r="M61" s="527"/>
      <c r="N61" s="527"/>
      <c r="O61" s="528"/>
      <c r="P61" s="526"/>
      <c r="Q61" s="527"/>
      <c r="R61" s="527"/>
      <c r="S61" s="527"/>
      <c r="T61" s="527"/>
      <c r="U61" s="528"/>
      <c r="V61" s="526"/>
      <c r="W61" s="527"/>
      <c r="X61" s="527"/>
      <c r="Y61" s="527"/>
      <c r="Z61" s="527"/>
      <c r="AA61" s="528"/>
      <c r="AB61" s="526"/>
      <c r="AC61" s="527"/>
      <c r="AD61" s="527"/>
      <c r="AE61" s="527"/>
      <c r="AF61" s="527"/>
      <c r="AG61" s="528"/>
      <c r="AH61" s="526"/>
      <c r="AI61" s="527"/>
      <c r="AJ61" s="527"/>
      <c r="AK61" s="527"/>
      <c r="AL61" s="527"/>
      <c r="AM61" s="528"/>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69" t="s">
        <v>198</v>
      </c>
      <c r="C1" s="569"/>
      <c r="D1" s="569"/>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199</v>
      </c>
      <c r="D3" s="12" t="s">
        <v>182</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200</v>
      </c>
      <c r="C4" s="14" t="s">
        <v>201</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202</v>
      </c>
      <c r="C5" s="17" t="s">
        <v>203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204</v>
      </c>
      <c r="C6" s="17" t="s">
        <v>205</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206</v>
      </c>
      <c r="C7" s="17" t="s">
        <v>207</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208</v>
      </c>
      <c r="C8" s="17" t="s">
        <v>209</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70" t="s">
        <v>210</v>
      </c>
      <c r="C1" s="570"/>
      <c r="D1" s="570"/>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211</v>
      </c>
      <c r="D3" s="36" t="s">
        <v>212</v>
      </c>
      <c r="E3" s="83"/>
      <c r="F3" s="83"/>
      <c r="G3" s="83"/>
      <c r="H3" s="83"/>
      <c r="I3" s="83"/>
      <c r="J3" s="83"/>
      <c r="K3" s="83"/>
      <c r="L3" s="83"/>
      <c r="M3" s="83"/>
      <c r="N3" s="83"/>
      <c r="O3" s="83"/>
      <c r="P3" s="83"/>
      <c r="Q3" s="83"/>
      <c r="R3" s="83"/>
      <c r="S3" s="83"/>
      <c r="T3" s="83"/>
      <c r="U3" s="83"/>
    </row>
    <row r="4" spans="1:21" ht="33.75">
      <c r="A4" s="100" t="s">
        <v>213</v>
      </c>
      <c r="B4" s="39" t="s">
        <v>214</v>
      </c>
      <c r="C4" s="44" t="s">
        <v>215</v>
      </c>
      <c r="D4" s="37" t="s">
        <v>216</v>
      </c>
      <c r="E4" s="83"/>
      <c r="F4" s="83"/>
      <c r="G4" s="83"/>
      <c r="H4" s="83"/>
      <c r="I4" s="83"/>
      <c r="J4" s="83"/>
      <c r="K4" s="83"/>
      <c r="L4" s="83"/>
      <c r="M4" s="83"/>
      <c r="N4" s="83"/>
      <c r="O4" s="83"/>
      <c r="P4" s="83"/>
      <c r="Q4" s="83"/>
      <c r="R4" s="83"/>
      <c r="S4" s="83"/>
      <c r="T4" s="83"/>
      <c r="U4" s="83"/>
    </row>
    <row r="5" spans="1:21" ht="67.5">
      <c r="A5" s="100" t="s">
        <v>217</v>
      </c>
      <c r="B5" s="40" t="s">
        <v>218</v>
      </c>
      <c r="C5" s="45" t="s">
        <v>219</v>
      </c>
      <c r="D5" s="38" t="s">
        <v>220</v>
      </c>
      <c r="E5" s="83"/>
      <c r="F5" s="83"/>
      <c r="G5" s="83"/>
      <c r="H5" s="83"/>
      <c r="I5" s="83"/>
      <c r="J5" s="83"/>
      <c r="K5" s="83"/>
      <c r="L5" s="83"/>
      <c r="M5" s="83"/>
      <c r="N5" s="83"/>
      <c r="O5" s="83"/>
      <c r="P5" s="83"/>
      <c r="Q5" s="83"/>
      <c r="R5" s="83"/>
      <c r="S5" s="83"/>
      <c r="T5" s="83"/>
      <c r="U5" s="83"/>
    </row>
    <row r="6" spans="1:21" ht="67.5">
      <c r="A6" s="100" t="s">
        <v>188</v>
      </c>
      <c r="B6" s="41" t="s">
        <v>221</v>
      </c>
      <c r="C6" s="45" t="s">
        <v>222</v>
      </c>
      <c r="D6" s="38" t="s">
        <v>223</v>
      </c>
      <c r="E6" s="83"/>
      <c r="F6" s="83"/>
      <c r="G6" s="83"/>
      <c r="H6" s="83"/>
      <c r="I6" s="83"/>
      <c r="J6" s="83"/>
      <c r="K6" s="83"/>
      <c r="L6" s="83"/>
      <c r="M6" s="83"/>
      <c r="N6" s="83"/>
      <c r="O6" s="83"/>
      <c r="P6" s="83"/>
      <c r="Q6" s="83"/>
      <c r="R6" s="83"/>
      <c r="S6" s="83"/>
      <c r="T6" s="83"/>
      <c r="U6" s="83"/>
    </row>
    <row r="7" spans="1:21" ht="101.25">
      <c r="A7" s="100" t="s">
        <v>224</v>
      </c>
      <c r="B7" s="42" t="s">
        <v>225</v>
      </c>
      <c r="C7" s="45" t="s">
        <v>226</v>
      </c>
      <c r="D7" s="38" t="s">
        <v>227</v>
      </c>
      <c r="E7" s="83"/>
      <c r="F7" s="83"/>
      <c r="G7" s="83"/>
      <c r="H7" s="83"/>
      <c r="I7" s="83"/>
      <c r="J7" s="83"/>
      <c r="K7" s="83"/>
      <c r="L7" s="83"/>
      <c r="M7" s="83"/>
      <c r="N7" s="83"/>
      <c r="O7" s="83"/>
      <c r="P7" s="83"/>
      <c r="Q7" s="83"/>
      <c r="R7" s="83"/>
      <c r="S7" s="83"/>
      <c r="T7" s="83"/>
      <c r="U7" s="83"/>
    </row>
    <row r="8" spans="1:21" ht="67.5">
      <c r="A8" s="100" t="s">
        <v>228</v>
      </c>
      <c r="B8" s="43" t="s">
        <v>229</v>
      </c>
      <c r="C8" s="45" t="s">
        <v>230</v>
      </c>
      <c r="D8" s="38" t="s">
        <v>231</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232</v>
      </c>
      <c r="C11" s="100" t="s">
        <v>233</v>
      </c>
      <c r="D11" s="100" t="s">
        <v>234</v>
      </c>
      <c r="E11" s="83"/>
      <c r="F11" s="83"/>
      <c r="G11" s="83"/>
      <c r="H11" s="83"/>
      <c r="I11" s="83"/>
      <c r="J11" s="83"/>
      <c r="K11" s="83"/>
      <c r="L11" s="83"/>
      <c r="M11" s="83"/>
      <c r="N11" s="83"/>
      <c r="O11" s="83"/>
      <c r="P11" s="83"/>
      <c r="Q11" s="83"/>
      <c r="R11" s="83"/>
      <c r="S11" s="83"/>
      <c r="T11" s="83"/>
      <c r="U11" s="83"/>
    </row>
    <row r="12" spans="1:21">
      <c r="A12" s="100"/>
      <c r="B12" s="100" t="s">
        <v>235</v>
      </c>
      <c r="C12" s="100" t="s">
        <v>236</v>
      </c>
      <c r="D12" s="100" t="s">
        <v>237</v>
      </c>
      <c r="E12" s="83"/>
      <c r="F12" s="83"/>
      <c r="G12" s="83"/>
      <c r="H12" s="83"/>
      <c r="I12" s="83"/>
      <c r="J12" s="83"/>
      <c r="K12" s="83"/>
      <c r="L12" s="83"/>
      <c r="M12" s="83"/>
      <c r="N12" s="83"/>
      <c r="O12" s="83"/>
      <c r="P12" s="83"/>
      <c r="Q12" s="83"/>
      <c r="R12" s="83"/>
      <c r="S12" s="83"/>
      <c r="T12" s="83"/>
      <c r="U12" s="83"/>
    </row>
    <row r="13" spans="1:21">
      <c r="A13" s="100"/>
      <c r="B13" s="100"/>
      <c r="C13" s="100" t="s">
        <v>238</v>
      </c>
      <c r="D13" s="100" t="s">
        <v>239</v>
      </c>
      <c r="E13" s="83"/>
      <c r="F13" s="83"/>
      <c r="G13" s="83"/>
      <c r="H13" s="83"/>
      <c r="I13" s="83"/>
      <c r="J13" s="83"/>
      <c r="K13" s="83"/>
      <c r="L13" s="83"/>
      <c r="M13" s="83"/>
      <c r="N13" s="83"/>
      <c r="O13" s="83"/>
      <c r="P13" s="83"/>
      <c r="Q13" s="83"/>
      <c r="R13" s="83"/>
      <c r="S13" s="83"/>
      <c r="T13" s="83"/>
      <c r="U13" s="83"/>
    </row>
    <row r="14" spans="1:21">
      <c r="A14" s="100"/>
      <c r="B14" s="100"/>
      <c r="C14" s="100" t="s">
        <v>240</v>
      </c>
      <c r="D14" s="100" t="s">
        <v>161</v>
      </c>
      <c r="E14" s="83"/>
      <c r="F14" s="83"/>
      <c r="G14" s="83"/>
      <c r="H14" s="83"/>
      <c r="I14" s="83"/>
      <c r="J14" s="83"/>
      <c r="K14" s="83"/>
      <c r="L14" s="83"/>
      <c r="M14" s="83"/>
      <c r="N14" s="83"/>
      <c r="O14" s="83"/>
      <c r="P14" s="83"/>
      <c r="Q14" s="83"/>
      <c r="R14" s="83"/>
      <c r="S14" s="83"/>
      <c r="T14" s="83"/>
      <c r="U14" s="83"/>
    </row>
    <row r="15" spans="1:21">
      <c r="A15" s="100"/>
      <c r="B15" s="100"/>
      <c r="C15" s="100" t="s">
        <v>241</v>
      </c>
      <c r="D15" s="100" t="s">
        <v>242</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243</v>
      </c>
      <c r="C209" s="30" t="s">
        <v>244</v>
      </c>
      <c r="D209" s="33" t="s">
        <v>243</v>
      </c>
      <c r="E209" s="33" t="s">
        <v>244</v>
      </c>
    </row>
    <row r="210" spans="1:8" ht="21">
      <c r="A210" s="83"/>
      <c r="B210" s="31" t="s">
        <v>245</v>
      </c>
      <c r="C210" s="31" t="s">
        <v>246</v>
      </c>
      <c r="D210" t="s">
        <v>245</v>
      </c>
      <c r="F210" t="str">
        <f>IF(NOT(ISBLANK(D210)),D210,IF(NOT(ISBLANK(E210)),"     "&amp;E210,FALSE))</f>
        <v>Afectación Económica o presupuestal</v>
      </c>
      <c r="G210" t="s">
        <v>245</v>
      </c>
      <c r="H210" t="str">
        <f>IF(NOT(ISERROR(MATCH(G210,_xlfn.ANCHORARRAY(B221),0))),F223&amp;"Por favor no seleccionar los criterios de impacto",G210)</f>
        <v>❌Por favor no seleccionar los criterios de impacto</v>
      </c>
    </row>
    <row r="211" spans="1:8" ht="21">
      <c r="A211" s="83"/>
      <c r="B211" s="31" t="s">
        <v>245</v>
      </c>
      <c r="C211" s="31" t="s">
        <v>219</v>
      </c>
      <c r="E211" t="s">
        <v>246</v>
      </c>
      <c r="F211" t="str">
        <f t="shared" ref="F211:F221" si="0">IF(NOT(ISBLANK(D211)),D211,IF(NOT(ISBLANK(E211)),"     "&amp;E211,FALSE))</f>
        <v xml:space="preserve">     Afectación menor a 10 SMLMV .</v>
      </c>
    </row>
    <row r="212" spans="1:8" ht="21">
      <c r="A212" s="83"/>
      <c r="B212" s="31" t="s">
        <v>245</v>
      </c>
      <c r="C212" s="31" t="s">
        <v>222</v>
      </c>
      <c r="E212" t="s">
        <v>219</v>
      </c>
      <c r="F212" t="str">
        <f t="shared" si="0"/>
        <v xml:space="preserve">     Entre 10 y 50 SMLMV </v>
      </c>
    </row>
    <row r="213" spans="1:8" ht="21">
      <c r="A213" s="83"/>
      <c r="B213" s="31" t="s">
        <v>245</v>
      </c>
      <c r="C213" s="31" t="s">
        <v>226</v>
      </c>
      <c r="E213" t="s">
        <v>222</v>
      </c>
      <c r="F213" t="str">
        <f t="shared" si="0"/>
        <v xml:space="preserve">     Entre 50 y 100 SMLMV </v>
      </c>
    </row>
    <row r="214" spans="1:8" ht="21">
      <c r="A214" s="83"/>
      <c r="B214" s="31" t="s">
        <v>245</v>
      </c>
      <c r="C214" s="31" t="s">
        <v>230</v>
      </c>
      <c r="E214" t="s">
        <v>226</v>
      </c>
      <c r="F214" t="str">
        <f t="shared" si="0"/>
        <v xml:space="preserve">     Entre 100 y 500 SMLMV </v>
      </c>
    </row>
    <row r="215" spans="1:8" ht="21">
      <c r="A215" s="83"/>
      <c r="B215" s="31" t="s">
        <v>212</v>
      </c>
      <c r="C215" s="31" t="s">
        <v>216</v>
      </c>
      <c r="E215" t="s">
        <v>230</v>
      </c>
      <c r="F215" t="str">
        <f t="shared" si="0"/>
        <v xml:space="preserve">     Mayor a 500 SMLMV </v>
      </c>
    </row>
    <row r="216" spans="1:8" ht="21">
      <c r="A216" s="83"/>
      <c r="B216" s="31" t="s">
        <v>212</v>
      </c>
      <c r="C216" s="31" t="s">
        <v>220</v>
      </c>
      <c r="D216" t="s">
        <v>212</v>
      </c>
      <c r="F216" t="str">
        <f t="shared" si="0"/>
        <v>Pérdida Reputacional</v>
      </c>
    </row>
    <row r="217" spans="1:8" ht="21">
      <c r="A217" s="83"/>
      <c r="B217" s="31" t="s">
        <v>212</v>
      </c>
      <c r="C217" s="31" t="s">
        <v>223</v>
      </c>
      <c r="E217" t="s">
        <v>216</v>
      </c>
      <c r="F217" t="str">
        <f t="shared" si="0"/>
        <v xml:space="preserve">     El riesgo afecta la imagen de alguna área de la organización</v>
      </c>
    </row>
    <row r="218" spans="1:8" ht="21">
      <c r="A218" s="83"/>
      <c r="B218" s="31" t="s">
        <v>212</v>
      </c>
      <c r="C218" s="31" t="s">
        <v>227</v>
      </c>
      <c r="E218" t="s">
        <v>220</v>
      </c>
      <c r="F218" t="str">
        <f t="shared" si="0"/>
        <v xml:space="preserve">     El riesgo afecta la imagen de la entidad internamente, de conocimiento general, nivel interno, de junta dircetiva y accionistas y/o de provedores</v>
      </c>
    </row>
    <row r="219" spans="1:8" ht="21">
      <c r="A219" s="83"/>
      <c r="B219" s="31" t="s">
        <v>212</v>
      </c>
      <c r="C219" s="31" t="s">
        <v>231</v>
      </c>
      <c r="E219" t="s">
        <v>223</v>
      </c>
      <c r="F219" t="str">
        <f t="shared" si="0"/>
        <v xml:space="preserve">     El riesgo afecta la imagen de la entidad con algunos usuarios de relevancia frente al logro de los objetivos</v>
      </c>
    </row>
    <row r="220" spans="1:8">
      <c r="A220" s="83"/>
      <c r="B220" s="32"/>
      <c r="C220" s="32"/>
      <c r="E220" t="s">
        <v>227</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231</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247</v>
      </c>
    </row>
    <row r="224" spans="1:8">
      <c r="B224" s="22"/>
      <c r="C224" s="22"/>
      <c r="F224" s="35" t="s">
        <v>248</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71" t="s">
        <v>249</v>
      </c>
      <c r="C1" s="572"/>
      <c r="D1" s="572"/>
      <c r="E1" s="572"/>
      <c r="F1" s="573"/>
    </row>
    <row r="2" spans="2:6" ht="16.5" thickBot="1">
      <c r="B2" s="86"/>
      <c r="C2" s="86"/>
      <c r="D2" s="86"/>
      <c r="E2" s="86"/>
      <c r="F2" s="86"/>
    </row>
    <row r="3" spans="2:6" ht="16.5" thickBot="1">
      <c r="B3" s="575" t="s">
        <v>250</v>
      </c>
      <c r="C3" s="576"/>
      <c r="D3" s="576"/>
      <c r="E3" s="98" t="s">
        <v>251</v>
      </c>
      <c r="F3" s="99" t="s">
        <v>252</v>
      </c>
    </row>
    <row r="4" spans="2:6" ht="31.5">
      <c r="B4" s="577" t="s">
        <v>253</v>
      </c>
      <c r="C4" s="579" t="s">
        <v>150</v>
      </c>
      <c r="D4" s="87" t="s">
        <v>163</v>
      </c>
      <c r="E4" s="88" t="s">
        <v>254</v>
      </c>
      <c r="F4" s="89">
        <v>0.25</v>
      </c>
    </row>
    <row r="5" spans="2:6" ht="47.25">
      <c r="B5" s="578"/>
      <c r="C5" s="580"/>
      <c r="D5" s="90" t="s">
        <v>172</v>
      </c>
      <c r="E5" s="91" t="s">
        <v>255</v>
      </c>
      <c r="F5" s="92">
        <v>0.15</v>
      </c>
    </row>
    <row r="6" spans="2:6" ht="47.25">
      <c r="B6" s="578"/>
      <c r="C6" s="580"/>
      <c r="D6" s="90" t="s">
        <v>256</v>
      </c>
      <c r="E6" s="91" t="s">
        <v>257</v>
      </c>
      <c r="F6" s="92">
        <v>0.1</v>
      </c>
    </row>
    <row r="7" spans="2:6" ht="63">
      <c r="B7" s="578"/>
      <c r="C7" s="580" t="s">
        <v>151</v>
      </c>
      <c r="D7" s="90" t="s">
        <v>258</v>
      </c>
      <c r="E7" s="91" t="s">
        <v>259</v>
      </c>
      <c r="F7" s="92">
        <v>0.25</v>
      </c>
    </row>
    <row r="8" spans="2:6" ht="31.5">
      <c r="B8" s="578"/>
      <c r="C8" s="580"/>
      <c r="D8" s="90" t="s">
        <v>164</v>
      </c>
      <c r="E8" s="91" t="s">
        <v>260</v>
      </c>
      <c r="F8" s="92">
        <v>0.15</v>
      </c>
    </row>
    <row r="9" spans="2:6" ht="47.25">
      <c r="B9" s="578" t="s">
        <v>261</v>
      </c>
      <c r="C9" s="580" t="s">
        <v>153</v>
      </c>
      <c r="D9" s="90" t="s">
        <v>165</v>
      </c>
      <c r="E9" s="91" t="s">
        <v>262</v>
      </c>
      <c r="F9" s="93" t="s">
        <v>263</v>
      </c>
    </row>
    <row r="10" spans="2:6" ht="63">
      <c r="B10" s="578"/>
      <c r="C10" s="580"/>
      <c r="D10" s="90" t="s">
        <v>264</v>
      </c>
      <c r="E10" s="91" t="s">
        <v>265</v>
      </c>
      <c r="F10" s="93" t="s">
        <v>263</v>
      </c>
    </row>
    <row r="11" spans="2:6" ht="47.25">
      <c r="B11" s="578"/>
      <c r="C11" s="580" t="s">
        <v>154</v>
      </c>
      <c r="D11" s="90" t="s">
        <v>166</v>
      </c>
      <c r="E11" s="91" t="s">
        <v>266</v>
      </c>
      <c r="F11" s="93" t="s">
        <v>263</v>
      </c>
    </row>
    <row r="12" spans="2:6" ht="47.25">
      <c r="B12" s="578"/>
      <c r="C12" s="580"/>
      <c r="D12" s="90" t="s">
        <v>267</v>
      </c>
      <c r="E12" s="91" t="s">
        <v>268</v>
      </c>
      <c r="F12" s="93" t="s">
        <v>263</v>
      </c>
    </row>
    <row r="13" spans="2:6" ht="31.5">
      <c r="B13" s="578"/>
      <c r="C13" s="580" t="s">
        <v>155</v>
      </c>
      <c r="D13" s="90" t="s">
        <v>167</v>
      </c>
      <c r="E13" s="91" t="s">
        <v>269</v>
      </c>
      <c r="F13" s="93" t="s">
        <v>263</v>
      </c>
    </row>
    <row r="14" spans="2:6" ht="32.25" thickBot="1">
      <c r="B14" s="581"/>
      <c r="C14" s="582"/>
      <c r="D14" s="94" t="s">
        <v>270</v>
      </c>
      <c r="E14" s="95" t="s">
        <v>271</v>
      </c>
      <c r="F14" s="96" t="s">
        <v>263</v>
      </c>
    </row>
    <row r="15" spans="2:6" ht="49.5" customHeight="1">
      <c r="B15" s="574" t="s">
        <v>272</v>
      </c>
      <c r="C15" s="574"/>
      <c r="D15" s="574"/>
      <c r="E15" s="574"/>
      <c r="F15" s="574"/>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defaultColWidth="11.42578125" defaultRowHeight="15"/>
  <sheetData>
    <row r="2" spans="2:5">
      <c r="B2" t="s">
        <v>273</v>
      </c>
      <c r="E2" t="s">
        <v>274</v>
      </c>
    </row>
    <row r="3" spans="2:5">
      <c r="B3" t="s">
        <v>275</v>
      </c>
      <c r="E3" t="s">
        <v>156</v>
      </c>
    </row>
    <row r="4" spans="2:5">
      <c r="B4" t="s">
        <v>276</v>
      </c>
      <c r="E4" t="s">
        <v>174</v>
      </c>
    </row>
    <row r="5" spans="2:5">
      <c r="B5" t="s">
        <v>168</v>
      </c>
    </row>
    <row r="8" spans="2:5">
      <c r="B8" t="s">
        <v>277</v>
      </c>
    </row>
    <row r="9" spans="2:5">
      <c r="B9" t="s">
        <v>278</v>
      </c>
    </row>
    <row r="10" spans="2:5">
      <c r="B10" t="s">
        <v>279</v>
      </c>
    </row>
    <row r="13" spans="2:5">
      <c r="B13" t="s">
        <v>280</v>
      </c>
    </row>
    <row r="14" spans="2:5">
      <c r="B14" t="s">
        <v>160</v>
      </c>
    </row>
    <row r="15" spans="2:5">
      <c r="B15" t="s">
        <v>281</v>
      </c>
    </row>
    <row r="16" spans="2:5">
      <c r="B16" t="s">
        <v>282</v>
      </c>
    </row>
    <row r="17" spans="2:2">
      <c r="B17" t="s">
        <v>283</v>
      </c>
    </row>
    <row r="18" spans="2:2">
      <c r="B18" t="s">
        <v>284</v>
      </c>
    </row>
    <row r="19" spans="2:2">
      <c r="B19" t="s">
        <v>285</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2021-10-21T19:42:40Z</dcterms:modified>
  <cp:category/>
  <cp:contentStatus/>
</cp:coreProperties>
</file>