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DE GESTION V3.0\"/>
    </mc:Choice>
  </mc:AlternateContent>
  <xr:revisionPtr revIDLastSave="0" documentId="13_ncr:1_{19B59CC1-2EBC-4D2E-96D6-B0422A5B2023}" xr6:coauthVersionLast="47" xr6:coauthVersionMax="47" xr10:uidLastSave="{00000000-0000-0000-0000-000000000000}"/>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8"/>
  <pivotCaches>
    <pivotCache cacheId="16"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0" i="1" l="1"/>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31" i="1"/>
  <c r="K51" i="1"/>
  <c r="K56" i="1"/>
  <c r="K32" i="1"/>
  <c r="K40" i="1"/>
  <c r="K50" i="1"/>
  <c r="K29" i="1"/>
  <c r="K37" i="1"/>
  <c r="K49" i="1"/>
  <c r="K58" i="1"/>
  <c r="K41" i="1"/>
  <c r="K26" i="1"/>
  <c r="K52" i="1"/>
  <c r="K39" i="1"/>
  <c r="K43" i="1"/>
  <c r="K57" i="1"/>
  <c r="K34" i="1"/>
  <c r="K28" i="1"/>
  <c r="K35" i="1"/>
  <c r="K44" i="1"/>
  <c r="K38" i="1"/>
  <c r="K25" i="1"/>
  <c r="K55" i="1"/>
  <c r="K45" i="1"/>
  <c r="K27" i="1"/>
  <c r="K53" i="1"/>
  <c r="K46" i="1"/>
  <c r="K47" i="1"/>
  <c r="K20" i="1"/>
  <c r="K22" i="1"/>
  <c r="K21" i="1"/>
  <c r="K19" i="1"/>
  <c r="K23" i="1"/>
  <c r="F221" i="13" l="1"/>
  <c r="F211" i="13"/>
  <c r="F212" i="13"/>
  <c r="F213" i="13"/>
  <c r="F214" i="13"/>
  <c r="F215" i="13"/>
  <c r="F216" i="13"/>
  <c r="F217" i="13"/>
  <c r="F218" i="13"/>
  <c r="F219" i="13"/>
  <c r="F220" i="13"/>
  <c r="F210" i="13"/>
  <c r="B221" i="13" a="1"/>
  <c r="K13" i="1"/>
  <c r="K15" i="1"/>
  <c r="K17" i="1"/>
  <c r="K16" i="1"/>
  <c r="K14"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P18" i="19" s="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P17" i="19"/>
  <c r="AB17" i="19"/>
  <c r="J7" i="19"/>
  <c r="V3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AH38" i="19"/>
  <c r="V8" i="19"/>
  <c r="AB18" i="19"/>
  <c r="AH18" i="19"/>
  <c r="J18" i="19"/>
  <c r="J38" i="19"/>
  <c r="AA13" i="1"/>
  <c r="AB38" i="1"/>
  <c r="AA37" i="1"/>
  <c r="AA43" i="1"/>
  <c r="AB44" i="1"/>
  <c r="AA44" i="1" s="1"/>
  <c r="AB45" i="1"/>
  <c r="AB50" i="1"/>
  <c r="AA50" i="1" s="1"/>
  <c r="AB51" i="1"/>
  <c r="AA51" i="1" s="1"/>
  <c r="AA49" i="1"/>
  <c r="AA55" i="1"/>
  <c r="AB56" i="1"/>
  <c r="AA31" i="1"/>
  <c r="AB32" i="1"/>
  <c r="V18" i="19" l="1"/>
  <c r="AH48" i="19"/>
  <c r="AB48" i="19"/>
  <c r="J8" i="19"/>
  <c r="P48" i="19"/>
  <c r="P38" i="19"/>
  <c r="P8" i="19"/>
  <c r="V48" i="19"/>
  <c r="AB38" i="19"/>
  <c r="AH28" i="19"/>
  <c r="V38" i="19"/>
  <c r="AB28" i="19"/>
  <c r="P28" i="19"/>
  <c r="AB8" i="19"/>
  <c r="V28" i="19"/>
  <c r="J48" i="19"/>
  <c r="J28"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<sst xmlns="http://schemas.openxmlformats.org/spreadsheetml/2006/main" count="436" uniqueCount="287">
  <si>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</si>
  <si>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</si>
  <si>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</si>
  <si>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</si>
  <si>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</si>
  <si>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</si>
  <si>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</si>
  <si>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</si>
  <si>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</si>
  <si>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</si>
  <si>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</si>
  <si>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</si>
  <si>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</si>
  <si>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</si>
  <si>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</si>
  <si>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</si>
  <si>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</si>
  <si>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</si>
  <si>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</si>
  <si>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</si>
  <si>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</si>
  <si>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</si>
  <si>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</si>
  <si>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</si>
  <si>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</si>
  <si>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</si>
  <si>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</si>
  <si>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</si>
  <si>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</si>
  <si>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</si>
  <si>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</si>
  <si>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</si>
  <si>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</si>
  <si>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</si>
  <si>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</si>
  <si>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</si>
  <si>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</si>
  <si>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</si>
  <si>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</si>
  <si>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</si>
  <si>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</si>
  <si>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</si>
  <si>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</si>
  <si>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</si>
  <si>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</si>
  <si>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</si>
  <si>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</si>
  <si>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</si>
  <si>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</si>
  <si>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</si>
  <si>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</si>
  <si>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</si>
  <si>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</si>
  <si>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</si>
  <si>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</si>
  <si>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</si>
  <si>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</si>
  <si>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</si>
  <si>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</si>
  <si>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</si>
  <si>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</si>
  <si>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</si>
  <si>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</si>
  <si>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</si>
  <si>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</si>
  <si>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</si>
  <si>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</si>
  <si>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</si>
  <si>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</si>
  <si>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</si>
  <si>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</si>
  <si>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</si>
  <si>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</si>
  <si>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</si>
  <si>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</si>
  <si>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</si>
  <si>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</si>
  <si>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</si>
  <si>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LAS FINANZAS PÚBLICAS</t>
  </si>
  <si>
    <t>ALCANCE:</t>
  </si>
  <si>
    <t xml:space="preserve">Dirigir la política fiscal del Municipio de Bucaramanga, a través de la administración y control de los tributos del presupuesto general de rentas y gastos, así mismo realizar el registro de la contabilidad y de tesorería, con el propósito de garantizar la viabilidad y sostenibilidad financiera del ente territorial. </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</si>
  <si>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</si>
  <si>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</si>
  <si>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</si>
  <si>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</si>
  <si>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</si>
  <si>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Garantizar los recursos financieros y económicos necesarios para financiar los planes y programas establecidos en el Plan de Desarrollo, orientados al mejoramiento de la calidad de vida de la comunidad.</t>
  </si>
  <si>
    <t xml:space="preserve">Proyecto de acuerdo de Presupuesto General de Rentas y gastos para la vigencia (anual)                                                               PAC de la vigencia.                               Cumplimiento del Pago                                               Actos Administrativos (Estatutos tributario, calendario tributario, formulario de declaraciones privadas entre otros)            Cartera recuperada.                                      Estados financieros de la
administración central                           Liquidaciones oficiales del impuesto predial unificado.
Declaraciones tributarias recepcionadas. Registros actualizados de contribuyentes responsables y agentes retenedores y programa
de fiscalización ejecutado.
Recaudo de impuestos realizado
                     </t>
  </si>
  <si>
    <t xml:space="preserve">Cobro persuasivo y coactivo por parte de la tesorería municipal.                                                                          Depuración de partidas conciliatorias pendientes.                                                   Procedimiento para resolución de revocatoria directa.                        Procedimiento para resolución recurso de reconsideración ICA.                                                                          Procedimiento para rendir infomes sobre moviemintos de ingresos y egresos en los sistemas de información.                       Proceso de transmisión de los formularios de Programción y Ejecución de ingresos y gastos.      </t>
  </si>
  <si>
    <t>MATRIZ DOFA</t>
  </si>
  <si>
    <t>DEBILIDADES</t>
  </si>
  <si>
    <t>AMENAZAS</t>
  </si>
  <si>
    <t>Crecimiento de la cartera por concepto de impuestos municipales y falta de deterioro de la misma.                          Alta rotación de personal.
Falta de depuración de las conciliaciones bancarias por insuficiencia de personal y colaboración entre dependencias.                                                                                                                                                                                                                       Poca capacitación para los funcionarios.                                                                                                           Equipos de cómputo obsoletos.                                                                                                                                  Falta de planeación y gestión para el optimo cumplimiento de compromisos adquiridos relacionados con temas presupuestales.                                                                                                                                                     Deficiente receptividad en las dependencias, frente a la aplicación  y actualización  de sistemas de información e instrumentos de monitoreo y seguimientos a los procesos.                                                                                                                                                                                                                                                                                                                   Falta de capacitación al personal en temas presupuestales.</t>
  </si>
  <si>
    <t xml:space="preserve">Recesión económica por causa de la Pandemia del Coronavirus 2019(COVIC-19). 
Insuficiencia de estrategias o directrices nacionales para trato de cartera.                                                                                                                                                         Cambios en la normatividad territorial.                                                                                                                                                                                                                                                                                                                                                                                                                                                       Cambios de nomartividad en los sistemas de información compuesto por; nomenclatura, definiciones y atributos del cátalogo de clasificación presupuestal CCPTE.                                                                                                                                                                                                           Falta de comunicación con las entidades que ponen el servicio de sistemas de información presupuestales para la implementación de la nueva normatividad.         </t>
  </si>
  <si>
    <t>FORTALEZAS</t>
  </si>
  <si>
    <t>OPORTUNIDADES</t>
  </si>
  <si>
    <t xml:space="preserve">Asesoría y atención personalizada a contribuyentes para un efectivo recaudo.                                                                                             Equipo de trabajo interdisciplinario, para cumplir con los objetivos pactados.                                                   Estrategias y campañas de cobro persuasivo y resultados de la cartera objeto de cobro.                                    Planeación del desarrollo territorial.                                                                                                                                  Cumplimiento en el seguimiento al plan de desarrollo en sus líneas de acción.                                                              Implementación y mejoramiento del modelo integrado de planeación y gestión- MIPG.      </t>
  </si>
  <si>
    <t xml:space="preserve">Cultura de pago de los contribuyentes, de acuerdo a las facilidades de pago de la administración central.                                                                                                                                                               Estrategias de recaudo para el fortalecimiento de los ingresos.                                                                                                                                                                                                                                   Confianza de la ciudadanía en la Administración.                                                                                                                                                                                                                                                       Apoyo del Departamento Administrativo de la Función Pública, Contaduría General de la República  y Contraloría General de la República                                                                                                                                                                                                                                Pagina web para peticiones, quejas y reclamos.                                                                                                                                                                         La Gestión preventiva que realiza la oficina de control interno de gestión.                                                                                                                          Politicas de transferencias de recursos.                                                                                                                                                                                                                                                                        Capacidad de personal para realizar seguimientos que garanticen el cumplimiento de las obligaciones.    </t>
  </si>
  <si>
    <t>Matriz Mapa Riesgos de Gestión</t>
  </si>
  <si>
    <t>Código: F-DPM-1210-238,37-013</t>
  </si>
  <si>
    <t>Versión: 3.0</t>
  </si>
  <si>
    <t>Fecha de aprobación: Octubre 19-2021</t>
  </si>
  <si>
    <t xml:space="preserve">Página: 1 de 1 </t>
  </si>
  <si>
    <t>Proceso:</t>
  </si>
  <si>
    <t>Objetivo:</t>
  </si>
  <si>
    <t>Administrar los recursos financieros, de manera continua mediante el recaudo, ejecución, registro y control presupuestal, para lograr un adecuado funcionamiento económico, social y ambiental del municipio de Bucaramanga. Con el fin de dar cumplimiento a los indicadores del proceso de finanzas publicas y asegurar un buen manejo de los recursos públicos del municipio.</t>
  </si>
  <si>
    <t>Alcance:</t>
  </si>
  <si>
    <t>Dirigir la política fiscal del Municipio de Bucaramanga, a través de la administración y control de los tributos del presupuesto general de rentas y gastos, así mismo realzar el registro de la contabilidad y de tesorería, con el propósito de garantizar la viabilidad y sostenibilidad financiera del ente territorial.</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</si>
  <si>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</si>
  <si>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</si>
  <si>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</si>
  <si>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</si>
  <si>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</si>
  <si>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</si>
  <si>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</si>
  <si>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</si>
  <si>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</si>
  <si>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</si>
  <si>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</si>
  <si>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</si>
  <si>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</si>
  <si>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</si>
  <si>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</si>
  <si>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</si>
  <si>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</si>
  <si>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</si>
  <si>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</si>
  <si>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</si>
  <si>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</si>
  <si>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</si>
  <si>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</si>
  <si>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</si>
  <si>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</si>
  <si>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</si>
  <si>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</si>
  <si>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</si>
  <si>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</si>
  <si>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</si>
  <si>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Disminución de ingresos e investigaciones por los entes de control.</t>
  </si>
  <si>
    <t>Suspensión de términos en los procesos de cobro coactivo ordenada en el decreto municipal 109 de 2020.</t>
  </si>
  <si>
    <t>Posibilidad de afectación económica y reputacional por la disminución de los ingresos, debido a la suspensión de términos en los procesos de cobro coactivo, ordenada en el decreto municipal 109 de 2020.</t>
  </si>
  <si>
    <t>Ejecucion y Administracion de procesos</t>
  </si>
  <si>
    <t xml:space="preserve">     Mayor a 500 SMLMV </t>
  </si>
  <si>
    <t>El Tesorero General del Municipio con el equipo de cobro coactivo realiza el recaudo de cartera morosa por medio de estrategias y campañas de cobro persuasivo.</t>
  </si>
  <si>
    <t>Preventivo</t>
  </si>
  <si>
    <t>Manual</t>
  </si>
  <si>
    <t>Documentado</t>
  </si>
  <si>
    <t>Continua</t>
  </si>
  <si>
    <t>Con Registro</t>
  </si>
  <si>
    <t>Reducir (mitigar)</t>
  </si>
  <si>
    <t>Realizar dos (2) informes sobre  recaudo de cartera por medio del proceso de cobro persuasivo.</t>
  </si>
  <si>
    <t>Tesorero General del Municipio</t>
  </si>
  <si>
    <t>Reputacional</t>
  </si>
  <si>
    <t>Investigaciones por los entes de control</t>
  </si>
  <si>
    <t>Falta de control y  Seguimiento  a las partidas conciliatorias y a los conceptos de ingresos y egresos que afectan los movimientos bancarios  para que exista concordancia entre libros vs extractos bancarios.</t>
  </si>
  <si>
    <t>Posibilidad de afectación reputacional por posibles investigaciones de los entes de control debido a la falta de control y  Seguimiento  a las partidas conciliatorias y a los conceptos de ingresos y egresos que afectan los movimientos bancarios  para que exista concordancia entre libros Vs extractos bancarios.</t>
  </si>
  <si>
    <t xml:space="preserve">     El riesgo afecta la imagen de la entidad con algunos usuarios de relevancia frente al logro de los objetivos</t>
  </si>
  <si>
    <t>El Area de Contabilidad de la Secretaría de Hacienda del municipio realizará el proceso de verificación, elaboración de ficha, registro contable del SOC (sostenibilidad contable), con el fin de dejar sanaeada cada cuenta a depurar.</t>
  </si>
  <si>
    <t xml:space="preserve">Realizar 3 informes del proceso de verificación, elaboración de ficha, registro contable del SOC (Sostenibilidad contable) de las cuentas saneadas. </t>
  </si>
  <si>
    <t>Profesional Especializado - Area de Contabilidad</t>
  </si>
  <si>
    <t>El profesional Especializado del Area de Contabilidad del municipio verifica en Comité de Sotenibilidad Contable con las secretarias involucradas el envio de la información necesaria para la realización del proceso de depuración contable, dejando mediante acta los compromisos pactados.</t>
  </si>
  <si>
    <r>
      <rPr>
        <sz val="11"/>
        <rFont val="Arial Narrow"/>
        <family val="2"/>
      </rPr>
      <t>Realizar tres (3) comités de Sotenibilidad Contable, involucrando a las secretarías con responsabilidad dentro del proceso de depuración contable, dejando como constancia actas</t>
    </r>
    <r>
      <rPr>
        <sz val="11"/>
        <color rgb="FFFF0000"/>
        <rFont val="Arial Narrow"/>
        <family val="2"/>
      </rPr>
      <t>.</t>
    </r>
  </si>
  <si>
    <t xml:space="preserve">No se cuenta con una herramienta tecnológica que genere un sistema de alarmas que realice el seguimiento de los Recursos de Reconsideracion y Revocatoria Directa , desde el momento en que se produzca el acuse de recibo en el Municipio de Bucaramanga hasta el final de los términos de respuesta y notificación en el tiempo establecido por ley. </t>
  </si>
  <si>
    <t xml:space="preserve">Posibilidad de afectación económica y reputacional por disminución de ingresos e investigaciones por los entes de control, debido a que no se cuenta con una herramienta tecnologica que genere un sistema de alarmas que realice el seguimiento de los Recursos de Reconsideracion y Revocatoria Directa, desde el momento en que se produzca el acuse de recibo en el Municipio de Bucaramanga hasta el final de los términos de respuesta y notificación en el tiempo establecido por ley. </t>
  </si>
  <si>
    <t xml:space="preserve">     Entre 10 y 50 SMLMV </t>
  </si>
  <si>
    <t>El profesional a cargo verifica en el tablero de control las alarmas que se generen para dar respuesta y notificar los  Recurso de Reconsideracion y/o Resoluciones de Revocatoria Directa, dentro del término establecido.</t>
  </si>
  <si>
    <r>
      <t xml:space="preserve"> Realizar una (1) solicitud</t>
    </r>
    <r>
      <rPr>
        <sz val="11"/>
        <rFont val="Arial Narrow"/>
        <family val="2"/>
      </rPr>
      <t xml:space="preserve"> y gestion ante la</t>
    </r>
    <r>
      <rPr>
        <sz val="11"/>
        <color theme="1"/>
        <rFont val="Arial Narrow"/>
        <family val="2"/>
      </rPr>
      <t xml:space="preserve"> oficna TIC de actualización del tablero de control de acuerdo a la norma y al procedimiento, para que se genere un sistema de alarmas que notifique al profesional a quien se le asigne el Recurso de Reconsideracion y/o Resoluciones de Revocatoria Directa, dentro del término en el cual debe darse respuesta y notificar.</t>
    </r>
  </si>
  <si>
    <t>Subsecretaría de Hacienda</t>
  </si>
  <si>
    <t xml:space="preserve">El profesional asignado para sustanciar los recursos de reconsideración y/o solicitud de revocatoria directa, verifica y aplica el procedimieto establecido para elaborar y presentar el proyecto de Resolución con tres meses de antelación al vencimiento de los terminos. </t>
  </si>
  <si>
    <t>Presentar el 100% de proyectos de Resolución de Recursos de Reconsideración y/o Revocatoria Directa dentro de los términos.</t>
  </si>
  <si>
    <t>Posibles investigaciones por los entes de control</t>
  </si>
  <si>
    <t>Errores de registro en los sistemas de información  (CHIP y SIA CONTRALORÍA) por desconocimiento de las actualizaciones que alteran el catálogo de clasificación presupuestal.</t>
  </si>
  <si>
    <t>Posibilidad de afectación reputaciónal por posibles investigaciones de los entes de control, debido a errores de registro en los sistemas de información  (CHIP y SIA CONTRALORÍA) por desconocimiento de las actualizaciones que alteran el catálogo de clasificación presupuestal.</t>
  </si>
  <si>
    <t>La persona designada por el Profesional Especializado del Area de Presupuesto, verifica las convocatorias emitidas por el Centro de Estudios Fiscales de la CGR sobre capacitaciones de las actualizaciones que alteran el catálogo de clasificación presupuestal en los sistemas de información (CHIP y SIA CONTRALORÍA).</t>
  </si>
  <si>
    <t xml:space="preserve">Realizar una (1 ) solicitud de infomación al Centro de Estudios Fiscales de la CGR sobre la programación de capacitaciónes del catálogo de clasificación presupuestal en los sistemas de información, con el fin que el personal asista.     </t>
  </si>
  <si>
    <t>Profesional Especializado del Area de Presupuesto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</si>
  <si>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</si>
  <si>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</si>
  <si>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</si>
  <si>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</si>
  <si>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</si>
  <si>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</si>
  <si>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</si>
  <si>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</si>
  <si>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</si>
  <si>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</si>
  <si>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</si>
  <si>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</si>
  <si>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</si>
  <si>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</si>
  <si>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</si>
  <si>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</si>
  <si>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</si>
  <si>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</si>
  <si>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</si>
  <si>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</si>
  <si>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</si>
  <si>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</si>
  <si>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</si>
  <si>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</si>
  <si>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</si>
  <si>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</si>
  <si>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</si>
  <si>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</si>
  <si>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</si>
  <si>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</si>
  <si>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</si>
  <si>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</si>
  <si>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</si>
  <si>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</si>
  <si>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</si>
  <si>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</si>
  <si>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</si>
  <si>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</si>
  <si>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</si>
  <si>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</si>
  <si>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</si>
  <si>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</si>
  <si>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</si>
  <si>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</si>
  <si>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</si>
  <si>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</si>
  <si>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</si>
  <si>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</si>
  <si>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</si>
  <si>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</si>
  <si>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</si>
  <si>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</si>
  <si>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</si>
  <si>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</si>
  <si>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</si>
  <si>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</si>
  <si>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</si>
  <si>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</si>
  <si>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</si>
  <si>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</si>
  <si>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</si>
  <si>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</si>
  <si>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</si>
  <si>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</si>
  <si>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</si>
  <si>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</si>
  <si>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</si>
  <si>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</si>
  <si>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</si>
  <si>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</si>
  <si>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</si>
  <si>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</si>
  <si>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</si>
  <si>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</si>
  <si>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</si>
  <si>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</si>
  <si>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</si>
  <si>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</si>
  <si>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</si>
  <si>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</si>
  <si>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</si>
  <si>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</si>
  <si>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</si>
  <si>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</si>
  <si>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</si>
  <si>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</si>
  <si>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</si>
  <si>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</si>
  <si>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</si>
  <si>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</si>
  <si>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</si>
  <si>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</si>
  <si>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</si>
  <si>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</si>
  <si>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</si>
  <si>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</si>
  <si>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</si>
  <si>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</si>
  <si>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</si>
  <si>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</si>
  <si>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</si>
  <si>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</si>
  <si>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</si>
  <si>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</si>
  <si>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</si>
  <si>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</si>
  <si>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</si>
  <si>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</si>
  <si>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</si>
  <si>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</si>
  <si>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Oficina Jurídica de la Oficina de Impuestos de esta Secretaría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</si>
</sst>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b/>
      <sz val="28"/>
      <color theme="1"/>
      <name val="Arial Narrow"/>
      <family val="2"/>
    </font>
    <font>
      <sz val="11"/>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dashed">
        <color theme="9" tint="-0.24994659260841701"/>
      </right>
      <top/>
      <bottom/>
      <diagonal/>
    </border>
    <border>
      <left/>
      <right style="thin">
        <color indexed="64"/>
      </right>
      <top/>
      <bottom style="medium">
        <color indexed="64"/>
      </bottom>
      <diagonal/>
    </border>
    <border>
      <left/>
      <right style="medium">
        <color rgb="FF000000"/>
      </right>
      <top/>
      <bottom/>
      <diagonal/>
    </border>
    <border>
      <left style="medium">
        <color rgb="FF000000"/>
      </left>
      <right/>
      <top/>
      <bottom/>
      <diagonal/>
    </border>
    <border>
      <left/>
      <right style="medium">
        <color rgb="FF000000"/>
      </right>
      <top/>
      <bottom style="medium">
        <color indexed="64"/>
      </bottom>
      <diagonal/>
    </border>
    <border>
      <left style="medium">
        <color rgb="FF000000"/>
      </left>
      <right/>
      <top/>
      <bottom style="medium">
        <color indexed="64"/>
      </bottom>
      <diagonal/>
    </border>
    <border>
      <left/>
      <right style="thin">
        <color indexed="64"/>
      </right>
      <top style="medium">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4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106" xfId="0" applyFont="1" applyBorder="1" applyAlignment="1">
      <alignment vertical="top" wrapText="1"/>
    </xf>
    <xf numFmtId="0" fontId="59" fillId="0" borderId="17" xfId="0" applyFont="1" applyBorder="1" applyAlignment="1">
      <alignment horizontal="left" vertical="top" wrapText="1"/>
    </xf>
    <xf numFmtId="0" fontId="58" fillId="17" borderId="111" xfId="0" applyFont="1" applyFill="1" applyBorder="1" applyAlignment="1">
      <alignment horizontal="center" vertical="center" wrapText="1"/>
    </xf>
    <xf numFmtId="0" fontId="59" fillId="0" borderId="33" xfId="0" applyFont="1" applyBorder="1" applyAlignment="1">
      <alignment vertical="top" wrapText="1"/>
    </xf>
    <xf numFmtId="0" fontId="1" fillId="0" borderId="2" xfId="0" applyFont="1" applyBorder="1" applyAlignment="1" applyProtection="1">
      <alignment horizontal="center"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36" fillId="0" borderId="14" xfId="0" applyFont="1" applyBorder="1" applyAlignment="1">
      <alignment horizontal="left" vertical="top" wrapText="1"/>
    </xf>
    <xf numFmtId="0" fontId="36" fillId="0" borderId="0" xfId="0" applyFont="1" applyAlignment="1">
      <alignment horizontal="left" vertical="top" wrapText="1"/>
    </xf>
    <xf numFmtId="0" fontId="36" fillId="0" borderId="107" xfId="0" applyFont="1" applyBorder="1" applyAlignment="1">
      <alignment horizontal="left" vertical="top" wrapText="1"/>
    </xf>
    <xf numFmtId="0" fontId="36" fillId="0" borderId="16" xfId="0" applyFont="1" applyBorder="1" applyAlignment="1">
      <alignment horizontal="left" vertical="top" wrapText="1"/>
    </xf>
    <xf numFmtId="0" fontId="36" fillId="0" borderId="18" xfId="0" applyFont="1" applyBorder="1" applyAlignment="1">
      <alignment horizontal="left" vertical="top" wrapText="1"/>
    </xf>
    <xf numFmtId="0" fontId="36" fillId="0" borderId="109" xfId="0" applyFont="1" applyBorder="1" applyAlignment="1">
      <alignment horizontal="left" vertical="top" wrapText="1"/>
    </xf>
    <xf numFmtId="0" fontId="36" fillId="0" borderId="108" xfId="0" applyFont="1" applyBorder="1" applyAlignment="1">
      <alignment horizontal="left" vertical="top" wrapText="1"/>
    </xf>
    <xf numFmtId="0" fontId="36" fillId="0" borderId="15" xfId="0" applyFont="1" applyBorder="1" applyAlignment="1">
      <alignment horizontal="left" vertical="top" wrapText="1"/>
    </xf>
    <xf numFmtId="0" fontId="36" fillId="0" borderId="110" xfId="0" applyFont="1" applyBorder="1" applyAlignment="1">
      <alignment horizontal="left" vertical="top" wrapText="1"/>
    </xf>
    <xf numFmtId="0" fontId="36" fillId="0" borderId="17" xfId="0" applyFont="1" applyBorder="1" applyAlignment="1">
      <alignment horizontal="left" vertical="top" wrapText="1"/>
    </xf>
    <xf numFmtId="0" fontId="45" fillId="20" borderId="35" xfId="0" applyFont="1" applyFill="1" applyBorder="1" applyAlignment="1">
      <alignment horizontal="center" vertical="center" wrapText="1"/>
    </xf>
    <xf numFmtId="0" fontId="45" fillId="20" borderId="36"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05"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5"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na\Desktop\Marggy%202020\Marggy%20no%20borrar\OFICINA%20DE%20PLANEACION%20ALCALDIA%20DE%20BGA\A&#241;o_2021\MAPA%20DE%20RIESGOS\Cambio%20de%20Formato%20riesgos%20de%20Gesti&#243;n\MAPA%20DE%20RIESGOS%20DE%20GESTION%202021%20-%20HACIEND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27" t="s">
        <v>0</v>
      </c>
      <c r="C2" s="228"/>
      <c r="D2" s="228"/>
      <c r="E2" s="228"/>
      <c r="F2" s="228"/>
      <c r="G2" s="228"/>
      <c r="H2" s="229"/>
    </row>
    <row r="3" spans="1:8" x14ac:dyDescent="0.25">
      <c r="B3" s="120"/>
      <c r="C3" s="121"/>
      <c r="D3" s="121"/>
      <c r="E3" s="121"/>
      <c r="F3" s="121"/>
      <c r="G3" s="121"/>
      <c r="H3" s="122"/>
    </row>
    <row r="4" spans="1:8" ht="63" customHeight="1" x14ac:dyDescent="0.25">
      <c r="B4" s="230" t="s">
        <v>1</v>
      </c>
      <c r="C4" s="231"/>
      <c r="D4" s="231"/>
      <c r="E4" s="231"/>
      <c r="F4" s="231"/>
      <c r="G4" s="231"/>
      <c r="H4" s="232"/>
    </row>
    <row r="5" spans="1:8" ht="63" customHeight="1" x14ac:dyDescent="0.25">
      <c r="B5" s="233"/>
      <c r="C5" s="234"/>
      <c r="D5" s="234"/>
      <c r="E5" s="234"/>
      <c r="F5" s="234"/>
      <c r="G5" s="234"/>
      <c r="H5" s="235"/>
    </row>
    <row r="6" spans="1:8" ht="16.5" x14ac:dyDescent="0.25">
      <c r="A6" s="123"/>
      <c r="B6" s="236" t="s">
        <v>2</v>
      </c>
      <c r="C6" s="237"/>
      <c r="D6" s="237"/>
      <c r="E6" s="237"/>
      <c r="F6" s="237"/>
      <c r="G6" s="237"/>
      <c r="H6" s="238"/>
    </row>
    <row r="7" spans="1:8" ht="95.25" customHeight="1" x14ac:dyDescent="0.25">
      <c r="A7" s="123"/>
      <c r="B7" s="239" t="s">
        <v>3</v>
      </c>
      <c r="C7" s="239"/>
      <c r="D7" s="239"/>
      <c r="E7" s="239"/>
      <c r="F7" s="239"/>
      <c r="G7" s="239"/>
      <c r="H7" s="240"/>
    </row>
    <row r="8" spans="1:8" ht="16.5" x14ac:dyDescent="0.25">
      <c r="A8" s="123"/>
      <c r="B8" s="124"/>
      <c r="C8" s="125"/>
      <c r="D8" s="125"/>
      <c r="E8" s="125"/>
      <c r="F8" s="125"/>
      <c r="G8" s="125"/>
      <c r="H8" s="126"/>
    </row>
    <row r="9" spans="1:8" ht="16.5" customHeight="1" x14ac:dyDescent="0.25">
      <c r="A9" s="123"/>
      <c r="B9" s="241" t="s">
        <v>4</v>
      </c>
      <c r="C9" s="241"/>
      <c r="D9" s="241"/>
      <c r="E9" s="241"/>
      <c r="F9" s="241"/>
      <c r="G9" s="241"/>
      <c r="H9" s="242"/>
    </row>
    <row r="10" spans="1:8" ht="16.5" customHeight="1" x14ac:dyDescent="0.25">
      <c r="A10" s="123"/>
      <c r="B10" s="241"/>
      <c r="C10" s="241"/>
      <c r="D10" s="241"/>
      <c r="E10" s="241"/>
      <c r="F10" s="241"/>
      <c r="G10" s="241"/>
      <c r="H10" s="242"/>
    </row>
    <row r="11" spans="1:8" ht="11.65" customHeight="1" x14ac:dyDescent="0.25">
      <c r="A11" s="123"/>
      <c r="B11" s="241"/>
      <c r="C11" s="241"/>
      <c r="D11" s="241"/>
      <c r="E11" s="241"/>
      <c r="F11" s="241"/>
      <c r="G11" s="241"/>
      <c r="H11" s="242"/>
    </row>
    <row r="12" spans="1:8" ht="11.65" customHeight="1" thickBot="1" x14ac:dyDescent="0.3">
      <c r="A12" s="123"/>
      <c r="B12" s="127"/>
      <c r="C12" s="127"/>
      <c r="D12" s="127"/>
      <c r="E12" s="127"/>
      <c r="F12" s="127"/>
      <c r="G12" s="127"/>
      <c r="H12" s="128"/>
    </row>
    <row r="13" spans="1:8" ht="15.4" customHeight="1" thickTop="1" x14ac:dyDescent="0.25">
      <c r="A13" s="123"/>
      <c r="B13" s="127"/>
      <c r="C13" s="226" t="s">
        <v>5</v>
      </c>
      <c r="D13" s="219"/>
      <c r="E13" s="220" t="s">
        <v>6</v>
      </c>
      <c r="F13" s="221"/>
      <c r="G13" s="127"/>
      <c r="H13" s="128"/>
    </row>
    <row r="14" spans="1:8" ht="11.65" customHeight="1" x14ac:dyDescent="0.25">
      <c r="A14" s="123"/>
      <c r="B14" s="127"/>
      <c r="C14" s="207" t="s">
        <v>7</v>
      </c>
      <c r="D14" s="208"/>
      <c r="E14" s="209" t="s">
        <v>8</v>
      </c>
      <c r="F14" s="204"/>
      <c r="G14" s="127"/>
      <c r="H14" s="128"/>
    </row>
    <row r="15" spans="1:8" ht="11.65" customHeight="1" x14ac:dyDescent="0.25">
      <c r="A15" s="123"/>
      <c r="B15" s="127"/>
      <c r="C15" s="207" t="s">
        <v>9</v>
      </c>
      <c r="D15" s="208"/>
      <c r="E15" s="209" t="s">
        <v>10</v>
      </c>
      <c r="F15" s="204"/>
      <c r="G15" s="127"/>
      <c r="H15" s="128"/>
    </row>
    <row r="16" spans="1:8" ht="11.65" customHeight="1" x14ac:dyDescent="0.25">
      <c r="A16" s="123"/>
      <c r="B16" s="127"/>
      <c r="C16" s="207" t="s">
        <v>11</v>
      </c>
      <c r="D16" s="208"/>
      <c r="E16" s="209" t="s">
        <v>12</v>
      </c>
      <c r="F16" s="204"/>
      <c r="G16" s="127"/>
      <c r="H16" s="128"/>
    </row>
    <row r="17" spans="1:8" ht="13.5" customHeight="1" x14ac:dyDescent="0.25">
      <c r="A17" s="123"/>
      <c r="B17" s="127"/>
      <c r="C17" s="207" t="s">
        <v>13</v>
      </c>
      <c r="D17" s="208"/>
      <c r="E17" s="209" t="s">
        <v>14</v>
      </c>
      <c r="F17" s="204"/>
      <c r="G17" s="127"/>
      <c r="H17" s="129"/>
    </row>
    <row r="18" spans="1:8" ht="12.4" customHeight="1" x14ac:dyDescent="0.25">
      <c r="A18" s="123"/>
      <c r="B18" s="127"/>
      <c r="C18" s="207" t="s">
        <v>15</v>
      </c>
      <c r="D18" s="208"/>
      <c r="E18" s="210" t="s">
        <v>16</v>
      </c>
      <c r="F18" s="204"/>
      <c r="G18" s="127"/>
      <c r="H18" s="128"/>
    </row>
    <row r="19" spans="1:8" ht="24" customHeight="1" thickBot="1" x14ac:dyDescent="0.3">
      <c r="A19" s="123"/>
      <c r="B19" s="127"/>
      <c r="C19" s="211" t="s">
        <v>17</v>
      </c>
      <c r="D19" s="212"/>
      <c r="E19" s="213" t="s">
        <v>18</v>
      </c>
      <c r="F19" s="214"/>
      <c r="G19" s="127"/>
      <c r="H19" s="128"/>
    </row>
    <row r="20" spans="1:8" ht="11.65" customHeight="1" thickTop="1" x14ac:dyDescent="0.25">
      <c r="A20" s="123"/>
      <c r="B20" s="127"/>
      <c r="C20" s="130"/>
      <c r="D20" s="130"/>
      <c r="E20" s="130"/>
      <c r="F20" s="130"/>
      <c r="G20" s="127"/>
      <c r="H20" s="128"/>
    </row>
    <row r="21" spans="1:8" ht="27.4" customHeight="1" thickBot="1" x14ac:dyDescent="0.3">
      <c r="A21" s="123"/>
      <c r="B21" s="215" t="s">
        <v>19</v>
      </c>
      <c r="C21" s="216"/>
      <c r="D21" s="216"/>
      <c r="E21" s="216"/>
      <c r="F21" s="216"/>
      <c r="G21" s="216"/>
      <c r="H21" s="217"/>
    </row>
    <row r="22" spans="1:8" ht="15.75" thickTop="1" x14ac:dyDescent="0.25">
      <c r="A22" s="123"/>
      <c r="B22" s="131"/>
      <c r="C22" s="218" t="s">
        <v>5</v>
      </c>
      <c r="D22" s="219"/>
      <c r="E22" s="220" t="s">
        <v>6</v>
      </c>
      <c r="F22" s="221"/>
      <c r="G22" s="130"/>
      <c r="H22" s="132"/>
    </row>
    <row r="23" spans="1:8" ht="13.5" customHeight="1" x14ac:dyDescent="0.25">
      <c r="A23" s="123"/>
      <c r="B23" s="133"/>
      <c r="C23" s="222" t="s">
        <v>7</v>
      </c>
      <c r="D23" s="223"/>
      <c r="E23" s="224" t="s">
        <v>8</v>
      </c>
      <c r="F23" s="225"/>
      <c r="G23" s="134"/>
      <c r="H23" s="135"/>
    </row>
    <row r="24" spans="1:8" ht="13.5" customHeight="1" x14ac:dyDescent="0.25">
      <c r="A24" s="123"/>
      <c r="B24" s="133"/>
      <c r="C24" s="201" t="s">
        <v>20</v>
      </c>
      <c r="D24" s="202"/>
      <c r="E24" s="203" t="s">
        <v>14</v>
      </c>
      <c r="F24" s="204"/>
      <c r="G24" s="134"/>
      <c r="H24" s="135"/>
    </row>
    <row r="25" spans="1:8" ht="13.5" customHeight="1" x14ac:dyDescent="0.25">
      <c r="A25" s="123"/>
      <c r="B25" s="133"/>
      <c r="C25" s="201" t="s">
        <v>9</v>
      </c>
      <c r="D25" s="202"/>
      <c r="E25" s="203" t="s">
        <v>10</v>
      </c>
      <c r="F25" s="204"/>
      <c r="G25" s="134"/>
      <c r="H25" s="135"/>
    </row>
    <row r="26" spans="1:8" ht="22.9" customHeight="1" x14ac:dyDescent="0.25">
      <c r="A26" s="123"/>
      <c r="B26" s="133"/>
      <c r="C26" s="201" t="s">
        <v>21</v>
      </c>
      <c r="D26" s="202"/>
      <c r="E26" s="205" t="s">
        <v>22</v>
      </c>
      <c r="F26" s="206"/>
      <c r="G26" s="134"/>
      <c r="H26" s="135"/>
    </row>
    <row r="27" spans="1:8" ht="69.75" customHeight="1" x14ac:dyDescent="0.25">
      <c r="A27" s="123"/>
      <c r="B27" s="133"/>
      <c r="C27" s="192" t="s">
        <v>23</v>
      </c>
      <c r="D27" s="200"/>
      <c r="E27" s="193" t="s">
        <v>24</v>
      </c>
      <c r="F27" s="194"/>
      <c r="G27" s="134"/>
      <c r="H27" s="136"/>
    </row>
    <row r="28" spans="1:8" ht="34.5" customHeight="1" x14ac:dyDescent="0.25">
      <c r="B28" s="137"/>
      <c r="C28" s="199" t="s">
        <v>25</v>
      </c>
      <c r="D28" s="200"/>
      <c r="E28" s="193" t="s">
        <v>26</v>
      </c>
      <c r="F28" s="194"/>
      <c r="G28" s="134"/>
      <c r="H28" s="136"/>
    </row>
    <row r="29" spans="1:8" ht="27.75" customHeight="1" x14ac:dyDescent="0.25">
      <c r="B29" s="137"/>
      <c r="C29" s="199" t="s">
        <v>27</v>
      </c>
      <c r="D29" s="200"/>
      <c r="E29" s="193" t="s">
        <v>28</v>
      </c>
      <c r="F29" s="194"/>
      <c r="G29" s="134"/>
      <c r="H29" s="136"/>
    </row>
    <row r="30" spans="1:8" ht="28.5" customHeight="1" x14ac:dyDescent="0.25">
      <c r="B30" s="137"/>
      <c r="C30" s="199" t="s">
        <v>29</v>
      </c>
      <c r="D30" s="200"/>
      <c r="E30" s="193" t="s">
        <v>30</v>
      </c>
      <c r="F30" s="194"/>
      <c r="G30" s="134"/>
      <c r="H30" s="136"/>
    </row>
    <row r="31" spans="1:8" ht="72.75" customHeight="1" x14ac:dyDescent="0.25">
      <c r="B31" s="137"/>
      <c r="C31" s="199" t="s">
        <v>31</v>
      </c>
      <c r="D31" s="200"/>
      <c r="E31" s="193" t="s">
        <v>32</v>
      </c>
      <c r="F31" s="194"/>
      <c r="G31" s="134"/>
      <c r="H31" s="136"/>
    </row>
    <row r="32" spans="1:8" ht="64.5" customHeight="1" x14ac:dyDescent="0.25">
      <c r="B32" s="137"/>
      <c r="C32" s="199" t="s">
        <v>33</v>
      </c>
      <c r="D32" s="200"/>
      <c r="E32" s="193" t="s">
        <v>34</v>
      </c>
      <c r="F32" s="194"/>
      <c r="G32" s="134"/>
      <c r="H32" s="136"/>
    </row>
    <row r="33" spans="2:8" ht="71.25" customHeight="1" x14ac:dyDescent="0.25">
      <c r="B33" s="137"/>
      <c r="C33" s="191" t="s">
        <v>35</v>
      </c>
      <c r="D33" s="192"/>
      <c r="E33" s="193" t="s">
        <v>36</v>
      </c>
      <c r="F33" s="194"/>
      <c r="G33" s="134"/>
      <c r="H33" s="136"/>
    </row>
    <row r="34" spans="2:8" ht="55.5" customHeight="1" x14ac:dyDescent="0.25">
      <c r="B34" s="137"/>
      <c r="C34" s="191" t="s">
        <v>37</v>
      </c>
      <c r="D34" s="192"/>
      <c r="E34" s="193" t="s">
        <v>38</v>
      </c>
      <c r="F34" s="194"/>
      <c r="G34" s="134"/>
      <c r="H34" s="136"/>
    </row>
    <row r="35" spans="2:8" ht="42" customHeight="1" x14ac:dyDescent="0.25">
      <c r="B35" s="137"/>
      <c r="C35" s="191" t="s">
        <v>39</v>
      </c>
      <c r="D35" s="192"/>
      <c r="E35" s="193" t="s">
        <v>40</v>
      </c>
      <c r="F35" s="194"/>
      <c r="G35" s="134"/>
      <c r="H35" s="136"/>
    </row>
    <row r="36" spans="2:8" ht="59.25" customHeight="1" x14ac:dyDescent="0.25">
      <c r="B36" s="137"/>
      <c r="C36" s="191" t="s">
        <v>41</v>
      </c>
      <c r="D36" s="192"/>
      <c r="E36" s="193" t="s">
        <v>42</v>
      </c>
      <c r="F36" s="194"/>
      <c r="G36" s="134"/>
      <c r="H36" s="136"/>
    </row>
    <row r="37" spans="2:8" ht="23.25" customHeight="1" x14ac:dyDescent="0.25">
      <c r="B37" s="137"/>
      <c r="C37" s="191" t="s">
        <v>43</v>
      </c>
      <c r="D37" s="192"/>
      <c r="E37" s="193" t="s">
        <v>44</v>
      </c>
      <c r="F37" s="194"/>
      <c r="G37" s="134"/>
      <c r="H37" s="136"/>
    </row>
    <row r="38" spans="2:8" ht="30.75" customHeight="1" x14ac:dyDescent="0.25">
      <c r="B38" s="137"/>
      <c r="C38" s="191" t="s">
        <v>45</v>
      </c>
      <c r="D38" s="192"/>
      <c r="E38" s="193" t="s">
        <v>46</v>
      </c>
      <c r="F38" s="194"/>
      <c r="G38" s="134"/>
      <c r="H38" s="136"/>
    </row>
    <row r="39" spans="2:8" ht="35.25" customHeight="1" x14ac:dyDescent="0.25">
      <c r="B39" s="137"/>
      <c r="C39" s="191" t="s">
        <v>45</v>
      </c>
      <c r="D39" s="192"/>
      <c r="E39" s="193" t="s">
        <v>46</v>
      </c>
      <c r="F39" s="194"/>
      <c r="G39" s="134"/>
      <c r="H39" s="136"/>
    </row>
    <row r="40" spans="2:8" ht="33" customHeight="1" x14ac:dyDescent="0.25">
      <c r="B40" s="137"/>
      <c r="C40" s="191" t="s">
        <v>47</v>
      </c>
      <c r="D40" s="192"/>
      <c r="E40" s="193" t="s">
        <v>48</v>
      </c>
      <c r="F40" s="194"/>
      <c r="G40" s="134"/>
      <c r="H40" s="136"/>
    </row>
    <row r="41" spans="2:8" ht="30" customHeight="1" x14ac:dyDescent="0.25">
      <c r="B41" s="137"/>
      <c r="C41" s="191" t="s">
        <v>49</v>
      </c>
      <c r="D41" s="192"/>
      <c r="E41" s="193" t="s">
        <v>50</v>
      </c>
      <c r="F41" s="194"/>
      <c r="G41" s="134"/>
      <c r="H41" s="136"/>
    </row>
    <row r="42" spans="2:8" ht="35.25" customHeight="1" x14ac:dyDescent="0.25">
      <c r="B42" s="137"/>
      <c r="C42" s="191" t="s">
        <v>51</v>
      </c>
      <c r="D42" s="192"/>
      <c r="E42" s="193" t="s">
        <v>52</v>
      </c>
      <c r="F42" s="194"/>
      <c r="G42" s="134"/>
      <c r="H42" s="136"/>
    </row>
    <row r="43" spans="2:8" ht="31.5" customHeight="1" x14ac:dyDescent="0.25">
      <c r="B43" s="137"/>
      <c r="C43" s="191" t="s">
        <v>53</v>
      </c>
      <c r="D43" s="192"/>
      <c r="E43" s="193" t="s">
        <v>54</v>
      </c>
      <c r="F43" s="194"/>
      <c r="G43" s="134"/>
      <c r="H43" s="136"/>
    </row>
    <row r="44" spans="2:8" ht="54" customHeight="1" x14ac:dyDescent="0.25">
      <c r="B44" s="137"/>
      <c r="C44" s="191" t="s">
        <v>55</v>
      </c>
      <c r="D44" s="192"/>
      <c r="E44" s="193" t="s">
        <v>56</v>
      </c>
      <c r="F44" s="194"/>
      <c r="G44" s="134"/>
      <c r="H44" s="136"/>
    </row>
    <row r="45" spans="2:8" ht="59.25" customHeight="1" x14ac:dyDescent="0.25">
      <c r="B45" s="137"/>
      <c r="C45" s="191" t="s">
        <v>57</v>
      </c>
      <c r="D45" s="192"/>
      <c r="E45" s="193" t="s">
        <v>58</v>
      </c>
      <c r="F45" s="194"/>
      <c r="G45" s="134"/>
      <c r="H45" s="136"/>
    </row>
    <row r="46" spans="2:8" ht="84" customHeight="1" x14ac:dyDescent="0.25">
      <c r="B46" s="137"/>
      <c r="C46" s="191" t="s">
        <v>59</v>
      </c>
      <c r="D46" s="192"/>
      <c r="E46" s="193" t="s">
        <v>60</v>
      </c>
      <c r="F46" s="194"/>
      <c r="G46" s="134"/>
      <c r="H46" s="136"/>
    </row>
    <row r="47" spans="2:8" ht="82.5" customHeight="1" x14ac:dyDescent="0.25">
      <c r="B47" s="137"/>
      <c r="C47" s="191" t="s">
        <v>61</v>
      </c>
      <c r="D47" s="192"/>
      <c r="E47" s="193" t="s">
        <v>62</v>
      </c>
      <c r="F47" s="194"/>
      <c r="G47" s="134"/>
      <c r="H47" s="136"/>
    </row>
    <row r="48" spans="2:8" ht="46.5" customHeight="1" thickBot="1" x14ac:dyDescent="0.3">
      <c r="B48" s="137"/>
      <c r="C48" s="195"/>
      <c r="D48" s="196"/>
      <c r="E48" s="197"/>
      <c r="F48" s="198"/>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144</v>
      </c>
    </row>
    <row r="4" spans="1:1" x14ac:dyDescent="0.2">
      <c r="A4" s="10" t="s">
        <v>250</v>
      </c>
    </row>
    <row r="5" spans="1:1" x14ac:dyDescent="0.2">
      <c r="A5" s="10" t="s">
        <v>252</v>
      </c>
    </row>
    <row r="6" spans="1:1" x14ac:dyDescent="0.2">
      <c r="A6" s="10" t="s">
        <v>254</v>
      </c>
    </row>
    <row r="7" spans="1:1" x14ac:dyDescent="0.2">
      <c r="A7" s="10" t="s">
        <v>145</v>
      </c>
    </row>
    <row r="8" spans="1:1" x14ac:dyDescent="0.2">
      <c r="A8" s="10" t="s">
        <v>146</v>
      </c>
    </row>
    <row r="9" spans="1:1" x14ac:dyDescent="0.2">
      <c r="A9" s="10" t="s">
        <v>260</v>
      </c>
    </row>
    <row r="10" spans="1:1" x14ac:dyDescent="0.2">
      <c r="A10" s="10" t="s">
        <v>147</v>
      </c>
    </row>
    <row r="11" spans="1:1" x14ac:dyDescent="0.2">
      <c r="A11" s="10" t="s">
        <v>263</v>
      </c>
    </row>
    <row r="12" spans="1:1" x14ac:dyDescent="0.2">
      <c r="A12" s="10" t="s">
        <v>282</v>
      </c>
    </row>
    <row r="13" spans="1:1" x14ac:dyDescent="0.2">
      <c r="A13" s="10" t="s">
        <v>283</v>
      </c>
    </row>
    <row r="14" spans="1:1" x14ac:dyDescent="0.2">
      <c r="A14" s="10" t="s">
        <v>284</v>
      </c>
    </row>
    <row r="16" spans="1:1" x14ac:dyDescent="0.2">
      <c r="A16" s="10" t="s">
        <v>285</v>
      </c>
    </row>
    <row r="17" spans="1:1" x14ac:dyDescent="0.2">
      <c r="A17" s="10" t="s">
        <v>269</v>
      </c>
    </row>
    <row r="18" spans="1:1" x14ac:dyDescent="0.2">
      <c r="A18" s="10" t="s">
        <v>271</v>
      </c>
    </row>
    <row r="20" spans="1:1" x14ac:dyDescent="0.2">
      <c r="A20" s="10" t="s">
        <v>274</v>
      </c>
    </row>
    <row r="21" spans="1:1" x14ac:dyDescent="0.2">
      <c r="A21" s="10" t="s">
        <v>275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3"/>
  <sheetViews>
    <sheetView showGridLines="0" zoomScale="64" zoomScaleNormal="64" workbookViewId="0">
      <selection activeCell="G12" sqref="G12"/>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68</v>
      </c>
    </row>
    <row r="2" spans="2:52" ht="18" customHeight="1" thickBot="1" x14ac:dyDescent="0.3">
      <c r="B2" s="256"/>
      <c r="C2" s="259" t="s">
        <v>69</v>
      </c>
      <c r="D2" s="260"/>
      <c r="E2" s="260"/>
      <c r="F2" s="147" t="s">
        <v>70</v>
      </c>
      <c r="AZ2" s="146" t="s">
        <v>71</v>
      </c>
    </row>
    <row r="3" spans="2:52" ht="18" customHeight="1" thickBot="1" x14ac:dyDescent="0.3">
      <c r="B3" s="257"/>
      <c r="C3" s="261"/>
      <c r="D3" s="262"/>
      <c r="E3" s="262"/>
      <c r="F3" s="148" t="s">
        <v>72</v>
      </c>
      <c r="AZ3" s="146" t="s">
        <v>73</v>
      </c>
    </row>
    <row r="4" spans="2:52" ht="18" customHeight="1" thickBot="1" x14ac:dyDescent="0.3">
      <c r="B4" s="257"/>
      <c r="C4" s="261"/>
      <c r="D4" s="262"/>
      <c r="E4" s="262"/>
      <c r="F4" s="148" t="s">
        <v>74</v>
      </c>
      <c r="AZ4" s="146" t="s">
        <v>75</v>
      </c>
    </row>
    <row r="5" spans="2:52" ht="18" customHeight="1" thickBot="1" x14ac:dyDescent="0.3">
      <c r="B5" s="258"/>
      <c r="C5" s="263"/>
      <c r="D5" s="264"/>
      <c r="E5" s="264"/>
      <c r="F5" s="148" t="s">
        <v>76</v>
      </c>
      <c r="AZ5" s="149"/>
    </row>
    <row r="6" spans="2:52" ht="18" customHeight="1" thickBot="1" x14ac:dyDescent="0.3">
      <c r="B6" s="150"/>
      <c r="C6" s="151"/>
      <c r="D6" s="151"/>
      <c r="E6" s="151"/>
      <c r="F6" s="152"/>
      <c r="AZ6" s="149"/>
    </row>
    <row r="7" spans="2:52" ht="33.4" customHeight="1" x14ac:dyDescent="0.25">
      <c r="B7" s="153" t="s">
        <v>77</v>
      </c>
      <c r="C7" s="265" t="s">
        <v>78</v>
      </c>
      <c r="D7" s="266"/>
      <c r="E7" s="266"/>
      <c r="F7" s="267"/>
      <c r="AZ7" s="149"/>
    </row>
    <row r="8" spans="2:52" ht="49.5" customHeight="1" thickBot="1" x14ac:dyDescent="0.3">
      <c r="B8" s="154" t="s">
        <v>79</v>
      </c>
      <c r="C8" s="268" t="s">
        <v>80</v>
      </c>
      <c r="D8" s="269"/>
      <c r="E8" s="269"/>
      <c r="F8" s="270"/>
      <c r="AZ8" s="149"/>
    </row>
    <row r="9" spans="2:52" ht="16.5" thickBot="1" x14ac:dyDescent="0.3">
      <c r="B9" s="271"/>
      <c r="C9" s="271"/>
      <c r="D9" s="271"/>
      <c r="E9" s="271"/>
      <c r="F9" s="271"/>
    </row>
    <row r="10" spans="2:52" ht="15.6" customHeight="1" thickBot="1" x14ac:dyDescent="0.3">
      <c r="B10" s="272" t="s">
        <v>69</v>
      </c>
      <c r="C10" s="273"/>
      <c r="D10" s="273"/>
      <c r="E10" s="273"/>
      <c r="F10" s="274"/>
    </row>
    <row r="11" spans="2:52" ht="32.25" thickBot="1" x14ac:dyDescent="0.3">
      <c r="B11" s="275" t="s">
        <v>81</v>
      </c>
      <c r="C11" s="276"/>
      <c r="D11" s="188" t="s">
        <v>82</v>
      </c>
      <c r="E11" s="155" t="s">
        <v>83</v>
      </c>
      <c r="F11" s="156" t="s">
        <v>84</v>
      </c>
    </row>
    <row r="12" spans="2:52" ht="188.25" customHeight="1" thickBot="1" x14ac:dyDescent="0.3">
      <c r="B12" s="277" t="s">
        <v>85</v>
      </c>
      <c r="C12" s="278"/>
      <c r="D12" s="189" t="s">
        <v>86</v>
      </c>
      <c r="E12" s="186" t="s">
        <v>87</v>
      </c>
      <c r="F12" s="187" t="s">
        <v>88</v>
      </c>
    </row>
    <row r="14" spans="2:52" ht="18" x14ac:dyDescent="0.25">
      <c r="B14" s="279" t="s">
        <v>89</v>
      </c>
      <c r="C14" s="279"/>
      <c r="D14" s="279"/>
      <c r="E14" s="279"/>
      <c r="F14" s="279"/>
    </row>
    <row r="15" spans="2:52" ht="15.75" x14ac:dyDescent="0.25">
      <c r="B15" s="157"/>
    </row>
    <row r="16" spans="2:52" ht="15.75" thickBot="1" x14ac:dyDescent="0.3">
      <c r="B16" s="158"/>
    </row>
    <row r="17" spans="2:6" ht="16.5" thickBot="1" x14ac:dyDescent="0.3">
      <c r="B17" s="253" t="s">
        <v>90</v>
      </c>
      <c r="C17" s="254"/>
      <c r="D17" s="255"/>
      <c r="E17" s="253" t="s">
        <v>91</v>
      </c>
      <c r="F17" s="255"/>
    </row>
    <row r="18" spans="2:6" ht="15" customHeight="1" x14ac:dyDescent="0.25">
      <c r="B18" s="243" t="s">
        <v>92</v>
      </c>
      <c r="C18" s="244"/>
      <c r="D18" s="245"/>
      <c r="E18" s="249" t="s">
        <v>93</v>
      </c>
      <c r="F18" s="250"/>
    </row>
    <row r="19" spans="2:6" ht="15" customHeight="1" x14ac:dyDescent="0.25">
      <c r="B19" s="243"/>
      <c r="C19" s="244"/>
      <c r="D19" s="245"/>
      <c r="E19" s="249"/>
      <c r="F19" s="250"/>
    </row>
    <row r="20" spans="2:6" ht="15" customHeight="1" x14ac:dyDescent="0.25">
      <c r="B20" s="243"/>
      <c r="C20" s="244"/>
      <c r="D20" s="245"/>
      <c r="E20" s="249"/>
      <c r="F20" s="250"/>
    </row>
    <row r="21" spans="2:6" ht="15" customHeight="1" x14ac:dyDescent="0.25">
      <c r="B21" s="243"/>
      <c r="C21" s="244"/>
      <c r="D21" s="245"/>
      <c r="E21" s="249"/>
      <c r="F21" s="250"/>
    </row>
    <row r="22" spans="2:6" ht="15" customHeight="1" x14ac:dyDescent="0.25">
      <c r="B22" s="243"/>
      <c r="C22" s="244"/>
      <c r="D22" s="245"/>
      <c r="E22" s="249"/>
      <c r="F22" s="250"/>
    </row>
    <row r="23" spans="2:6" ht="15" customHeight="1" x14ac:dyDescent="0.25">
      <c r="B23" s="243"/>
      <c r="C23" s="244"/>
      <c r="D23" s="245"/>
      <c r="E23" s="249"/>
      <c r="F23" s="250"/>
    </row>
    <row r="24" spans="2:6" ht="15" customHeight="1" x14ac:dyDescent="0.25">
      <c r="B24" s="243"/>
      <c r="C24" s="244"/>
      <c r="D24" s="245"/>
      <c r="E24" s="249"/>
      <c r="F24" s="250"/>
    </row>
    <row r="25" spans="2:6" ht="75.75" customHeight="1" thickBot="1" x14ac:dyDescent="0.3">
      <c r="B25" s="243"/>
      <c r="C25" s="244"/>
      <c r="D25" s="245"/>
      <c r="E25" s="249"/>
      <c r="F25" s="250"/>
    </row>
    <row r="26" spans="2:6" ht="16.5" thickBot="1" x14ac:dyDescent="0.3">
      <c r="B26" s="253" t="s">
        <v>94</v>
      </c>
      <c r="C26" s="254"/>
      <c r="D26" s="255"/>
      <c r="E26" s="253" t="s">
        <v>95</v>
      </c>
      <c r="F26" s="255"/>
    </row>
    <row r="27" spans="2:6" ht="15" customHeight="1" x14ac:dyDescent="0.25">
      <c r="B27" s="243" t="s">
        <v>96</v>
      </c>
      <c r="C27" s="244"/>
      <c r="D27" s="245"/>
      <c r="E27" s="249" t="s">
        <v>97</v>
      </c>
      <c r="F27" s="250"/>
    </row>
    <row r="28" spans="2:6" ht="15" customHeight="1" x14ac:dyDescent="0.25">
      <c r="B28" s="243"/>
      <c r="C28" s="244"/>
      <c r="D28" s="245"/>
      <c r="E28" s="249"/>
      <c r="F28" s="250"/>
    </row>
    <row r="29" spans="2:6" ht="15" customHeight="1" x14ac:dyDescent="0.25">
      <c r="B29" s="243"/>
      <c r="C29" s="244"/>
      <c r="D29" s="245"/>
      <c r="E29" s="249"/>
      <c r="F29" s="250"/>
    </row>
    <row r="30" spans="2:6" ht="15" customHeight="1" x14ac:dyDescent="0.25">
      <c r="B30" s="243"/>
      <c r="C30" s="244"/>
      <c r="D30" s="245"/>
      <c r="E30" s="249"/>
      <c r="F30" s="250"/>
    </row>
    <row r="31" spans="2:6" ht="15" customHeight="1" x14ac:dyDescent="0.25">
      <c r="B31" s="243"/>
      <c r="C31" s="244"/>
      <c r="D31" s="245"/>
      <c r="E31" s="249"/>
      <c r="F31" s="250"/>
    </row>
    <row r="32" spans="2:6" ht="15" customHeight="1" x14ac:dyDescent="0.25">
      <c r="B32" s="243"/>
      <c r="C32" s="244"/>
      <c r="D32" s="245"/>
      <c r="E32" s="249"/>
      <c r="F32" s="250"/>
    </row>
    <row r="33" spans="2:6" ht="93.75" customHeight="1" thickBot="1" x14ac:dyDescent="0.3">
      <c r="B33" s="246"/>
      <c r="C33" s="247"/>
      <c r="D33" s="248"/>
      <c r="E33" s="251"/>
      <c r="F33" s="252"/>
    </row>
  </sheetData>
  <mergeCells count="17">
    <mergeCell ref="B10:F10"/>
    <mergeCell ref="B11:C11"/>
    <mergeCell ref="B12:C12"/>
    <mergeCell ref="B14:F14"/>
    <mergeCell ref="B17:D17"/>
    <mergeCell ref="E17:F17"/>
    <mergeCell ref="B2:B5"/>
    <mergeCell ref="C2:E5"/>
    <mergeCell ref="C7:F7"/>
    <mergeCell ref="C8:F8"/>
    <mergeCell ref="B9:F9"/>
    <mergeCell ref="B27:D33"/>
    <mergeCell ref="E27:F33"/>
    <mergeCell ref="B26:D26"/>
    <mergeCell ref="E26:F26"/>
    <mergeCell ref="B18:D25"/>
    <mergeCell ref="E18:F25"/>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R24" zoomScale="80" zoomScaleNormal="80" workbookViewId="0">
      <selection activeCell="AF27" sqref="AF2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7.7109375" style="1" customWidth="1"/>
    <col min="14" max="14" width="16" style="1" customWidth="1"/>
    <col min="15" max="15" width="5.85546875" style="1" customWidth="1"/>
    <col min="16" max="16" width="43.5703125" style="185"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4.5703125" style="1" customWidth="1"/>
    <col min="35" max="35" width="14.85546875" style="1" customWidth="1"/>
    <col min="36" max="36" width="18.5703125" style="1" customWidth="1"/>
    <col min="37" max="37" width="34.85546875" style="1" customWidth="1"/>
    <col min="38" max="16384" width="11.42578125" style="1"/>
  </cols>
  <sheetData>
    <row r="1" spans="1:69" ht="15" customHeight="1" x14ac:dyDescent="0.3">
      <c r="A1" s="327"/>
      <c r="B1" s="328"/>
      <c r="C1" s="328"/>
      <c r="D1" s="329"/>
      <c r="E1" s="300" t="s">
        <v>98</v>
      </c>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2"/>
      <c r="AJ1" s="298" t="s">
        <v>99</v>
      </c>
      <c r="AK1" s="299"/>
    </row>
    <row r="2" spans="1:69" ht="15" customHeight="1" x14ac:dyDescent="0.3">
      <c r="A2" s="330"/>
      <c r="B2" s="331"/>
      <c r="C2" s="331"/>
      <c r="D2" s="332"/>
      <c r="E2" s="303"/>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5"/>
      <c r="AJ2" s="298" t="s">
        <v>100</v>
      </c>
      <c r="AK2" s="299"/>
    </row>
    <row r="3" spans="1:69" ht="15" customHeight="1" x14ac:dyDescent="0.3">
      <c r="A3" s="330"/>
      <c r="B3" s="331"/>
      <c r="C3" s="331"/>
      <c r="D3" s="332"/>
      <c r="E3" s="303"/>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5"/>
      <c r="AJ3" s="298" t="s">
        <v>101</v>
      </c>
      <c r="AK3" s="299"/>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33"/>
      <c r="B4" s="334"/>
      <c r="C4" s="334"/>
      <c r="D4" s="335"/>
      <c r="E4" s="306"/>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8"/>
      <c r="AJ4" s="298" t="s">
        <v>102</v>
      </c>
      <c r="AK4" s="299"/>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4"/>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58" t="s">
        <v>103</v>
      </c>
      <c r="B6" s="359"/>
      <c r="C6" s="336" t="s">
        <v>78</v>
      </c>
      <c r="D6" s="337"/>
      <c r="E6" s="337"/>
      <c r="F6" s="337"/>
      <c r="G6" s="337"/>
      <c r="H6" s="337"/>
      <c r="I6" s="337"/>
      <c r="J6" s="337"/>
      <c r="K6" s="337"/>
      <c r="L6" s="337"/>
      <c r="M6" s="337"/>
      <c r="N6" s="338"/>
      <c r="O6" s="317"/>
      <c r="P6" s="317"/>
      <c r="Q6" s="317"/>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58" t="s">
        <v>104</v>
      </c>
      <c r="B7" s="359"/>
      <c r="C7" s="366" t="s">
        <v>105</v>
      </c>
      <c r="D7" s="367"/>
      <c r="E7" s="367"/>
      <c r="F7" s="367"/>
      <c r="G7" s="367"/>
      <c r="H7" s="367"/>
      <c r="I7" s="367"/>
      <c r="J7" s="367"/>
      <c r="K7" s="367"/>
      <c r="L7" s="367"/>
      <c r="M7" s="367"/>
      <c r="N7" s="368"/>
      <c r="O7" s="8"/>
      <c r="P7" s="184"/>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58" t="s">
        <v>106</v>
      </c>
      <c r="B8" s="359"/>
      <c r="C8" s="366" t="s">
        <v>107</v>
      </c>
      <c r="D8" s="367"/>
      <c r="E8" s="367"/>
      <c r="F8" s="367"/>
      <c r="G8" s="367"/>
      <c r="H8" s="367"/>
      <c r="I8" s="367"/>
      <c r="J8" s="367"/>
      <c r="K8" s="367"/>
      <c r="L8" s="367"/>
      <c r="M8" s="367"/>
      <c r="N8" s="368"/>
      <c r="O8" s="8"/>
      <c r="P8" s="18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18" t="s">
        <v>108</v>
      </c>
      <c r="B9" s="319"/>
      <c r="C9" s="319"/>
      <c r="D9" s="319"/>
      <c r="E9" s="319"/>
      <c r="F9" s="319"/>
      <c r="G9" s="320"/>
      <c r="H9" s="318" t="s">
        <v>109</v>
      </c>
      <c r="I9" s="319"/>
      <c r="J9" s="319"/>
      <c r="K9" s="319"/>
      <c r="L9" s="319"/>
      <c r="M9" s="319"/>
      <c r="N9" s="320"/>
      <c r="O9" s="318" t="s">
        <v>110</v>
      </c>
      <c r="P9" s="319"/>
      <c r="Q9" s="319"/>
      <c r="R9" s="319"/>
      <c r="S9" s="319"/>
      <c r="T9" s="319"/>
      <c r="U9" s="319"/>
      <c r="V9" s="319"/>
      <c r="W9" s="320"/>
      <c r="X9" s="318" t="s">
        <v>111</v>
      </c>
      <c r="Y9" s="319"/>
      <c r="Z9" s="319"/>
      <c r="AA9" s="319"/>
      <c r="AB9" s="319"/>
      <c r="AC9" s="319"/>
      <c r="AD9" s="320"/>
      <c r="AE9" s="318" t="s">
        <v>112</v>
      </c>
      <c r="AF9" s="319"/>
      <c r="AG9" s="319"/>
      <c r="AH9" s="319"/>
      <c r="AI9" s="319"/>
      <c r="AJ9" s="319"/>
      <c r="AK9" s="320"/>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60" t="s">
        <v>113</v>
      </c>
      <c r="B10" s="363" t="s">
        <v>23</v>
      </c>
      <c r="C10" s="316" t="s">
        <v>25</v>
      </c>
      <c r="D10" s="316" t="s">
        <v>27</v>
      </c>
      <c r="E10" s="362" t="s">
        <v>29</v>
      </c>
      <c r="F10" s="315" t="s">
        <v>31</v>
      </c>
      <c r="G10" s="316" t="s">
        <v>114</v>
      </c>
      <c r="H10" s="370" t="s">
        <v>115</v>
      </c>
      <c r="I10" s="371" t="s">
        <v>116</v>
      </c>
      <c r="J10" s="315" t="s">
        <v>117</v>
      </c>
      <c r="K10" s="315" t="s">
        <v>118</v>
      </c>
      <c r="L10" s="373" t="s">
        <v>119</v>
      </c>
      <c r="M10" s="371" t="s">
        <v>116</v>
      </c>
      <c r="N10" s="316" t="s">
        <v>37</v>
      </c>
      <c r="O10" s="364" t="s">
        <v>120</v>
      </c>
      <c r="P10" s="357" t="s">
        <v>39</v>
      </c>
      <c r="Q10" s="315" t="s">
        <v>41</v>
      </c>
      <c r="R10" s="357" t="s">
        <v>121</v>
      </c>
      <c r="S10" s="357"/>
      <c r="T10" s="357"/>
      <c r="U10" s="357"/>
      <c r="V10" s="357"/>
      <c r="W10" s="357"/>
      <c r="X10" s="369" t="s">
        <v>122</v>
      </c>
      <c r="Y10" s="369" t="s">
        <v>123</v>
      </c>
      <c r="Z10" s="369" t="s">
        <v>116</v>
      </c>
      <c r="AA10" s="369" t="s">
        <v>124</v>
      </c>
      <c r="AB10" s="369" t="s">
        <v>116</v>
      </c>
      <c r="AC10" s="369" t="s">
        <v>125</v>
      </c>
      <c r="AD10" s="364" t="s">
        <v>57</v>
      </c>
      <c r="AE10" s="357" t="s">
        <v>112</v>
      </c>
      <c r="AF10" s="357" t="s">
        <v>126</v>
      </c>
      <c r="AG10" s="357" t="s">
        <v>127</v>
      </c>
      <c r="AH10" s="315" t="s">
        <v>128</v>
      </c>
      <c r="AI10" s="357" t="s">
        <v>129</v>
      </c>
      <c r="AJ10" s="357" t="s">
        <v>130</v>
      </c>
      <c r="AK10" s="357"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61"/>
      <c r="B11" s="363"/>
      <c r="C11" s="357"/>
      <c r="D11" s="357"/>
      <c r="E11" s="363"/>
      <c r="F11" s="316"/>
      <c r="G11" s="357"/>
      <c r="H11" s="316"/>
      <c r="I11" s="372"/>
      <c r="J11" s="316"/>
      <c r="K11" s="316"/>
      <c r="L11" s="372"/>
      <c r="M11" s="372"/>
      <c r="N11" s="357"/>
      <c r="O11" s="365"/>
      <c r="P11" s="357"/>
      <c r="Q11" s="316"/>
      <c r="R11" s="7" t="s">
        <v>131</v>
      </c>
      <c r="S11" s="7" t="s">
        <v>132</v>
      </c>
      <c r="T11" s="7" t="s">
        <v>133</v>
      </c>
      <c r="U11" s="7" t="s">
        <v>134</v>
      </c>
      <c r="V11" s="7" t="s">
        <v>135</v>
      </c>
      <c r="W11" s="7" t="s">
        <v>136</v>
      </c>
      <c r="X11" s="369"/>
      <c r="Y11" s="369"/>
      <c r="Z11" s="369"/>
      <c r="AA11" s="369"/>
      <c r="AB11" s="369"/>
      <c r="AC11" s="369"/>
      <c r="AD11" s="365"/>
      <c r="AE11" s="357"/>
      <c r="AF11" s="357"/>
      <c r="AG11" s="357"/>
      <c r="AH11" s="316"/>
      <c r="AI11" s="357"/>
      <c r="AJ11" s="357"/>
      <c r="AK11" s="357"/>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71.25" customHeight="1" x14ac:dyDescent="0.25">
      <c r="A12" s="280">
        <v>1</v>
      </c>
      <c r="B12" s="374" t="s">
        <v>137</v>
      </c>
      <c r="C12" s="342" t="s">
        <v>138</v>
      </c>
      <c r="D12" s="342" t="s">
        <v>139</v>
      </c>
      <c r="E12" s="345" t="s">
        <v>140</v>
      </c>
      <c r="F12" s="374" t="s">
        <v>141</v>
      </c>
      <c r="G12" s="377">
        <v>262</v>
      </c>
      <c r="H12" s="380" t="str">
        <f>IF(G12&lt;=0,"",IF(G12&lt;=2,"Muy Baja",IF(G12&lt;=24,"Baja",IF(G12&lt;=500,"Media",IF(G12&lt;=5000,"Alta","Muy Alta")))))</f>
        <v>Media</v>
      </c>
      <c r="I12" s="386">
        <f>IF(H12="","",IF(H12="Muy Baja",0.2,IF(H12="Baja",0.4,IF(H12="Media",0.6,IF(H12="Alta",0.8,IF(H12="Muy Alta",1,))))))</f>
        <v>0.6</v>
      </c>
      <c r="J12" s="389" t="s">
        <v>142</v>
      </c>
      <c r="K12" s="386" t="str">
        <f>IF(NOT(ISERROR(MATCH(J12,'Tabla Impacto'!$B$221:$B$223,0))),'Tabla Impacto'!$F$223&amp;"Por favor no seleccionar los criterios de impacto(Afectación Económica o presupuestal y Pérdida Reputacional)",J12)</f>
        <v xml:space="preserve">     Mayor a 500 SMLMV </v>
      </c>
      <c r="L12" s="380" t="str">
        <f>IF(OR(K12='Tabla Impacto'!$C$11,K12='Tabla Impacto'!$D$11),"Leve",IF(OR(K12='Tabla Impacto'!$C$12,K12='Tabla Impacto'!$D$12),"Menor",IF(OR(K12='Tabla Impacto'!$C$13,K12='Tabla Impacto'!$D$13),"Moderado",IF(OR(K12='Tabla Impacto'!$C$14,K12='Tabla Impacto'!$D$14),"Mayor",IF(OR(K12='Tabla Impacto'!$C$15,K12='Tabla Impacto'!$D$15),"Catastrófico","")))))</f>
        <v>Catastrófico</v>
      </c>
      <c r="M12" s="386">
        <f>IF(L12="","",IF(L12="Leve",0.2,IF(L12="Menor",0.4,IF(L12="Moderado",0.6,IF(L12="Mayor",0.8,IF(L12="Catastrófico",1,))))))</f>
        <v>1</v>
      </c>
      <c r="N12" s="383"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Extremo</v>
      </c>
      <c r="O12" s="6">
        <v>1</v>
      </c>
      <c r="P12" s="181" t="s">
        <v>143</v>
      </c>
      <c r="Q12" s="164" t="str">
        <f>IF(OR(R12="Preventivo",R12="Detectivo"),"Probabilidad",IF(R12="Correctivo","Impacto",""))</f>
        <v>Probabilidad</v>
      </c>
      <c r="R12" s="159" t="s">
        <v>144</v>
      </c>
      <c r="S12" s="159" t="s">
        <v>145</v>
      </c>
      <c r="T12" s="160" t="str">
        <f>IF(AND(R12="Preventivo",S12="Automático"),"50%",IF(AND(R12="Preventivo",S12="Manual"),"40%",IF(AND(R12="Detectivo",S12="Automático"),"40%",IF(AND(R12="Detectivo",S12="Manual"),"30%",IF(AND(R12="Correctivo",S12="Automático"),"35%",IF(AND(R12="Correctivo",S12="Manual"),"25%",""))))))</f>
        <v>40%</v>
      </c>
      <c r="U12" s="159" t="s">
        <v>146</v>
      </c>
      <c r="V12" s="159" t="s">
        <v>147</v>
      </c>
      <c r="W12" s="159" t="s">
        <v>148</v>
      </c>
      <c r="X12" s="161">
        <f>IFERROR(IF(Q12="Probabilidad",(I12-(+I12*T12)),IF(Q12="Impacto",I12,"")),"")</f>
        <v>0.36</v>
      </c>
      <c r="Y12" s="162" t="str">
        <f>IFERROR(IF(X12="","",IF(X12&lt;=0.2,"Muy Baja",IF(X12&lt;=0.4,"Baja",IF(X12&lt;=0.6,"Media",IF(X12&lt;=0.8,"Alta","Muy Alta"))))),"")</f>
        <v>Baja</v>
      </c>
      <c r="Z12" s="163">
        <f>+X12</f>
        <v>0.36</v>
      </c>
      <c r="AA12" s="162" t="str">
        <f>IFERROR(IF(AB12="","",IF(AB12&lt;=0.2,"Leve",IF(AB12&lt;=0.4,"Menor",IF(AB12&lt;=0.6,"Moderado",IF(AB12&lt;=0.8,"Mayor","Catastrófico"))))),"")</f>
        <v>Catastrófico</v>
      </c>
      <c r="AB12" s="163">
        <f>IFERROR(IF(Q12="Impacto",(M12-(+M12*T12)),IF(Q12="Probabilidad",M12,"")),"")</f>
        <v>1</v>
      </c>
      <c r="AC12" s="1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Extremo</v>
      </c>
      <c r="AD12" s="165" t="s">
        <v>149</v>
      </c>
      <c r="AE12" s="178" t="s">
        <v>150</v>
      </c>
      <c r="AF12" s="178" t="s">
        <v>151</v>
      </c>
      <c r="AG12" s="179">
        <v>44392</v>
      </c>
      <c r="AH12" s="179">
        <v>44560</v>
      </c>
      <c r="AI12" s="167"/>
      <c r="AJ12" s="119"/>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27.75" customHeight="1" x14ac:dyDescent="0.3">
      <c r="A13" s="281"/>
      <c r="B13" s="375"/>
      <c r="C13" s="343"/>
      <c r="D13" s="343"/>
      <c r="E13" s="346"/>
      <c r="F13" s="375"/>
      <c r="G13" s="378"/>
      <c r="H13" s="381"/>
      <c r="I13" s="387"/>
      <c r="J13" s="390"/>
      <c r="K13" s="387">
        <f>IF(NOT(ISERROR(MATCH(J13,_xlfn.ANCHORARRAY(E24),0))),I26&amp;"Por favor no seleccionar los criterios de impacto",J13)</f>
        <v>0</v>
      </c>
      <c r="L13" s="381"/>
      <c r="M13" s="387"/>
      <c r="N13" s="384"/>
      <c r="O13" s="6">
        <v>2</v>
      </c>
      <c r="P13" s="181"/>
      <c r="Q13" s="164" t="str">
        <f>IF(OR(R13="Preventivo",R13="Detectivo"),"Probabilidad",IF(R13="Correctivo","Impacto",""))</f>
        <v/>
      </c>
      <c r="R13" s="159"/>
      <c r="S13" s="159"/>
      <c r="T13" s="160" t="str">
        <f t="shared" ref="T13:T17" si="0">IF(AND(R13="Preventivo",S13="Automático"),"50%",IF(AND(R13="Preventivo",S13="Manual"),"40%",IF(AND(R13="Detectivo",S13="Automático"),"40%",IF(AND(R13="Detectivo",S13="Manual"),"30%",IF(AND(R13="Correctivo",S13="Automático"),"35%",IF(AND(R13="Correctivo",S13="Manual"),"25%",""))))))</f>
        <v/>
      </c>
      <c r="U13" s="159"/>
      <c r="V13" s="159"/>
      <c r="W13" s="159"/>
      <c r="X13" s="161" t="str">
        <f>IFERROR(IF(AND(Q12="Probabilidad",Q13="Probabilidad"),(Z12-(+Z12*T13)),IF(Q13="Probabilidad",(I12-(+I12*T13)),IF(Q13="Impacto",Z12,""))),"")</f>
        <v/>
      </c>
      <c r="Y13" s="162" t="str">
        <f t="shared" ref="Y13:Y71" si="1">IFERROR(IF(X13="","",IF(X13&lt;=0.2,"Muy Baja",IF(X13&lt;=0.4,"Baja",IF(X13&lt;=0.6,"Media",IF(X13&lt;=0.8,"Alta","Muy Alta"))))),"")</f>
        <v/>
      </c>
      <c r="Z13" s="163" t="str">
        <f t="shared" ref="Z13:Z17" si="2">+X13</f>
        <v/>
      </c>
      <c r="AA13" s="162" t="str">
        <f t="shared" ref="AA13:AA71" si="3">IFERROR(IF(AB13="","",IF(AB13&lt;=0.2,"Leve",IF(AB13&lt;=0.4,"Menor",IF(AB13&lt;=0.6,"Moderado",IF(AB13&lt;=0.8,"Mayor","Catastrófico"))))),"")</f>
        <v/>
      </c>
      <c r="AB13" s="163" t="str">
        <f>IFERROR(IF(AND(Q12="Impacto",Q13="Impacto"),(AB12-(+AB12*T13)),IF(Q13="Impacto",(M12-(+M12*T13)),IF(Q13="Probabilidad",AB12,""))),"")</f>
        <v/>
      </c>
      <c r="AC13" s="16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5"/>
      <c r="AE13" s="178"/>
      <c r="AF13" s="178"/>
      <c r="AG13" s="179"/>
      <c r="AH13" s="179"/>
      <c r="AI13" s="170"/>
      <c r="AJ13" s="115"/>
      <c r="AK13" s="169"/>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27.75" customHeight="1" x14ac:dyDescent="0.3">
      <c r="A14" s="281"/>
      <c r="B14" s="375"/>
      <c r="C14" s="343"/>
      <c r="D14" s="343"/>
      <c r="E14" s="346"/>
      <c r="F14" s="375"/>
      <c r="G14" s="378"/>
      <c r="H14" s="381"/>
      <c r="I14" s="387"/>
      <c r="J14" s="390"/>
      <c r="K14" s="387">
        <f>IF(NOT(ISERROR(MATCH(J14,_xlfn.ANCHORARRAY(E25),0))),I27&amp;"Por favor no seleccionar los criterios de impacto",J14)</f>
        <v>0</v>
      </c>
      <c r="L14" s="381"/>
      <c r="M14" s="387"/>
      <c r="N14" s="384"/>
      <c r="O14" s="106">
        <v>3</v>
      </c>
      <c r="P14" s="182"/>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27.75" customHeight="1" x14ac:dyDescent="0.3">
      <c r="A15" s="281"/>
      <c r="B15" s="375"/>
      <c r="C15" s="343"/>
      <c r="D15" s="343"/>
      <c r="E15" s="346"/>
      <c r="F15" s="375"/>
      <c r="G15" s="378"/>
      <c r="H15" s="381"/>
      <c r="I15" s="387"/>
      <c r="J15" s="390"/>
      <c r="K15" s="387">
        <f>IF(NOT(ISERROR(MATCH(J15,_xlfn.ANCHORARRAY(E26),0))),I28&amp;"Por favor no seleccionar los criterios de impacto",J15)</f>
        <v>0</v>
      </c>
      <c r="L15" s="381"/>
      <c r="M15" s="387"/>
      <c r="N15" s="384"/>
      <c r="O15" s="106">
        <v>4</v>
      </c>
      <c r="P15" s="181"/>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7.75" customHeight="1" x14ac:dyDescent="0.3">
      <c r="A16" s="281"/>
      <c r="B16" s="375"/>
      <c r="C16" s="343"/>
      <c r="D16" s="343"/>
      <c r="E16" s="346"/>
      <c r="F16" s="375"/>
      <c r="G16" s="378"/>
      <c r="H16" s="381"/>
      <c r="I16" s="387"/>
      <c r="J16" s="390"/>
      <c r="K16" s="387">
        <f>IF(NOT(ISERROR(MATCH(J16,_xlfn.ANCHORARRAY(E27),0))),I29&amp;"Por favor no seleccionar los criterios de impacto",J16)</f>
        <v>0</v>
      </c>
      <c r="L16" s="381"/>
      <c r="M16" s="387"/>
      <c r="N16" s="384"/>
      <c r="O16" s="106">
        <v>5</v>
      </c>
      <c r="P16" s="181"/>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x14ac:dyDescent="0.3">
      <c r="A17" s="282"/>
      <c r="B17" s="376"/>
      <c r="C17" s="344"/>
      <c r="D17" s="344"/>
      <c r="E17" s="347"/>
      <c r="F17" s="376"/>
      <c r="G17" s="379"/>
      <c r="H17" s="382"/>
      <c r="I17" s="388"/>
      <c r="J17" s="391"/>
      <c r="K17" s="388">
        <f>IF(NOT(ISERROR(MATCH(J17,_xlfn.ANCHORARRAY(E28),0))),I30&amp;"Por favor no seleccionar los criterios de impacto",J17)</f>
        <v>0</v>
      </c>
      <c r="L17" s="382"/>
      <c r="M17" s="388"/>
      <c r="N17" s="385"/>
      <c r="O17" s="106">
        <v>6</v>
      </c>
      <c r="P17" s="181"/>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06.5" customHeight="1" x14ac:dyDescent="0.3">
      <c r="A18" s="280">
        <v>2</v>
      </c>
      <c r="B18" s="342" t="s">
        <v>152</v>
      </c>
      <c r="C18" s="342" t="s">
        <v>153</v>
      </c>
      <c r="D18" s="342" t="s">
        <v>154</v>
      </c>
      <c r="E18" s="345" t="s">
        <v>155</v>
      </c>
      <c r="F18" s="342" t="s">
        <v>141</v>
      </c>
      <c r="G18" s="348">
        <v>262</v>
      </c>
      <c r="H18" s="351" t="str">
        <f>IF(G18&lt;=0,"",IF(G18&lt;=2,"Muy Baja",IF(G18&lt;=24,"Baja",IF(G18&lt;=500,"Media",IF(G18&lt;=5000,"Alta","Muy Alta")))))</f>
        <v>Media</v>
      </c>
      <c r="I18" s="324">
        <f>IF(H18="","",IF(H18="Muy Baja",0.2,IF(H18="Baja",0.4,IF(H18="Media",0.6,IF(H18="Alta",0.8,IF(H18="Muy Alta",1,))))))</f>
        <v>0.6</v>
      </c>
      <c r="J18" s="321" t="s">
        <v>156</v>
      </c>
      <c r="K18" s="324"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51" t="str">
        <f>IF(OR(K18='Tabla Impacto'!$C$11,K18='Tabla Impacto'!$D$11),"Leve",IF(OR(K18='Tabla Impacto'!$C$12,K18='Tabla Impacto'!$D$12),"Menor",IF(OR(K18='Tabla Impacto'!$C$13,K18='Tabla Impacto'!$D$13),"Moderado",IF(OR(K18='Tabla Impacto'!$C$14,K18='Tabla Impacto'!$D$14),"Mayor",IF(OR(K18='Tabla Impacto'!$C$15,K18='Tabla Impacto'!$D$15),"Catastrófico","")))))</f>
        <v>Moderado</v>
      </c>
      <c r="M18" s="324">
        <f>IF(L18="","",IF(L18="Leve",0.2,IF(L18="Menor",0.4,IF(L18="Moderado",0.6,IF(L18="Mayor",0.8,IF(L18="Catastrófico",1,))))))</f>
        <v>0.6</v>
      </c>
      <c r="N18" s="354"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1" t="s">
        <v>157</v>
      </c>
      <c r="Q18" s="164" t="str">
        <f>IF(OR(R18="Preventivo",R18="Detectivo"),"Probabilidad",IF(R18="Correctivo","Impacto",""))</f>
        <v>Probabilidad</v>
      </c>
      <c r="R18" s="171" t="s">
        <v>144</v>
      </c>
      <c r="S18" s="171" t="s">
        <v>145</v>
      </c>
      <c r="T18" s="172" t="str">
        <f>IF(AND(R18="Preventivo",S18="Automático"),"50%",IF(AND(R18="Preventivo",S18="Manual"),"40%",IF(AND(R18="Detectivo",S18="Automático"),"40%",IF(AND(R18="Detectivo",S18="Manual"),"30%",IF(AND(R18="Correctivo",S18="Automático"),"35%",IF(AND(R18="Correctivo",S18="Manual"),"25%",""))))))</f>
        <v>40%</v>
      </c>
      <c r="U18" s="171" t="s">
        <v>146</v>
      </c>
      <c r="V18" s="171" t="s">
        <v>147</v>
      </c>
      <c r="W18" s="171" t="s">
        <v>148</v>
      </c>
      <c r="X18" s="161">
        <f>IFERROR(IF(Q18="Probabilidad",(I18-(+I18*T18)),IF(Q18="Impacto",I18,"")),"")</f>
        <v>0.36</v>
      </c>
      <c r="Y18" s="173" t="str">
        <f>IFERROR(IF(X18="","",IF(X18&lt;=0.2,"Muy Baja",IF(X18&lt;=0.4,"Baja",IF(X18&lt;=0.6,"Media",IF(X18&lt;=0.8,"Alta","Muy Alta"))))),"")</f>
        <v>Baja</v>
      </c>
      <c r="Z18" s="174">
        <f>+X18</f>
        <v>0.36</v>
      </c>
      <c r="AA18" s="173" t="str">
        <f>IFERROR(IF(AB18="","",IF(AB18&lt;=0.2,"Leve",IF(AB18&lt;=0.4,"Menor",IF(AB18&lt;=0.6,"Moderado",IF(AB18&lt;=0.8,"Mayor","Catastrófico"))))),"")</f>
        <v>Moderado</v>
      </c>
      <c r="AB18" s="174">
        <f>IFERROR(IF(Q18="Impacto",(M18-(+M18*T18)),IF(Q18="Probabilidad",M18,"")),"")</f>
        <v>0.6</v>
      </c>
      <c r="AC18" s="175"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6" t="s">
        <v>149</v>
      </c>
      <c r="AE18" s="115" t="s">
        <v>158</v>
      </c>
      <c r="AF18" s="190" t="s">
        <v>159</v>
      </c>
      <c r="AG18" s="170">
        <v>44438</v>
      </c>
      <c r="AH18" s="179">
        <v>44560</v>
      </c>
      <c r="AI18" s="16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02" customHeight="1" x14ac:dyDescent="0.3">
      <c r="A19" s="281"/>
      <c r="B19" s="343"/>
      <c r="C19" s="343"/>
      <c r="D19" s="343"/>
      <c r="E19" s="346"/>
      <c r="F19" s="343"/>
      <c r="G19" s="349"/>
      <c r="H19" s="352"/>
      <c r="I19" s="325"/>
      <c r="J19" s="322"/>
      <c r="K19" s="325">
        <f>IF(NOT(ISERROR(MATCH(J19,_xlfn.ANCHORARRAY(E30),0))),I32&amp;"Por favor no seleccionar los criterios de impacto",J19)</f>
        <v>0</v>
      </c>
      <c r="L19" s="352"/>
      <c r="M19" s="325"/>
      <c r="N19" s="355"/>
      <c r="O19" s="106">
        <v>2</v>
      </c>
      <c r="P19" s="181" t="s">
        <v>160</v>
      </c>
      <c r="Q19" s="164" t="str">
        <f>IF(OR(R19="Preventivo",R19="Detectivo"),"Probabilidad",IF(R19="Correctivo","Impacto",""))</f>
        <v>Probabilidad</v>
      </c>
      <c r="R19" s="171" t="s">
        <v>144</v>
      </c>
      <c r="S19" s="171" t="s">
        <v>145</v>
      </c>
      <c r="T19" s="172" t="str">
        <f t="shared" ref="T19:T23" si="8">IF(AND(R19="Preventivo",S19="Automático"),"50%",IF(AND(R19="Preventivo",S19="Manual"),"40%",IF(AND(R19="Detectivo",S19="Automático"),"40%",IF(AND(R19="Detectivo",S19="Manual"),"30%",IF(AND(R19="Correctivo",S19="Automático"),"35%",IF(AND(R19="Correctivo",S19="Manual"),"25%",""))))))</f>
        <v>40%</v>
      </c>
      <c r="U19" s="171" t="s">
        <v>146</v>
      </c>
      <c r="V19" s="171" t="s">
        <v>147</v>
      </c>
      <c r="W19" s="171" t="s">
        <v>148</v>
      </c>
      <c r="X19" s="161">
        <f>IFERROR(IF(AND(Q18="Probabilidad",Q19="Probabilidad"),(Z18-(+Z18*T19)),IF(Q19="Probabilidad",(I18-(+I18*T19)),IF(Q19="Impacto",Z18,""))),"")</f>
        <v>0.216</v>
      </c>
      <c r="Y19" s="173" t="str">
        <f t="shared" si="1"/>
        <v>Baja</v>
      </c>
      <c r="Z19" s="174">
        <f t="shared" ref="Z19:Z23" si="9">+X19</f>
        <v>0.216</v>
      </c>
      <c r="AA19" s="173" t="str">
        <f t="shared" si="3"/>
        <v>Moderado</v>
      </c>
      <c r="AB19" s="174">
        <f>IFERROR(IF(AND(Q18="Impacto",Q19="Impacto"),(AB18-(+AB18*T19)),IF(Q19="Impacto",(M18-(+M18*T19)),IF(Q19="Probabilidad",AB18,""))),"")</f>
        <v>0.6</v>
      </c>
      <c r="AC19" s="175"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76" t="s">
        <v>149</v>
      </c>
      <c r="AE19" s="115" t="s">
        <v>161</v>
      </c>
      <c r="AF19" s="190" t="s">
        <v>159</v>
      </c>
      <c r="AG19" s="170">
        <v>44438</v>
      </c>
      <c r="AH19" s="179">
        <v>44560</v>
      </c>
      <c r="AI19" s="16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27.75" customHeight="1" x14ac:dyDescent="0.3">
      <c r="A20" s="281"/>
      <c r="B20" s="343"/>
      <c r="C20" s="343"/>
      <c r="D20" s="343"/>
      <c r="E20" s="346"/>
      <c r="F20" s="343"/>
      <c r="G20" s="349"/>
      <c r="H20" s="352"/>
      <c r="I20" s="325"/>
      <c r="J20" s="322"/>
      <c r="K20" s="325">
        <f>IF(NOT(ISERROR(MATCH(J20,_xlfn.ANCHORARRAY(E31),0))),I33&amp;"Por favor no seleccionar los criterios de impacto",J20)</f>
        <v>0</v>
      </c>
      <c r="L20" s="352"/>
      <c r="M20" s="325"/>
      <c r="N20" s="355"/>
      <c r="O20" s="106">
        <v>3</v>
      </c>
      <c r="P20" s="183"/>
      <c r="Q20" s="164" t="str">
        <f>IF(OR(R20="Preventivo",R20="Detectivo"),"Probabilidad",IF(R20="Correctivo","Impacto",""))</f>
        <v/>
      </c>
      <c r="R20" s="171"/>
      <c r="S20" s="171"/>
      <c r="T20" s="172" t="str">
        <f t="shared" si="8"/>
        <v/>
      </c>
      <c r="U20" s="171"/>
      <c r="V20" s="171"/>
      <c r="W20" s="171"/>
      <c r="X20" s="161" t="str">
        <f>IFERROR(IF(AND(Q19="Probabilidad",Q20="Probabilidad"),(Z19-(+Z19*T20)),IF(AND(Q19="Impacto",Q20="Probabilidad"),(Z18-(+Z18*T20)),IF(Q20="Impacto",Z19,""))),"")</f>
        <v/>
      </c>
      <c r="Y20" s="173" t="str">
        <f t="shared" si="1"/>
        <v/>
      </c>
      <c r="Z20" s="174" t="str">
        <f t="shared" si="9"/>
        <v/>
      </c>
      <c r="AA20" s="173" t="str">
        <f t="shared" si="3"/>
        <v/>
      </c>
      <c r="AB20" s="174" t="str">
        <f>IFERROR(IF(AND(Q19="Impacto",Q20="Impacto"),(AB19-(+AB19*T20)),IF(AND(Q19="Probabilidad",Q20="Impacto"),(AB18-(+AB18*T20)),IF(Q20="Probabilidad",AB19,""))),"")</f>
        <v/>
      </c>
      <c r="AC20" s="175" t="str">
        <f t="shared" si="10"/>
        <v/>
      </c>
      <c r="AD20" s="176"/>
      <c r="AE20" s="178"/>
      <c r="AF20" s="180"/>
      <c r="AG20" s="179"/>
      <c r="AH20" s="179"/>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7.75" customHeight="1" x14ac:dyDescent="0.3">
      <c r="A21" s="281"/>
      <c r="B21" s="343"/>
      <c r="C21" s="343"/>
      <c r="D21" s="343"/>
      <c r="E21" s="346"/>
      <c r="F21" s="343"/>
      <c r="G21" s="349"/>
      <c r="H21" s="352"/>
      <c r="I21" s="325"/>
      <c r="J21" s="322"/>
      <c r="K21" s="325">
        <f>IF(NOT(ISERROR(MATCH(J21,_xlfn.ANCHORARRAY(E32),0))),I34&amp;"Por favor no seleccionar los criterios de impacto",J21)</f>
        <v>0</v>
      </c>
      <c r="L21" s="352"/>
      <c r="M21" s="325"/>
      <c r="N21" s="355"/>
      <c r="O21" s="106">
        <v>4</v>
      </c>
      <c r="P21" s="181"/>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7.75" customHeight="1" x14ac:dyDescent="0.3">
      <c r="A22" s="281"/>
      <c r="B22" s="343"/>
      <c r="C22" s="343"/>
      <c r="D22" s="343"/>
      <c r="E22" s="346"/>
      <c r="F22" s="343"/>
      <c r="G22" s="349"/>
      <c r="H22" s="352"/>
      <c r="I22" s="325"/>
      <c r="J22" s="322"/>
      <c r="K22" s="325">
        <f>IF(NOT(ISERROR(MATCH(J22,_xlfn.ANCHORARRAY(E33),0))),I35&amp;"Por favor no seleccionar los criterios de impacto",J22)</f>
        <v>0</v>
      </c>
      <c r="L22" s="352"/>
      <c r="M22" s="325"/>
      <c r="N22" s="355"/>
      <c r="O22" s="106">
        <v>5</v>
      </c>
      <c r="P22" s="181"/>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7.75" customHeight="1" x14ac:dyDescent="0.3">
      <c r="A23" s="282"/>
      <c r="B23" s="344"/>
      <c r="C23" s="344"/>
      <c r="D23" s="344"/>
      <c r="E23" s="347"/>
      <c r="F23" s="344"/>
      <c r="G23" s="350"/>
      <c r="H23" s="353"/>
      <c r="I23" s="326"/>
      <c r="J23" s="323"/>
      <c r="K23" s="326">
        <f>IF(NOT(ISERROR(MATCH(J23,_xlfn.ANCHORARRAY(E34),0))),I36&amp;"Por favor no seleccionar los criterios de impacto",J23)</f>
        <v>0</v>
      </c>
      <c r="L23" s="353"/>
      <c r="M23" s="326"/>
      <c r="N23" s="356"/>
      <c r="O23" s="106">
        <v>6</v>
      </c>
      <c r="P23" s="181"/>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16.25" customHeight="1" x14ac:dyDescent="0.3">
      <c r="A24" s="280">
        <v>3</v>
      </c>
      <c r="B24" s="342" t="s">
        <v>137</v>
      </c>
      <c r="C24" s="342" t="s">
        <v>138</v>
      </c>
      <c r="D24" s="342" t="s">
        <v>162</v>
      </c>
      <c r="E24" s="345" t="s">
        <v>163</v>
      </c>
      <c r="F24" s="342" t="s">
        <v>141</v>
      </c>
      <c r="G24" s="348">
        <v>25</v>
      </c>
      <c r="H24" s="351" t="str">
        <f>IF(G24&lt;=0,"",IF(G24&lt;=2,"Muy Baja",IF(G24&lt;=24,"Baja",IF(G24&lt;=500,"Media",IF(G24&lt;=5000,"Alta","Muy Alta")))))</f>
        <v>Media</v>
      </c>
      <c r="I24" s="324">
        <f>IF(H24="","",IF(H24="Muy Baja",0.2,IF(H24="Baja",0.4,IF(H24="Media",0.6,IF(H24="Alta",0.8,IF(H24="Muy Alta",1,))))))</f>
        <v>0.6</v>
      </c>
      <c r="J24" s="321" t="s">
        <v>164</v>
      </c>
      <c r="K24" s="295" t="str">
        <f>IF(NOT(ISERROR(MATCH(J24,'Tabla Impacto'!$B$221:$B$223,0))),'Tabla Impacto'!$F$223&amp;"Por favor no seleccionar los criterios de impacto(Afectación Económica o presupuestal y Pérdida Reputacional)",J24)</f>
        <v xml:space="preserve">     Entre 10 y 50 SMLMV </v>
      </c>
      <c r="L24" s="292" t="str">
        <f>IF(OR(K24='Tabla Impacto'!$C$11,K24='Tabla Impacto'!$D$11),"Leve",IF(OR(K24='Tabla Impacto'!$C$12,K24='Tabla Impacto'!$D$12),"Menor",IF(OR(K24='Tabla Impacto'!$C$13,K24='Tabla Impacto'!$D$13),"Moderado",IF(OR(K24='Tabla Impacto'!$C$14,K24='Tabla Impacto'!$D$14),"Mayor",IF(OR(K24='Tabla Impacto'!$C$15,K24='Tabla Impacto'!$D$15),"Catastrófico","")))))</f>
        <v>Menor</v>
      </c>
      <c r="M24" s="295">
        <f>IF(L24="","",IF(L24="Leve",0.2,IF(L24="Menor",0.4,IF(L24="Moderado",0.6,IF(L24="Mayor",0.8,IF(L24="Catastrófico",1,))))))</f>
        <v>0.4</v>
      </c>
      <c r="N24" s="31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06">
        <v>1</v>
      </c>
      <c r="P24" s="181" t="s">
        <v>165</v>
      </c>
      <c r="Q24" s="164" t="str">
        <f>IF(OR(R24="Preventivo",R24="Detectivo"),"Probabilidad",IF(R24="Correctivo","Impacto",""))</f>
        <v>Probabilidad</v>
      </c>
      <c r="R24" s="171" t="s">
        <v>144</v>
      </c>
      <c r="S24" s="171" t="s">
        <v>145</v>
      </c>
      <c r="T24" s="172" t="str">
        <f>IF(AND(R24="Preventivo",S24="Automático"),"50%",IF(AND(R24="Preventivo",S24="Manual"),"40%",IF(AND(R24="Detectivo",S24="Automático"),"40%",IF(AND(R24="Detectivo",S24="Manual"),"30%",IF(AND(R24="Correctivo",S24="Automático"),"35%",IF(AND(R24="Correctivo",S24="Manual"),"25%",""))))))</f>
        <v>40%</v>
      </c>
      <c r="U24" s="171" t="s">
        <v>146</v>
      </c>
      <c r="V24" s="171" t="s">
        <v>147</v>
      </c>
      <c r="W24" s="171" t="s">
        <v>148</v>
      </c>
      <c r="X24" s="161">
        <f>IFERROR(IF(Q24="Probabilidad",(I24-(+I24*T24)),IF(Q24="Impacto",I24,"")),"")</f>
        <v>0.36</v>
      </c>
      <c r="Y24" s="173" t="str">
        <f>IFERROR(IF(X24="","",IF(X24&lt;=0.2,"Muy Baja",IF(X24&lt;=0.4,"Baja",IF(X24&lt;=0.6,"Media",IF(X24&lt;=0.8,"Alta","Muy Alta"))))),"")</f>
        <v>Baja</v>
      </c>
      <c r="Z24" s="174">
        <f>+X24</f>
        <v>0.36</v>
      </c>
      <c r="AA24" s="173" t="str">
        <f>IFERROR(IF(AB24="","",IF(AB24&lt;=0.2,"Leve",IF(AB24&lt;=0.4,"Menor",IF(AB24&lt;=0.6,"Moderado",IF(AB24&lt;=0.8,"Mayor","Catastrófico"))))),"")</f>
        <v>Menor</v>
      </c>
      <c r="AB24" s="174">
        <f>IFERROR(IF(Q24="Impacto",(M24-(+M24*T24)),IF(Q24="Probabilidad",M24,"")),"")</f>
        <v>0.4</v>
      </c>
      <c r="AC24" s="175"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6" t="s">
        <v>149</v>
      </c>
      <c r="AE24" s="115" t="s">
        <v>166</v>
      </c>
      <c r="AF24" s="190" t="s">
        <v>167</v>
      </c>
      <c r="AG24" s="170">
        <v>44407</v>
      </c>
      <c r="AH24" s="179">
        <v>44560</v>
      </c>
      <c r="AI24" s="16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06.5" customHeight="1" x14ac:dyDescent="0.3">
      <c r="A25" s="281"/>
      <c r="B25" s="343"/>
      <c r="C25" s="343"/>
      <c r="D25" s="343"/>
      <c r="E25" s="346"/>
      <c r="F25" s="343"/>
      <c r="G25" s="349"/>
      <c r="H25" s="352"/>
      <c r="I25" s="325"/>
      <c r="J25" s="322"/>
      <c r="K25" s="296">
        <f>IF(NOT(ISERROR(MATCH(J25,_xlfn.ANCHORARRAY(E36),0))),I38&amp;"Por favor no seleccionar los criterios de impacto",J25)</f>
        <v>0</v>
      </c>
      <c r="L25" s="293"/>
      <c r="M25" s="296"/>
      <c r="N25" s="313"/>
      <c r="O25" s="106">
        <v>2</v>
      </c>
      <c r="P25" s="181" t="s">
        <v>168</v>
      </c>
      <c r="Q25" s="107" t="str">
        <f>IF(OR(R25="Preventivo",R25="Detectivo"),"Probabilidad",IF(R25="Correctivo","Impacto",""))</f>
        <v>Probabilidad</v>
      </c>
      <c r="R25" s="171" t="s">
        <v>144</v>
      </c>
      <c r="S25" s="171" t="s">
        <v>145</v>
      </c>
      <c r="T25" s="172" t="str">
        <f t="shared" ref="T25:T30" si="15">IF(AND(R25="Preventivo",S25="Automático"),"50%",IF(AND(R25="Preventivo",S25="Manual"),"40%",IF(AND(R25="Detectivo",S25="Automático"),"40%",IF(AND(R25="Detectivo",S25="Manual"),"30%",IF(AND(R25="Correctivo",S25="Automático"),"35%",IF(AND(R25="Correctivo",S25="Manual"),"25%",""))))))</f>
        <v>40%</v>
      </c>
      <c r="U25" s="171" t="s">
        <v>146</v>
      </c>
      <c r="V25" s="171" t="s">
        <v>147</v>
      </c>
      <c r="W25" s="171" t="s">
        <v>148</v>
      </c>
      <c r="X25" s="161">
        <f>IFERROR(IF(AND(Q24="Probabilidad",Q25="Probabilidad"),(Z24-(+Z24*T25)),IF(Q25="Probabilidad",(I24-(+I24*T25)),IF(Q25="Impacto",Z24,""))),"")</f>
        <v>0.216</v>
      </c>
      <c r="Y25" s="173" t="str">
        <f t="shared" si="1"/>
        <v>Baja</v>
      </c>
      <c r="Z25" s="174">
        <f t="shared" ref="Z25:Z29" si="16">+X25</f>
        <v>0.216</v>
      </c>
      <c r="AA25" s="173" t="str">
        <f t="shared" si="3"/>
        <v>Menor</v>
      </c>
      <c r="AB25" s="174">
        <f>IFERROR(IF(AND(Q24="Impacto",Q25="Impacto"),(AB24-(+AB24*T25)),IF(Q25="Impacto",(M24-(+M24*T25)),IF(Q25="Probabilidad",AB24,""))),"")</f>
        <v>0.4</v>
      </c>
      <c r="AC25" s="175"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76" t="s">
        <v>149</v>
      </c>
      <c r="AE25" s="115" t="s">
        <v>169</v>
      </c>
      <c r="AF25" s="190" t="s">
        <v>286</v>
      </c>
      <c r="AG25" s="170">
        <v>44378</v>
      </c>
      <c r="AH25" s="179">
        <v>44560</v>
      </c>
      <c r="AI25" s="16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7.75" customHeight="1" x14ac:dyDescent="0.3">
      <c r="A26" s="281"/>
      <c r="B26" s="343"/>
      <c r="C26" s="343"/>
      <c r="D26" s="343"/>
      <c r="E26" s="346"/>
      <c r="F26" s="343"/>
      <c r="G26" s="349"/>
      <c r="H26" s="352"/>
      <c r="I26" s="325"/>
      <c r="J26" s="322"/>
      <c r="K26" s="296">
        <f>IF(NOT(ISERROR(MATCH(J26,_xlfn.ANCHORARRAY(E37),0))),I39&amp;"Por favor no seleccionar los criterios de impacto",J26)</f>
        <v>0</v>
      </c>
      <c r="L26" s="293"/>
      <c r="M26" s="296"/>
      <c r="N26" s="313"/>
      <c r="O26" s="106">
        <v>3</v>
      </c>
      <c r="P26" s="182"/>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7.75" customHeight="1" x14ac:dyDescent="0.3">
      <c r="A27" s="281"/>
      <c r="B27" s="343"/>
      <c r="C27" s="343"/>
      <c r="D27" s="343"/>
      <c r="E27" s="346"/>
      <c r="F27" s="343"/>
      <c r="G27" s="349"/>
      <c r="H27" s="352"/>
      <c r="I27" s="325"/>
      <c r="J27" s="322"/>
      <c r="K27" s="296">
        <f>IF(NOT(ISERROR(MATCH(J27,_xlfn.ANCHORARRAY(E38),0))),I40&amp;"Por favor no seleccionar los criterios de impacto",J27)</f>
        <v>0</v>
      </c>
      <c r="L27" s="293"/>
      <c r="M27" s="296"/>
      <c r="N27" s="313"/>
      <c r="O27" s="106">
        <v>4</v>
      </c>
      <c r="P27" s="181"/>
      <c r="Q27" s="107" t="str">
        <f t="shared" ref="Q27:Q29"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5"/>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7.75" customHeight="1" x14ac:dyDescent="0.3">
      <c r="A28" s="281"/>
      <c r="B28" s="343"/>
      <c r="C28" s="343"/>
      <c r="D28" s="343"/>
      <c r="E28" s="346"/>
      <c r="F28" s="343"/>
      <c r="G28" s="349"/>
      <c r="H28" s="352"/>
      <c r="I28" s="325"/>
      <c r="J28" s="322"/>
      <c r="K28" s="296">
        <f>IF(NOT(ISERROR(MATCH(J28,_xlfn.ANCHORARRAY(E39),0))),I41&amp;"Por favor no seleccionar los criterios de impacto",J28)</f>
        <v>0</v>
      </c>
      <c r="L28" s="293"/>
      <c r="M28" s="296"/>
      <c r="N28" s="313"/>
      <c r="O28" s="106">
        <v>5</v>
      </c>
      <c r="P28" s="181"/>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7.75" customHeight="1" x14ac:dyDescent="0.3">
      <c r="A29" s="282"/>
      <c r="B29" s="344"/>
      <c r="C29" s="344"/>
      <c r="D29" s="344"/>
      <c r="E29" s="347"/>
      <c r="F29" s="344"/>
      <c r="G29" s="350"/>
      <c r="H29" s="353"/>
      <c r="I29" s="326"/>
      <c r="J29" s="323"/>
      <c r="K29" s="297">
        <f>IF(NOT(ISERROR(MATCH(J29,_xlfn.ANCHORARRAY(E40),0))),I42&amp;"Por favor no seleccionar los criterios de impacto",J29)</f>
        <v>0</v>
      </c>
      <c r="L29" s="294"/>
      <c r="M29" s="297"/>
      <c r="N29" s="314"/>
      <c r="O29" s="106">
        <v>6</v>
      </c>
      <c r="P29" s="181"/>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9.25" customHeight="1" x14ac:dyDescent="0.3">
      <c r="A30" s="280">
        <v>4</v>
      </c>
      <c r="B30" s="342" t="s">
        <v>152</v>
      </c>
      <c r="C30" s="342" t="s">
        <v>170</v>
      </c>
      <c r="D30" s="342" t="s">
        <v>171</v>
      </c>
      <c r="E30" s="345" t="s">
        <v>172</v>
      </c>
      <c r="F30" s="342" t="s">
        <v>141</v>
      </c>
      <c r="G30" s="348">
        <v>4</v>
      </c>
      <c r="H30" s="351" t="str">
        <f>IF(G30&lt;=0,"",IF(G30&lt;=2,"Muy Baja",IF(G30&lt;=24,"Baja",IF(G30&lt;=500,"Media",IF(G30&lt;=5000,"Alta","Muy Alta")))))</f>
        <v>Baja</v>
      </c>
      <c r="I30" s="324">
        <f>IF(H30="","",IF(H30="Muy Baja",0.2,IF(H30="Baja",0.4,IF(H30="Media",0.6,IF(H30="Alta",0.8,IF(H30="Muy Alta",1,))))))</f>
        <v>0.4</v>
      </c>
      <c r="J30" s="321" t="s">
        <v>156</v>
      </c>
      <c r="K30" s="295"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292" t="str">
        <f>IF(OR(K30='Tabla Impacto'!$C$11,K30='Tabla Impacto'!$D$11),"Leve",IF(OR(K30='Tabla Impacto'!$C$12,K30='Tabla Impacto'!$D$12),"Menor",IF(OR(K30='Tabla Impacto'!$C$13,K30='Tabla Impacto'!$D$13),"Moderado",IF(OR(K30='Tabla Impacto'!$C$14,K30='Tabla Impacto'!$D$14),"Mayor",IF(OR(K30='Tabla Impacto'!$C$15,K30='Tabla Impacto'!$D$15),"Catastrófico","")))))</f>
        <v>Moderado</v>
      </c>
      <c r="M30" s="295">
        <f>IF(L30="","",IF(L30="Leve",0.2,IF(L30="Menor",0.4,IF(L30="Moderado",0.6,IF(L30="Mayor",0.8,IF(L30="Catastrófico",1,))))))</f>
        <v>0.6</v>
      </c>
      <c r="N30" s="312"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06">
        <v>1</v>
      </c>
      <c r="P30" s="181" t="s">
        <v>173</v>
      </c>
      <c r="Q30" s="164" t="str">
        <f>IF(OR(R30="Preventivo",R30="Detectivo"),"Probabilidad",IF(R30="Correctivo","Impacto",""))</f>
        <v>Probabilidad</v>
      </c>
      <c r="R30" s="171" t="s">
        <v>144</v>
      </c>
      <c r="S30" s="171" t="s">
        <v>145</v>
      </c>
      <c r="T30" s="109" t="str">
        <f t="shared" si="15"/>
        <v>40%</v>
      </c>
      <c r="U30" s="171" t="s">
        <v>146</v>
      </c>
      <c r="V30" s="171" t="s">
        <v>147</v>
      </c>
      <c r="W30" s="171" t="s">
        <v>148</v>
      </c>
      <c r="X30" s="161">
        <f>IFERROR(IF(Q30="Probabilidad",(I30-(+I30*T30)),IF(Q30="Impacto",I30,"")),"")</f>
        <v>0.24</v>
      </c>
      <c r="Y30" s="173" t="str">
        <f>IFERROR(IF(X30="","",IF(X30&lt;=0.2,"Muy Baja",IF(X30&lt;=0.4,"Baja",IF(X30&lt;=0.6,"Media",IF(X30&lt;=0.8,"Alta","Muy Alta"))))),"")</f>
        <v>Baja</v>
      </c>
      <c r="Z30" s="174">
        <f>+X30</f>
        <v>0.24</v>
      </c>
      <c r="AA30" s="173" t="str">
        <f>IFERROR(IF(AB30="","",IF(AB30&lt;=0.2,"Leve",IF(AB30&lt;=0.4,"Menor",IF(AB30&lt;=0.6,"Moderado",IF(AB30&lt;=0.8,"Mayor","Catastrófico"))))),"")</f>
        <v>Moderado</v>
      </c>
      <c r="AB30" s="174">
        <f>IFERROR(IF(Q30="Impacto",(M30-(+M30*T30)),IF(Q30="Probabilidad",M30,"")),"")</f>
        <v>0.6</v>
      </c>
      <c r="AC30" s="175"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6"/>
      <c r="AE30" s="115" t="s">
        <v>174</v>
      </c>
      <c r="AF30" s="190" t="s">
        <v>175</v>
      </c>
      <c r="AG30" s="170">
        <v>44423</v>
      </c>
      <c r="AH30" s="179">
        <v>44560</v>
      </c>
      <c r="AI30" s="16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7.75" customHeight="1" x14ac:dyDescent="0.3">
      <c r="A31" s="281"/>
      <c r="B31" s="343"/>
      <c r="C31" s="343"/>
      <c r="D31" s="343"/>
      <c r="E31" s="346"/>
      <c r="F31" s="343"/>
      <c r="G31" s="349"/>
      <c r="H31" s="352"/>
      <c r="I31" s="325"/>
      <c r="J31" s="322"/>
      <c r="K31" s="296">
        <f>IF(NOT(ISERROR(MATCH(J31,_xlfn.ANCHORARRAY(E42),0))),I44&amp;"Por favor no seleccionar los criterios de impacto",J31)</f>
        <v>0</v>
      </c>
      <c r="L31" s="293"/>
      <c r="M31" s="296"/>
      <c r="N31" s="313"/>
      <c r="O31" s="106">
        <v>2</v>
      </c>
      <c r="P31" s="181"/>
      <c r="Q31" s="107" t="str">
        <f>IF(OR(R31="Preventivo",R31="Detectivo"),"Probabilidad",IF(R31="Correctivo","Impacto",""))</f>
        <v/>
      </c>
      <c r="R31" s="108"/>
      <c r="S31" s="108"/>
      <c r="T31" s="109" t="str">
        <f t="shared" ref="T31:T35" si="22">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3">+X31</f>
        <v/>
      </c>
      <c r="AA31" s="111" t="str">
        <f t="shared" si="3"/>
        <v/>
      </c>
      <c r="AB31" s="112" t="str">
        <f>IFERROR(IF(AND(Q30="Impacto",Q31="Impacto"),(AB30-(+AB30*T31)),IF(Q31="Impacto",(M30-(+M30*T31)),IF(Q31="Probabilidad",AB30,""))),"")</f>
        <v/>
      </c>
      <c r="AC31" s="11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7.75" customHeight="1" x14ac:dyDescent="0.3">
      <c r="A32" s="281"/>
      <c r="B32" s="343"/>
      <c r="C32" s="343"/>
      <c r="D32" s="343"/>
      <c r="E32" s="346"/>
      <c r="F32" s="343"/>
      <c r="G32" s="349"/>
      <c r="H32" s="352"/>
      <c r="I32" s="325"/>
      <c r="J32" s="322"/>
      <c r="K32" s="296">
        <f>IF(NOT(ISERROR(MATCH(J32,_xlfn.ANCHORARRAY(E43),0))),I45&amp;"Por favor no seleccionar los criterios de impacto",J32)</f>
        <v>0</v>
      </c>
      <c r="L32" s="293"/>
      <c r="M32" s="296"/>
      <c r="N32" s="313"/>
      <c r="O32" s="106">
        <v>3</v>
      </c>
      <c r="P32" s="182"/>
      <c r="Q32" s="107" t="str">
        <f>IF(OR(R32="Preventivo",R32="Detectivo"),"Probabilidad",IF(R32="Correctivo","Impacto",""))</f>
        <v/>
      </c>
      <c r="R32" s="108"/>
      <c r="S32" s="108"/>
      <c r="T32" s="109" t="str">
        <f t="shared" si="22"/>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7.75" customHeight="1" x14ac:dyDescent="0.3">
      <c r="A33" s="281"/>
      <c r="B33" s="343"/>
      <c r="C33" s="343"/>
      <c r="D33" s="343"/>
      <c r="E33" s="346"/>
      <c r="F33" s="343"/>
      <c r="G33" s="349"/>
      <c r="H33" s="352"/>
      <c r="I33" s="325"/>
      <c r="J33" s="322"/>
      <c r="K33" s="296">
        <f>IF(NOT(ISERROR(MATCH(J33,_xlfn.ANCHORARRAY(E44),0))),I46&amp;"Por favor no seleccionar los criterios de impacto",J33)</f>
        <v>0</v>
      </c>
      <c r="L33" s="293"/>
      <c r="M33" s="296"/>
      <c r="N33" s="313"/>
      <c r="O33" s="106">
        <v>4</v>
      </c>
      <c r="P33" s="181"/>
      <c r="Q33" s="107" t="str">
        <f t="shared" ref="Q33:Q35" si="25">IF(OR(R33="Preventivo",R33="Detectivo"),"Probabilidad",IF(R33="Correctivo","Impacto",""))</f>
        <v/>
      </c>
      <c r="R33" s="108"/>
      <c r="S33" s="108"/>
      <c r="T33" s="109" t="str">
        <f t="shared" si="22"/>
        <v/>
      </c>
      <c r="U33" s="108"/>
      <c r="V33" s="108"/>
      <c r="W33" s="108"/>
      <c r="X33" s="110" t="str">
        <f t="shared" ref="X33:X35" si="26">IFERROR(IF(AND(Q32="Probabilidad",Q33="Probabilidad"),(Z32-(+Z32*T33)),IF(AND(Q32="Impacto",Q33="Probabilidad"),(Z31-(+Z31*T33)),IF(Q33="Impacto",Z32,""))),"")</f>
        <v/>
      </c>
      <c r="Y33" s="111" t="str">
        <f t="shared" si="1"/>
        <v/>
      </c>
      <c r="Z33" s="112" t="str">
        <f t="shared" si="23"/>
        <v/>
      </c>
      <c r="AA33" s="111" t="str">
        <f t="shared" si="3"/>
        <v/>
      </c>
      <c r="AB33" s="112" t="str">
        <f t="shared" ref="AB33:AB35" si="27">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7.75" customHeight="1" x14ac:dyDescent="0.3">
      <c r="A34" s="281"/>
      <c r="B34" s="343"/>
      <c r="C34" s="343"/>
      <c r="D34" s="343"/>
      <c r="E34" s="346"/>
      <c r="F34" s="343"/>
      <c r="G34" s="349"/>
      <c r="H34" s="352"/>
      <c r="I34" s="325"/>
      <c r="J34" s="322"/>
      <c r="K34" s="296">
        <f>IF(NOT(ISERROR(MATCH(J34,_xlfn.ANCHORARRAY(E45),0))),I47&amp;"Por favor no seleccionar los criterios de impacto",J34)</f>
        <v>0</v>
      </c>
      <c r="L34" s="293"/>
      <c r="M34" s="296"/>
      <c r="N34" s="313"/>
      <c r="O34" s="106">
        <v>5</v>
      </c>
      <c r="P34" s="181"/>
      <c r="Q34" s="107" t="str">
        <f t="shared" si="25"/>
        <v/>
      </c>
      <c r="R34" s="108"/>
      <c r="S34" s="108"/>
      <c r="T34" s="109" t="str">
        <f t="shared" si="22"/>
        <v/>
      </c>
      <c r="U34" s="108"/>
      <c r="V34" s="108"/>
      <c r="W34" s="108"/>
      <c r="X34" s="110" t="str">
        <f t="shared" si="26"/>
        <v/>
      </c>
      <c r="Y34" s="111" t="str">
        <f>IFERROR(IF(X34="","",IF(X34&lt;=0.2,"Muy Baja",IF(X34&lt;=0.4,"Baja",IF(X34&lt;=0.6,"Media",IF(X34&lt;=0.8,"Alta","Muy Alta"))))),"")</f>
        <v/>
      </c>
      <c r="Z34" s="112" t="str">
        <f t="shared" si="23"/>
        <v/>
      </c>
      <c r="AA34" s="111" t="str">
        <f t="shared" si="3"/>
        <v/>
      </c>
      <c r="AB34" s="112" t="str">
        <f t="shared" si="27"/>
        <v/>
      </c>
      <c r="AC34" s="11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7.75" customHeight="1" x14ac:dyDescent="0.3">
      <c r="A35" s="282"/>
      <c r="B35" s="344"/>
      <c r="C35" s="344"/>
      <c r="D35" s="344"/>
      <c r="E35" s="347"/>
      <c r="F35" s="344"/>
      <c r="G35" s="350"/>
      <c r="H35" s="353"/>
      <c r="I35" s="326"/>
      <c r="J35" s="323"/>
      <c r="K35" s="297">
        <f>IF(NOT(ISERROR(MATCH(J35,_xlfn.ANCHORARRAY(E46),0))),I48&amp;"Por favor no seleccionar los criterios de impacto",J35)</f>
        <v>0</v>
      </c>
      <c r="L35" s="294"/>
      <c r="M35" s="297"/>
      <c r="N35" s="314"/>
      <c r="O35" s="106">
        <v>6</v>
      </c>
      <c r="P35" s="181"/>
      <c r="Q35" s="107" t="str">
        <f t="shared" si="25"/>
        <v/>
      </c>
      <c r="R35" s="108"/>
      <c r="S35" s="108"/>
      <c r="T35" s="109" t="str">
        <f t="shared" si="22"/>
        <v/>
      </c>
      <c r="U35" s="108"/>
      <c r="V35" s="108"/>
      <c r="W35" s="108"/>
      <c r="X35" s="110" t="str">
        <f t="shared" si="26"/>
        <v/>
      </c>
      <c r="Y35" s="111" t="str">
        <f t="shared" si="1"/>
        <v/>
      </c>
      <c r="Z35" s="112" t="str">
        <f t="shared" si="23"/>
        <v/>
      </c>
      <c r="AA35" s="111" t="str">
        <f t="shared" si="3"/>
        <v/>
      </c>
      <c r="AB35" s="112" t="str">
        <f t="shared" si="27"/>
        <v/>
      </c>
      <c r="AC35" s="113" t="str">
        <f t="shared" si="28"/>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x14ac:dyDescent="0.3">
      <c r="A36" s="280">
        <v>5</v>
      </c>
      <c r="B36" s="283"/>
      <c r="C36" s="283"/>
      <c r="D36" s="283"/>
      <c r="E36" s="286"/>
      <c r="F36" s="283"/>
      <c r="G36" s="289"/>
      <c r="H36" s="292"/>
      <c r="I36" s="295" t="str">
        <f>IF(H36="","",IF(H36="Muy Baja",0.2,IF(H36="Baja",0.4,IF(H36="Media",0.6,IF(H36="Alta",0.8,IF(H36="Muy Alta",1,))))))</f>
        <v/>
      </c>
      <c r="J36" s="309"/>
      <c r="K36" s="295">
        <f>IF(NOT(ISERROR(MATCH(J36,'Tabla Impacto'!$B$221:$B$223,0))),'Tabla Impacto'!$F$223&amp;"Por favor no seleccionar los criterios de impacto(Afectación Económica o presupuestal y Pérdida Reputacional)",J36)</f>
        <v>0</v>
      </c>
      <c r="L36" s="292" t="str">
        <f>IF(OR(K36='Tabla Impacto'!$C$11,K36='Tabla Impacto'!$D$11),"Leve",IF(OR(K36='Tabla Impacto'!$C$12,K36='Tabla Impacto'!$D$12),"Menor",IF(OR(K36='Tabla Impacto'!$C$13,K36='Tabla Impacto'!$D$13),"Moderado",IF(OR(K36='Tabla Impacto'!$C$14,K36='Tabla Impacto'!$D$14),"Mayor",IF(OR(K36='Tabla Impacto'!$C$15,K36='Tabla Impacto'!$D$15),"Catastrófico","")))))</f>
        <v/>
      </c>
      <c r="M36" s="295" t="str">
        <f>IF(L36="","",IF(L36="Leve",0.2,IF(L36="Menor",0.4,IF(L36="Moderado",0.6,IF(L36="Mayor",0.8,IF(L36="Catastrófico",1,))))))</f>
        <v/>
      </c>
      <c r="N36" s="312"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1"/>
      <c r="Q36" s="164"/>
      <c r="R36" s="171"/>
      <c r="S36" s="171"/>
      <c r="T36" s="172"/>
      <c r="U36" s="171"/>
      <c r="V36" s="171"/>
      <c r="W36" s="171"/>
      <c r="X36" s="161" t="str">
        <f>IFERROR(IF(Q36="Probabilidad",(I36-(+I36*T36)),IF(Q36="Impacto",I36,"")),"")</f>
        <v/>
      </c>
      <c r="Y36" s="173" t="str">
        <f>IFERROR(IF(X36="","",IF(X36&lt;=0.2,"Muy Baja",IF(X36&lt;=0.4,"Baja",IF(X36&lt;=0.6,"Media",IF(X36&lt;=0.8,"Alta","Muy Alta"))))),"")</f>
        <v/>
      </c>
      <c r="Z36" s="174" t="str">
        <f>+X36</f>
        <v/>
      </c>
      <c r="AA36" s="173" t="str">
        <f>IFERROR(IF(AB36="","",IF(AB36&lt;=0.2,"Leve",IF(AB36&lt;=0.4,"Menor",IF(AB36&lt;=0.6,"Moderado",IF(AB36&lt;=0.8,"Mayor","Catastrófico"))))),"")</f>
        <v/>
      </c>
      <c r="AB36" s="174" t="str">
        <f>IFERROR(IF(Q36="Impacto",(M36-(+M36*T36)),IF(Q36="Probabilidad",M36,"")),"")</f>
        <v/>
      </c>
      <c r="AC36" s="175"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6"/>
      <c r="AE36" s="177"/>
      <c r="AF36" s="178"/>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x14ac:dyDescent="0.3">
      <c r="A37" s="281"/>
      <c r="B37" s="284"/>
      <c r="C37" s="284"/>
      <c r="D37" s="284"/>
      <c r="E37" s="287"/>
      <c r="F37" s="284"/>
      <c r="G37" s="290"/>
      <c r="H37" s="293"/>
      <c r="I37" s="296"/>
      <c r="J37" s="310"/>
      <c r="K37" s="296">
        <f>IF(NOT(ISERROR(MATCH(J37,_xlfn.ANCHORARRAY(E48),0))),I50&amp;"Por favor no seleccionar los criterios de impacto",J37)</f>
        <v>0</v>
      </c>
      <c r="L37" s="293"/>
      <c r="M37" s="296"/>
      <c r="N37" s="313"/>
      <c r="O37" s="106">
        <v>2</v>
      </c>
      <c r="P37" s="181"/>
      <c r="Q37" s="107" t="str">
        <f>IF(OR(R37="Preventivo",R37="Detectivo"),"Probabilidad",IF(R37="Correctivo","Impacto",""))</f>
        <v/>
      </c>
      <c r="R37" s="108"/>
      <c r="S37" s="108"/>
      <c r="T37" s="109" t="str">
        <f t="shared" ref="T37:T41" si="29">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0">+X37</f>
        <v/>
      </c>
      <c r="AA37" s="111" t="str">
        <f t="shared" si="3"/>
        <v/>
      </c>
      <c r="AB37" s="112" t="str">
        <f>IFERROR(IF(AND(Q36="Impacto",Q37="Impacto"),(AB36-(+AB36*T37)),IF(Q37="Impacto",(M36-(+M36*T37)),IF(Q37="Probabilidad",AB36,""))),"")</f>
        <v/>
      </c>
      <c r="AC37" s="113"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x14ac:dyDescent="0.3">
      <c r="A38" s="281"/>
      <c r="B38" s="284"/>
      <c r="C38" s="284"/>
      <c r="D38" s="284"/>
      <c r="E38" s="287"/>
      <c r="F38" s="284"/>
      <c r="G38" s="290"/>
      <c r="H38" s="293"/>
      <c r="I38" s="296"/>
      <c r="J38" s="310"/>
      <c r="K38" s="296">
        <f>IF(NOT(ISERROR(MATCH(J38,_xlfn.ANCHORARRAY(E49),0))),I51&amp;"Por favor no seleccionar los criterios de impacto",J38)</f>
        <v>0</v>
      </c>
      <c r="L38" s="293"/>
      <c r="M38" s="296"/>
      <c r="N38" s="313"/>
      <c r="O38" s="106">
        <v>3</v>
      </c>
      <c r="P38" s="182"/>
      <c r="Q38" s="107" t="str">
        <f>IF(OR(R38="Preventivo",R38="Detectivo"),"Probabilidad",IF(R38="Correctivo","Impacto",""))</f>
        <v/>
      </c>
      <c r="R38" s="108"/>
      <c r="S38" s="108"/>
      <c r="T38" s="109" t="str">
        <f t="shared" si="29"/>
        <v/>
      </c>
      <c r="U38" s="108"/>
      <c r="V38" s="108"/>
      <c r="W38" s="108"/>
      <c r="X38" s="110" t="str">
        <f>IFERROR(IF(AND(Q37="Probabilidad",Q38="Probabilidad"),(Z37-(+Z37*T38)),IF(AND(Q37="Impacto",Q38="Probabilidad"),(Z36-(+Z36*T38)),IF(Q38="Impacto",Z37,""))),"")</f>
        <v/>
      </c>
      <c r="Y38" s="111" t="str">
        <f t="shared" si="1"/>
        <v/>
      </c>
      <c r="Z38" s="112" t="str">
        <f t="shared" si="30"/>
        <v/>
      </c>
      <c r="AA38" s="111" t="str">
        <f t="shared" si="3"/>
        <v/>
      </c>
      <c r="AB38" s="112" t="str">
        <f>IFERROR(IF(AND(Q37="Impacto",Q38="Impacto"),(AB37-(+AB37*T38)),IF(AND(Q37="Probabilidad",Q38="Impacto"),(AB36-(+AB36*T38)),IF(Q38="Probabilidad",AB37,""))),"")</f>
        <v/>
      </c>
      <c r="AC38" s="113" t="str">
        <f t="shared" si="31"/>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x14ac:dyDescent="0.3">
      <c r="A39" s="281"/>
      <c r="B39" s="284"/>
      <c r="C39" s="284"/>
      <c r="D39" s="284"/>
      <c r="E39" s="287"/>
      <c r="F39" s="284"/>
      <c r="G39" s="290"/>
      <c r="H39" s="293"/>
      <c r="I39" s="296"/>
      <c r="J39" s="310"/>
      <c r="K39" s="296">
        <f>IF(NOT(ISERROR(MATCH(J39,_xlfn.ANCHORARRAY(E50),0))),I52&amp;"Por favor no seleccionar los criterios de impacto",J39)</f>
        <v>0</v>
      </c>
      <c r="L39" s="293"/>
      <c r="M39" s="296"/>
      <c r="N39" s="313"/>
      <c r="O39" s="106">
        <v>4</v>
      </c>
      <c r="P39" s="181"/>
      <c r="Q39" s="107" t="str">
        <f t="shared" ref="Q39:Q41" si="32">IF(OR(R39="Preventivo",R39="Detectivo"),"Probabilidad",IF(R39="Correctivo","Impacto",""))</f>
        <v/>
      </c>
      <c r="R39" s="108"/>
      <c r="S39" s="108"/>
      <c r="T39" s="109" t="str">
        <f t="shared" si="29"/>
        <v/>
      </c>
      <c r="U39" s="108"/>
      <c r="V39" s="108"/>
      <c r="W39" s="108"/>
      <c r="X39" s="110" t="str">
        <f t="shared" ref="X39:X41" si="33">IFERROR(IF(AND(Q38="Probabilidad",Q39="Probabilidad"),(Z38-(+Z38*T39)),IF(AND(Q38="Impacto",Q39="Probabilidad"),(Z37-(+Z37*T39)),IF(Q39="Impacto",Z38,""))),"")</f>
        <v/>
      </c>
      <c r="Y39" s="111" t="str">
        <f t="shared" si="1"/>
        <v/>
      </c>
      <c r="Z39" s="112" t="str">
        <f t="shared" si="30"/>
        <v/>
      </c>
      <c r="AA39" s="111" t="str">
        <f t="shared" si="3"/>
        <v/>
      </c>
      <c r="AB39" s="112" t="str">
        <f t="shared" ref="AB39:AB41" si="34">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x14ac:dyDescent="0.3">
      <c r="A40" s="281"/>
      <c r="B40" s="284"/>
      <c r="C40" s="284"/>
      <c r="D40" s="284"/>
      <c r="E40" s="287"/>
      <c r="F40" s="284"/>
      <c r="G40" s="290"/>
      <c r="H40" s="293"/>
      <c r="I40" s="296"/>
      <c r="J40" s="310"/>
      <c r="K40" s="296">
        <f>IF(NOT(ISERROR(MATCH(J40,_xlfn.ANCHORARRAY(E51),0))),I53&amp;"Por favor no seleccionar los criterios de impacto",J40)</f>
        <v>0</v>
      </c>
      <c r="L40" s="293"/>
      <c r="M40" s="296"/>
      <c r="N40" s="313"/>
      <c r="O40" s="106">
        <v>5</v>
      </c>
      <c r="P40" s="181"/>
      <c r="Q40" s="107" t="str">
        <f t="shared" si="32"/>
        <v/>
      </c>
      <c r="R40" s="108"/>
      <c r="S40" s="108"/>
      <c r="T40" s="109" t="str">
        <f t="shared" si="29"/>
        <v/>
      </c>
      <c r="U40" s="108"/>
      <c r="V40" s="108"/>
      <c r="W40" s="108"/>
      <c r="X40" s="110" t="str">
        <f t="shared" si="33"/>
        <v/>
      </c>
      <c r="Y40" s="111" t="str">
        <f t="shared" si="1"/>
        <v/>
      </c>
      <c r="Z40" s="112" t="str">
        <f t="shared" si="30"/>
        <v/>
      </c>
      <c r="AA40" s="111" t="str">
        <f t="shared" si="3"/>
        <v/>
      </c>
      <c r="AB40" s="112" t="str">
        <f t="shared" si="34"/>
        <v/>
      </c>
      <c r="AC40" s="113"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x14ac:dyDescent="0.3">
      <c r="A41" s="282"/>
      <c r="B41" s="285"/>
      <c r="C41" s="285"/>
      <c r="D41" s="285"/>
      <c r="E41" s="288"/>
      <c r="F41" s="285"/>
      <c r="G41" s="291"/>
      <c r="H41" s="294"/>
      <c r="I41" s="297"/>
      <c r="J41" s="311"/>
      <c r="K41" s="297">
        <f>IF(NOT(ISERROR(MATCH(J41,_xlfn.ANCHORARRAY(E52),0))),I54&amp;"Por favor no seleccionar los criterios de impacto",J41)</f>
        <v>0</v>
      </c>
      <c r="L41" s="294"/>
      <c r="M41" s="297"/>
      <c r="N41" s="314"/>
      <c r="O41" s="106">
        <v>6</v>
      </c>
      <c r="P41" s="181"/>
      <c r="Q41" s="107" t="str">
        <f t="shared" si="32"/>
        <v/>
      </c>
      <c r="R41" s="108"/>
      <c r="S41" s="108"/>
      <c r="T41" s="109" t="str">
        <f t="shared" si="29"/>
        <v/>
      </c>
      <c r="U41" s="108"/>
      <c r="V41" s="108"/>
      <c r="W41" s="108"/>
      <c r="X41" s="110" t="str">
        <f t="shared" si="33"/>
        <v/>
      </c>
      <c r="Y41" s="111" t="str">
        <f t="shared" si="1"/>
        <v/>
      </c>
      <c r="Z41" s="112" t="str">
        <f t="shared" si="30"/>
        <v/>
      </c>
      <c r="AA41" s="111" t="str">
        <f t="shared" si="3"/>
        <v/>
      </c>
      <c r="AB41" s="112" t="str">
        <f t="shared" si="34"/>
        <v/>
      </c>
      <c r="AC41" s="113" t="str">
        <f t="shared" si="35"/>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280">
        <v>6</v>
      </c>
      <c r="B42" s="283"/>
      <c r="C42" s="283"/>
      <c r="D42" s="283"/>
      <c r="E42" s="286"/>
      <c r="F42" s="283"/>
      <c r="G42" s="289"/>
      <c r="H42" s="292" t="str">
        <f>IF(G42&lt;=0,"",IF(G42&lt;=2,"Muy Baja",IF(G42&lt;=24,"Baja",IF(G42&lt;=500,"Media",IF(G42&lt;=5000,"Alta","Muy Alta")))))</f>
        <v/>
      </c>
      <c r="I42" s="295" t="str">
        <f>IF(H42="","",IF(H42="Muy Baja",0.2,IF(H42="Baja",0.4,IF(H42="Media",0.6,IF(H42="Alta",0.8,IF(H42="Muy Alta",1,))))))</f>
        <v/>
      </c>
      <c r="J42" s="309"/>
      <c r="K42" s="295">
        <f>IF(NOT(ISERROR(MATCH(J42,'Tabla Impacto'!$B$221:$B$223,0))),'Tabla Impacto'!$F$223&amp;"Por favor no seleccionar los criterios de impacto(Afectación Económica o presupuestal y Pérdida Reputacional)",J42)</f>
        <v>0</v>
      </c>
      <c r="L42" s="292" t="str">
        <f>IF(OR(K42='Tabla Impacto'!$C$11,K42='Tabla Impacto'!$D$11),"Leve",IF(OR(K42='Tabla Impacto'!$C$12,K42='Tabla Impacto'!$D$12),"Menor",IF(OR(K42='Tabla Impacto'!$C$13,K42='Tabla Impacto'!$D$13),"Moderado",IF(OR(K42='Tabla Impacto'!$C$14,K42='Tabla Impacto'!$D$14),"Mayor",IF(OR(K42='Tabla Impacto'!$C$15,K42='Tabla Impacto'!$D$15),"Catastrófico","")))))</f>
        <v/>
      </c>
      <c r="M42" s="295" t="str">
        <f>IF(L42="","",IF(L42="Leve",0.2,IF(L42="Menor",0.4,IF(L42="Moderado",0.6,IF(L42="Mayor",0.8,IF(L42="Catastrófico",1,))))))</f>
        <v/>
      </c>
      <c r="N42" s="312"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1"/>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7"/>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281"/>
      <c r="B43" s="284"/>
      <c r="C43" s="284"/>
      <c r="D43" s="284"/>
      <c r="E43" s="287"/>
      <c r="F43" s="284"/>
      <c r="G43" s="290"/>
      <c r="H43" s="293"/>
      <c r="I43" s="296"/>
      <c r="J43" s="310"/>
      <c r="K43" s="296">
        <f>IF(NOT(ISERROR(MATCH(J43,_xlfn.ANCHORARRAY(E54),0))),I56&amp;"Por favor no seleccionar los criterios de impacto",J43)</f>
        <v>0</v>
      </c>
      <c r="L43" s="293"/>
      <c r="M43" s="296"/>
      <c r="N43" s="313"/>
      <c r="O43" s="106">
        <v>2</v>
      </c>
      <c r="P43" s="181"/>
      <c r="Q43" s="107" t="str">
        <f>IF(OR(R43="Preventivo",R43="Detectivo"),"Probabilidad",IF(R43="Correctivo","Impacto",""))</f>
        <v/>
      </c>
      <c r="R43" s="108"/>
      <c r="S43" s="108"/>
      <c r="T43" s="109" t="str">
        <f t="shared" ref="T43:T47" si="36">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7">+X43</f>
        <v/>
      </c>
      <c r="AA43" s="111" t="str">
        <f t="shared" si="3"/>
        <v/>
      </c>
      <c r="AB43" s="112" t="str">
        <f>IFERROR(IF(AND(Q42="Impacto",Q43="Impacto"),(AB42-(+AB42*T43)),IF(Q43="Impacto",(M42-(+M42*T43)),IF(Q43="Probabilidad",AB42,""))),"")</f>
        <v/>
      </c>
      <c r="AC43" s="113"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281"/>
      <c r="B44" s="284"/>
      <c r="C44" s="284"/>
      <c r="D44" s="284"/>
      <c r="E44" s="287"/>
      <c r="F44" s="284"/>
      <c r="G44" s="290"/>
      <c r="H44" s="293"/>
      <c r="I44" s="296"/>
      <c r="J44" s="310"/>
      <c r="K44" s="296">
        <f>IF(NOT(ISERROR(MATCH(J44,_xlfn.ANCHORARRAY(E55),0))),I57&amp;"Por favor no seleccionar los criterios de impacto",J44)</f>
        <v>0</v>
      </c>
      <c r="L44" s="293"/>
      <c r="M44" s="296"/>
      <c r="N44" s="313"/>
      <c r="O44" s="106">
        <v>3</v>
      </c>
      <c r="P44" s="182"/>
      <c r="Q44" s="107" t="str">
        <f>IF(OR(R44="Preventivo",R44="Detectivo"),"Probabilidad",IF(R44="Correctivo","Impacto",""))</f>
        <v/>
      </c>
      <c r="R44" s="108"/>
      <c r="S44" s="108"/>
      <c r="T44" s="109" t="str">
        <f t="shared" si="36"/>
        <v/>
      </c>
      <c r="U44" s="108"/>
      <c r="V44" s="108"/>
      <c r="W44" s="108"/>
      <c r="X44" s="110" t="str">
        <f>IFERROR(IF(AND(Q43="Probabilidad",Q44="Probabilidad"),(Z43-(+Z43*T44)),IF(AND(Q43="Impacto",Q44="Probabilidad"),(Z42-(+Z42*T44)),IF(Q44="Impacto",Z43,""))),"")</f>
        <v/>
      </c>
      <c r="Y44" s="111" t="str">
        <f t="shared" si="1"/>
        <v/>
      </c>
      <c r="Z44" s="112" t="str">
        <f t="shared" si="37"/>
        <v/>
      </c>
      <c r="AA44" s="111" t="str">
        <f t="shared" si="3"/>
        <v/>
      </c>
      <c r="AB44" s="112" t="str">
        <f>IFERROR(IF(AND(Q43="Impacto",Q44="Impacto"),(AB43-(+AB43*T44)),IF(AND(Q43="Probabilidad",Q44="Impacto"),(AB42-(+AB42*T44)),IF(Q44="Probabilidad",AB43,""))),"")</f>
        <v/>
      </c>
      <c r="AC44" s="113" t="str">
        <f t="shared" si="38"/>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281"/>
      <c r="B45" s="284"/>
      <c r="C45" s="284"/>
      <c r="D45" s="284"/>
      <c r="E45" s="287"/>
      <c r="F45" s="284"/>
      <c r="G45" s="290"/>
      <c r="H45" s="293"/>
      <c r="I45" s="296"/>
      <c r="J45" s="310"/>
      <c r="K45" s="296">
        <f>IF(NOT(ISERROR(MATCH(J45,_xlfn.ANCHORARRAY(E56),0))),I58&amp;"Por favor no seleccionar los criterios de impacto",J45)</f>
        <v>0</v>
      </c>
      <c r="L45" s="293"/>
      <c r="M45" s="296"/>
      <c r="N45" s="313"/>
      <c r="O45" s="106">
        <v>4</v>
      </c>
      <c r="P45" s="181"/>
      <c r="Q45" s="107" t="str">
        <f t="shared" ref="Q45:Q47" si="39">IF(OR(R45="Preventivo",R45="Detectivo"),"Probabilidad",IF(R45="Correctivo","Impacto",""))</f>
        <v/>
      </c>
      <c r="R45" s="108"/>
      <c r="S45" s="108"/>
      <c r="T45" s="109" t="str">
        <f t="shared" si="36"/>
        <v/>
      </c>
      <c r="U45" s="108"/>
      <c r="V45" s="108"/>
      <c r="W45" s="108"/>
      <c r="X45" s="110" t="str">
        <f t="shared" ref="X45:X47" si="40">IFERROR(IF(AND(Q44="Probabilidad",Q45="Probabilidad"),(Z44-(+Z44*T45)),IF(AND(Q44="Impacto",Q45="Probabilidad"),(Z43-(+Z43*T45)),IF(Q45="Impacto",Z44,""))),"")</f>
        <v/>
      </c>
      <c r="Y45" s="111" t="str">
        <f t="shared" si="1"/>
        <v/>
      </c>
      <c r="Z45" s="112" t="str">
        <f t="shared" si="37"/>
        <v/>
      </c>
      <c r="AA45" s="111" t="str">
        <f t="shared" si="3"/>
        <v/>
      </c>
      <c r="AB45" s="112" t="str">
        <f t="shared" ref="AB45:AB47" si="41">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281"/>
      <c r="B46" s="284"/>
      <c r="C46" s="284"/>
      <c r="D46" s="284"/>
      <c r="E46" s="287"/>
      <c r="F46" s="284"/>
      <c r="G46" s="290"/>
      <c r="H46" s="293"/>
      <c r="I46" s="296"/>
      <c r="J46" s="310"/>
      <c r="K46" s="296">
        <f>IF(NOT(ISERROR(MATCH(J46,_xlfn.ANCHORARRAY(E57),0))),I59&amp;"Por favor no seleccionar los criterios de impacto",J46)</f>
        <v>0</v>
      </c>
      <c r="L46" s="293"/>
      <c r="M46" s="296"/>
      <c r="N46" s="313"/>
      <c r="O46" s="106">
        <v>5</v>
      </c>
      <c r="P46" s="181"/>
      <c r="Q46" s="107" t="str">
        <f t="shared" si="39"/>
        <v/>
      </c>
      <c r="R46" s="108"/>
      <c r="S46" s="108"/>
      <c r="T46" s="109" t="str">
        <f t="shared" si="36"/>
        <v/>
      </c>
      <c r="U46" s="108"/>
      <c r="V46" s="108"/>
      <c r="W46" s="108"/>
      <c r="X46" s="110" t="str">
        <f t="shared" si="40"/>
        <v/>
      </c>
      <c r="Y46" s="111" t="str">
        <f t="shared" si="1"/>
        <v/>
      </c>
      <c r="Z46" s="112" t="str">
        <f t="shared" si="37"/>
        <v/>
      </c>
      <c r="AA46" s="111" t="str">
        <f t="shared" si="3"/>
        <v/>
      </c>
      <c r="AB46" s="112" t="str">
        <f t="shared" si="41"/>
        <v/>
      </c>
      <c r="AC46" s="113"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282"/>
      <c r="B47" s="285"/>
      <c r="C47" s="285"/>
      <c r="D47" s="285"/>
      <c r="E47" s="288"/>
      <c r="F47" s="285"/>
      <c r="G47" s="291"/>
      <c r="H47" s="294"/>
      <c r="I47" s="297"/>
      <c r="J47" s="311"/>
      <c r="K47" s="297">
        <f>IF(NOT(ISERROR(MATCH(J47,_xlfn.ANCHORARRAY(E58),0))),I60&amp;"Por favor no seleccionar los criterios de impacto",J47)</f>
        <v>0</v>
      </c>
      <c r="L47" s="294"/>
      <c r="M47" s="297"/>
      <c r="N47" s="314"/>
      <c r="O47" s="106">
        <v>6</v>
      </c>
      <c r="P47" s="181"/>
      <c r="Q47" s="107" t="str">
        <f t="shared" si="39"/>
        <v/>
      </c>
      <c r="R47" s="108"/>
      <c r="S47" s="108"/>
      <c r="T47" s="109" t="str">
        <f t="shared" si="36"/>
        <v/>
      </c>
      <c r="U47" s="108"/>
      <c r="V47" s="108"/>
      <c r="W47" s="108"/>
      <c r="X47" s="110" t="str">
        <f t="shared" si="40"/>
        <v/>
      </c>
      <c r="Y47" s="111" t="str">
        <f t="shared" si="1"/>
        <v/>
      </c>
      <c r="Z47" s="112" t="str">
        <f t="shared" si="37"/>
        <v/>
      </c>
      <c r="AA47" s="111" t="str">
        <f>IFERROR(IF(AB47="","",IF(AB47&lt;=0.2,"Leve",IF(AB47&lt;=0.4,"Menor",IF(AB47&lt;=0.6,"Moderado",IF(AB47&lt;=0.8,"Mayor","Catastrófico"))))),"")</f>
        <v/>
      </c>
      <c r="AB47" s="112" t="str">
        <f t="shared" si="41"/>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280">
        <v>7</v>
      </c>
      <c r="B48" s="283"/>
      <c r="C48" s="283"/>
      <c r="D48" s="283"/>
      <c r="E48" s="286"/>
      <c r="F48" s="283"/>
      <c r="G48" s="289"/>
      <c r="H48" s="292" t="str">
        <f>IF(G48&lt;=0,"",IF(G48&lt;=2,"Muy Baja",IF(G48&lt;=24,"Baja",IF(G48&lt;=500,"Media",IF(G48&lt;=5000,"Alta","Muy Alta")))))</f>
        <v/>
      </c>
      <c r="I48" s="295" t="str">
        <f>IF(H48="","",IF(H48="Muy Baja",0.2,IF(H48="Baja",0.4,IF(H48="Media",0.6,IF(H48="Alta",0.8,IF(H48="Muy Alta",1,))))))</f>
        <v/>
      </c>
      <c r="J48" s="309"/>
      <c r="K48" s="295">
        <f>IF(NOT(ISERROR(MATCH(J48,'Tabla Impacto'!$B$221:$B$223,0))),'Tabla Impacto'!$F$223&amp;"Por favor no seleccionar los criterios de impacto(Afectación Económica o presupuestal y Pérdida Reputacional)",J48)</f>
        <v>0</v>
      </c>
      <c r="L48" s="292" t="str">
        <f>IF(OR(K48='Tabla Impacto'!$C$11,K48='Tabla Impacto'!$D$11),"Leve",IF(OR(K48='Tabla Impacto'!$C$12,K48='Tabla Impacto'!$D$12),"Menor",IF(OR(K48='Tabla Impacto'!$C$13,K48='Tabla Impacto'!$D$13),"Moderado",IF(OR(K48='Tabla Impacto'!$C$14,K48='Tabla Impacto'!$D$14),"Mayor",IF(OR(K48='Tabla Impacto'!$C$15,K48='Tabla Impacto'!$D$15),"Catastrófico","")))))</f>
        <v/>
      </c>
      <c r="M48" s="295" t="str">
        <f>IF(L48="","",IF(L48="Leve",0.2,IF(L48="Menor",0.4,IF(L48="Moderado",0.6,IF(L48="Mayor",0.8,IF(L48="Catastrófico",1,))))))</f>
        <v/>
      </c>
      <c r="N48" s="312"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1"/>
      <c r="Q48" s="164" t="str">
        <f>IF(OR(R48="Preventivo",R48="Detectivo"),"Probabilidad",IF(R48="Correctivo","Impacto",""))</f>
        <v/>
      </c>
      <c r="R48" s="171"/>
      <c r="S48" s="171"/>
      <c r="T48" s="172" t="str">
        <f>IF(AND(R48="Preventivo",S48="Automático"),"50%",IF(AND(R48="Preventivo",S48="Manual"),"40%",IF(AND(R48="Detectivo",S48="Automático"),"40%",IF(AND(R48="Detectivo",S48="Manual"),"30%",IF(AND(R48="Correctivo",S48="Automático"),"35%",IF(AND(R48="Correctivo",S48="Manual"),"25%",""))))))</f>
        <v/>
      </c>
      <c r="U48" s="171"/>
      <c r="V48" s="171"/>
      <c r="W48" s="171"/>
      <c r="X48" s="161" t="str">
        <f>IFERROR(IF(Q48="Probabilidad",(I48-(+I48*T48)),IF(Q48="Impacto",I48,"")),"")</f>
        <v/>
      </c>
      <c r="Y48" s="173" t="str">
        <f>IFERROR(IF(X48="","",IF(X48&lt;=0.2,"Muy Baja",IF(X48&lt;=0.4,"Baja",IF(X48&lt;=0.6,"Media",IF(X48&lt;=0.8,"Alta","Muy Alta"))))),"")</f>
        <v/>
      </c>
      <c r="Z48" s="174" t="str">
        <f>+X48</f>
        <v/>
      </c>
      <c r="AA48" s="173" t="str">
        <f>IFERROR(IF(AB48="","",IF(AB48&lt;=0.2,"Leve",IF(AB48&lt;=0.4,"Menor",IF(AB48&lt;=0.6,"Moderado",IF(AB48&lt;=0.8,"Mayor","Catastrófico"))))),"")</f>
        <v/>
      </c>
      <c r="AB48" s="174" t="str">
        <f>IFERROR(IF(Q48="Impacto",(M48-(+M48*T48)),IF(Q48="Probabilidad",M48,"")),"")</f>
        <v/>
      </c>
      <c r="AC48" s="175"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6"/>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281"/>
      <c r="B49" s="284"/>
      <c r="C49" s="284"/>
      <c r="D49" s="284"/>
      <c r="E49" s="287"/>
      <c r="F49" s="284"/>
      <c r="G49" s="290"/>
      <c r="H49" s="293"/>
      <c r="I49" s="296"/>
      <c r="J49" s="310"/>
      <c r="K49" s="296">
        <f>IF(NOT(ISERROR(MATCH(J49,_xlfn.ANCHORARRAY(E60),0))),I62&amp;"Por favor no seleccionar los criterios de impacto",J49)</f>
        <v>0</v>
      </c>
      <c r="L49" s="293"/>
      <c r="M49" s="296"/>
      <c r="N49" s="313"/>
      <c r="O49" s="106">
        <v>2</v>
      </c>
      <c r="P49" s="181"/>
      <c r="Q49" s="164" t="str">
        <f>IF(OR(R49="Preventivo",R49="Detectivo"),"Probabilidad",IF(R49="Correctivo","Impacto",""))</f>
        <v/>
      </c>
      <c r="R49" s="171"/>
      <c r="S49" s="171"/>
      <c r="T49" s="172" t="str">
        <f t="shared" ref="T49:T53" si="43">IF(AND(R49="Preventivo",S49="Automático"),"50%",IF(AND(R49="Preventivo",S49="Manual"),"40%",IF(AND(R49="Detectivo",S49="Automático"),"40%",IF(AND(R49="Detectivo",S49="Manual"),"30%",IF(AND(R49="Correctivo",S49="Automático"),"35%",IF(AND(R49="Correctivo",S49="Manual"),"25%",""))))))</f>
        <v/>
      </c>
      <c r="U49" s="171"/>
      <c r="V49" s="171"/>
      <c r="W49" s="171"/>
      <c r="X49" s="161" t="str">
        <f>IFERROR(IF(AND(Q48="Probabilidad",Q49="Probabilidad"),(Z48-(+Z48*T49)),IF(Q49="Probabilidad",(I48-(+I48*T49)),IF(Q49="Impacto",Z48,""))),"")</f>
        <v/>
      </c>
      <c r="Y49" s="173" t="str">
        <f t="shared" si="1"/>
        <v/>
      </c>
      <c r="Z49" s="174" t="str">
        <f t="shared" ref="Z49:Z53" si="44">+X49</f>
        <v/>
      </c>
      <c r="AA49" s="173" t="str">
        <f t="shared" si="3"/>
        <v/>
      </c>
      <c r="AB49" s="174" t="str">
        <f>IFERROR(IF(AND(Q48="Impacto",Q49="Impacto"),(AB48-(+AB48*T49)),IF(Q49="Impacto",(M48-(+M48*T49)),IF(Q49="Probabilidad",AB48,""))),"")</f>
        <v/>
      </c>
      <c r="AC49" s="175"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6"/>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281"/>
      <c r="B50" s="284"/>
      <c r="C50" s="284"/>
      <c r="D50" s="284"/>
      <c r="E50" s="287"/>
      <c r="F50" s="284"/>
      <c r="G50" s="290"/>
      <c r="H50" s="293"/>
      <c r="I50" s="296"/>
      <c r="J50" s="310"/>
      <c r="K50" s="296">
        <f>IF(NOT(ISERROR(MATCH(J50,_xlfn.ANCHORARRAY(E61),0))),I63&amp;"Por favor no seleccionar los criterios de impacto",J50)</f>
        <v>0</v>
      </c>
      <c r="L50" s="293"/>
      <c r="M50" s="296"/>
      <c r="N50" s="313"/>
      <c r="O50" s="106">
        <v>3</v>
      </c>
      <c r="P50" s="182"/>
      <c r="Q50" s="107" t="str">
        <f>IF(OR(R50="Preventivo",R50="Detectivo"),"Probabilidad",IF(R50="Correctivo","Impacto",""))</f>
        <v/>
      </c>
      <c r="R50" s="108"/>
      <c r="S50" s="108"/>
      <c r="T50" s="109" t="str">
        <f t="shared" si="43"/>
        <v/>
      </c>
      <c r="U50" s="108"/>
      <c r="V50" s="108"/>
      <c r="W50" s="108"/>
      <c r="X50" s="110" t="str">
        <f>IFERROR(IF(AND(Q49="Probabilidad",Q50="Probabilidad"),(Z49-(+Z49*T50)),IF(AND(Q49="Impacto",Q50="Probabilidad"),(Z48-(+Z48*T50)),IF(Q50="Impacto",Z49,""))),"")</f>
        <v/>
      </c>
      <c r="Y50" s="111" t="str">
        <f t="shared" si="1"/>
        <v/>
      </c>
      <c r="Z50" s="112" t="str">
        <f t="shared" si="44"/>
        <v/>
      </c>
      <c r="AA50" s="111" t="str">
        <f t="shared" si="3"/>
        <v/>
      </c>
      <c r="AB50" s="112" t="str">
        <f>IFERROR(IF(AND(Q49="Impacto",Q50="Impacto"),(AB49-(+AB49*T50)),IF(AND(Q49="Probabilidad",Q50="Impacto"),(AB48-(+AB48*T50)),IF(Q50="Probabilidad",AB49,""))),"")</f>
        <v/>
      </c>
      <c r="AC50" s="113" t="str">
        <f t="shared" si="45"/>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281"/>
      <c r="B51" s="284"/>
      <c r="C51" s="284"/>
      <c r="D51" s="284"/>
      <c r="E51" s="287"/>
      <c r="F51" s="284"/>
      <c r="G51" s="290"/>
      <c r="H51" s="293"/>
      <c r="I51" s="296"/>
      <c r="J51" s="310"/>
      <c r="K51" s="296">
        <f>IF(NOT(ISERROR(MATCH(J51,_xlfn.ANCHORARRAY(E62),0))),I64&amp;"Por favor no seleccionar los criterios de impacto",J51)</f>
        <v>0</v>
      </c>
      <c r="L51" s="293"/>
      <c r="M51" s="296"/>
      <c r="N51" s="313"/>
      <c r="O51" s="106">
        <v>4</v>
      </c>
      <c r="P51" s="181"/>
      <c r="Q51" s="107" t="str">
        <f t="shared" ref="Q51:Q53" si="46">IF(OR(R51="Preventivo",R51="Detectivo"),"Probabilidad",IF(R51="Correctivo","Impacto",""))</f>
        <v/>
      </c>
      <c r="R51" s="108"/>
      <c r="S51" s="108"/>
      <c r="T51" s="109" t="str">
        <f t="shared" si="43"/>
        <v/>
      </c>
      <c r="U51" s="108"/>
      <c r="V51" s="108"/>
      <c r="W51" s="108"/>
      <c r="X51" s="110" t="str">
        <f t="shared" ref="X51:X53" si="47">IFERROR(IF(AND(Q50="Probabilidad",Q51="Probabilidad"),(Z50-(+Z50*T51)),IF(AND(Q50="Impacto",Q51="Probabilidad"),(Z49-(+Z49*T51)),IF(Q51="Impacto",Z50,""))),"")</f>
        <v/>
      </c>
      <c r="Y51" s="111" t="str">
        <f t="shared" si="1"/>
        <v/>
      </c>
      <c r="Z51" s="112" t="str">
        <f t="shared" si="44"/>
        <v/>
      </c>
      <c r="AA51" s="111" t="str">
        <f t="shared" si="3"/>
        <v/>
      </c>
      <c r="AB51" s="112" t="str">
        <f t="shared" ref="AB51:AB53" si="48">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281"/>
      <c r="B52" s="284"/>
      <c r="C52" s="284"/>
      <c r="D52" s="284"/>
      <c r="E52" s="287"/>
      <c r="F52" s="284"/>
      <c r="G52" s="290"/>
      <c r="H52" s="293"/>
      <c r="I52" s="296"/>
      <c r="J52" s="310"/>
      <c r="K52" s="296">
        <f>IF(NOT(ISERROR(MATCH(J52,_xlfn.ANCHORARRAY(E63),0))),I65&amp;"Por favor no seleccionar los criterios de impacto",J52)</f>
        <v>0</v>
      </c>
      <c r="L52" s="293"/>
      <c r="M52" s="296"/>
      <c r="N52" s="313"/>
      <c r="O52" s="106">
        <v>5</v>
      </c>
      <c r="P52" s="181"/>
      <c r="Q52" s="107" t="str">
        <f t="shared" si="46"/>
        <v/>
      </c>
      <c r="R52" s="108"/>
      <c r="S52" s="108"/>
      <c r="T52" s="109" t="str">
        <f t="shared" si="43"/>
        <v/>
      </c>
      <c r="U52" s="108"/>
      <c r="V52" s="108"/>
      <c r="W52" s="108"/>
      <c r="X52" s="110" t="str">
        <f t="shared" si="47"/>
        <v/>
      </c>
      <c r="Y52" s="111" t="str">
        <f t="shared" si="1"/>
        <v/>
      </c>
      <c r="Z52" s="112" t="str">
        <f t="shared" si="44"/>
        <v/>
      </c>
      <c r="AA52" s="111" t="str">
        <f t="shared" si="3"/>
        <v/>
      </c>
      <c r="AB52" s="112" t="str">
        <f t="shared" si="48"/>
        <v/>
      </c>
      <c r="AC52" s="113"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282"/>
      <c r="B53" s="285"/>
      <c r="C53" s="285"/>
      <c r="D53" s="285"/>
      <c r="E53" s="288"/>
      <c r="F53" s="285"/>
      <c r="G53" s="291"/>
      <c r="H53" s="294"/>
      <c r="I53" s="297"/>
      <c r="J53" s="311"/>
      <c r="K53" s="297">
        <f>IF(NOT(ISERROR(MATCH(J53,_xlfn.ANCHORARRAY(E64),0))),I66&amp;"Por favor no seleccionar los criterios de impacto",J53)</f>
        <v>0</v>
      </c>
      <c r="L53" s="294"/>
      <c r="M53" s="297"/>
      <c r="N53" s="314"/>
      <c r="O53" s="106">
        <v>6</v>
      </c>
      <c r="P53" s="181"/>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si="49"/>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280">
        <v>8</v>
      </c>
      <c r="B54" s="283"/>
      <c r="C54" s="283"/>
      <c r="D54" s="283"/>
      <c r="E54" s="286"/>
      <c r="F54" s="283"/>
      <c r="G54" s="289"/>
      <c r="H54" s="292" t="str">
        <f>IF(G54&lt;=0,"",IF(G54&lt;=2,"Muy Baja",IF(G54&lt;=24,"Baja",IF(G54&lt;=500,"Media",IF(G54&lt;=5000,"Alta","Muy Alta")))))</f>
        <v/>
      </c>
      <c r="I54" s="295" t="str">
        <f>IF(H54="","",IF(H54="Muy Baja",0.2,IF(H54="Baja",0.4,IF(H54="Media",0.6,IF(H54="Alta",0.8,IF(H54="Muy Alta",1,))))))</f>
        <v/>
      </c>
      <c r="J54" s="309"/>
      <c r="K54" s="295">
        <f>IF(NOT(ISERROR(MATCH(J54,'Tabla Impacto'!$B$221:$B$223,0))),'Tabla Impacto'!$F$223&amp;"Por favor no seleccionar los criterios de impacto(Afectación Económica o presupuestal y Pérdida Reputacional)",J54)</f>
        <v>0</v>
      </c>
      <c r="L54" s="292" t="str">
        <f>IF(OR(K54='Tabla Impacto'!$C$11,K54='Tabla Impacto'!$D$11),"Leve",IF(OR(K54='Tabla Impacto'!$C$12,K54='Tabla Impacto'!$D$12),"Menor",IF(OR(K54='Tabla Impacto'!$C$13,K54='Tabla Impacto'!$D$13),"Moderado",IF(OR(K54='Tabla Impacto'!$C$14,K54='Tabla Impacto'!$D$14),"Mayor",IF(OR(K54='Tabla Impacto'!$C$15,K54='Tabla Impacto'!$D$15),"Catastrófico","")))))</f>
        <v/>
      </c>
      <c r="M54" s="295" t="str">
        <f>IF(L54="","",IF(L54="Leve",0.2,IF(L54="Menor",0.4,IF(L54="Moderado",0.6,IF(L54="Mayor",0.8,IF(L54="Catastrófico",1,))))))</f>
        <v/>
      </c>
      <c r="N54" s="312"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1"/>
      <c r="Q54" s="164"/>
      <c r="R54" s="171"/>
      <c r="S54" s="171"/>
      <c r="T54" s="172" t="str">
        <f>IF(AND(R54="Preventivo",S54="Automático"),"50%",IF(AND(R54="Preventivo",S54="Manual"),"40%",IF(AND(R54="Detectivo",S54="Automático"),"40%",IF(AND(R54="Detectivo",S54="Manual"),"30%",IF(AND(R54="Correctivo",S54="Automático"),"35%",IF(AND(R54="Correctivo",S54="Manual"),"25%",""))))))</f>
        <v/>
      </c>
      <c r="U54" s="171"/>
      <c r="V54" s="171"/>
      <c r="W54" s="171"/>
      <c r="X54" s="161" t="str">
        <f>IFERROR(IF(Q54="Probabilidad",(I54-(+I54*T54)),IF(Q54="Impacto",I54,"")),"")</f>
        <v/>
      </c>
      <c r="Y54" s="173" t="str">
        <f>IFERROR(IF(X54="","",IF(X54&lt;=0.2,"Muy Baja",IF(X54&lt;=0.4,"Baja",IF(X54&lt;=0.6,"Media",IF(X54&lt;=0.8,"Alta","Muy Alta"))))),"")</f>
        <v/>
      </c>
      <c r="Z54" s="174" t="str">
        <f>+X54</f>
        <v/>
      </c>
      <c r="AA54" s="173" t="str">
        <f>IFERROR(IF(AB54="","",IF(AB54&lt;=0.2,"Leve",IF(AB54&lt;=0.4,"Menor",IF(AB54&lt;=0.6,"Moderado",IF(AB54&lt;=0.8,"Mayor","Catastrófico"))))),"")</f>
        <v/>
      </c>
      <c r="AB54" s="174" t="str">
        <f>IFERROR(IF(Q54="Impacto",(M54-(+M54*T54)),IF(Q54="Probabilidad",M54,"")),"")</f>
        <v/>
      </c>
      <c r="AC54" s="175"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6"/>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281"/>
      <c r="B55" s="284"/>
      <c r="C55" s="284"/>
      <c r="D55" s="284"/>
      <c r="E55" s="287"/>
      <c r="F55" s="284"/>
      <c r="G55" s="290"/>
      <c r="H55" s="293"/>
      <c r="I55" s="296"/>
      <c r="J55" s="310"/>
      <c r="K55" s="296">
        <f>IF(NOT(ISERROR(MATCH(J55,_xlfn.ANCHORARRAY(E66),0))),I68&amp;"Por favor no seleccionar los criterios de impacto",J55)</f>
        <v>0</v>
      </c>
      <c r="L55" s="293"/>
      <c r="M55" s="296"/>
      <c r="N55" s="313"/>
      <c r="O55" s="106">
        <v>2</v>
      </c>
      <c r="P55" s="181"/>
      <c r="Q55" s="107" t="str">
        <f>IF(OR(R55="Preventivo",R55="Detectivo"),"Probabilidad",IF(R55="Correctivo","Impacto",""))</f>
        <v/>
      </c>
      <c r="R55" s="108"/>
      <c r="S55" s="108"/>
      <c r="T55" s="109" t="str">
        <f t="shared" ref="T55:T59" si="50">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1">+X55</f>
        <v/>
      </c>
      <c r="AA55" s="111" t="str">
        <f t="shared" si="3"/>
        <v/>
      </c>
      <c r="AB55" s="112" t="str">
        <f>IFERROR(IF(AND(Q54="Impacto",Q55="Impacto"),(AB54-(+AB54*T55)),IF(Q55="Impacto",(M54-(+M54*T55)),IF(Q55="Probabilidad",AB54,""))),"")</f>
        <v/>
      </c>
      <c r="AC55" s="113"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281"/>
      <c r="B56" s="284"/>
      <c r="C56" s="284"/>
      <c r="D56" s="284"/>
      <c r="E56" s="287"/>
      <c r="F56" s="284"/>
      <c r="G56" s="290"/>
      <c r="H56" s="293"/>
      <c r="I56" s="296"/>
      <c r="J56" s="310"/>
      <c r="K56" s="296">
        <f>IF(NOT(ISERROR(MATCH(J56,_xlfn.ANCHORARRAY(E67),0))),I69&amp;"Por favor no seleccionar los criterios de impacto",J56)</f>
        <v>0</v>
      </c>
      <c r="L56" s="293"/>
      <c r="M56" s="296"/>
      <c r="N56" s="313"/>
      <c r="O56" s="106">
        <v>3</v>
      </c>
      <c r="P56" s="182"/>
      <c r="Q56" s="107" t="str">
        <f>IF(OR(R56="Preventivo",R56="Detectivo"),"Probabilidad",IF(R56="Correctivo","Impacto",""))</f>
        <v/>
      </c>
      <c r="R56" s="108"/>
      <c r="S56" s="108"/>
      <c r="T56" s="109" t="str">
        <f t="shared" si="50"/>
        <v/>
      </c>
      <c r="U56" s="108"/>
      <c r="V56" s="108"/>
      <c r="W56" s="108"/>
      <c r="X56" s="110" t="str">
        <f>IFERROR(IF(AND(Q55="Probabilidad",Q56="Probabilidad"),(Z55-(+Z55*T56)),IF(AND(Q55="Impacto",Q56="Probabilidad"),(Z54-(+Z54*T56)),IF(Q56="Impacto",Z55,""))),"")</f>
        <v/>
      </c>
      <c r="Y56" s="111" t="str">
        <f t="shared" si="1"/>
        <v/>
      </c>
      <c r="Z56" s="112" t="str">
        <f t="shared" si="51"/>
        <v/>
      </c>
      <c r="AA56" s="111" t="str">
        <f t="shared" si="3"/>
        <v/>
      </c>
      <c r="AB56" s="112" t="str">
        <f>IFERROR(IF(AND(Q55="Impacto",Q56="Impacto"),(AB55-(+AB55*T56)),IF(AND(Q55="Probabilidad",Q56="Impacto"),(AB54-(+AB54*T56)),IF(Q56="Probabilidad",AB55,""))),"")</f>
        <v/>
      </c>
      <c r="AC56" s="113" t="str">
        <f t="shared" si="52"/>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281"/>
      <c r="B57" s="284"/>
      <c r="C57" s="284"/>
      <c r="D57" s="284"/>
      <c r="E57" s="287"/>
      <c r="F57" s="284"/>
      <c r="G57" s="290"/>
      <c r="H57" s="293"/>
      <c r="I57" s="296"/>
      <c r="J57" s="310"/>
      <c r="K57" s="296">
        <f>IF(NOT(ISERROR(MATCH(J57,_xlfn.ANCHORARRAY(E68),0))),I70&amp;"Por favor no seleccionar los criterios de impacto",J57)</f>
        <v>0</v>
      </c>
      <c r="L57" s="293"/>
      <c r="M57" s="296"/>
      <c r="N57" s="313"/>
      <c r="O57" s="106">
        <v>4</v>
      </c>
      <c r="P57" s="181"/>
      <c r="Q57" s="107" t="str">
        <f t="shared" ref="Q57:Q59" si="53">IF(OR(R57="Preventivo",R57="Detectivo"),"Probabilidad",IF(R57="Correctivo","Impacto",""))</f>
        <v/>
      </c>
      <c r="R57" s="108"/>
      <c r="S57" s="108"/>
      <c r="T57" s="109" t="str">
        <f t="shared" si="50"/>
        <v/>
      </c>
      <c r="U57" s="108"/>
      <c r="V57" s="108"/>
      <c r="W57" s="108"/>
      <c r="X57" s="110" t="str">
        <f t="shared" ref="X57:X59" si="54">IFERROR(IF(AND(Q56="Probabilidad",Q57="Probabilidad"),(Z56-(+Z56*T57)),IF(AND(Q56="Impacto",Q57="Probabilidad"),(Z55-(+Z55*T57)),IF(Q57="Impacto",Z56,""))),"")</f>
        <v/>
      </c>
      <c r="Y57" s="111" t="str">
        <f t="shared" si="1"/>
        <v/>
      </c>
      <c r="Z57" s="112" t="str">
        <f t="shared" si="51"/>
        <v/>
      </c>
      <c r="AA57" s="111" t="str">
        <f t="shared" si="3"/>
        <v/>
      </c>
      <c r="AB57" s="112" t="str">
        <f t="shared" ref="AB57:AB59" si="55">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281"/>
      <c r="B58" s="284"/>
      <c r="C58" s="284"/>
      <c r="D58" s="284"/>
      <c r="E58" s="287"/>
      <c r="F58" s="284"/>
      <c r="G58" s="290"/>
      <c r="H58" s="293"/>
      <c r="I58" s="296"/>
      <c r="J58" s="310"/>
      <c r="K58" s="296">
        <f>IF(NOT(ISERROR(MATCH(J58,_xlfn.ANCHORARRAY(E69),0))),I71&amp;"Por favor no seleccionar los criterios de impacto",J58)</f>
        <v>0</v>
      </c>
      <c r="L58" s="293"/>
      <c r="M58" s="296"/>
      <c r="N58" s="313"/>
      <c r="O58" s="106">
        <v>5</v>
      </c>
      <c r="P58" s="181"/>
      <c r="Q58" s="107" t="str">
        <f t="shared" si="53"/>
        <v/>
      </c>
      <c r="R58" s="108"/>
      <c r="S58" s="108"/>
      <c r="T58" s="109" t="str">
        <f t="shared" si="50"/>
        <v/>
      </c>
      <c r="U58" s="108"/>
      <c r="V58" s="108"/>
      <c r="W58" s="108"/>
      <c r="X58" s="110" t="str">
        <f t="shared" si="54"/>
        <v/>
      </c>
      <c r="Y58" s="111" t="str">
        <f t="shared" si="1"/>
        <v/>
      </c>
      <c r="Z58" s="112" t="str">
        <f t="shared" si="51"/>
        <v/>
      </c>
      <c r="AA58" s="111" t="str">
        <f t="shared" si="3"/>
        <v/>
      </c>
      <c r="AB58" s="112" t="str">
        <f t="shared" si="55"/>
        <v/>
      </c>
      <c r="AC58" s="113"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282"/>
      <c r="B59" s="285"/>
      <c r="C59" s="285"/>
      <c r="D59" s="285"/>
      <c r="E59" s="288"/>
      <c r="F59" s="285"/>
      <c r="G59" s="291"/>
      <c r="H59" s="294"/>
      <c r="I59" s="297"/>
      <c r="J59" s="311"/>
      <c r="K59" s="297">
        <f>IF(NOT(ISERROR(MATCH(J59,_xlfn.ANCHORARRAY(E70),0))),I72&amp;"Por favor no seleccionar los criterios de impacto",J59)</f>
        <v>0</v>
      </c>
      <c r="L59" s="294"/>
      <c r="M59" s="297"/>
      <c r="N59" s="314"/>
      <c r="O59" s="106">
        <v>6</v>
      </c>
      <c r="P59" s="181"/>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si="56"/>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280">
        <v>9</v>
      </c>
      <c r="B60" s="283"/>
      <c r="C60" s="283"/>
      <c r="D60" s="283"/>
      <c r="E60" s="286"/>
      <c r="F60" s="283"/>
      <c r="G60" s="289"/>
      <c r="H60" s="292" t="str">
        <f>IF(G60&lt;=0,"",IF(G60&lt;=2,"Muy Baja",IF(G60&lt;=24,"Baja",IF(G60&lt;=500,"Media",IF(G60&lt;=5000,"Alta","Muy Alta")))))</f>
        <v/>
      </c>
      <c r="I60" s="295" t="str">
        <f>IF(H60="","",IF(H60="Muy Baja",0.2,IF(H60="Baja",0.4,IF(H60="Media",0.6,IF(H60="Alta",0.8,IF(H60="Muy Alta",1,))))))</f>
        <v/>
      </c>
      <c r="J60" s="309"/>
      <c r="K60" s="295">
        <f>IF(NOT(ISERROR(MATCH(J60,'Tabla Impacto'!$B$221:$B$223,0))),'Tabla Impacto'!$F$223&amp;"Por favor no seleccionar los criterios de impacto(Afectación Económica o presupuestal y Pérdida Reputacional)",J60)</f>
        <v>0</v>
      </c>
      <c r="L60" s="292" t="str">
        <f>IF(OR(K60='Tabla Impacto'!$C$11,K60='Tabla Impacto'!$D$11),"Leve",IF(OR(K60='Tabla Impacto'!$C$12,K60='Tabla Impacto'!$D$12),"Menor",IF(OR(K60='Tabla Impacto'!$C$13,K60='Tabla Impacto'!$D$13),"Moderado",IF(OR(K60='Tabla Impacto'!$C$14,K60='Tabla Impacto'!$D$14),"Mayor",IF(OR(K60='Tabla Impacto'!$C$15,K60='Tabla Impacto'!$D$15),"Catastrófico","")))))</f>
        <v/>
      </c>
      <c r="M60" s="295" t="str">
        <f>IF(L60="","",IF(L60="Leve",0.2,IF(L60="Menor",0.4,IF(L60="Moderado",0.6,IF(L60="Mayor",0.8,IF(L60="Catastrófico",1,))))))</f>
        <v/>
      </c>
      <c r="N60" s="312"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1"/>
      <c r="Q60" s="164"/>
      <c r="R60" s="171"/>
      <c r="S60" s="171"/>
      <c r="T60" s="172" t="str">
        <f>IF(AND(R60="Preventivo",S60="Automático"),"50%",IF(AND(R60="Preventivo",S60="Manual"),"40%",IF(AND(R60="Detectivo",S60="Automático"),"40%",IF(AND(R60="Detectivo",S60="Manual"),"30%",IF(AND(R60="Correctivo",S60="Automático"),"35%",IF(AND(R60="Correctivo",S60="Manual"),"25%",""))))))</f>
        <v/>
      </c>
      <c r="U60" s="171"/>
      <c r="V60" s="171"/>
      <c r="W60" s="171"/>
      <c r="X60" s="161" t="str">
        <f>IFERROR(IF(Q60="Probabilidad",(I60-(+I60*T60)),IF(Q60="Impacto",I60,"")),"")</f>
        <v/>
      </c>
      <c r="Y60" s="173" t="str">
        <f>IFERROR(IF(X60="","",IF(X60&lt;=0.2,"Muy Baja",IF(X60&lt;=0.4,"Baja",IF(X60&lt;=0.6,"Media",IF(X60&lt;=0.8,"Alta","Muy Alta"))))),"")</f>
        <v/>
      </c>
      <c r="Z60" s="174" t="str">
        <f>+X60</f>
        <v/>
      </c>
      <c r="AA60" s="173" t="str">
        <f>IFERROR(IF(AB60="","",IF(AB60&lt;=0.2,"Leve",IF(AB60&lt;=0.4,"Menor",IF(AB60&lt;=0.6,"Moderado",IF(AB60&lt;=0.8,"Mayor","Catastrófico"))))),"")</f>
        <v/>
      </c>
      <c r="AB60" s="174" t="str">
        <f>IFERROR(IF(Q60="Impacto",(M60-(+M60*T60)),IF(Q60="Probabilidad",M60,"")),"")</f>
        <v/>
      </c>
      <c r="AC60" s="175"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6"/>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281"/>
      <c r="B61" s="284"/>
      <c r="C61" s="284"/>
      <c r="D61" s="284"/>
      <c r="E61" s="287"/>
      <c r="F61" s="284"/>
      <c r="G61" s="290"/>
      <c r="H61" s="293"/>
      <c r="I61" s="296"/>
      <c r="J61" s="310"/>
      <c r="K61" s="296">
        <f>IF(NOT(ISERROR(MATCH(J61,_xlfn.ANCHORARRAY(E72),0))),I74&amp;"Por favor no seleccionar los criterios de impacto",J61)</f>
        <v>0</v>
      </c>
      <c r="L61" s="293"/>
      <c r="M61" s="296"/>
      <c r="N61" s="313"/>
      <c r="O61" s="106">
        <v>2</v>
      </c>
      <c r="P61" s="181"/>
      <c r="Q61" s="107" t="str">
        <f>IF(OR(R61="Preventivo",R61="Detectivo"),"Probabilidad",IF(R61="Correctivo","Impacto",""))</f>
        <v/>
      </c>
      <c r="R61" s="108"/>
      <c r="S61" s="108"/>
      <c r="T61" s="109" t="str">
        <f t="shared" ref="T61:T65" si="57">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8">+X61</f>
        <v/>
      </c>
      <c r="AA61" s="111" t="str">
        <f t="shared" si="3"/>
        <v/>
      </c>
      <c r="AB61" s="112" t="str">
        <f>IFERROR(IF(AND(Q60="Impacto",Q61="Impacto"),(AB60-(+AB60*T61)),IF(Q61="Impacto",(M60-(+M60*T61)),IF(Q61="Probabilidad",AB60,""))),"")</f>
        <v/>
      </c>
      <c r="AC61" s="113"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281"/>
      <c r="B62" s="284"/>
      <c r="C62" s="284"/>
      <c r="D62" s="284"/>
      <c r="E62" s="287"/>
      <c r="F62" s="284"/>
      <c r="G62" s="290"/>
      <c r="H62" s="293"/>
      <c r="I62" s="296"/>
      <c r="J62" s="310"/>
      <c r="K62" s="296">
        <f>IF(NOT(ISERROR(MATCH(J62,_xlfn.ANCHORARRAY(E73),0))),I75&amp;"Por favor no seleccionar los criterios de impacto",J62)</f>
        <v>0</v>
      </c>
      <c r="L62" s="293"/>
      <c r="M62" s="296"/>
      <c r="N62" s="313"/>
      <c r="O62" s="106">
        <v>3</v>
      </c>
      <c r="P62" s="182"/>
      <c r="Q62" s="107" t="str">
        <f>IF(OR(R62="Preventivo",R62="Detectivo"),"Probabilidad",IF(R62="Correctivo","Impacto",""))</f>
        <v/>
      </c>
      <c r="R62" s="108"/>
      <c r="S62" s="108"/>
      <c r="T62" s="109" t="str">
        <f t="shared" si="57"/>
        <v/>
      </c>
      <c r="U62" s="108"/>
      <c r="V62" s="108"/>
      <c r="W62" s="108"/>
      <c r="X62" s="110" t="str">
        <f>IFERROR(IF(AND(Q61="Probabilidad",Q62="Probabilidad"),(Z61-(+Z61*T62)),IF(AND(Q61="Impacto",Q62="Probabilidad"),(Z60-(+Z60*T62)),IF(Q62="Impacto",Z61,""))),"")</f>
        <v/>
      </c>
      <c r="Y62" s="111" t="str">
        <f t="shared" si="1"/>
        <v/>
      </c>
      <c r="Z62" s="112" t="str">
        <f t="shared" si="58"/>
        <v/>
      </c>
      <c r="AA62" s="111" t="str">
        <f t="shared" si="3"/>
        <v/>
      </c>
      <c r="AB62" s="112" t="str">
        <f>IFERROR(IF(AND(Q61="Impacto",Q62="Impacto"),(AB61-(+AB61*T62)),IF(AND(Q61="Probabilidad",Q62="Impacto"),(AB60-(+AB60*T62)),IF(Q62="Probabilidad",AB61,""))),"")</f>
        <v/>
      </c>
      <c r="AC62" s="113" t="str">
        <f t="shared" si="59"/>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281"/>
      <c r="B63" s="284"/>
      <c r="C63" s="284"/>
      <c r="D63" s="284"/>
      <c r="E63" s="287"/>
      <c r="F63" s="284"/>
      <c r="G63" s="290"/>
      <c r="H63" s="293"/>
      <c r="I63" s="296"/>
      <c r="J63" s="310"/>
      <c r="K63" s="296">
        <f>IF(NOT(ISERROR(MATCH(J63,_xlfn.ANCHORARRAY(E74),0))),I76&amp;"Por favor no seleccionar los criterios de impacto",J63)</f>
        <v>0</v>
      </c>
      <c r="L63" s="293"/>
      <c r="M63" s="296"/>
      <c r="N63" s="313"/>
      <c r="O63" s="106">
        <v>4</v>
      </c>
      <c r="P63" s="181"/>
      <c r="Q63" s="107" t="str">
        <f t="shared" ref="Q63:Q65" si="60">IF(OR(R63="Preventivo",R63="Detectivo"),"Probabilidad",IF(R63="Correctivo","Impacto",""))</f>
        <v/>
      </c>
      <c r="R63" s="108"/>
      <c r="S63" s="108"/>
      <c r="T63" s="109" t="str">
        <f t="shared" si="57"/>
        <v/>
      </c>
      <c r="U63" s="108"/>
      <c r="V63" s="108"/>
      <c r="W63" s="108"/>
      <c r="X63" s="110" t="str">
        <f t="shared" ref="X63:X64" si="61">IFERROR(IF(AND(Q62="Probabilidad",Q63="Probabilidad"),(Z62-(+Z62*T63)),IF(AND(Q62="Impacto",Q63="Probabilidad"),(Z61-(+Z61*T63)),IF(Q63="Impacto",Z62,""))),"")</f>
        <v/>
      </c>
      <c r="Y63" s="111" t="str">
        <f t="shared" si="1"/>
        <v/>
      </c>
      <c r="Z63" s="112" t="str">
        <f t="shared" si="58"/>
        <v/>
      </c>
      <c r="AA63" s="111" t="str">
        <f t="shared" si="3"/>
        <v/>
      </c>
      <c r="AB63" s="112" t="str">
        <f t="shared" ref="AB63:AB64" si="62">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281"/>
      <c r="B64" s="284"/>
      <c r="C64" s="284"/>
      <c r="D64" s="284"/>
      <c r="E64" s="287"/>
      <c r="F64" s="284"/>
      <c r="G64" s="290"/>
      <c r="H64" s="293"/>
      <c r="I64" s="296"/>
      <c r="J64" s="310"/>
      <c r="K64" s="296">
        <f>IF(NOT(ISERROR(MATCH(J64,_xlfn.ANCHORARRAY(E75),0))),I77&amp;"Por favor no seleccionar los criterios de impacto",J64)</f>
        <v>0</v>
      </c>
      <c r="L64" s="293"/>
      <c r="M64" s="296"/>
      <c r="N64" s="313"/>
      <c r="O64" s="106">
        <v>5</v>
      </c>
      <c r="P64" s="181"/>
      <c r="Q64" s="107" t="str">
        <f t="shared" si="60"/>
        <v/>
      </c>
      <c r="R64" s="108"/>
      <c r="S64" s="108"/>
      <c r="T64" s="109" t="str">
        <f t="shared" si="57"/>
        <v/>
      </c>
      <c r="U64" s="108"/>
      <c r="V64" s="108"/>
      <c r="W64" s="108"/>
      <c r="X64" s="110" t="str">
        <f t="shared" si="61"/>
        <v/>
      </c>
      <c r="Y64" s="111" t="str">
        <f t="shared" si="1"/>
        <v/>
      </c>
      <c r="Z64" s="112" t="str">
        <f t="shared" si="58"/>
        <v/>
      </c>
      <c r="AA64" s="111" t="str">
        <f t="shared" si="3"/>
        <v/>
      </c>
      <c r="AB64" s="112" t="str">
        <f t="shared" si="62"/>
        <v/>
      </c>
      <c r="AC64" s="113"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282"/>
      <c r="B65" s="285"/>
      <c r="C65" s="285"/>
      <c r="D65" s="285"/>
      <c r="E65" s="288"/>
      <c r="F65" s="285"/>
      <c r="G65" s="291"/>
      <c r="H65" s="294"/>
      <c r="I65" s="297"/>
      <c r="J65" s="311"/>
      <c r="K65" s="297">
        <f>IF(NOT(ISERROR(MATCH(J65,_xlfn.ANCHORARRAY(E76),0))),I78&amp;"Por favor no seleccionar los criterios de impacto",J65)</f>
        <v>0</v>
      </c>
      <c r="L65" s="294"/>
      <c r="M65" s="297"/>
      <c r="N65" s="314"/>
      <c r="O65" s="106">
        <v>6</v>
      </c>
      <c r="P65" s="181"/>
      <c r="Q65" s="107" t="str">
        <f t="shared" si="60"/>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63"/>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280">
        <v>10</v>
      </c>
      <c r="B66" s="283"/>
      <c r="C66" s="283"/>
      <c r="D66" s="283"/>
      <c r="E66" s="286"/>
      <c r="F66" s="283"/>
      <c r="G66" s="289"/>
      <c r="H66" s="292" t="str">
        <f>IF(G66&lt;=0,"",IF(G66&lt;=2,"Muy Baja",IF(G66&lt;=24,"Baja",IF(G66&lt;=500,"Media",IF(G66&lt;=5000,"Alta","Muy Alta")))))</f>
        <v/>
      </c>
      <c r="I66" s="295" t="str">
        <f>IF(H66="","",IF(H66="Muy Baja",0.2,IF(H66="Baja",0.4,IF(H66="Media",0.6,IF(H66="Alta",0.8,IF(H66="Muy Alta",1,))))))</f>
        <v/>
      </c>
      <c r="J66" s="309"/>
      <c r="K66" s="295">
        <f>IF(NOT(ISERROR(MATCH(J66,'Tabla Impacto'!$B$221:$B$223,0))),'Tabla Impacto'!$F$223&amp;"Por favor no seleccionar los criterios de impacto(Afectación Económica o presupuestal y Pérdida Reputacional)",J66)</f>
        <v>0</v>
      </c>
      <c r="L66" s="292" t="str">
        <f>IF(OR(K66='Tabla Impacto'!$C$11,K66='Tabla Impacto'!$D$11),"Leve",IF(OR(K66='Tabla Impacto'!$C$12,K66='Tabla Impacto'!$D$12),"Menor",IF(OR(K66='Tabla Impacto'!$C$13,K66='Tabla Impacto'!$D$13),"Moderado",IF(OR(K66='Tabla Impacto'!$C$14,K66='Tabla Impacto'!$D$14),"Mayor",IF(OR(K66='Tabla Impacto'!$C$15,K66='Tabla Impacto'!$D$15),"Catastrófico","")))))</f>
        <v/>
      </c>
      <c r="M66" s="295" t="str">
        <f>IF(L66="","",IF(L66="Leve",0.2,IF(L66="Menor",0.4,IF(L66="Moderado",0.6,IF(L66="Mayor",0.8,IF(L66="Catastrófico",1,))))))</f>
        <v/>
      </c>
      <c r="N66" s="312"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1"/>
      <c r="Q66" s="164"/>
      <c r="R66" s="171"/>
      <c r="S66" s="171"/>
      <c r="T66" s="172" t="str">
        <f>IF(AND(R66="Preventivo",S66="Automático"),"50%",IF(AND(R66="Preventivo",S66="Manual"),"40%",IF(AND(R66="Detectivo",S66="Automático"),"40%",IF(AND(R66="Detectivo",S66="Manual"),"30%",IF(AND(R66="Correctivo",S66="Automático"),"35%",IF(AND(R66="Correctivo",S66="Manual"),"25%",""))))))</f>
        <v/>
      </c>
      <c r="U66" s="171"/>
      <c r="V66" s="171"/>
      <c r="W66" s="171"/>
      <c r="X66" s="161" t="str">
        <f>IFERROR(IF(Q66="Probabilidad",(I66-(+I66*T66)),IF(Q66="Impacto",I66,"")),"")</f>
        <v/>
      </c>
      <c r="Y66" s="173" t="str">
        <f>IFERROR(IF(X66="","",IF(X66&lt;=0.2,"Muy Baja",IF(X66&lt;=0.4,"Baja",IF(X66&lt;=0.6,"Media",IF(X66&lt;=0.8,"Alta","Muy Alta"))))),"")</f>
        <v/>
      </c>
      <c r="Z66" s="174" t="str">
        <f>+X66</f>
        <v/>
      </c>
      <c r="AA66" s="173" t="str">
        <f>IFERROR(IF(AB66="","",IF(AB66&lt;=0.2,"Leve",IF(AB66&lt;=0.4,"Menor",IF(AB66&lt;=0.6,"Moderado",IF(AB66&lt;=0.8,"Mayor","Catastrófico"))))),"")</f>
        <v/>
      </c>
      <c r="AB66" s="174" t="str">
        <f>IFERROR(IF(Q66="Impacto",(M66-(+M66*T66)),IF(Q66="Probabilidad",M66,"")),"")</f>
        <v/>
      </c>
      <c r="AC66" s="175"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6"/>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281"/>
      <c r="B67" s="284"/>
      <c r="C67" s="284"/>
      <c r="D67" s="284"/>
      <c r="E67" s="287"/>
      <c r="F67" s="284"/>
      <c r="G67" s="290"/>
      <c r="H67" s="293"/>
      <c r="I67" s="296"/>
      <c r="J67" s="310"/>
      <c r="K67" s="296">
        <f>IF(NOT(ISERROR(MATCH(J67,_xlfn.ANCHORARRAY(E78),0))),I80&amp;"Por favor no seleccionar los criterios de impacto",J67)</f>
        <v>0</v>
      </c>
      <c r="L67" s="293"/>
      <c r="M67" s="296"/>
      <c r="N67" s="313"/>
      <c r="O67" s="106">
        <v>2</v>
      </c>
      <c r="P67" s="181"/>
      <c r="Q67" s="107" t="str">
        <f>IF(OR(R67="Preventivo",R67="Detectivo"),"Probabilidad",IF(R67="Correctivo","Impacto",""))</f>
        <v/>
      </c>
      <c r="R67" s="108"/>
      <c r="S67" s="108"/>
      <c r="T67" s="109" t="str">
        <f t="shared" ref="T67:T71" si="64">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5">+X67</f>
        <v/>
      </c>
      <c r="AA67" s="111" t="str">
        <f t="shared" si="3"/>
        <v/>
      </c>
      <c r="AB67" s="112" t="str">
        <f>IFERROR(IF(AND(Q66="Impacto",Q67="Impacto"),(AB66-(+AB66*T67)),IF(Q67="Impacto",(M66-(+M66*T67)),IF(Q67="Probabilidad",AB66,""))),"")</f>
        <v/>
      </c>
      <c r="AC67" s="113"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x14ac:dyDescent="0.3">
      <c r="A68" s="281"/>
      <c r="B68" s="284"/>
      <c r="C68" s="284"/>
      <c r="D68" s="284"/>
      <c r="E68" s="287"/>
      <c r="F68" s="284"/>
      <c r="G68" s="290"/>
      <c r="H68" s="293"/>
      <c r="I68" s="296"/>
      <c r="J68" s="310"/>
      <c r="K68" s="296">
        <f>IF(NOT(ISERROR(MATCH(J68,_xlfn.ANCHORARRAY(E79),0))),I81&amp;"Por favor no seleccionar los criterios de impacto",J68)</f>
        <v>0</v>
      </c>
      <c r="L68" s="293"/>
      <c r="M68" s="296"/>
      <c r="N68" s="313"/>
      <c r="O68" s="106">
        <v>3</v>
      </c>
      <c r="P68" s="182"/>
      <c r="Q68" s="107" t="str">
        <f>IF(OR(R68="Preventivo",R68="Detectivo"),"Probabilidad",IF(R68="Correctivo","Impacto",""))</f>
        <v/>
      </c>
      <c r="R68" s="108"/>
      <c r="S68" s="108"/>
      <c r="T68" s="109" t="str">
        <f t="shared" si="64"/>
        <v/>
      </c>
      <c r="U68" s="108"/>
      <c r="V68" s="108"/>
      <c r="W68" s="108"/>
      <c r="X68" s="110" t="str">
        <f>IFERROR(IF(AND(Q67="Probabilidad",Q68="Probabilidad"),(Z67-(+Z67*T68)),IF(AND(Q67="Impacto",Q68="Probabilidad"),(Z66-(+Z66*T68)),IF(Q68="Impacto",Z67,""))),"")</f>
        <v/>
      </c>
      <c r="Y68" s="111" t="str">
        <f t="shared" si="1"/>
        <v/>
      </c>
      <c r="Z68" s="112" t="str">
        <f t="shared" si="65"/>
        <v/>
      </c>
      <c r="AA68" s="111" t="str">
        <f t="shared" si="3"/>
        <v/>
      </c>
      <c r="AB68" s="112" t="str">
        <f>IFERROR(IF(AND(Q67="Impacto",Q68="Impacto"),(AB67-(+AB67*T68)),IF(AND(Q67="Probabilidad",Q68="Impacto"),(AB66-(+AB66*T68)),IF(Q68="Probabilidad",AB67,""))),"")</f>
        <v/>
      </c>
      <c r="AC68" s="113" t="str">
        <f t="shared" si="66"/>
        <v/>
      </c>
      <c r="AD68" s="114"/>
      <c r="AE68" s="115"/>
      <c r="AF68" s="116"/>
      <c r="AG68" s="117"/>
      <c r="AH68" s="117"/>
      <c r="AI68" s="117"/>
      <c r="AJ68" s="115"/>
      <c r="AK68" s="116"/>
    </row>
    <row r="69" spans="1:69" ht="18" hidden="1" customHeight="1" x14ac:dyDescent="0.3">
      <c r="A69" s="281"/>
      <c r="B69" s="284"/>
      <c r="C69" s="284"/>
      <c r="D69" s="284"/>
      <c r="E69" s="287"/>
      <c r="F69" s="284"/>
      <c r="G69" s="290"/>
      <c r="H69" s="293"/>
      <c r="I69" s="296"/>
      <c r="J69" s="310"/>
      <c r="K69" s="296">
        <f>IF(NOT(ISERROR(MATCH(J69,_xlfn.ANCHORARRAY(E80),0))),I82&amp;"Por favor no seleccionar los criterios de impacto",J69)</f>
        <v>0</v>
      </c>
      <c r="L69" s="293"/>
      <c r="M69" s="296"/>
      <c r="N69" s="313"/>
      <c r="O69" s="106">
        <v>4</v>
      </c>
      <c r="P69" s="181"/>
      <c r="Q69" s="107" t="str">
        <f t="shared" ref="Q69:Q71" si="67">IF(OR(R69="Preventivo",R69="Detectivo"),"Probabilidad",IF(R69="Correctivo","Impacto",""))</f>
        <v/>
      </c>
      <c r="R69" s="108"/>
      <c r="S69" s="108"/>
      <c r="T69" s="109" t="str">
        <f t="shared" si="64"/>
        <v/>
      </c>
      <c r="U69" s="108"/>
      <c r="V69" s="108"/>
      <c r="W69" s="108"/>
      <c r="X69" s="110" t="str">
        <f t="shared" ref="X69:X70" si="68">IFERROR(IF(AND(Q68="Probabilidad",Q69="Probabilidad"),(Z68-(+Z68*T69)),IF(AND(Q68="Impacto",Q69="Probabilidad"),(Z67-(+Z67*T69)),IF(Q69="Impacto",Z68,""))),"")</f>
        <v/>
      </c>
      <c r="Y69" s="111" t="str">
        <f t="shared" si="1"/>
        <v/>
      </c>
      <c r="Z69" s="112" t="str">
        <f t="shared" si="65"/>
        <v/>
      </c>
      <c r="AA69" s="111" t="str">
        <f t="shared" si="3"/>
        <v/>
      </c>
      <c r="AB69" s="112" t="str">
        <f t="shared" ref="AB69:AB70" si="69">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x14ac:dyDescent="0.3">
      <c r="A70" s="281"/>
      <c r="B70" s="284"/>
      <c r="C70" s="284"/>
      <c r="D70" s="284"/>
      <c r="E70" s="287"/>
      <c r="F70" s="284"/>
      <c r="G70" s="290"/>
      <c r="H70" s="293"/>
      <c r="I70" s="296"/>
      <c r="J70" s="310"/>
      <c r="K70" s="296">
        <f>IF(NOT(ISERROR(MATCH(J70,_xlfn.ANCHORARRAY(E81),0))),I83&amp;"Por favor no seleccionar los criterios de impacto",J70)</f>
        <v>0</v>
      </c>
      <c r="L70" s="293"/>
      <c r="M70" s="296"/>
      <c r="N70" s="313"/>
      <c r="O70" s="106">
        <v>5</v>
      </c>
      <c r="P70" s="181"/>
      <c r="Q70" s="107" t="str">
        <f t="shared" si="67"/>
        <v/>
      </c>
      <c r="R70" s="108"/>
      <c r="S70" s="108"/>
      <c r="T70" s="109" t="str">
        <f t="shared" si="64"/>
        <v/>
      </c>
      <c r="U70" s="108"/>
      <c r="V70" s="108"/>
      <c r="W70" s="108"/>
      <c r="X70" s="110" t="str">
        <f t="shared" si="68"/>
        <v/>
      </c>
      <c r="Y70" s="111" t="str">
        <f t="shared" si="1"/>
        <v/>
      </c>
      <c r="Z70" s="112" t="str">
        <f t="shared" si="65"/>
        <v/>
      </c>
      <c r="AA70" s="111" t="str">
        <f t="shared" si="3"/>
        <v/>
      </c>
      <c r="AB70" s="112" t="str">
        <f t="shared" si="69"/>
        <v/>
      </c>
      <c r="AC70" s="113"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x14ac:dyDescent="0.3">
      <c r="A71" s="282"/>
      <c r="B71" s="285"/>
      <c r="C71" s="285"/>
      <c r="D71" s="285"/>
      <c r="E71" s="288"/>
      <c r="F71" s="285"/>
      <c r="G71" s="291"/>
      <c r="H71" s="294"/>
      <c r="I71" s="297"/>
      <c r="J71" s="311"/>
      <c r="K71" s="297">
        <f>IF(NOT(ISERROR(MATCH(J71,_xlfn.ANCHORARRAY(E82),0))),I84&amp;"Por favor no seleccionar los criterios de impacto",J71)</f>
        <v>0</v>
      </c>
      <c r="L71" s="294"/>
      <c r="M71" s="297"/>
      <c r="N71" s="314"/>
      <c r="O71" s="106">
        <v>6</v>
      </c>
      <c r="P71" s="181"/>
      <c r="Q71" s="107" t="str">
        <f t="shared" si="67"/>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70"/>
        <v/>
      </c>
      <c r="AD71" s="114"/>
      <c r="AE71" s="115"/>
      <c r="AF71" s="116"/>
      <c r="AG71" s="117"/>
      <c r="AH71" s="117"/>
      <c r="AI71" s="117"/>
      <c r="AJ71" s="115"/>
      <c r="AK71" s="116"/>
    </row>
    <row r="72" spans="1:69" ht="34.5" customHeight="1" x14ac:dyDescent="0.3">
      <c r="A72" s="6"/>
      <c r="B72" s="339" t="s">
        <v>176</v>
      </c>
      <c r="C72" s="340"/>
      <c r="D72" s="340"/>
      <c r="E72" s="340"/>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1"/>
    </row>
    <row r="74" spans="1:69" x14ac:dyDescent="0.3">
      <c r="A74" s="1"/>
      <c r="B74" s="24" t="s">
        <v>177</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R12:R71</xm:sqref>
        </x14:dataValidation>
        <x14:dataValidation type="list" allowBlank="1" showInputMessage="1" showErrorMessage="1" xr:uid="{00000000-0002-0000-0200-000002000000}">
          <x14:formula1>
            <xm:f>'Tabla Valoración controles'!$D$7:$D$8</xm:f>
          </x14:formula1>
          <xm:sqref>S12:S71</xm:sqref>
        </x14:dataValidation>
        <x14:dataValidation type="list" allowBlank="1" showInputMessage="1" showErrorMessage="1" xr:uid="{00000000-0002-0000-0200-000003000000}">
          <x14:formula1>
            <xm:f>'Tabla Valoración controles'!$D$9:$D$10</xm:f>
          </x14:formula1>
          <xm:sqref>U12:U71</xm:sqref>
        </x14:dataValidation>
        <x14:dataValidation type="list" allowBlank="1" showInputMessage="1" showErrorMessage="1" xr:uid="{00000000-0002-0000-0200-000004000000}">
          <x14:formula1>
            <xm:f>'Tabla Valoración controles'!$D$11:$D$12</xm:f>
          </x14:formula1>
          <xm:sqref>V12:V71</xm:sqref>
        </x14:dataValidation>
        <x14:dataValidation type="list" allowBlank="1" showInputMessage="1" showErrorMessage="1" xr:uid="{00000000-0002-0000-0200-000005000000}">
          <x14:formula1>
            <xm:f>'Tabla Valoración controles'!$D$13:$D$14</xm:f>
          </x14:formula1>
          <xm:sqref>W12:W71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AE12:AE17 AE20:AE23 AE26:AE29 AE31:AE71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AF12:AF17 AF20:AF23 AF25:AF29 AF31:AF71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AG31:AG71 AG12:AG17 AG20:AG23 AG26:AG29 AH12:AH71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 type="custom" allowBlank="1" showInputMessage="1" showErrorMessage="1" error="Recuerde que las acciones se generan bajo la medida de mitigar el riesgo" xr:uid="{00000000-0002-0000-0200-00000F000000}">
          <x14:formula1>
            <xm:f>IF(OR(AD18='C:\Users\Danna\Desktop\Marggy 2020\Marggy no borrar\OFICINA DE PLANEACION ALCALDIA DE BGA\Año_2021\MAPA DE RIESGOS\Cambio de Formato riesgos de Gestión\[MAPA DE RIESGOS DE GESTION 2021 - HACIENDA V2.xlsx]Opciones Tratamiento'!#REF!,AD18='C:\Users\Danna\Desktop\Marggy 2020\Marggy no borrar\OFICINA DE PLANEACION ALCALDIA DE BGA\Año_2021\MAPA DE RIESGOS\Cambio de Formato riesgos de Gestión\[MAPA DE RIESGOS DE GESTION 2021 - HACIENDA V2.xlsx]Opciones Tratamiento'!#REF!,AD18='C:\Users\Danna\Desktop\Marggy 2020\Marggy no borrar\OFICINA DE PLANEACION ALCALDIA DE BGA\Año_2021\MAPA DE RIESGOS\Cambio de Formato riesgos de Gestión\[MAPA DE RIESGOS DE GESTION 2021 - HACIENDA V2.xlsx]Opciones Tratamiento'!#REF!),ISBLANK(AD18),ISTEXT(AD18))</xm:f>
          </x14:formula1>
          <xm:sqref>AG18:AG19 AG24:AG25 AG30</xm:sqref>
        </x14:dataValidation>
        <x14:dataValidation type="custom" allowBlank="1" showInputMessage="1" showErrorMessage="1" error="Recuerde que las acciones se generan bajo la medida de mitigar el riesgo" xr:uid="{00000000-0002-0000-0200-000010000000}">
          <x14:formula1>
            <xm:f>IF(OR(AD18='C:\Users\Danna\Desktop\Marggy 2020\Marggy no borrar\OFICINA DE PLANEACION ALCALDIA DE BGA\Año_2021\MAPA DE RIESGOS\Cambio de Formato riesgos de Gestión\[MAPA DE RIESGOS DE GESTION 2021 - HACIENDA V2.xlsx]Opciones Tratamiento'!#REF!,AD18='C:\Users\Danna\Desktop\Marggy 2020\Marggy no borrar\OFICINA DE PLANEACION ALCALDIA DE BGA\Año_2021\MAPA DE RIESGOS\Cambio de Formato riesgos de Gestión\[MAPA DE RIESGOS DE GESTION 2021 - HACIENDA V2.xlsx]Opciones Tratamiento'!#REF!,AD18='C:\Users\Danna\Desktop\Marggy 2020\Marggy no borrar\OFICINA DE PLANEACION ALCALDIA DE BGA\Año_2021\MAPA DE RIESGOS\Cambio de Formato riesgos de Gestión\[MAPA DE RIESGOS DE GESTION 2021 - HACIENDA V2.xlsx]Opciones Tratamiento'!#REF!),ISBLANK(AD18),ISTEXT(AD18))</xm:f>
          </x14:formula1>
          <xm:sqref>AF18:AF19 AF30 AF24</xm:sqref>
        </x14:dataValidation>
        <x14:dataValidation type="custom" allowBlank="1" showInputMessage="1" showErrorMessage="1" error="Recuerde que las acciones se generan bajo la medida de mitigar el riesgo" xr:uid="{00000000-0002-0000-0200-000011000000}">
          <x14:formula1>
            <xm:f>IF(OR(AD18='C:\Users\Danna\Desktop\Marggy 2020\Marggy no borrar\OFICINA DE PLANEACION ALCALDIA DE BGA\Año_2021\MAPA DE RIESGOS\Cambio de Formato riesgos de Gestión\[MAPA DE RIESGOS DE GESTION 2021 - HACIENDA V2.xlsx]Opciones Tratamiento'!#REF!,AD18='C:\Users\Danna\Desktop\Marggy 2020\Marggy no borrar\OFICINA DE PLANEACION ALCALDIA DE BGA\Año_2021\MAPA DE RIESGOS\Cambio de Formato riesgos de Gestión\[MAPA DE RIESGOS DE GESTION 2021 - HACIENDA V2.xlsx]Opciones Tratamiento'!#REF!,AD18='C:\Users\Danna\Desktop\Marggy 2020\Marggy no borrar\OFICINA DE PLANEACION ALCALDIA DE BGA\Año_2021\MAPA DE RIESGOS\Cambio de Formato riesgos de Gestión\[MAPA DE RIESGOS DE GESTION 2021 - HACIENDA V2.xlsx]Opciones Tratamiento'!#REF!),ISBLANK(AD18),ISTEXT(AD18))</xm:f>
          </x14:formula1>
          <xm:sqref>AE18:AE19 AE24:AE25 AE30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77" t="s">
        <v>178</v>
      </c>
      <c r="C2" s="477"/>
      <c r="D2" s="477"/>
      <c r="E2" s="477"/>
      <c r="F2" s="477"/>
      <c r="G2" s="477"/>
      <c r="H2" s="477"/>
      <c r="I2" s="477"/>
      <c r="J2" s="445" t="s">
        <v>23</v>
      </c>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77"/>
      <c r="C3" s="477"/>
      <c r="D3" s="477"/>
      <c r="E3" s="477"/>
      <c r="F3" s="477"/>
      <c r="G3" s="477"/>
      <c r="H3" s="477"/>
      <c r="I3" s="477"/>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77"/>
      <c r="C4" s="477"/>
      <c r="D4" s="477"/>
      <c r="E4" s="477"/>
      <c r="F4" s="477"/>
      <c r="G4" s="477"/>
      <c r="H4" s="477"/>
      <c r="I4" s="477"/>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45"/>
      <c r="AL4" s="445"/>
      <c r="AM4" s="44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392" t="s">
        <v>179</v>
      </c>
      <c r="C6" s="392"/>
      <c r="D6" s="393"/>
      <c r="E6" s="430" t="s">
        <v>180</v>
      </c>
      <c r="F6" s="431"/>
      <c r="G6" s="431"/>
      <c r="H6" s="431"/>
      <c r="I6" s="432"/>
      <c r="J6" s="441" t="str">
        <f>IF(AND('Mapa de Riesgos'!$H$12="Muy Alta",'Mapa de Riesgos'!$L$12="Leve"),CONCATENATE("R",'Mapa de Riesgos'!$A$12),"")</f>
        <v/>
      </c>
      <c r="K6" s="442"/>
      <c r="L6" s="442" t="str">
        <f>IF(AND('Mapa de Riesgos'!$H$18="Muy Alta",'Mapa de Riesgos'!$L$18="Leve"),CONCATENATE("R",'Mapa de Riesgos'!$A$18),"")</f>
        <v/>
      </c>
      <c r="M6" s="442"/>
      <c r="N6" s="442" t="str">
        <f>IF(AND('Mapa de Riesgos'!$H$24="Muy Alta",'Mapa de Riesgos'!$L$24="Leve"),CONCATENATE("R",'Mapa de Riesgos'!$A$24),"")</f>
        <v/>
      </c>
      <c r="O6" s="444"/>
      <c r="P6" s="441" t="str">
        <f>IF(AND('Mapa de Riesgos'!$H$12="Muy Alta",'Mapa de Riesgos'!$L$12="Menor"),CONCATENATE("R",'Mapa de Riesgos'!$A$12),"")</f>
        <v/>
      </c>
      <c r="Q6" s="442"/>
      <c r="R6" s="442" t="str">
        <f>IF(AND('Mapa de Riesgos'!$H$18="Muy Alta",'Mapa de Riesgos'!$L$18="Menor"),CONCATENATE("R",'Mapa de Riesgos'!$A$18),"")</f>
        <v/>
      </c>
      <c r="S6" s="442"/>
      <c r="T6" s="442" t="str">
        <f>IF(AND('Mapa de Riesgos'!$H$24="Muy Alta",'Mapa de Riesgos'!$L$24="Menor"),CONCATENATE("R",'Mapa de Riesgos'!$A$24),"")</f>
        <v/>
      </c>
      <c r="U6" s="444"/>
      <c r="V6" s="441" t="str">
        <f>IF(AND('Mapa de Riesgos'!$H$12="Muy Alta",'Mapa de Riesgos'!$L$12="Moderado"),CONCATENATE("R",'Mapa de Riesgos'!$A$12),"")</f>
        <v/>
      </c>
      <c r="W6" s="442"/>
      <c r="X6" s="442" t="str">
        <f>IF(AND('Mapa de Riesgos'!$H$18="Muy Alta",'Mapa de Riesgos'!$L$18="Moderado"),CONCATENATE("R",'Mapa de Riesgos'!$A$18),"")</f>
        <v/>
      </c>
      <c r="Y6" s="442"/>
      <c r="Z6" s="442" t="str">
        <f>IF(AND('Mapa de Riesgos'!$H$24="Muy Alta",'Mapa de Riesgos'!$L$24="Moderado"),CONCATENATE("R",'Mapa de Riesgos'!$A$24),"")</f>
        <v/>
      </c>
      <c r="AA6" s="444"/>
      <c r="AB6" s="441" t="str">
        <f>IF(AND('Mapa de Riesgos'!$H$12="Muy Alta",'Mapa de Riesgos'!$L$12="Mayor"),CONCATENATE("R",'Mapa de Riesgos'!$A$12),"")</f>
        <v/>
      </c>
      <c r="AC6" s="442"/>
      <c r="AD6" s="442" t="str">
        <f>IF(AND('Mapa de Riesgos'!$H$18="Muy Alta",'Mapa de Riesgos'!$L$18="Mayor"),CONCATENATE("R",'Mapa de Riesgos'!$A$18),"")</f>
        <v/>
      </c>
      <c r="AE6" s="442"/>
      <c r="AF6" s="442" t="str">
        <f>IF(AND('Mapa de Riesgos'!$H$24="Muy Alta",'Mapa de Riesgos'!$L$24="Mayor"),CONCATENATE("R",'Mapa de Riesgos'!$A$24),"")</f>
        <v/>
      </c>
      <c r="AG6" s="444"/>
      <c r="AH6" s="456" t="str">
        <f>IF(AND('Mapa de Riesgos'!$H$12="Muy Alta",'Mapa de Riesgos'!$L$12="Catastrófico"),CONCATENATE("R",'Mapa de Riesgos'!$A$12),"")</f>
        <v/>
      </c>
      <c r="AI6" s="457"/>
      <c r="AJ6" s="457" t="str">
        <f>IF(AND('Mapa de Riesgos'!$H$18="Muy Alta",'Mapa de Riesgos'!$L$18="Catastrófico"),CONCATENATE("R",'Mapa de Riesgos'!$A$18),"")</f>
        <v/>
      </c>
      <c r="AK6" s="457"/>
      <c r="AL6" s="457" t="str">
        <f>IF(AND('Mapa de Riesgos'!$H$24="Muy Alta",'Mapa de Riesgos'!$L$24="Catastrófico"),CONCATENATE("R",'Mapa de Riesgos'!$A$24),"")</f>
        <v/>
      </c>
      <c r="AM6" s="458"/>
      <c r="AO6" s="394" t="s">
        <v>181</v>
      </c>
      <c r="AP6" s="395"/>
      <c r="AQ6" s="395"/>
      <c r="AR6" s="395"/>
      <c r="AS6" s="395"/>
      <c r="AT6" s="39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392"/>
      <c r="C7" s="392"/>
      <c r="D7" s="393"/>
      <c r="E7" s="433"/>
      <c r="F7" s="434"/>
      <c r="G7" s="434"/>
      <c r="H7" s="434"/>
      <c r="I7" s="435"/>
      <c r="J7" s="443"/>
      <c r="K7" s="439"/>
      <c r="L7" s="439"/>
      <c r="M7" s="439"/>
      <c r="N7" s="439"/>
      <c r="O7" s="440"/>
      <c r="P7" s="443"/>
      <c r="Q7" s="439"/>
      <c r="R7" s="439"/>
      <c r="S7" s="439"/>
      <c r="T7" s="439"/>
      <c r="U7" s="440"/>
      <c r="V7" s="443"/>
      <c r="W7" s="439"/>
      <c r="X7" s="439"/>
      <c r="Y7" s="439"/>
      <c r="Z7" s="439"/>
      <c r="AA7" s="440"/>
      <c r="AB7" s="443"/>
      <c r="AC7" s="439"/>
      <c r="AD7" s="439"/>
      <c r="AE7" s="439"/>
      <c r="AF7" s="439"/>
      <c r="AG7" s="440"/>
      <c r="AH7" s="450"/>
      <c r="AI7" s="451"/>
      <c r="AJ7" s="451"/>
      <c r="AK7" s="451"/>
      <c r="AL7" s="451"/>
      <c r="AM7" s="452"/>
      <c r="AN7" s="83"/>
      <c r="AO7" s="397"/>
      <c r="AP7" s="398"/>
      <c r="AQ7" s="398"/>
      <c r="AR7" s="398"/>
      <c r="AS7" s="398"/>
      <c r="AT7" s="39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392"/>
      <c r="C8" s="392"/>
      <c r="D8" s="393"/>
      <c r="E8" s="433"/>
      <c r="F8" s="434"/>
      <c r="G8" s="434"/>
      <c r="H8" s="434"/>
      <c r="I8" s="435"/>
      <c r="J8" s="443" t="str">
        <f>IF(AND('Mapa de Riesgos'!$H$30="Muy Alta",'Mapa de Riesgos'!$L$30="Leve"),CONCATENATE("R",'Mapa de Riesgos'!$A$30),"")</f>
        <v/>
      </c>
      <c r="K8" s="439"/>
      <c r="L8" s="439" t="str">
        <f>IF(AND('Mapa de Riesgos'!$H$36="Muy Alta",'Mapa de Riesgos'!$L$36="Leve"),CONCATENATE("R",'Mapa de Riesgos'!$A$36),"")</f>
        <v/>
      </c>
      <c r="M8" s="439"/>
      <c r="N8" s="439" t="str">
        <f>IF(AND('Mapa de Riesgos'!$H$42="Muy Alta",'Mapa de Riesgos'!$L$42="Leve"),CONCATENATE("R",'Mapa de Riesgos'!$A$42),"")</f>
        <v/>
      </c>
      <c r="O8" s="440"/>
      <c r="P8" s="443" t="str">
        <f>IF(AND('Mapa de Riesgos'!$H$30="Muy Alta",'Mapa de Riesgos'!$L$30="Menor"),CONCATENATE("R",'Mapa de Riesgos'!$A$30),"")</f>
        <v/>
      </c>
      <c r="Q8" s="439"/>
      <c r="R8" s="439" t="str">
        <f>IF(AND('Mapa de Riesgos'!$H$36="Muy Alta",'Mapa de Riesgos'!$L$36="Menor"),CONCATENATE("R",'Mapa de Riesgos'!$A$36),"")</f>
        <v/>
      </c>
      <c r="S8" s="439"/>
      <c r="T8" s="439" t="str">
        <f>IF(AND('Mapa de Riesgos'!$H$42="Muy Alta",'Mapa de Riesgos'!$L$42="Menor"),CONCATENATE("R",'Mapa de Riesgos'!$A$42),"")</f>
        <v/>
      </c>
      <c r="U8" s="440"/>
      <c r="V8" s="443" t="str">
        <f>IF(AND('Mapa de Riesgos'!$H$30="Muy Alta",'Mapa de Riesgos'!$L$30="Moderado"),CONCATENATE("R",'Mapa de Riesgos'!$A$30),"")</f>
        <v/>
      </c>
      <c r="W8" s="439"/>
      <c r="X8" s="439" t="str">
        <f>IF(AND('Mapa de Riesgos'!$H$36="Muy Alta",'Mapa de Riesgos'!$L$36="Moderado"),CONCATENATE("R",'Mapa de Riesgos'!$A$36),"")</f>
        <v/>
      </c>
      <c r="Y8" s="439"/>
      <c r="Z8" s="439" t="str">
        <f>IF(AND('Mapa de Riesgos'!$H$42="Muy Alta",'Mapa de Riesgos'!$L$42="Moderado"),CONCATENATE("R",'Mapa de Riesgos'!$A$42),"")</f>
        <v/>
      </c>
      <c r="AA8" s="440"/>
      <c r="AB8" s="443" t="str">
        <f>IF(AND('Mapa de Riesgos'!$H$30="Muy Alta",'Mapa de Riesgos'!$L$30="Mayor"),CONCATENATE("R",'Mapa de Riesgos'!$A$30),"")</f>
        <v/>
      </c>
      <c r="AC8" s="439"/>
      <c r="AD8" s="439" t="str">
        <f>IF(AND('Mapa de Riesgos'!$H$36="Muy Alta",'Mapa de Riesgos'!$L$36="Mayor"),CONCATENATE("R",'Mapa de Riesgos'!$A$36),"")</f>
        <v/>
      </c>
      <c r="AE8" s="439"/>
      <c r="AF8" s="439" t="str">
        <f>IF(AND('Mapa de Riesgos'!$H$42="Muy Alta",'Mapa de Riesgos'!$L$42="Mayor"),CONCATENATE("R",'Mapa de Riesgos'!$A$42),"")</f>
        <v/>
      </c>
      <c r="AG8" s="440"/>
      <c r="AH8" s="450" t="str">
        <f>IF(AND('Mapa de Riesgos'!$H$30="Muy Alta",'Mapa de Riesgos'!$L$30="Catastrófico"),CONCATENATE("R",'Mapa de Riesgos'!$A$30),"")</f>
        <v/>
      </c>
      <c r="AI8" s="451"/>
      <c r="AJ8" s="451" t="str">
        <f>IF(AND('Mapa de Riesgos'!$H$36="Muy Alta",'Mapa de Riesgos'!$L$36="Catastrófico"),CONCATENATE("R",'Mapa de Riesgos'!$A$36),"")</f>
        <v/>
      </c>
      <c r="AK8" s="451"/>
      <c r="AL8" s="451" t="str">
        <f>IF(AND('Mapa de Riesgos'!$H$42="Muy Alta",'Mapa de Riesgos'!$L$42="Catastrófico"),CONCATENATE("R",'Mapa de Riesgos'!$A$42),"")</f>
        <v/>
      </c>
      <c r="AM8" s="452"/>
      <c r="AN8" s="83"/>
      <c r="AO8" s="397"/>
      <c r="AP8" s="398"/>
      <c r="AQ8" s="398"/>
      <c r="AR8" s="398"/>
      <c r="AS8" s="398"/>
      <c r="AT8" s="39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392"/>
      <c r="C9" s="392"/>
      <c r="D9" s="393"/>
      <c r="E9" s="433"/>
      <c r="F9" s="434"/>
      <c r="G9" s="434"/>
      <c r="H9" s="434"/>
      <c r="I9" s="435"/>
      <c r="J9" s="443"/>
      <c r="K9" s="439"/>
      <c r="L9" s="439"/>
      <c r="M9" s="439"/>
      <c r="N9" s="439"/>
      <c r="O9" s="440"/>
      <c r="P9" s="443"/>
      <c r="Q9" s="439"/>
      <c r="R9" s="439"/>
      <c r="S9" s="439"/>
      <c r="T9" s="439"/>
      <c r="U9" s="440"/>
      <c r="V9" s="443"/>
      <c r="W9" s="439"/>
      <c r="X9" s="439"/>
      <c r="Y9" s="439"/>
      <c r="Z9" s="439"/>
      <c r="AA9" s="440"/>
      <c r="AB9" s="443"/>
      <c r="AC9" s="439"/>
      <c r="AD9" s="439"/>
      <c r="AE9" s="439"/>
      <c r="AF9" s="439"/>
      <c r="AG9" s="440"/>
      <c r="AH9" s="450"/>
      <c r="AI9" s="451"/>
      <c r="AJ9" s="451"/>
      <c r="AK9" s="451"/>
      <c r="AL9" s="451"/>
      <c r="AM9" s="452"/>
      <c r="AN9" s="83"/>
      <c r="AO9" s="397"/>
      <c r="AP9" s="398"/>
      <c r="AQ9" s="398"/>
      <c r="AR9" s="398"/>
      <c r="AS9" s="398"/>
      <c r="AT9" s="39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392"/>
      <c r="C10" s="392"/>
      <c r="D10" s="393"/>
      <c r="E10" s="433"/>
      <c r="F10" s="434"/>
      <c r="G10" s="434"/>
      <c r="H10" s="434"/>
      <c r="I10" s="435"/>
      <c r="J10" s="443" t="str">
        <f>IF(AND('Mapa de Riesgos'!$H$48="Muy Alta",'Mapa de Riesgos'!$L$48="Leve"),CONCATENATE("R",'Mapa de Riesgos'!$A$48),"")</f>
        <v/>
      </c>
      <c r="K10" s="439"/>
      <c r="L10" s="439" t="str">
        <f>IF(AND('Mapa de Riesgos'!$H$54="Muy Alta",'Mapa de Riesgos'!$L$54="Leve"),CONCATENATE("R",'Mapa de Riesgos'!$A$54),"")</f>
        <v/>
      </c>
      <c r="M10" s="439"/>
      <c r="N10" s="439" t="str">
        <f>IF(AND('Mapa de Riesgos'!$H$60="Muy Alta",'Mapa de Riesgos'!$L$60="Leve"),CONCATENATE("R",'Mapa de Riesgos'!$A$60),"")</f>
        <v/>
      </c>
      <c r="O10" s="440"/>
      <c r="P10" s="443" t="str">
        <f>IF(AND('Mapa de Riesgos'!$H$48="Muy Alta",'Mapa de Riesgos'!$L$48="Menor"),CONCATENATE("R",'Mapa de Riesgos'!$A$48),"")</f>
        <v/>
      </c>
      <c r="Q10" s="439"/>
      <c r="R10" s="439" t="str">
        <f>IF(AND('Mapa de Riesgos'!$H$54="Muy Alta",'Mapa de Riesgos'!$L$54="Menor"),CONCATENATE("R",'Mapa de Riesgos'!$A$54),"")</f>
        <v/>
      </c>
      <c r="S10" s="439"/>
      <c r="T10" s="439" t="str">
        <f>IF(AND('Mapa de Riesgos'!$H$60="Muy Alta",'Mapa de Riesgos'!$L$60="Menor"),CONCATENATE("R",'Mapa de Riesgos'!$A$60),"")</f>
        <v/>
      </c>
      <c r="U10" s="440"/>
      <c r="V10" s="443" t="str">
        <f>IF(AND('Mapa de Riesgos'!$H$48="Muy Alta",'Mapa de Riesgos'!$L$48="Moderado"),CONCATENATE("R",'Mapa de Riesgos'!$A$48),"")</f>
        <v/>
      </c>
      <c r="W10" s="439"/>
      <c r="X10" s="439" t="str">
        <f>IF(AND('Mapa de Riesgos'!$H$54="Muy Alta",'Mapa de Riesgos'!$L$54="Moderado"),CONCATENATE("R",'Mapa de Riesgos'!$A$54),"")</f>
        <v/>
      </c>
      <c r="Y10" s="439"/>
      <c r="Z10" s="439" t="str">
        <f>IF(AND('Mapa de Riesgos'!$H$60="Muy Alta",'Mapa de Riesgos'!$L$60="Moderado"),CONCATENATE("R",'Mapa de Riesgos'!$A$60),"")</f>
        <v/>
      </c>
      <c r="AA10" s="440"/>
      <c r="AB10" s="443" t="str">
        <f>IF(AND('Mapa de Riesgos'!$H$48="Muy Alta",'Mapa de Riesgos'!$L$48="Mayor"),CONCATENATE("R",'Mapa de Riesgos'!$A$48),"")</f>
        <v/>
      </c>
      <c r="AC10" s="439"/>
      <c r="AD10" s="439" t="str">
        <f>IF(AND('Mapa de Riesgos'!$H$54="Muy Alta",'Mapa de Riesgos'!$L$54="Mayor"),CONCATENATE("R",'Mapa de Riesgos'!$A$54),"")</f>
        <v/>
      </c>
      <c r="AE10" s="439"/>
      <c r="AF10" s="439" t="str">
        <f>IF(AND('Mapa de Riesgos'!$H$60="Muy Alta",'Mapa de Riesgos'!$L$60="Mayor"),CONCATENATE("R",'Mapa de Riesgos'!$A$60),"")</f>
        <v/>
      </c>
      <c r="AG10" s="440"/>
      <c r="AH10" s="450" t="str">
        <f>IF(AND('Mapa de Riesgos'!$H$48="Muy Alta",'Mapa de Riesgos'!$L$48="Catastrófico"),CONCATENATE("R",'Mapa de Riesgos'!$A$48),"")</f>
        <v/>
      </c>
      <c r="AI10" s="451"/>
      <c r="AJ10" s="451" t="str">
        <f>IF(AND('Mapa de Riesgos'!$H$54="Muy Alta",'Mapa de Riesgos'!$L$54="Catastrófico"),CONCATENATE("R",'Mapa de Riesgos'!$A$54),"")</f>
        <v/>
      </c>
      <c r="AK10" s="451"/>
      <c r="AL10" s="451" t="str">
        <f>IF(AND('Mapa de Riesgos'!$H$60="Muy Alta",'Mapa de Riesgos'!$L$60="Catastrófico"),CONCATENATE("R",'Mapa de Riesgos'!$A$60),"")</f>
        <v/>
      </c>
      <c r="AM10" s="452"/>
      <c r="AN10" s="83"/>
      <c r="AO10" s="397"/>
      <c r="AP10" s="398"/>
      <c r="AQ10" s="398"/>
      <c r="AR10" s="398"/>
      <c r="AS10" s="398"/>
      <c r="AT10" s="39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392"/>
      <c r="C11" s="392"/>
      <c r="D11" s="393"/>
      <c r="E11" s="433"/>
      <c r="F11" s="434"/>
      <c r="G11" s="434"/>
      <c r="H11" s="434"/>
      <c r="I11" s="435"/>
      <c r="J11" s="443"/>
      <c r="K11" s="439"/>
      <c r="L11" s="439"/>
      <c r="M11" s="439"/>
      <c r="N11" s="439"/>
      <c r="O11" s="440"/>
      <c r="P11" s="443"/>
      <c r="Q11" s="439"/>
      <c r="R11" s="439"/>
      <c r="S11" s="439"/>
      <c r="T11" s="439"/>
      <c r="U11" s="440"/>
      <c r="V11" s="443"/>
      <c r="W11" s="439"/>
      <c r="X11" s="439"/>
      <c r="Y11" s="439"/>
      <c r="Z11" s="439"/>
      <c r="AA11" s="440"/>
      <c r="AB11" s="443"/>
      <c r="AC11" s="439"/>
      <c r="AD11" s="439"/>
      <c r="AE11" s="439"/>
      <c r="AF11" s="439"/>
      <c r="AG11" s="440"/>
      <c r="AH11" s="450"/>
      <c r="AI11" s="451"/>
      <c r="AJ11" s="451"/>
      <c r="AK11" s="451"/>
      <c r="AL11" s="451"/>
      <c r="AM11" s="452"/>
      <c r="AN11" s="83"/>
      <c r="AO11" s="397"/>
      <c r="AP11" s="398"/>
      <c r="AQ11" s="398"/>
      <c r="AR11" s="398"/>
      <c r="AS11" s="398"/>
      <c r="AT11" s="39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392"/>
      <c r="C12" s="392"/>
      <c r="D12" s="393"/>
      <c r="E12" s="433"/>
      <c r="F12" s="434"/>
      <c r="G12" s="434"/>
      <c r="H12" s="434"/>
      <c r="I12" s="435"/>
      <c r="J12" s="443" t="str">
        <f>IF(AND('Mapa de Riesgos'!$H$66="Muy Alta",'Mapa de Riesgos'!$L$66="Leve"),CONCATENATE("R",'Mapa de Riesgos'!$A$66),"")</f>
        <v/>
      </c>
      <c r="K12" s="439"/>
      <c r="L12" s="439" t="str">
        <f>IF(AND('Mapa de Riesgos'!$H$72="Muy Alta",'Mapa de Riesgos'!$L$72="Leve"),CONCATENATE("R",'Mapa de Riesgos'!$A$72),"")</f>
        <v/>
      </c>
      <c r="M12" s="439"/>
      <c r="N12" s="439" t="str">
        <f>IF(AND('Mapa de Riesgos'!$H$78="Muy Alta",'Mapa de Riesgos'!$L$78="Leve"),CONCATENATE("R",'Mapa de Riesgos'!$A$78),"")</f>
        <v/>
      </c>
      <c r="O12" s="440"/>
      <c r="P12" s="443" t="str">
        <f>IF(AND('Mapa de Riesgos'!$H$66="Muy Alta",'Mapa de Riesgos'!$L$66="Menor"),CONCATENATE("R",'Mapa de Riesgos'!$A$66),"")</f>
        <v/>
      </c>
      <c r="Q12" s="439"/>
      <c r="R12" s="439" t="str">
        <f>IF(AND('Mapa de Riesgos'!$H$72="Muy Alta",'Mapa de Riesgos'!$L$72="Menor"),CONCATENATE("R",'Mapa de Riesgos'!$A$72),"")</f>
        <v/>
      </c>
      <c r="S12" s="439"/>
      <c r="T12" s="439" t="str">
        <f>IF(AND('Mapa de Riesgos'!$H$78="Muy Alta",'Mapa de Riesgos'!$L$78="Menor"),CONCATENATE("R",'Mapa de Riesgos'!$A$78),"")</f>
        <v/>
      </c>
      <c r="U12" s="440"/>
      <c r="V12" s="443" t="str">
        <f>IF(AND('Mapa de Riesgos'!$H$66="Muy Alta",'Mapa de Riesgos'!$L$66="Moderado"),CONCATENATE("R",'Mapa de Riesgos'!$A$66),"")</f>
        <v/>
      </c>
      <c r="W12" s="439"/>
      <c r="X12" s="439" t="str">
        <f>IF(AND('Mapa de Riesgos'!$H$72="Muy Alta",'Mapa de Riesgos'!$L$72="Moderado"),CONCATENATE("R",'Mapa de Riesgos'!$A$72),"")</f>
        <v/>
      </c>
      <c r="Y12" s="439"/>
      <c r="Z12" s="439" t="str">
        <f>IF(AND('Mapa de Riesgos'!$H$78="Muy Alta",'Mapa de Riesgos'!$L$78="Moderado"),CONCATENATE("R",'Mapa de Riesgos'!$A$78),"")</f>
        <v/>
      </c>
      <c r="AA12" s="440"/>
      <c r="AB12" s="443" t="str">
        <f>IF(AND('Mapa de Riesgos'!$H$66="Muy Alta",'Mapa de Riesgos'!$L$66="Mayor"),CONCATENATE("R",'Mapa de Riesgos'!$A$66),"")</f>
        <v/>
      </c>
      <c r="AC12" s="439"/>
      <c r="AD12" s="439" t="str">
        <f>IF(AND('Mapa de Riesgos'!$H$72="Muy Alta",'Mapa de Riesgos'!$L$72="Mayor"),CONCATENATE("R",'Mapa de Riesgos'!$A$72),"")</f>
        <v/>
      </c>
      <c r="AE12" s="439"/>
      <c r="AF12" s="439" t="str">
        <f>IF(AND('Mapa de Riesgos'!$H$78="Muy Alta",'Mapa de Riesgos'!$L$78="Mayor"),CONCATENATE("R",'Mapa de Riesgos'!$A$78),"")</f>
        <v/>
      </c>
      <c r="AG12" s="440"/>
      <c r="AH12" s="450" t="str">
        <f>IF(AND('Mapa de Riesgos'!$H$66="Muy Alta",'Mapa de Riesgos'!$L$66="Catastrófico"),CONCATENATE("R",'Mapa de Riesgos'!$A$66),"")</f>
        <v/>
      </c>
      <c r="AI12" s="451"/>
      <c r="AJ12" s="451" t="str">
        <f>IF(AND('Mapa de Riesgos'!$H$72="Muy Alta",'Mapa de Riesgos'!$L$72="Catastrófico"),CONCATENATE("R",'Mapa de Riesgos'!$A$72),"")</f>
        <v/>
      </c>
      <c r="AK12" s="451"/>
      <c r="AL12" s="451" t="str">
        <f>IF(AND('Mapa de Riesgos'!$H$78="Muy Alta",'Mapa de Riesgos'!$L$78="Catastrófico"),CONCATENATE("R",'Mapa de Riesgos'!$A$78),"")</f>
        <v/>
      </c>
      <c r="AM12" s="452"/>
      <c r="AN12" s="83"/>
      <c r="AO12" s="397"/>
      <c r="AP12" s="398"/>
      <c r="AQ12" s="398"/>
      <c r="AR12" s="398"/>
      <c r="AS12" s="398"/>
      <c r="AT12" s="39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392"/>
      <c r="C13" s="392"/>
      <c r="D13" s="393"/>
      <c r="E13" s="436"/>
      <c r="F13" s="437"/>
      <c r="G13" s="437"/>
      <c r="H13" s="437"/>
      <c r="I13" s="438"/>
      <c r="J13" s="443"/>
      <c r="K13" s="439"/>
      <c r="L13" s="439"/>
      <c r="M13" s="439"/>
      <c r="N13" s="439"/>
      <c r="O13" s="440"/>
      <c r="P13" s="443"/>
      <c r="Q13" s="439"/>
      <c r="R13" s="439"/>
      <c r="S13" s="439"/>
      <c r="T13" s="439"/>
      <c r="U13" s="440"/>
      <c r="V13" s="443"/>
      <c r="W13" s="439"/>
      <c r="X13" s="439"/>
      <c r="Y13" s="439"/>
      <c r="Z13" s="439"/>
      <c r="AA13" s="440"/>
      <c r="AB13" s="443"/>
      <c r="AC13" s="439"/>
      <c r="AD13" s="439"/>
      <c r="AE13" s="439"/>
      <c r="AF13" s="439"/>
      <c r="AG13" s="440"/>
      <c r="AH13" s="453"/>
      <c r="AI13" s="454"/>
      <c r="AJ13" s="454"/>
      <c r="AK13" s="454"/>
      <c r="AL13" s="454"/>
      <c r="AM13" s="455"/>
      <c r="AN13" s="83"/>
      <c r="AO13" s="400"/>
      <c r="AP13" s="401"/>
      <c r="AQ13" s="401"/>
      <c r="AR13" s="401"/>
      <c r="AS13" s="401"/>
      <c r="AT13" s="40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392"/>
      <c r="C14" s="392"/>
      <c r="D14" s="393"/>
      <c r="E14" s="430" t="s">
        <v>182</v>
      </c>
      <c r="F14" s="431"/>
      <c r="G14" s="431"/>
      <c r="H14" s="431"/>
      <c r="I14" s="431"/>
      <c r="J14" s="465" t="str">
        <f>IF(AND('Mapa de Riesgos'!$H$12="Alta",'Mapa de Riesgos'!$L$12="Leve"),CONCATENATE("R",'Mapa de Riesgos'!$A$12),"")</f>
        <v/>
      </c>
      <c r="K14" s="466"/>
      <c r="L14" s="466" t="str">
        <f>IF(AND('Mapa de Riesgos'!$H$18="Alta",'Mapa de Riesgos'!$L$18="Leve"),CONCATENATE("R",'Mapa de Riesgos'!$A$18),"")</f>
        <v/>
      </c>
      <c r="M14" s="466"/>
      <c r="N14" s="466" t="str">
        <f>IF(AND('Mapa de Riesgos'!$H$24="Alta",'Mapa de Riesgos'!$L$24="Leve"),CONCATENATE("R",'Mapa de Riesgos'!$A$24),"")</f>
        <v/>
      </c>
      <c r="O14" s="467"/>
      <c r="P14" s="465" t="str">
        <f>IF(AND('Mapa de Riesgos'!$H$12="Alta",'Mapa de Riesgos'!$L$12="Menor"),CONCATENATE("R",'Mapa de Riesgos'!$A$12),"")</f>
        <v/>
      </c>
      <c r="Q14" s="466"/>
      <c r="R14" s="466" t="str">
        <f>IF(AND('Mapa de Riesgos'!$H$18="Alta",'Mapa de Riesgos'!$L$18="Menor"),CONCATENATE("R",'Mapa de Riesgos'!$A$18),"")</f>
        <v/>
      </c>
      <c r="S14" s="466"/>
      <c r="T14" s="466" t="str">
        <f>IF(AND('Mapa de Riesgos'!$H$24="Alta",'Mapa de Riesgos'!$L$24="Menor"),CONCATENATE("R",'Mapa de Riesgos'!$A$24),"")</f>
        <v/>
      </c>
      <c r="U14" s="467"/>
      <c r="V14" s="441" t="str">
        <f>IF(AND('Mapa de Riesgos'!$H$12="Alta",'Mapa de Riesgos'!$L$12="Moderado"),CONCATENATE("R",'Mapa de Riesgos'!$A$12),"")</f>
        <v/>
      </c>
      <c r="W14" s="442"/>
      <c r="X14" s="442" t="str">
        <f>IF(AND('Mapa de Riesgos'!$H$18="Alta",'Mapa de Riesgos'!$L$18="Moderado"),CONCATENATE("R",'Mapa de Riesgos'!$A$18),"")</f>
        <v/>
      </c>
      <c r="Y14" s="442"/>
      <c r="Z14" s="442" t="str">
        <f>IF(AND('Mapa de Riesgos'!$H$24="Alta",'Mapa de Riesgos'!$L$24="Moderado"),CONCATENATE("R",'Mapa de Riesgos'!$A$24),"")</f>
        <v/>
      </c>
      <c r="AA14" s="444"/>
      <c r="AB14" s="441" t="str">
        <f>IF(AND('Mapa de Riesgos'!$H$12="Alta",'Mapa de Riesgos'!$L$12="Mayor"),CONCATENATE("R",'Mapa de Riesgos'!$A$12),"")</f>
        <v/>
      </c>
      <c r="AC14" s="442"/>
      <c r="AD14" s="442" t="str">
        <f>IF(AND('Mapa de Riesgos'!$H$18="Alta",'Mapa de Riesgos'!$L$18="Mayor"),CONCATENATE("R",'Mapa de Riesgos'!$A$18),"")</f>
        <v/>
      </c>
      <c r="AE14" s="442"/>
      <c r="AF14" s="442" t="str">
        <f>IF(AND('Mapa de Riesgos'!$H$24="Alta",'Mapa de Riesgos'!$L$24="Mayor"),CONCATENATE("R",'Mapa de Riesgos'!$A$24),"")</f>
        <v/>
      </c>
      <c r="AG14" s="444"/>
      <c r="AH14" s="456" t="str">
        <f>IF(AND('Mapa de Riesgos'!$H$12="Alta",'Mapa de Riesgos'!$L$12="Catastrófico"),CONCATENATE("R",'Mapa de Riesgos'!$A$12),"")</f>
        <v/>
      </c>
      <c r="AI14" s="457"/>
      <c r="AJ14" s="457" t="str">
        <f>IF(AND('Mapa de Riesgos'!$H$18="Alta",'Mapa de Riesgos'!$L$18="Catastrófico"),CONCATENATE("R",'Mapa de Riesgos'!$A$18),"")</f>
        <v/>
      </c>
      <c r="AK14" s="457"/>
      <c r="AL14" s="457" t="str">
        <f>IF(AND('Mapa de Riesgos'!$H$24="Alta",'Mapa de Riesgos'!$L$24="Catastrófico"),CONCATENATE("R",'Mapa de Riesgos'!$A$24),"")</f>
        <v/>
      </c>
      <c r="AM14" s="458"/>
      <c r="AN14" s="83"/>
      <c r="AO14" s="403" t="s">
        <v>183</v>
      </c>
      <c r="AP14" s="404"/>
      <c r="AQ14" s="404"/>
      <c r="AR14" s="404"/>
      <c r="AS14" s="404"/>
      <c r="AT14" s="40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392"/>
      <c r="C15" s="392"/>
      <c r="D15" s="393"/>
      <c r="E15" s="433"/>
      <c r="F15" s="434"/>
      <c r="G15" s="434"/>
      <c r="H15" s="434"/>
      <c r="I15" s="434"/>
      <c r="J15" s="459"/>
      <c r="K15" s="460"/>
      <c r="L15" s="460"/>
      <c r="M15" s="460"/>
      <c r="N15" s="460"/>
      <c r="O15" s="461"/>
      <c r="P15" s="459"/>
      <c r="Q15" s="460"/>
      <c r="R15" s="460"/>
      <c r="S15" s="460"/>
      <c r="T15" s="460"/>
      <c r="U15" s="461"/>
      <c r="V15" s="443"/>
      <c r="W15" s="439"/>
      <c r="X15" s="439"/>
      <c r="Y15" s="439"/>
      <c r="Z15" s="439"/>
      <c r="AA15" s="440"/>
      <c r="AB15" s="443"/>
      <c r="AC15" s="439"/>
      <c r="AD15" s="439"/>
      <c r="AE15" s="439"/>
      <c r="AF15" s="439"/>
      <c r="AG15" s="440"/>
      <c r="AH15" s="450"/>
      <c r="AI15" s="451"/>
      <c r="AJ15" s="451"/>
      <c r="AK15" s="451"/>
      <c r="AL15" s="451"/>
      <c r="AM15" s="452"/>
      <c r="AN15" s="83"/>
      <c r="AO15" s="406"/>
      <c r="AP15" s="407"/>
      <c r="AQ15" s="407"/>
      <c r="AR15" s="407"/>
      <c r="AS15" s="407"/>
      <c r="AT15" s="40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392"/>
      <c r="C16" s="392"/>
      <c r="D16" s="393"/>
      <c r="E16" s="433"/>
      <c r="F16" s="434"/>
      <c r="G16" s="434"/>
      <c r="H16" s="434"/>
      <c r="I16" s="434"/>
      <c r="J16" s="459" t="str">
        <f>IF(AND('Mapa de Riesgos'!$H$30="Alta",'Mapa de Riesgos'!$L$30="Leve"),CONCATENATE("R",'Mapa de Riesgos'!$A$30),"")</f>
        <v/>
      </c>
      <c r="K16" s="460"/>
      <c r="L16" s="460" t="str">
        <f>IF(AND('Mapa de Riesgos'!$H$36="Alta",'Mapa de Riesgos'!$L$36="Leve"),CONCATENATE("R",'Mapa de Riesgos'!$A$36),"")</f>
        <v/>
      </c>
      <c r="M16" s="460"/>
      <c r="N16" s="460" t="str">
        <f>IF(AND('Mapa de Riesgos'!$H$42="Alta",'Mapa de Riesgos'!$L$42="Leve"),CONCATENATE("R",'Mapa de Riesgos'!$A$42),"")</f>
        <v/>
      </c>
      <c r="O16" s="461"/>
      <c r="P16" s="459" t="str">
        <f>IF(AND('Mapa de Riesgos'!$H$30="Alta",'Mapa de Riesgos'!$L$30="Menor"),CONCATENATE("R",'Mapa de Riesgos'!$A$30),"")</f>
        <v/>
      </c>
      <c r="Q16" s="460"/>
      <c r="R16" s="460" t="str">
        <f>IF(AND('Mapa de Riesgos'!$H$36="Alta",'Mapa de Riesgos'!$L$36="Menor"),CONCATENATE("R",'Mapa de Riesgos'!$A$36),"")</f>
        <v/>
      </c>
      <c r="S16" s="460"/>
      <c r="T16" s="460" t="str">
        <f>IF(AND('Mapa de Riesgos'!$H$42="Alta",'Mapa de Riesgos'!$L$42="Menor"),CONCATENATE("R",'Mapa de Riesgos'!$A$42),"")</f>
        <v/>
      </c>
      <c r="U16" s="461"/>
      <c r="V16" s="443" t="str">
        <f>IF(AND('Mapa de Riesgos'!$H$30="Alta",'Mapa de Riesgos'!$L$30="Moderado"),CONCATENATE("R",'Mapa de Riesgos'!$A$30),"")</f>
        <v/>
      </c>
      <c r="W16" s="439"/>
      <c r="X16" s="439" t="str">
        <f>IF(AND('Mapa de Riesgos'!$H$36="Alta",'Mapa de Riesgos'!$L$36="Moderado"),CONCATENATE("R",'Mapa de Riesgos'!$A$36),"")</f>
        <v/>
      </c>
      <c r="Y16" s="439"/>
      <c r="Z16" s="439" t="str">
        <f>IF(AND('Mapa de Riesgos'!$H$42="Alta",'Mapa de Riesgos'!$L$42="Moderado"),CONCATENATE("R",'Mapa de Riesgos'!$A$42),"")</f>
        <v/>
      </c>
      <c r="AA16" s="440"/>
      <c r="AB16" s="443" t="str">
        <f>IF(AND('Mapa de Riesgos'!$H$30="Alta",'Mapa de Riesgos'!$L$30="Mayor"),CONCATENATE("R",'Mapa de Riesgos'!$A$30),"")</f>
        <v/>
      </c>
      <c r="AC16" s="439"/>
      <c r="AD16" s="439" t="str">
        <f>IF(AND('Mapa de Riesgos'!$H$36="Alta",'Mapa de Riesgos'!$L$36="Mayor"),CONCATENATE("R",'Mapa de Riesgos'!$A$36),"")</f>
        <v/>
      </c>
      <c r="AE16" s="439"/>
      <c r="AF16" s="439" t="str">
        <f>IF(AND('Mapa de Riesgos'!$H$42="Alta",'Mapa de Riesgos'!$L$42="Mayor"),CONCATENATE("R",'Mapa de Riesgos'!$A$42),"")</f>
        <v/>
      </c>
      <c r="AG16" s="440"/>
      <c r="AH16" s="450" t="str">
        <f>IF(AND('Mapa de Riesgos'!$H$30="Alta",'Mapa de Riesgos'!$L$30="Catastrófico"),CONCATENATE("R",'Mapa de Riesgos'!$A$30),"")</f>
        <v/>
      </c>
      <c r="AI16" s="451"/>
      <c r="AJ16" s="451" t="str">
        <f>IF(AND('Mapa de Riesgos'!$H$36="Alta",'Mapa de Riesgos'!$L$36="Catastrófico"),CONCATENATE("R",'Mapa de Riesgos'!$A$36),"")</f>
        <v/>
      </c>
      <c r="AK16" s="451"/>
      <c r="AL16" s="451" t="str">
        <f>IF(AND('Mapa de Riesgos'!$H$42="Alta",'Mapa de Riesgos'!$L$42="Catastrófico"),CONCATENATE("R",'Mapa de Riesgos'!$A$42),"")</f>
        <v/>
      </c>
      <c r="AM16" s="452"/>
      <c r="AN16" s="83"/>
      <c r="AO16" s="406"/>
      <c r="AP16" s="407"/>
      <c r="AQ16" s="407"/>
      <c r="AR16" s="407"/>
      <c r="AS16" s="407"/>
      <c r="AT16" s="40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392"/>
      <c r="C17" s="392"/>
      <c r="D17" s="393"/>
      <c r="E17" s="433"/>
      <c r="F17" s="434"/>
      <c r="G17" s="434"/>
      <c r="H17" s="434"/>
      <c r="I17" s="434"/>
      <c r="J17" s="459"/>
      <c r="K17" s="460"/>
      <c r="L17" s="460"/>
      <c r="M17" s="460"/>
      <c r="N17" s="460"/>
      <c r="O17" s="461"/>
      <c r="P17" s="459"/>
      <c r="Q17" s="460"/>
      <c r="R17" s="460"/>
      <c r="S17" s="460"/>
      <c r="T17" s="460"/>
      <c r="U17" s="461"/>
      <c r="V17" s="443"/>
      <c r="W17" s="439"/>
      <c r="X17" s="439"/>
      <c r="Y17" s="439"/>
      <c r="Z17" s="439"/>
      <c r="AA17" s="440"/>
      <c r="AB17" s="443"/>
      <c r="AC17" s="439"/>
      <c r="AD17" s="439"/>
      <c r="AE17" s="439"/>
      <c r="AF17" s="439"/>
      <c r="AG17" s="440"/>
      <c r="AH17" s="450"/>
      <c r="AI17" s="451"/>
      <c r="AJ17" s="451"/>
      <c r="AK17" s="451"/>
      <c r="AL17" s="451"/>
      <c r="AM17" s="452"/>
      <c r="AN17" s="83"/>
      <c r="AO17" s="406"/>
      <c r="AP17" s="407"/>
      <c r="AQ17" s="407"/>
      <c r="AR17" s="407"/>
      <c r="AS17" s="407"/>
      <c r="AT17" s="40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392"/>
      <c r="C18" s="392"/>
      <c r="D18" s="393"/>
      <c r="E18" s="433"/>
      <c r="F18" s="434"/>
      <c r="G18" s="434"/>
      <c r="H18" s="434"/>
      <c r="I18" s="434"/>
      <c r="J18" s="459" t="str">
        <f>IF(AND('Mapa de Riesgos'!$H$48="Alta",'Mapa de Riesgos'!$L$48="Leve"),CONCATENATE("R",'Mapa de Riesgos'!$A$48),"")</f>
        <v/>
      </c>
      <c r="K18" s="460"/>
      <c r="L18" s="460" t="str">
        <f>IF(AND('Mapa de Riesgos'!$H$54="Alta",'Mapa de Riesgos'!$L$54="Leve"),CONCATENATE("R",'Mapa de Riesgos'!$A$54),"")</f>
        <v/>
      </c>
      <c r="M18" s="460"/>
      <c r="N18" s="460" t="str">
        <f>IF(AND('Mapa de Riesgos'!$H$60="Alta",'Mapa de Riesgos'!$L$60="Leve"),CONCATENATE("R",'Mapa de Riesgos'!$A$60),"")</f>
        <v/>
      </c>
      <c r="O18" s="461"/>
      <c r="P18" s="459" t="str">
        <f>IF(AND('Mapa de Riesgos'!$H$48="Alta",'Mapa de Riesgos'!$L$48="Menor"),CONCATENATE("R",'Mapa de Riesgos'!$A$48),"")</f>
        <v/>
      </c>
      <c r="Q18" s="460"/>
      <c r="R18" s="460" t="str">
        <f>IF(AND('Mapa de Riesgos'!$H$54="Alta",'Mapa de Riesgos'!$L$54="Menor"),CONCATENATE("R",'Mapa de Riesgos'!$A$54),"")</f>
        <v/>
      </c>
      <c r="S18" s="460"/>
      <c r="T18" s="460" t="str">
        <f>IF(AND('Mapa de Riesgos'!$H$60="Alta",'Mapa de Riesgos'!$L$60="Menor"),CONCATENATE("R",'Mapa de Riesgos'!$A$60),"")</f>
        <v/>
      </c>
      <c r="U18" s="461"/>
      <c r="V18" s="443" t="str">
        <f>IF(AND('Mapa de Riesgos'!$H$48="Alta",'Mapa de Riesgos'!$L$48="Moderado"),CONCATENATE("R",'Mapa de Riesgos'!$A$48),"")</f>
        <v/>
      </c>
      <c r="W18" s="439"/>
      <c r="X18" s="439" t="str">
        <f>IF(AND('Mapa de Riesgos'!$H$54="Alta",'Mapa de Riesgos'!$L$54="Moderado"),CONCATENATE("R",'Mapa de Riesgos'!$A$54),"")</f>
        <v/>
      </c>
      <c r="Y18" s="439"/>
      <c r="Z18" s="439" t="str">
        <f>IF(AND('Mapa de Riesgos'!$H$60="Alta",'Mapa de Riesgos'!$L$60="Moderado"),CONCATENATE("R",'Mapa de Riesgos'!$A$60),"")</f>
        <v/>
      </c>
      <c r="AA18" s="440"/>
      <c r="AB18" s="443" t="str">
        <f>IF(AND('Mapa de Riesgos'!$H$48="Alta",'Mapa de Riesgos'!$L$48="Mayor"),CONCATENATE("R",'Mapa de Riesgos'!$A$48),"")</f>
        <v/>
      </c>
      <c r="AC18" s="439"/>
      <c r="AD18" s="439" t="str">
        <f>IF(AND('Mapa de Riesgos'!$H$54="Alta",'Mapa de Riesgos'!$L$54="Mayor"),CONCATENATE("R",'Mapa de Riesgos'!$A$54),"")</f>
        <v/>
      </c>
      <c r="AE18" s="439"/>
      <c r="AF18" s="439" t="str">
        <f>IF(AND('Mapa de Riesgos'!$H$60="Alta",'Mapa de Riesgos'!$L$60="Mayor"),CONCATENATE("R",'Mapa de Riesgos'!$A$60),"")</f>
        <v/>
      </c>
      <c r="AG18" s="440"/>
      <c r="AH18" s="450" t="str">
        <f>IF(AND('Mapa de Riesgos'!$H$48="Alta",'Mapa de Riesgos'!$L$48="Catastrófico"),CONCATENATE("R",'Mapa de Riesgos'!$A$48),"")</f>
        <v/>
      </c>
      <c r="AI18" s="451"/>
      <c r="AJ18" s="451" t="str">
        <f>IF(AND('Mapa de Riesgos'!$H$54="Alta",'Mapa de Riesgos'!$L$54="Catastrófico"),CONCATENATE("R",'Mapa de Riesgos'!$A$54),"")</f>
        <v/>
      </c>
      <c r="AK18" s="451"/>
      <c r="AL18" s="451" t="str">
        <f>IF(AND('Mapa de Riesgos'!$H$60="Alta",'Mapa de Riesgos'!$L$60="Catastrófico"),CONCATENATE("R",'Mapa de Riesgos'!$A$60),"")</f>
        <v/>
      </c>
      <c r="AM18" s="452"/>
      <c r="AN18" s="83"/>
      <c r="AO18" s="406"/>
      <c r="AP18" s="407"/>
      <c r="AQ18" s="407"/>
      <c r="AR18" s="407"/>
      <c r="AS18" s="407"/>
      <c r="AT18" s="40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392"/>
      <c r="C19" s="392"/>
      <c r="D19" s="393"/>
      <c r="E19" s="433"/>
      <c r="F19" s="434"/>
      <c r="G19" s="434"/>
      <c r="H19" s="434"/>
      <c r="I19" s="434"/>
      <c r="J19" s="459"/>
      <c r="K19" s="460"/>
      <c r="L19" s="460"/>
      <c r="M19" s="460"/>
      <c r="N19" s="460"/>
      <c r="O19" s="461"/>
      <c r="P19" s="459"/>
      <c r="Q19" s="460"/>
      <c r="R19" s="460"/>
      <c r="S19" s="460"/>
      <c r="T19" s="460"/>
      <c r="U19" s="461"/>
      <c r="V19" s="443"/>
      <c r="W19" s="439"/>
      <c r="X19" s="439"/>
      <c r="Y19" s="439"/>
      <c r="Z19" s="439"/>
      <c r="AA19" s="440"/>
      <c r="AB19" s="443"/>
      <c r="AC19" s="439"/>
      <c r="AD19" s="439"/>
      <c r="AE19" s="439"/>
      <c r="AF19" s="439"/>
      <c r="AG19" s="440"/>
      <c r="AH19" s="450"/>
      <c r="AI19" s="451"/>
      <c r="AJ19" s="451"/>
      <c r="AK19" s="451"/>
      <c r="AL19" s="451"/>
      <c r="AM19" s="452"/>
      <c r="AN19" s="83"/>
      <c r="AO19" s="406"/>
      <c r="AP19" s="407"/>
      <c r="AQ19" s="407"/>
      <c r="AR19" s="407"/>
      <c r="AS19" s="407"/>
      <c r="AT19" s="40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392"/>
      <c r="C20" s="392"/>
      <c r="D20" s="393"/>
      <c r="E20" s="433"/>
      <c r="F20" s="434"/>
      <c r="G20" s="434"/>
      <c r="H20" s="434"/>
      <c r="I20" s="434"/>
      <c r="J20" s="459" t="str">
        <f>IF(AND('Mapa de Riesgos'!$H$66="Alta",'Mapa de Riesgos'!$L$66="Leve"),CONCATENATE("R",'Mapa de Riesgos'!$A$66),"")</f>
        <v/>
      </c>
      <c r="K20" s="460"/>
      <c r="L20" s="460" t="str">
        <f>IF(AND('Mapa de Riesgos'!$H$72="Alta",'Mapa de Riesgos'!$L$72="Leve"),CONCATENATE("R",'Mapa de Riesgos'!$A$72),"")</f>
        <v/>
      </c>
      <c r="M20" s="460"/>
      <c r="N20" s="460" t="str">
        <f>IF(AND('Mapa de Riesgos'!$H$78="Alta",'Mapa de Riesgos'!$L$78="Leve"),CONCATENATE("R",'Mapa de Riesgos'!$A$78),"")</f>
        <v/>
      </c>
      <c r="O20" s="461"/>
      <c r="P20" s="459" t="str">
        <f>IF(AND('Mapa de Riesgos'!$H$66="Alta",'Mapa de Riesgos'!$L$66="Menor"),CONCATENATE("R",'Mapa de Riesgos'!$A$66),"")</f>
        <v/>
      </c>
      <c r="Q20" s="460"/>
      <c r="R20" s="460" t="str">
        <f>IF(AND('Mapa de Riesgos'!$H$72="Alta",'Mapa de Riesgos'!$L$72="Menor"),CONCATENATE("R",'Mapa de Riesgos'!$A$72),"")</f>
        <v/>
      </c>
      <c r="S20" s="460"/>
      <c r="T20" s="460" t="str">
        <f>IF(AND('Mapa de Riesgos'!$H$78="Alta",'Mapa de Riesgos'!$L$78="Menor"),CONCATENATE("R",'Mapa de Riesgos'!$A$78),"")</f>
        <v/>
      </c>
      <c r="U20" s="461"/>
      <c r="V20" s="443" t="str">
        <f>IF(AND('Mapa de Riesgos'!$H$66="Alta",'Mapa de Riesgos'!$L$66="Moderado"),CONCATENATE("R",'Mapa de Riesgos'!$A$66),"")</f>
        <v/>
      </c>
      <c r="W20" s="439"/>
      <c r="X20" s="439" t="str">
        <f>IF(AND('Mapa de Riesgos'!$H$72="Alta",'Mapa de Riesgos'!$L$72="Moderado"),CONCATENATE("R",'Mapa de Riesgos'!$A$72),"")</f>
        <v/>
      </c>
      <c r="Y20" s="439"/>
      <c r="Z20" s="439" t="str">
        <f>IF(AND('Mapa de Riesgos'!$H$78="Alta",'Mapa de Riesgos'!$L$78="Moderado"),CONCATENATE("R",'Mapa de Riesgos'!$A$78),"")</f>
        <v/>
      </c>
      <c r="AA20" s="440"/>
      <c r="AB20" s="443" t="str">
        <f>IF(AND('Mapa de Riesgos'!$H$66="Alta",'Mapa de Riesgos'!$L$66="Mayor"),CONCATENATE("R",'Mapa de Riesgos'!$A$66),"")</f>
        <v/>
      </c>
      <c r="AC20" s="439"/>
      <c r="AD20" s="439" t="str">
        <f>IF(AND('Mapa de Riesgos'!$H$72="Alta",'Mapa de Riesgos'!$L$72="Mayor"),CONCATENATE("R",'Mapa de Riesgos'!$A$72),"")</f>
        <v/>
      </c>
      <c r="AE20" s="439"/>
      <c r="AF20" s="439" t="str">
        <f>IF(AND('Mapa de Riesgos'!$H$78="Alta",'Mapa de Riesgos'!$L$78="Mayor"),CONCATENATE("R",'Mapa de Riesgos'!$A$78),"")</f>
        <v/>
      </c>
      <c r="AG20" s="440"/>
      <c r="AH20" s="450" t="str">
        <f>IF(AND('Mapa de Riesgos'!$H$66="Alta",'Mapa de Riesgos'!$L$66="Catastrófico"),CONCATENATE("R",'Mapa de Riesgos'!$A$66),"")</f>
        <v/>
      </c>
      <c r="AI20" s="451"/>
      <c r="AJ20" s="451" t="str">
        <f>IF(AND('Mapa de Riesgos'!$H$72="Alta",'Mapa de Riesgos'!$L$72="Catastrófico"),CONCATENATE("R",'Mapa de Riesgos'!$A$72),"")</f>
        <v/>
      </c>
      <c r="AK20" s="451"/>
      <c r="AL20" s="451" t="str">
        <f>IF(AND('Mapa de Riesgos'!$H$78="Alta",'Mapa de Riesgos'!$L$78="Catastrófico"),CONCATENATE("R",'Mapa de Riesgos'!$A$78),"")</f>
        <v/>
      </c>
      <c r="AM20" s="452"/>
      <c r="AN20" s="83"/>
      <c r="AO20" s="406"/>
      <c r="AP20" s="407"/>
      <c r="AQ20" s="407"/>
      <c r="AR20" s="407"/>
      <c r="AS20" s="407"/>
      <c r="AT20" s="40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392"/>
      <c r="C21" s="392"/>
      <c r="D21" s="393"/>
      <c r="E21" s="436"/>
      <c r="F21" s="437"/>
      <c r="G21" s="437"/>
      <c r="H21" s="437"/>
      <c r="I21" s="437"/>
      <c r="J21" s="462"/>
      <c r="K21" s="463"/>
      <c r="L21" s="463"/>
      <c r="M21" s="463"/>
      <c r="N21" s="463"/>
      <c r="O21" s="464"/>
      <c r="P21" s="462"/>
      <c r="Q21" s="463"/>
      <c r="R21" s="463"/>
      <c r="S21" s="463"/>
      <c r="T21" s="463"/>
      <c r="U21" s="464"/>
      <c r="V21" s="447"/>
      <c r="W21" s="448"/>
      <c r="X21" s="448"/>
      <c r="Y21" s="448"/>
      <c r="Z21" s="448"/>
      <c r="AA21" s="449"/>
      <c r="AB21" s="447"/>
      <c r="AC21" s="448"/>
      <c r="AD21" s="448"/>
      <c r="AE21" s="448"/>
      <c r="AF21" s="448"/>
      <c r="AG21" s="449"/>
      <c r="AH21" s="453"/>
      <c r="AI21" s="454"/>
      <c r="AJ21" s="454"/>
      <c r="AK21" s="454"/>
      <c r="AL21" s="454"/>
      <c r="AM21" s="455"/>
      <c r="AN21" s="83"/>
      <c r="AO21" s="409"/>
      <c r="AP21" s="410"/>
      <c r="AQ21" s="410"/>
      <c r="AR21" s="410"/>
      <c r="AS21" s="410"/>
      <c r="AT21" s="41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392"/>
      <c r="C22" s="392"/>
      <c r="D22" s="393"/>
      <c r="E22" s="430" t="s">
        <v>184</v>
      </c>
      <c r="F22" s="431"/>
      <c r="G22" s="431"/>
      <c r="H22" s="431"/>
      <c r="I22" s="432"/>
      <c r="J22" s="465" t="str">
        <f>IF(AND('Mapa de Riesgos'!$H$12="Media",'Mapa de Riesgos'!$L$12="Leve"),CONCATENATE("R",'Mapa de Riesgos'!$A$12),"")</f>
        <v/>
      </c>
      <c r="K22" s="466"/>
      <c r="L22" s="466" t="str">
        <f>IF(AND('Mapa de Riesgos'!$H$18="Media",'Mapa de Riesgos'!$L$18="Leve"),CONCATENATE("R",'Mapa de Riesgos'!$A$18),"")</f>
        <v/>
      </c>
      <c r="M22" s="466"/>
      <c r="N22" s="466" t="str">
        <f>IF(AND('Mapa de Riesgos'!$H$24="Media",'Mapa de Riesgos'!$L$24="Leve"),CONCATENATE("R",'Mapa de Riesgos'!$A$24),"")</f>
        <v/>
      </c>
      <c r="O22" s="467"/>
      <c r="P22" s="465" t="str">
        <f>IF(AND('Mapa de Riesgos'!$H$12="Media",'Mapa de Riesgos'!$L$12="Menor"),CONCATENATE("R",'Mapa de Riesgos'!$A$12),"")</f>
        <v/>
      </c>
      <c r="Q22" s="466"/>
      <c r="R22" s="466" t="str">
        <f>IF(AND('Mapa de Riesgos'!$H$18="Media",'Mapa de Riesgos'!$L$18="Menor"),CONCATENATE("R",'Mapa de Riesgos'!$A$18),"")</f>
        <v/>
      </c>
      <c r="S22" s="466"/>
      <c r="T22" s="466" t="str">
        <f>IF(AND('Mapa de Riesgos'!$H$24="Media",'Mapa de Riesgos'!$L$24="Menor"),CONCATENATE("R",'Mapa de Riesgos'!$A$24),"")</f>
        <v>R3</v>
      </c>
      <c r="U22" s="467"/>
      <c r="V22" s="465" t="str">
        <f>IF(AND('Mapa de Riesgos'!$H$12="Media",'Mapa de Riesgos'!$L$12="Moderado"),CONCATENATE("R",'Mapa de Riesgos'!$A$12),"")</f>
        <v/>
      </c>
      <c r="W22" s="466"/>
      <c r="X22" s="466" t="str">
        <f>IF(AND('Mapa de Riesgos'!$H$18="Media",'Mapa de Riesgos'!$L$18="Moderado"),CONCATENATE("R",'Mapa de Riesgos'!$A$18),"")</f>
        <v>R2</v>
      </c>
      <c r="Y22" s="466"/>
      <c r="Z22" s="466" t="str">
        <f>IF(AND('Mapa de Riesgos'!$H$24="Media",'Mapa de Riesgos'!$L$24="Moderado"),CONCATENATE("R",'Mapa de Riesgos'!$A$24),"")</f>
        <v/>
      </c>
      <c r="AA22" s="467"/>
      <c r="AB22" s="441" t="str">
        <f>IF(AND('Mapa de Riesgos'!$H$12="Media",'Mapa de Riesgos'!$L$12="Mayor"),CONCATENATE("R",'Mapa de Riesgos'!$A$12),"")</f>
        <v/>
      </c>
      <c r="AC22" s="442"/>
      <c r="AD22" s="442" t="str">
        <f>IF(AND('Mapa de Riesgos'!$H$18="Media",'Mapa de Riesgos'!$L$18="Mayor"),CONCATENATE("R",'Mapa de Riesgos'!$A$18),"")</f>
        <v/>
      </c>
      <c r="AE22" s="442"/>
      <c r="AF22" s="442" t="str">
        <f>IF(AND('Mapa de Riesgos'!$H$24="Media",'Mapa de Riesgos'!$L$24="Mayor"),CONCATENATE("R",'Mapa de Riesgos'!$A$24),"")</f>
        <v/>
      </c>
      <c r="AG22" s="444"/>
      <c r="AH22" s="456" t="str">
        <f>IF(AND('Mapa de Riesgos'!$H$12="Media",'Mapa de Riesgos'!$L$12="Catastrófico"),CONCATENATE("R",'Mapa de Riesgos'!$A$12),"")</f>
        <v>R1</v>
      </c>
      <c r="AI22" s="457"/>
      <c r="AJ22" s="457" t="str">
        <f>IF(AND('Mapa de Riesgos'!$H$18="Media",'Mapa de Riesgos'!$L$18="Catastrófico"),CONCATENATE("R",'Mapa de Riesgos'!$A$18),"")</f>
        <v/>
      </c>
      <c r="AK22" s="457"/>
      <c r="AL22" s="457" t="str">
        <f>IF(AND('Mapa de Riesgos'!$H$24="Media",'Mapa de Riesgos'!$L$24="Catastrófico"),CONCATENATE("R",'Mapa de Riesgos'!$A$24),"")</f>
        <v/>
      </c>
      <c r="AM22" s="458"/>
      <c r="AN22" s="83"/>
      <c r="AO22" s="412" t="s">
        <v>185</v>
      </c>
      <c r="AP22" s="413"/>
      <c r="AQ22" s="413"/>
      <c r="AR22" s="413"/>
      <c r="AS22" s="413"/>
      <c r="AT22" s="414"/>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392"/>
      <c r="C23" s="392"/>
      <c r="D23" s="393"/>
      <c r="E23" s="433"/>
      <c r="F23" s="434"/>
      <c r="G23" s="434"/>
      <c r="H23" s="434"/>
      <c r="I23" s="435"/>
      <c r="J23" s="459"/>
      <c r="K23" s="460"/>
      <c r="L23" s="460"/>
      <c r="M23" s="460"/>
      <c r="N23" s="460"/>
      <c r="O23" s="461"/>
      <c r="P23" s="459"/>
      <c r="Q23" s="460"/>
      <c r="R23" s="460"/>
      <c r="S23" s="460"/>
      <c r="T23" s="460"/>
      <c r="U23" s="461"/>
      <c r="V23" s="459"/>
      <c r="W23" s="460"/>
      <c r="X23" s="460"/>
      <c r="Y23" s="460"/>
      <c r="Z23" s="460"/>
      <c r="AA23" s="461"/>
      <c r="AB23" s="443"/>
      <c r="AC23" s="439"/>
      <c r="AD23" s="439"/>
      <c r="AE23" s="439"/>
      <c r="AF23" s="439"/>
      <c r="AG23" s="440"/>
      <c r="AH23" s="450"/>
      <c r="AI23" s="451"/>
      <c r="AJ23" s="451"/>
      <c r="AK23" s="451"/>
      <c r="AL23" s="451"/>
      <c r="AM23" s="452"/>
      <c r="AN23" s="83"/>
      <c r="AO23" s="415"/>
      <c r="AP23" s="416"/>
      <c r="AQ23" s="416"/>
      <c r="AR23" s="416"/>
      <c r="AS23" s="416"/>
      <c r="AT23" s="41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392"/>
      <c r="C24" s="392"/>
      <c r="D24" s="393"/>
      <c r="E24" s="433"/>
      <c r="F24" s="434"/>
      <c r="G24" s="434"/>
      <c r="H24" s="434"/>
      <c r="I24" s="435"/>
      <c r="J24" s="459" t="str">
        <f>IF(AND('Mapa de Riesgos'!$H$30="Media",'Mapa de Riesgos'!$L$30="Leve"),CONCATENATE("R",'Mapa de Riesgos'!$A$30),"")</f>
        <v/>
      </c>
      <c r="K24" s="460"/>
      <c r="L24" s="460" t="str">
        <f>IF(AND('Mapa de Riesgos'!$H$36="Media",'Mapa de Riesgos'!$L$36="Leve"),CONCATENATE("R",'Mapa de Riesgos'!$A$36),"")</f>
        <v/>
      </c>
      <c r="M24" s="460"/>
      <c r="N24" s="460" t="str">
        <f>IF(AND('Mapa de Riesgos'!$H$42="Media",'Mapa de Riesgos'!$L$42="Leve"),CONCATENATE("R",'Mapa de Riesgos'!$A$42),"")</f>
        <v/>
      </c>
      <c r="O24" s="461"/>
      <c r="P24" s="459" t="str">
        <f>IF(AND('Mapa de Riesgos'!$H$30="Media",'Mapa de Riesgos'!$L$30="Menor"),CONCATENATE("R",'Mapa de Riesgos'!$A$30),"")</f>
        <v/>
      </c>
      <c r="Q24" s="460"/>
      <c r="R24" s="460" t="str">
        <f>IF(AND('Mapa de Riesgos'!$H$36="Media",'Mapa de Riesgos'!$L$36="Menor"),CONCATENATE("R",'Mapa de Riesgos'!$A$36),"")</f>
        <v/>
      </c>
      <c r="S24" s="460"/>
      <c r="T24" s="460" t="str">
        <f>IF(AND('Mapa de Riesgos'!$H$42="Media",'Mapa de Riesgos'!$L$42="Menor"),CONCATENATE("R",'Mapa de Riesgos'!$A$42),"")</f>
        <v/>
      </c>
      <c r="U24" s="461"/>
      <c r="V24" s="459" t="str">
        <f>IF(AND('Mapa de Riesgos'!$H$30="Media",'Mapa de Riesgos'!$L$30="Moderado"),CONCATENATE("R",'Mapa de Riesgos'!$A$30),"")</f>
        <v/>
      </c>
      <c r="W24" s="460"/>
      <c r="X24" s="460" t="str">
        <f>IF(AND('Mapa de Riesgos'!$H$36="Media",'Mapa de Riesgos'!$L$36="Moderado"),CONCATENATE("R",'Mapa de Riesgos'!$A$36),"")</f>
        <v/>
      </c>
      <c r="Y24" s="460"/>
      <c r="Z24" s="460" t="str">
        <f>IF(AND('Mapa de Riesgos'!$H$42="Media",'Mapa de Riesgos'!$L$42="Moderado"),CONCATENATE("R",'Mapa de Riesgos'!$A$42),"")</f>
        <v/>
      </c>
      <c r="AA24" s="461"/>
      <c r="AB24" s="443" t="str">
        <f>IF(AND('Mapa de Riesgos'!$H$30="Media",'Mapa de Riesgos'!$L$30="Mayor"),CONCATENATE("R",'Mapa de Riesgos'!$A$30),"")</f>
        <v/>
      </c>
      <c r="AC24" s="439"/>
      <c r="AD24" s="439" t="str">
        <f>IF(AND('Mapa de Riesgos'!$H$36="Media",'Mapa de Riesgos'!$L$36="Mayor"),CONCATENATE("R",'Mapa de Riesgos'!$A$36),"")</f>
        <v/>
      </c>
      <c r="AE24" s="439"/>
      <c r="AF24" s="439" t="str">
        <f>IF(AND('Mapa de Riesgos'!$H$42="Media",'Mapa de Riesgos'!$L$42="Mayor"),CONCATENATE("R",'Mapa de Riesgos'!$A$42),"")</f>
        <v/>
      </c>
      <c r="AG24" s="440"/>
      <c r="AH24" s="450" t="str">
        <f>IF(AND('Mapa de Riesgos'!$H$30="Media",'Mapa de Riesgos'!$L$30="Catastrófico"),CONCATENATE("R",'Mapa de Riesgos'!$A$30),"")</f>
        <v/>
      </c>
      <c r="AI24" s="451"/>
      <c r="AJ24" s="451" t="str">
        <f>IF(AND('Mapa de Riesgos'!$H$36="Media",'Mapa de Riesgos'!$L$36="Catastrófico"),CONCATENATE("R",'Mapa de Riesgos'!$A$36),"")</f>
        <v/>
      </c>
      <c r="AK24" s="451"/>
      <c r="AL24" s="451" t="str">
        <f>IF(AND('Mapa de Riesgos'!$H$42="Media",'Mapa de Riesgos'!$L$42="Catastrófico"),CONCATENATE("R",'Mapa de Riesgos'!$A$42),"")</f>
        <v/>
      </c>
      <c r="AM24" s="452"/>
      <c r="AN24" s="83"/>
      <c r="AO24" s="415"/>
      <c r="AP24" s="416"/>
      <c r="AQ24" s="416"/>
      <c r="AR24" s="416"/>
      <c r="AS24" s="416"/>
      <c r="AT24" s="41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392"/>
      <c r="C25" s="392"/>
      <c r="D25" s="393"/>
      <c r="E25" s="433"/>
      <c r="F25" s="434"/>
      <c r="G25" s="434"/>
      <c r="H25" s="434"/>
      <c r="I25" s="435"/>
      <c r="J25" s="459"/>
      <c r="K25" s="460"/>
      <c r="L25" s="460"/>
      <c r="M25" s="460"/>
      <c r="N25" s="460"/>
      <c r="O25" s="461"/>
      <c r="P25" s="459"/>
      <c r="Q25" s="460"/>
      <c r="R25" s="460"/>
      <c r="S25" s="460"/>
      <c r="T25" s="460"/>
      <c r="U25" s="461"/>
      <c r="V25" s="459"/>
      <c r="W25" s="460"/>
      <c r="X25" s="460"/>
      <c r="Y25" s="460"/>
      <c r="Z25" s="460"/>
      <c r="AA25" s="461"/>
      <c r="AB25" s="443"/>
      <c r="AC25" s="439"/>
      <c r="AD25" s="439"/>
      <c r="AE25" s="439"/>
      <c r="AF25" s="439"/>
      <c r="AG25" s="440"/>
      <c r="AH25" s="450"/>
      <c r="AI25" s="451"/>
      <c r="AJ25" s="451"/>
      <c r="AK25" s="451"/>
      <c r="AL25" s="451"/>
      <c r="AM25" s="452"/>
      <c r="AN25" s="83"/>
      <c r="AO25" s="415"/>
      <c r="AP25" s="416"/>
      <c r="AQ25" s="416"/>
      <c r="AR25" s="416"/>
      <c r="AS25" s="416"/>
      <c r="AT25" s="417"/>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392"/>
      <c r="C26" s="392"/>
      <c r="D26" s="393"/>
      <c r="E26" s="433"/>
      <c r="F26" s="434"/>
      <c r="G26" s="434"/>
      <c r="H26" s="434"/>
      <c r="I26" s="435"/>
      <c r="J26" s="459" t="str">
        <f>IF(AND('Mapa de Riesgos'!$H$48="Media",'Mapa de Riesgos'!$L$48="Leve"),CONCATENATE("R",'Mapa de Riesgos'!$A$48),"")</f>
        <v/>
      </c>
      <c r="K26" s="460"/>
      <c r="L26" s="460" t="str">
        <f>IF(AND('Mapa de Riesgos'!$H$54="Media",'Mapa de Riesgos'!$L$54="Leve"),CONCATENATE("R",'Mapa de Riesgos'!$A$54),"")</f>
        <v/>
      </c>
      <c r="M26" s="460"/>
      <c r="N26" s="460" t="str">
        <f>IF(AND('Mapa de Riesgos'!$H$60="Media",'Mapa de Riesgos'!$L$60="Leve"),CONCATENATE("R",'Mapa de Riesgos'!$A$60),"")</f>
        <v/>
      </c>
      <c r="O26" s="461"/>
      <c r="P26" s="459" t="str">
        <f>IF(AND('Mapa de Riesgos'!$H$48="Media",'Mapa de Riesgos'!$L$48="Menor"),CONCATENATE("R",'Mapa de Riesgos'!$A$48),"")</f>
        <v/>
      </c>
      <c r="Q26" s="460"/>
      <c r="R26" s="460" t="str">
        <f>IF(AND('Mapa de Riesgos'!$H$54="Media",'Mapa de Riesgos'!$L$54="Menor"),CONCATENATE("R",'Mapa de Riesgos'!$A$54),"")</f>
        <v/>
      </c>
      <c r="S26" s="460"/>
      <c r="T26" s="460" t="str">
        <f>IF(AND('Mapa de Riesgos'!$H$60="Media",'Mapa de Riesgos'!$L$60="Menor"),CONCATENATE("R",'Mapa de Riesgos'!$A$60),"")</f>
        <v/>
      </c>
      <c r="U26" s="461"/>
      <c r="V26" s="459" t="str">
        <f>IF(AND('Mapa de Riesgos'!$H$48="Media",'Mapa de Riesgos'!$L$48="Moderado"),CONCATENATE("R",'Mapa de Riesgos'!$A$48),"")</f>
        <v/>
      </c>
      <c r="W26" s="460"/>
      <c r="X26" s="460" t="str">
        <f>IF(AND('Mapa de Riesgos'!$H$54="Media",'Mapa de Riesgos'!$L$54="Moderado"),CONCATENATE("R",'Mapa de Riesgos'!$A$54),"")</f>
        <v/>
      </c>
      <c r="Y26" s="460"/>
      <c r="Z26" s="460" t="str">
        <f>IF(AND('Mapa de Riesgos'!$H$60="Media",'Mapa de Riesgos'!$L$60="Moderado"),CONCATENATE("R",'Mapa de Riesgos'!$A$60),"")</f>
        <v/>
      </c>
      <c r="AA26" s="461"/>
      <c r="AB26" s="443" t="str">
        <f>IF(AND('Mapa de Riesgos'!$H$48="Media",'Mapa de Riesgos'!$L$48="Mayor"),CONCATENATE("R",'Mapa de Riesgos'!$A$48),"")</f>
        <v/>
      </c>
      <c r="AC26" s="439"/>
      <c r="AD26" s="439" t="str">
        <f>IF(AND('Mapa de Riesgos'!$H$54="Media",'Mapa de Riesgos'!$L$54="Mayor"),CONCATENATE("R",'Mapa de Riesgos'!$A$54),"")</f>
        <v/>
      </c>
      <c r="AE26" s="439"/>
      <c r="AF26" s="439" t="str">
        <f>IF(AND('Mapa de Riesgos'!$H$60="Media",'Mapa de Riesgos'!$L$60="Mayor"),CONCATENATE("R",'Mapa de Riesgos'!$A$60),"")</f>
        <v/>
      </c>
      <c r="AG26" s="440"/>
      <c r="AH26" s="450" t="str">
        <f>IF(AND('Mapa de Riesgos'!$H$48="Media",'Mapa de Riesgos'!$L$48="Catastrófico"),CONCATENATE("R",'Mapa de Riesgos'!$A$48),"")</f>
        <v/>
      </c>
      <c r="AI26" s="451"/>
      <c r="AJ26" s="451" t="str">
        <f>IF(AND('Mapa de Riesgos'!$H$54="Media",'Mapa de Riesgos'!$L$54="Catastrófico"),CONCATENATE("R",'Mapa de Riesgos'!$A$54),"")</f>
        <v/>
      </c>
      <c r="AK26" s="451"/>
      <c r="AL26" s="451" t="str">
        <f>IF(AND('Mapa de Riesgos'!$H$60="Media",'Mapa de Riesgos'!$L$60="Catastrófico"),CONCATENATE("R",'Mapa de Riesgos'!$A$60),"")</f>
        <v/>
      </c>
      <c r="AM26" s="452"/>
      <c r="AN26" s="83"/>
      <c r="AO26" s="415"/>
      <c r="AP26" s="416"/>
      <c r="AQ26" s="416"/>
      <c r="AR26" s="416"/>
      <c r="AS26" s="416"/>
      <c r="AT26" s="41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392"/>
      <c r="C27" s="392"/>
      <c r="D27" s="393"/>
      <c r="E27" s="433"/>
      <c r="F27" s="434"/>
      <c r="G27" s="434"/>
      <c r="H27" s="434"/>
      <c r="I27" s="435"/>
      <c r="J27" s="459"/>
      <c r="K27" s="460"/>
      <c r="L27" s="460"/>
      <c r="M27" s="460"/>
      <c r="N27" s="460"/>
      <c r="O27" s="461"/>
      <c r="P27" s="459"/>
      <c r="Q27" s="460"/>
      <c r="R27" s="460"/>
      <c r="S27" s="460"/>
      <c r="T27" s="460"/>
      <c r="U27" s="461"/>
      <c r="V27" s="459"/>
      <c r="W27" s="460"/>
      <c r="X27" s="460"/>
      <c r="Y27" s="460"/>
      <c r="Z27" s="460"/>
      <c r="AA27" s="461"/>
      <c r="AB27" s="443"/>
      <c r="AC27" s="439"/>
      <c r="AD27" s="439"/>
      <c r="AE27" s="439"/>
      <c r="AF27" s="439"/>
      <c r="AG27" s="440"/>
      <c r="AH27" s="450"/>
      <c r="AI27" s="451"/>
      <c r="AJ27" s="451"/>
      <c r="AK27" s="451"/>
      <c r="AL27" s="451"/>
      <c r="AM27" s="452"/>
      <c r="AN27" s="83"/>
      <c r="AO27" s="415"/>
      <c r="AP27" s="416"/>
      <c r="AQ27" s="416"/>
      <c r="AR27" s="416"/>
      <c r="AS27" s="416"/>
      <c r="AT27" s="41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392"/>
      <c r="C28" s="392"/>
      <c r="D28" s="393"/>
      <c r="E28" s="433"/>
      <c r="F28" s="434"/>
      <c r="G28" s="434"/>
      <c r="H28" s="434"/>
      <c r="I28" s="435"/>
      <c r="J28" s="459" t="str">
        <f>IF(AND('Mapa de Riesgos'!$H$66="Media",'Mapa de Riesgos'!$L$66="Leve"),CONCATENATE("R",'Mapa de Riesgos'!$A$66),"")</f>
        <v/>
      </c>
      <c r="K28" s="460"/>
      <c r="L28" s="460" t="str">
        <f>IF(AND('Mapa de Riesgos'!$H$72="Media",'Mapa de Riesgos'!$L$72="Leve"),CONCATENATE("R",'Mapa de Riesgos'!$A$72),"")</f>
        <v/>
      </c>
      <c r="M28" s="460"/>
      <c r="N28" s="460" t="str">
        <f>IF(AND('Mapa de Riesgos'!$H$78="Media",'Mapa de Riesgos'!$L$78="Leve"),CONCATENATE("R",'Mapa de Riesgos'!$A$78),"")</f>
        <v/>
      </c>
      <c r="O28" s="461"/>
      <c r="P28" s="459" t="str">
        <f>IF(AND('Mapa de Riesgos'!$H$66="Media",'Mapa de Riesgos'!$L$66="Menor"),CONCATENATE("R",'Mapa de Riesgos'!$A$66),"")</f>
        <v/>
      </c>
      <c r="Q28" s="460"/>
      <c r="R28" s="460" t="str">
        <f>IF(AND('Mapa de Riesgos'!$H$72="Media",'Mapa de Riesgos'!$L$72="Menor"),CONCATENATE("R",'Mapa de Riesgos'!$A$72),"")</f>
        <v/>
      </c>
      <c r="S28" s="460"/>
      <c r="T28" s="460" t="str">
        <f>IF(AND('Mapa de Riesgos'!$H$78="Media",'Mapa de Riesgos'!$L$78="Menor"),CONCATENATE("R",'Mapa de Riesgos'!$A$78),"")</f>
        <v/>
      </c>
      <c r="U28" s="461"/>
      <c r="V28" s="459" t="str">
        <f>IF(AND('Mapa de Riesgos'!$H$66="Media",'Mapa de Riesgos'!$L$66="Moderado"),CONCATENATE("R",'Mapa de Riesgos'!$A$66),"")</f>
        <v/>
      </c>
      <c r="W28" s="460"/>
      <c r="X28" s="460" t="str">
        <f>IF(AND('Mapa de Riesgos'!$H$72="Media",'Mapa de Riesgos'!$L$72="Moderado"),CONCATENATE("R",'Mapa de Riesgos'!$A$72),"")</f>
        <v/>
      </c>
      <c r="Y28" s="460"/>
      <c r="Z28" s="460" t="str">
        <f>IF(AND('Mapa de Riesgos'!$H$78="Media",'Mapa de Riesgos'!$L$78="Moderado"),CONCATENATE("R",'Mapa de Riesgos'!$A$78),"")</f>
        <v/>
      </c>
      <c r="AA28" s="461"/>
      <c r="AB28" s="443" t="str">
        <f>IF(AND('Mapa de Riesgos'!$H$66="Media",'Mapa de Riesgos'!$L$66="Mayor"),CONCATENATE("R",'Mapa de Riesgos'!$A$66),"")</f>
        <v/>
      </c>
      <c r="AC28" s="439"/>
      <c r="AD28" s="439" t="str">
        <f>IF(AND('Mapa de Riesgos'!$H$72="Media",'Mapa de Riesgos'!$L$72="Mayor"),CONCATENATE("R",'Mapa de Riesgos'!$A$72),"")</f>
        <v/>
      </c>
      <c r="AE28" s="439"/>
      <c r="AF28" s="439" t="str">
        <f>IF(AND('Mapa de Riesgos'!$H$78="Media",'Mapa de Riesgos'!$L$78="Mayor"),CONCATENATE("R",'Mapa de Riesgos'!$A$78),"")</f>
        <v/>
      </c>
      <c r="AG28" s="440"/>
      <c r="AH28" s="450" t="str">
        <f>IF(AND('Mapa de Riesgos'!$H$66="Media",'Mapa de Riesgos'!$L$66="Catastrófico"),CONCATENATE("R",'Mapa de Riesgos'!$A$66),"")</f>
        <v/>
      </c>
      <c r="AI28" s="451"/>
      <c r="AJ28" s="451" t="str">
        <f>IF(AND('Mapa de Riesgos'!$H$72="Media",'Mapa de Riesgos'!$L$72="Catastrófico"),CONCATENATE("R",'Mapa de Riesgos'!$A$72),"")</f>
        <v/>
      </c>
      <c r="AK28" s="451"/>
      <c r="AL28" s="451" t="str">
        <f>IF(AND('Mapa de Riesgos'!$H$78="Media",'Mapa de Riesgos'!$L$78="Catastrófico"),CONCATENATE("R",'Mapa de Riesgos'!$A$78),"")</f>
        <v/>
      </c>
      <c r="AM28" s="452"/>
      <c r="AN28" s="83"/>
      <c r="AO28" s="415"/>
      <c r="AP28" s="416"/>
      <c r="AQ28" s="416"/>
      <c r="AR28" s="416"/>
      <c r="AS28" s="416"/>
      <c r="AT28" s="41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392"/>
      <c r="C29" s="392"/>
      <c r="D29" s="393"/>
      <c r="E29" s="436"/>
      <c r="F29" s="437"/>
      <c r="G29" s="437"/>
      <c r="H29" s="437"/>
      <c r="I29" s="438"/>
      <c r="J29" s="459"/>
      <c r="K29" s="460"/>
      <c r="L29" s="460"/>
      <c r="M29" s="460"/>
      <c r="N29" s="460"/>
      <c r="O29" s="461"/>
      <c r="P29" s="462"/>
      <c r="Q29" s="463"/>
      <c r="R29" s="463"/>
      <c r="S29" s="463"/>
      <c r="T29" s="463"/>
      <c r="U29" s="464"/>
      <c r="V29" s="462"/>
      <c r="W29" s="463"/>
      <c r="X29" s="463"/>
      <c r="Y29" s="463"/>
      <c r="Z29" s="463"/>
      <c r="AA29" s="464"/>
      <c r="AB29" s="447"/>
      <c r="AC29" s="448"/>
      <c r="AD29" s="448"/>
      <c r="AE29" s="448"/>
      <c r="AF29" s="448"/>
      <c r="AG29" s="449"/>
      <c r="AH29" s="453"/>
      <c r="AI29" s="454"/>
      <c r="AJ29" s="454"/>
      <c r="AK29" s="454"/>
      <c r="AL29" s="454"/>
      <c r="AM29" s="455"/>
      <c r="AN29" s="83"/>
      <c r="AO29" s="418"/>
      <c r="AP29" s="419"/>
      <c r="AQ29" s="419"/>
      <c r="AR29" s="419"/>
      <c r="AS29" s="419"/>
      <c r="AT29" s="42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392"/>
      <c r="C30" s="392"/>
      <c r="D30" s="393"/>
      <c r="E30" s="430" t="s">
        <v>186</v>
      </c>
      <c r="F30" s="431"/>
      <c r="G30" s="431"/>
      <c r="H30" s="431"/>
      <c r="I30" s="431"/>
      <c r="J30" s="474" t="str">
        <f>IF(AND('Mapa de Riesgos'!$H$12="Baja",'Mapa de Riesgos'!$L$12="Leve"),CONCATENATE("R",'Mapa de Riesgos'!$A$12),"")</f>
        <v/>
      </c>
      <c r="K30" s="475"/>
      <c r="L30" s="475" t="str">
        <f>IF(AND('Mapa de Riesgos'!$H$18="Baja",'Mapa de Riesgos'!$L$18="Leve"),CONCATENATE("R",'Mapa de Riesgos'!$A$18),"")</f>
        <v/>
      </c>
      <c r="M30" s="475"/>
      <c r="N30" s="475" t="str">
        <f>IF(AND('Mapa de Riesgos'!$H$24="Baja",'Mapa de Riesgos'!$L$24="Leve"),CONCATENATE("R",'Mapa de Riesgos'!$A$24),"")</f>
        <v/>
      </c>
      <c r="O30" s="476"/>
      <c r="P30" s="466" t="str">
        <f>IF(AND('Mapa de Riesgos'!$H$12="Baja",'Mapa de Riesgos'!$L$12="Menor"),CONCATENATE("R",'Mapa de Riesgos'!$A$12),"")</f>
        <v/>
      </c>
      <c r="Q30" s="466"/>
      <c r="R30" s="466" t="str">
        <f>IF(AND('Mapa de Riesgos'!$H$18="Baja",'Mapa de Riesgos'!$L$18="Menor"),CONCATENATE("R",'Mapa de Riesgos'!$A$18),"")</f>
        <v/>
      </c>
      <c r="S30" s="466"/>
      <c r="T30" s="466" t="str">
        <f>IF(AND('Mapa de Riesgos'!$H$24="Baja",'Mapa de Riesgos'!$L$24="Menor"),CONCATENATE("R",'Mapa de Riesgos'!$A$24),"")</f>
        <v/>
      </c>
      <c r="U30" s="467"/>
      <c r="V30" s="465" t="str">
        <f>IF(AND('Mapa de Riesgos'!$H$12="Baja",'Mapa de Riesgos'!$L$12="Moderado"),CONCATENATE("R",'Mapa de Riesgos'!$A$12),"")</f>
        <v/>
      </c>
      <c r="W30" s="466"/>
      <c r="X30" s="466" t="str">
        <f>IF(AND('Mapa de Riesgos'!$H$18="Baja",'Mapa de Riesgos'!$L$18="Moderado"),CONCATENATE("R",'Mapa de Riesgos'!$A$18),"")</f>
        <v/>
      </c>
      <c r="Y30" s="466"/>
      <c r="Z30" s="466" t="str">
        <f>IF(AND('Mapa de Riesgos'!$H$24="Baja",'Mapa de Riesgos'!$L$24="Moderado"),CONCATENATE("R",'Mapa de Riesgos'!$A$24),"")</f>
        <v/>
      </c>
      <c r="AA30" s="467"/>
      <c r="AB30" s="441" t="str">
        <f>IF(AND('Mapa de Riesgos'!$H$12="Baja",'Mapa de Riesgos'!$L$12="Mayor"),CONCATENATE("R",'Mapa de Riesgos'!$A$12),"")</f>
        <v/>
      </c>
      <c r="AC30" s="442"/>
      <c r="AD30" s="442" t="str">
        <f>IF(AND('Mapa de Riesgos'!$H$18="Baja",'Mapa de Riesgos'!$L$18="Mayor"),CONCATENATE("R",'Mapa de Riesgos'!$A$18),"")</f>
        <v/>
      </c>
      <c r="AE30" s="442"/>
      <c r="AF30" s="442" t="str">
        <f>IF(AND('Mapa de Riesgos'!$H$24="Baja",'Mapa de Riesgos'!$L$24="Mayor"),CONCATENATE("R",'Mapa de Riesgos'!$A$24),"")</f>
        <v/>
      </c>
      <c r="AG30" s="444"/>
      <c r="AH30" s="456" t="str">
        <f>IF(AND('Mapa de Riesgos'!$H$12="Baja",'Mapa de Riesgos'!$L$12="Catastrófico"),CONCATENATE("R",'Mapa de Riesgos'!$A$12),"")</f>
        <v/>
      </c>
      <c r="AI30" s="457"/>
      <c r="AJ30" s="457" t="str">
        <f>IF(AND('Mapa de Riesgos'!$H$18="Baja",'Mapa de Riesgos'!$L$18="Catastrófico"),CONCATENATE("R",'Mapa de Riesgos'!$A$18),"")</f>
        <v/>
      </c>
      <c r="AK30" s="457"/>
      <c r="AL30" s="457" t="str">
        <f>IF(AND('Mapa de Riesgos'!$H$24="Baja",'Mapa de Riesgos'!$L$24="Catastrófico"),CONCATENATE("R",'Mapa de Riesgos'!$A$24),"")</f>
        <v/>
      </c>
      <c r="AM30" s="458"/>
      <c r="AN30" s="83"/>
      <c r="AO30" s="421" t="s">
        <v>187</v>
      </c>
      <c r="AP30" s="422"/>
      <c r="AQ30" s="422"/>
      <c r="AR30" s="422"/>
      <c r="AS30" s="422"/>
      <c r="AT30" s="42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392"/>
      <c r="C31" s="392"/>
      <c r="D31" s="393"/>
      <c r="E31" s="433"/>
      <c r="F31" s="434"/>
      <c r="G31" s="434"/>
      <c r="H31" s="434"/>
      <c r="I31" s="434"/>
      <c r="J31" s="470"/>
      <c r="K31" s="468"/>
      <c r="L31" s="468"/>
      <c r="M31" s="468"/>
      <c r="N31" s="468"/>
      <c r="O31" s="469"/>
      <c r="P31" s="460"/>
      <c r="Q31" s="460"/>
      <c r="R31" s="460"/>
      <c r="S31" s="460"/>
      <c r="T31" s="460"/>
      <c r="U31" s="461"/>
      <c r="V31" s="459"/>
      <c r="W31" s="460"/>
      <c r="X31" s="460"/>
      <c r="Y31" s="460"/>
      <c r="Z31" s="460"/>
      <c r="AA31" s="461"/>
      <c r="AB31" s="443"/>
      <c r="AC31" s="439"/>
      <c r="AD31" s="439"/>
      <c r="AE31" s="439"/>
      <c r="AF31" s="439"/>
      <c r="AG31" s="440"/>
      <c r="AH31" s="450"/>
      <c r="AI31" s="451"/>
      <c r="AJ31" s="451"/>
      <c r="AK31" s="451"/>
      <c r="AL31" s="451"/>
      <c r="AM31" s="452"/>
      <c r="AN31" s="83"/>
      <c r="AO31" s="424"/>
      <c r="AP31" s="425"/>
      <c r="AQ31" s="425"/>
      <c r="AR31" s="425"/>
      <c r="AS31" s="425"/>
      <c r="AT31" s="42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392"/>
      <c r="C32" s="392"/>
      <c r="D32" s="393"/>
      <c r="E32" s="433"/>
      <c r="F32" s="434"/>
      <c r="G32" s="434"/>
      <c r="H32" s="434"/>
      <c r="I32" s="434"/>
      <c r="J32" s="470" t="str">
        <f>IF(AND('Mapa de Riesgos'!$H$30="Baja",'Mapa de Riesgos'!$L$30="Leve"),CONCATENATE("R",'Mapa de Riesgos'!$A$30),"")</f>
        <v/>
      </c>
      <c r="K32" s="468"/>
      <c r="L32" s="468" t="str">
        <f>IF(AND('Mapa de Riesgos'!$H$36="Baja",'Mapa de Riesgos'!$L$36="Leve"),CONCATENATE("R",'Mapa de Riesgos'!$A$36),"")</f>
        <v/>
      </c>
      <c r="M32" s="468"/>
      <c r="N32" s="468" t="str">
        <f>IF(AND('Mapa de Riesgos'!$H$42="Baja",'Mapa de Riesgos'!$L$42="Leve"),CONCATENATE("R",'Mapa de Riesgos'!$A$42),"")</f>
        <v/>
      </c>
      <c r="O32" s="469"/>
      <c r="P32" s="460" t="str">
        <f>IF(AND('Mapa de Riesgos'!$H$30="Baja",'Mapa de Riesgos'!$L$30="Menor"),CONCATENATE("R",'Mapa de Riesgos'!$A$30),"")</f>
        <v/>
      </c>
      <c r="Q32" s="460"/>
      <c r="R32" s="460" t="str">
        <f>IF(AND('Mapa de Riesgos'!$H$36="Baja",'Mapa de Riesgos'!$L$36="Menor"),CONCATENATE("R",'Mapa de Riesgos'!$A$36),"")</f>
        <v/>
      </c>
      <c r="S32" s="460"/>
      <c r="T32" s="460" t="str">
        <f>IF(AND('Mapa de Riesgos'!$H$42="Baja",'Mapa de Riesgos'!$L$42="Menor"),CONCATENATE("R",'Mapa de Riesgos'!$A$42),"")</f>
        <v/>
      </c>
      <c r="U32" s="461"/>
      <c r="V32" s="459" t="str">
        <f>IF(AND('Mapa de Riesgos'!$H$30="Baja",'Mapa de Riesgos'!$L$30="Moderado"),CONCATENATE("R",'Mapa de Riesgos'!$A$30),"")</f>
        <v>R4</v>
      </c>
      <c r="W32" s="460"/>
      <c r="X32" s="460" t="str">
        <f>IF(AND('Mapa de Riesgos'!$H$36="Baja",'Mapa de Riesgos'!$L$36="Moderado"),CONCATENATE("R",'Mapa de Riesgos'!$A$36),"")</f>
        <v/>
      </c>
      <c r="Y32" s="460"/>
      <c r="Z32" s="460" t="str">
        <f>IF(AND('Mapa de Riesgos'!$H$42="Baja",'Mapa de Riesgos'!$L$42="Moderado"),CONCATENATE("R",'Mapa de Riesgos'!$A$42),"")</f>
        <v/>
      </c>
      <c r="AA32" s="461"/>
      <c r="AB32" s="443" t="str">
        <f>IF(AND('Mapa de Riesgos'!$H$30="Baja",'Mapa de Riesgos'!$L$30="Mayor"),CONCATENATE("R",'Mapa de Riesgos'!$A$30),"")</f>
        <v/>
      </c>
      <c r="AC32" s="439"/>
      <c r="AD32" s="439" t="str">
        <f>IF(AND('Mapa de Riesgos'!$H$36="Baja",'Mapa de Riesgos'!$L$36="Mayor"),CONCATENATE("R",'Mapa de Riesgos'!$A$36),"")</f>
        <v/>
      </c>
      <c r="AE32" s="439"/>
      <c r="AF32" s="439" t="str">
        <f>IF(AND('Mapa de Riesgos'!$H$42="Baja",'Mapa de Riesgos'!$L$42="Mayor"),CONCATENATE("R",'Mapa de Riesgos'!$A$42),"")</f>
        <v/>
      </c>
      <c r="AG32" s="440"/>
      <c r="AH32" s="450" t="str">
        <f>IF(AND('Mapa de Riesgos'!$H$30="Baja",'Mapa de Riesgos'!$L$30="Catastrófico"),CONCATENATE("R",'Mapa de Riesgos'!$A$30),"")</f>
        <v/>
      </c>
      <c r="AI32" s="451"/>
      <c r="AJ32" s="451" t="str">
        <f>IF(AND('Mapa de Riesgos'!$H$36="Baja",'Mapa de Riesgos'!$L$36="Catastrófico"),CONCATENATE("R",'Mapa de Riesgos'!$A$36),"")</f>
        <v/>
      </c>
      <c r="AK32" s="451"/>
      <c r="AL32" s="451" t="str">
        <f>IF(AND('Mapa de Riesgos'!$H$42="Baja",'Mapa de Riesgos'!$L$42="Catastrófico"),CONCATENATE("R",'Mapa de Riesgos'!$A$42),"")</f>
        <v/>
      </c>
      <c r="AM32" s="452"/>
      <c r="AN32" s="83"/>
      <c r="AO32" s="424"/>
      <c r="AP32" s="425"/>
      <c r="AQ32" s="425"/>
      <c r="AR32" s="425"/>
      <c r="AS32" s="425"/>
      <c r="AT32" s="42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392"/>
      <c r="C33" s="392"/>
      <c r="D33" s="393"/>
      <c r="E33" s="433"/>
      <c r="F33" s="434"/>
      <c r="G33" s="434"/>
      <c r="H33" s="434"/>
      <c r="I33" s="434"/>
      <c r="J33" s="470"/>
      <c r="K33" s="468"/>
      <c r="L33" s="468"/>
      <c r="M33" s="468"/>
      <c r="N33" s="468"/>
      <c r="O33" s="469"/>
      <c r="P33" s="460"/>
      <c r="Q33" s="460"/>
      <c r="R33" s="460"/>
      <c r="S33" s="460"/>
      <c r="T33" s="460"/>
      <c r="U33" s="461"/>
      <c r="V33" s="459"/>
      <c r="W33" s="460"/>
      <c r="X33" s="460"/>
      <c r="Y33" s="460"/>
      <c r="Z33" s="460"/>
      <c r="AA33" s="461"/>
      <c r="AB33" s="443"/>
      <c r="AC33" s="439"/>
      <c r="AD33" s="439"/>
      <c r="AE33" s="439"/>
      <c r="AF33" s="439"/>
      <c r="AG33" s="440"/>
      <c r="AH33" s="450"/>
      <c r="AI33" s="451"/>
      <c r="AJ33" s="451"/>
      <c r="AK33" s="451"/>
      <c r="AL33" s="451"/>
      <c r="AM33" s="452"/>
      <c r="AN33" s="83"/>
      <c r="AO33" s="424"/>
      <c r="AP33" s="425"/>
      <c r="AQ33" s="425"/>
      <c r="AR33" s="425"/>
      <c r="AS33" s="425"/>
      <c r="AT33" s="42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392"/>
      <c r="C34" s="392"/>
      <c r="D34" s="393"/>
      <c r="E34" s="433"/>
      <c r="F34" s="434"/>
      <c r="G34" s="434"/>
      <c r="H34" s="434"/>
      <c r="I34" s="434"/>
      <c r="J34" s="470" t="str">
        <f>IF(AND('Mapa de Riesgos'!$H$48="Baja",'Mapa de Riesgos'!$L$48="Leve"),CONCATENATE("R",'Mapa de Riesgos'!$A$48),"")</f>
        <v/>
      </c>
      <c r="K34" s="468"/>
      <c r="L34" s="468" t="str">
        <f>IF(AND('Mapa de Riesgos'!$H$54="Baja",'Mapa de Riesgos'!$L$54="Leve"),CONCATENATE("R",'Mapa de Riesgos'!$A$54),"")</f>
        <v/>
      </c>
      <c r="M34" s="468"/>
      <c r="N34" s="468" t="str">
        <f>IF(AND('Mapa de Riesgos'!$H$60="Baja",'Mapa de Riesgos'!$L$60="Leve"),CONCATENATE("R",'Mapa de Riesgos'!$A$60),"")</f>
        <v/>
      </c>
      <c r="O34" s="469"/>
      <c r="P34" s="460" t="str">
        <f>IF(AND('Mapa de Riesgos'!$H$48="Baja",'Mapa de Riesgos'!$L$48="Menor"),CONCATENATE("R",'Mapa de Riesgos'!$A$48),"")</f>
        <v/>
      </c>
      <c r="Q34" s="460"/>
      <c r="R34" s="460" t="str">
        <f>IF(AND('Mapa de Riesgos'!$H$54="Baja",'Mapa de Riesgos'!$L$54="Menor"),CONCATENATE("R",'Mapa de Riesgos'!$A$54),"")</f>
        <v/>
      </c>
      <c r="S34" s="460"/>
      <c r="T34" s="460" t="str">
        <f>IF(AND('Mapa de Riesgos'!$H$60="Baja",'Mapa de Riesgos'!$L$60="Menor"),CONCATENATE("R",'Mapa de Riesgos'!$A$60),"")</f>
        <v/>
      </c>
      <c r="U34" s="461"/>
      <c r="V34" s="459" t="str">
        <f>IF(AND('Mapa de Riesgos'!$H$48="Baja",'Mapa de Riesgos'!$L$48="Moderado"),CONCATENATE("R",'Mapa de Riesgos'!$A$48),"")</f>
        <v/>
      </c>
      <c r="W34" s="460"/>
      <c r="X34" s="460" t="str">
        <f>IF(AND('Mapa de Riesgos'!$H$54="Baja",'Mapa de Riesgos'!$L$54="Moderado"),CONCATENATE("R",'Mapa de Riesgos'!$A$54),"")</f>
        <v/>
      </c>
      <c r="Y34" s="460"/>
      <c r="Z34" s="460" t="str">
        <f>IF(AND('Mapa de Riesgos'!$H$60="Baja",'Mapa de Riesgos'!$L$60="Moderado"),CONCATENATE("R",'Mapa de Riesgos'!$A$60),"")</f>
        <v/>
      </c>
      <c r="AA34" s="461"/>
      <c r="AB34" s="443" t="str">
        <f>IF(AND('Mapa de Riesgos'!$H$48="Baja",'Mapa de Riesgos'!$L$48="Mayor"),CONCATENATE("R",'Mapa de Riesgos'!$A$48),"")</f>
        <v/>
      </c>
      <c r="AC34" s="439"/>
      <c r="AD34" s="439" t="str">
        <f>IF(AND('Mapa de Riesgos'!$H$54="Baja",'Mapa de Riesgos'!$L$54="Mayor"),CONCATENATE("R",'Mapa de Riesgos'!$A$54),"")</f>
        <v/>
      </c>
      <c r="AE34" s="439"/>
      <c r="AF34" s="439" t="str">
        <f>IF(AND('Mapa de Riesgos'!$H$60="Baja",'Mapa de Riesgos'!$L$60="Mayor"),CONCATENATE("R",'Mapa de Riesgos'!$A$60),"")</f>
        <v/>
      </c>
      <c r="AG34" s="440"/>
      <c r="AH34" s="450" t="str">
        <f>IF(AND('Mapa de Riesgos'!$H$48="Baja",'Mapa de Riesgos'!$L$48="Catastrófico"),CONCATENATE("R",'Mapa de Riesgos'!$A$48),"")</f>
        <v/>
      </c>
      <c r="AI34" s="451"/>
      <c r="AJ34" s="451" t="str">
        <f>IF(AND('Mapa de Riesgos'!$H$54="Baja",'Mapa de Riesgos'!$L$54="Catastrófico"),CONCATENATE("R",'Mapa de Riesgos'!$A$54),"")</f>
        <v/>
      </c>
      <c r="AK34" s="451"/>
      <c r="AL34" s="451" t="str">
        <f>IF(AND('Mapa de Riesgos'!$H$60="Baja",'Mapa de Riesgos'!$L$60="Catastrófico"),CONCATENATE("R",'Mapa de Riesgos'!$A$60),"")</f>
        <v/>
      </c>
      <c r="AM34" s="452"/>
      <c r="AN34" s="83"/>
      <c r="AO34" s="424"/>
      <c r="AP34" s="425"/>
      <c r="AQ34" s="425"/>
      <c r="AR34" s="425"/>
      <c r="AS34" s="425"/>
      <c r="AT34" s="42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392"/>
      <c r="C35" s="392"/>
      <c r="D35" s="393"/>
      <c r="E35" s="433"/>
      <c r="F35" s="434"/>
      <c r="G35" s="434"/>
      <c r="H35" s="434"/>
      <c r="I35" s="434"/>
      <c r="J35" s="470"/>
      <c r="K35" s="468"/>
      <c r="L35" s="468"/>
      <c r="M35" s="468"/>
      <c r="N35" s="468"/>
      <c r="O35" s="469"/>
      <c r="P35" s="460"/>
      <c r="Q35" s="460"/>
      <c r="R35" s="460"/>
      <c r="S35" s="460"/>
      <c r="T35" s="460"/>
      <c r="U35" s="461"/>
      <c r="V35" s="459"/>
      <c r="W35" s="460"/>
      <c r="X35" s="460"/>
      <c r="Y35" s="460"/>
      <c r="Z35" s="460"/>
      <c r="AA35" s="461"/>
      <c r="AB35" s="443"/>
      <c r="AC35" s="439"/>
      <c r="AD35" s="439"/>
      <c r="AE35" s="439"/>
      <c r="AF35" s="439"/>
      <c r="AG35" s="440"/>
      <c r="AH35" s="450"/>
      <c r="AI35" s="451"/>
      <c r="AJ35" s="451"/>
      <c r="AK35" s="451"/>
      <c r="AL35" s="451"/>
      <c r="AM35" s="452"/>
      <c r="AN35" s="83"/>
      <c r="AO35" s="424"/>
      <c r="AP35" s="425"/>
      <c r="AQ35" s="425"/>
      <c r="AR35" s="425"/>
      <c r="AS35" s="425"/>
      <c r="AT35" s="42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392"/>
      <c r="C36" s="392"/>
      <c r="D36" s="393"/>
      <c r="E36" s="433"/>
      <c r="F36" s="434"/>
      <c r="G36" s="434"/>
      <c r="H36" s="434"/>
      <c r="I36" s="434"/>
      <c r="J36" s="470" t="str">
        <f>IF(AND('Mapa de Riesgos'!$H$66="Baja",'Mapa de Riesgos'!$L$66="Leve"),CONCATENATE("R",'Mapa de Riesgos'!$A$66),"")</f>
        <v/>
      </c>
      <c r="K36" s="468"/>
      <c r="L36" s="468" t="str">
        <f>IF(AND('Mapa de Riesgos'!$H$72="Baja",'Mapa de Riesgos'!$L$72="Leve"),CONCATENATE("R",'Mapa de Riesgos'!$A$72),"")</f>
        <v/>
      </c>
      <c r="M36" s="468"/>
      <c r="N36" s="468" t="str">
        <f>IF(AND('Mapa de Riesgos'!$H$78="Baja",'Mapa de Riesgos'!$L$78="Leve"),CONCATENATE("R",'Mapa de Riesgos'!$A$78),"")</f>
        <v/>
      </c>
      <c r="O36" s="469"/>
      <c r="P36" s="460" t="str">
        <f>IF(AND('Mapa de Riesgos'!$H$66="Baja",'Mapa de Riesgos'!$L$66="Menor"),CONCATENATE("R",'Mapa de Riesgos'!$A$66),"")</f>
        <v/>
      </c>
      <c r="Q36" s="460"/>
      <c r="R36" s="460" t="str">
        <f>IF(AND('Mapa de Riesgos'!$H$72="Baja",'Mapa de Riesgos'!$L$72="Menor"),CONCATENATE("R",'Mapa de Riesgos'!$A$72),"")</f>
        <v/>
      </c>
      <c r="S36" s="460"/>
      <c r="T36" s="460" t="str">
        <f>IF(AND('Mapa de Riesgos'!$H$78="Baja",'Mapa de Riesgos'!$L$78="Menor"),CONCATENATE("R",'Mapa de Riesgos'!$A$78),"")</f>
        <v/>
      </c>
      <c r="U36" s="461"/>
      <c r="V36" s="459" t="str">
        <f>IF(AND('Mapa de Riesgos'!$H$66="Baja",'Mapa de Riesgos'!$L$66="Moderado"),CONCATENATE("R",'Mapa de Riesgos'!$A$66),"")</f>
        <v/>
      </c>
      <c r="W36" s="460"/>
      <c r="X36" s="460" t="str">
        <f>IF(AND('Mapa de Riesgos'!$H$72="Baja",'Mapa de Riesgos'!$L$72="Moderado"),CONCATENATE("R",'Mapa de Riesgos'!$A$72),"")</f>
        <v/>
      </c>
      <c r="Y36" s="460"/>
      <c r="Z36" s="460" t="str">
        <f>IF(AND('Mapa de Riesgos'!$H$78="Baja",'Mapa de Riesgos'!$L$78="Moderado"),CONCATENATE("R",'Mapa de Riesgos'!$A$78),"")</f>
        <v/>
      </c>
      <c r="AA36" s="461"/>
      <c r="AB36" s="443" t="str">
        <f>IF(AND('Mapa de Riesgos'!$H$66="Baja",'Mapa de Riesgos'!$L$66="Mayor"),CONCATENATE("R",'Mapa de Riesgos'!$A$66),"")</f>
        <v/>
      </c>
      <c r="AC36" s="439"/>
      <c r="AD36" s="439" t="str">
        <f>IF(AND('Mapa de Riesgos'!$H$72="Baja",'Mapa de Riesgos'!$L$72="Mayor"),CONCATENATE("R",'Mapa de Riesgos'!$A$72),"")</f>
        <v/>
      </c>
      <c r="AE36" s="439"/>
      <c r="AF36" s="439" t="str">
        <f>IF(AND('Mapa de Riesgos'!$H$78="Baja",'Mapa de Riesgos'!$L$78="Mayor"),CONCATENATE("R",'Mapa de Riesgos'!$A$78),"")</f>
        <v/>
      </c>
      <c r="AG36" s="440"/>
      <c r="AH36" s="450" t="str">
        <f>IF(AND('Mapa de Riesgos'!$H$66="Baja",'Mapa de Riesgos'!$L$66="Catastrófico"),CONCATENATE("R",'Mapa de Riesgos'!$A$66),"")</f>
        <v/>
      </c>
      <c r="AI36" s="451"/>
      <c r="AJ36" s="451" t="str">
        <f>IF(AND('Mapa de Riesgos'!$H$72="Baja",'Mapa de Riesgos'!$L$72="Catastrófico"),CONCATENATE("R",'Mapa de Riesgos'!$A$72),"")</f>
        <v/>
      </c>
      <c r="AK36" s="451"/>
      <c r="AL36" s="451" t="str">
        <f>IF(AND('Mapa de Riesgos'!$H$78="Baja",'Mapa de Riesgos'!$L$78="Catastrófico"),CONCATENATE("R",'Mapa de Riesgos'!$A$78),"")</f>
        <v/>
      </c>
      <c r="AM36" s="452"/>
      <c r="AN36" s="83"/>
      <c r="AO36" s="424"/>
      <c r="AP36" s="425"/>
      <c r="AQ36" s="425"/>
      <c r="AR36" s="425"/>
      <c r="AS36" s="425"/>
      <c r="AT36" s="42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392"/>
      <c r="C37" s="392"/>
      <c r="D37" s="393"/>
      <c r="E37" s="436"/>
      <c r="F37" s="437"/>
      <c r="G37" s="437"/>
      <c r="H37" s="437"/>
      <c r="I37" s="437"/>
      <c r="J37" s="471"/>
      <c r="K37" s="472"/>
      <c r="L37" s="472"/>
      <c r="M37" s="472"/>
      <c r="N37" s="472"/>
      <c r="O37" s="473"/>
      <c r="P37" s="463"/>
      <c r="Q37" s="463"/>
      <c r="R37" s="463"/>
      <c r="S37" s="463"/>
      <c r="T37" s="463"/>
      <c r="U37" s="464"/>
      <c r="V37" s="462"/>
      <c r="W37" s="463"/>
      <c r="X37" s="463"/>
      <c r="Y37" s="463"/>
      <c r="Z37" s="463"/>
      <c r="AA37" s="464"/>
      <c r="AB37" s="447"/>
      <c r="AC37" s="448"/>
      <c r="AD37" s="448"/>
      <c r="AE37" s="448"/>
      <c r="AF37" s="448"/>
      <c r="AG37" s="449"/>
      <c r="AH37" s="453"/>
      <c r="AI37" s="454"/>
      <c r="AJ37" s="454"/>
      <c r="AK37" s="454"/>
      <c r="AL37" s="454"/>
      <c r="AM37" s="455"/>
      <c r="AN37" s="83"/>
      <c r="AO37" s="427"/>
      <c r="AP37" s="428"/>
      <c r="AQ37" s="428"/>
      <c r="AR37" s="428"/>
      <c r="AS37" s="428"/>
      <c r="AT37" s="42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392"/>
      <c r="C38" s="392"/>
      <c r="D38" s="393"/>
      <c r="E38" s="430" t="s">
        <v>188</v>
      </c>
      <c r="F38" s="431"/>
      <c r="G38" s="431"/>
      <c r="H38" s="431"/>
      <c r="I38" s="432"/>
      <c r="J38" s="474" t="str">
        <f>IF(AND('Mapa de Riesgos'!$H$12="Muy Baja",'Mapa de Riesgos'!$L$12="Leve"),CONCATENATE("R",'Mapa de Riesgos'!$A$12),"")</f>
        <v/>
      </c>
      <c r="K38" s="475"/>
      <c r="L38" s="475" t="str">
        <f>IF(AND('Mapa de Riesgos'!$H$18="Muy Baja",'Mapa de Riesgos'!$L$18="Leve"),CONCATENATE("R",'Mapa de Riesgos'!$A$18),"")</f>
        <v/>
      </c>
      <c r="M38" s="475"/>
      <c r="N38" s="475" t="str">
        <f>IF(AND('Mapa de Riesgos'!$H$24="Muy Baja",'Mapa de Riesgos'!$L$24="Leve"),CONCATENATE("R",'Mapa de Riesgos'!$A$24),"")</f>
        <v/>
      </c>
      <c r="O38" s="476"/>
      <c r="P38" s="474" t="str">
        <f>IF(AND('Mapa de Riesgos'!$H$12="Muy Baja",'Mapa de Riesgos'!$L$12="Menor"),CONCATENATE("R",'Mapa de Riesgos'!$A$12),"")</f>
        <v/>
      </c>
      <c r="Q38" s="475"/>
      <c r="R38" s="475" t="str">
        <f>IF(AND('Mapa de Riesgos'!$H$18="Muy Baja",'Mapa de Riesgos'!$L$18="Menor"),CONCATENATE("R",'Mapa de Riesgos'!$A$18),"")</f>
        <v/>
      </c>
      <c r="S38" s="475"/>
      <c r="T38" s="475" t="str">
        <f>IF(AND('Mapa de Riesgos'!$H$24="Muy Baja",'Mapa de Riesgos'!$L$24="Menor"),CONCATENATE("R",'Mapa de Riesgos'!$A$24),"")</f>
        <v/>
      </c>
      <c r="U38" s="476"/>
      <c r="V38" s="465" t="str">
        <f>IF(AND('Mapa de Riesgos'!$H$12="Muy Baja",'Mapa de Riesgos'!$L$12="Moderado"),CONCATENATE("R",'Mapa de Riesgos'!$A$12),"")</f>
        <v/>
      </c>
      <c r="W38" s="466"/>
      <c r="X38" s="466" t="str">
        <f>IF(AND('Mapa de Riesgos'!$H$18="Muy Baja",'Mapa de Riesgos'!$L$18="Moderado"),CONCATENATE("R",'Mapa de Riesgos'!$A$18),"")</f>
        <v/>
      </c>
      <c r="Y38" s="466"/>
      <c r="Z38" s="466" t="str">
        <f>IF(AND('Mapa de Riesgos'!$H$24="Muy Baja",'Mapa de Riesgos'!$L$24="Moderado"),CONCATENATE("R",'Mapa de Riesgos'!$A$24),"")</f>
        <v/>
      </c>
      <c r="AA38" s="467"/>
      <c r="AB38" s="441" t="str">
        <f>IF(AND('Mapa de Riesgos'!$H$12="Muy Baja",'Mapa de Riesgos'!$L$12="Mayor"),CONCATENATE("R",'Mapa de Riesgos'!$A$12),"")</f>
        <v/>
      </c>
      <c r="AC38" s="442"/>
      <c r="AD38" s="442" t="str">
        <f>IF(AND('Mapa de Riesgos'!$H$18="Muy Baja",'Mapa de Riesgos'!$L$18="Mayor"),CONCATENATE("R",'Mapa de Riesgos'!$A$18),"")</f>
        <v/>
      </c>
      <c r="AE38" s="442"/>
      <c r="AF38" s="442" t="str">
        <f>IF(AND('Mapa de Riesgos'!$H$24="Muy Baja",'Mapa de Riesgos'!$L$24="Mayor"),CONCATENATE("R",'Mapa de Riesgos'!$A$24),"")</f>
        <v/>
      </c>
      <c r="AG38" s="444"/>
      <c r="AH38" s="456" t="str">
        <f>IF(AND('Mapa de Riesgos'!$H$12="Muy Baja",'Mapa de Riesgos'!$L$12="Catastrófico"),CONCATENATE("R",'Mapa de Riesgos'!$A$12),"")</f>
        <v/>
      </c>
      <c r="AI38" s="457"/>
      <c r="AJ38" s="457" t="str">
        <f>IF(AND('Mapa de Riesgos'!$H$18="Muy Baja",'Mapa de Riesgos'!$L$18="Catastrófico"),CONCATENATE("R",'Mapa de Riesgos'!$A$18),"")</f>
        <v/>
      </c>
      <c r="AK38" s="457"/>
      <c r="AL38" s="457" t="str">
        <f>IF(AND('Mapa de Riesgos'!$H$24="Muy Baja",'Mapa de Riesgos'!$L$24="Catastrófico"),CONCATENATE("R",'Mapa de Riesgos'!$A$24),"")</f>
        <v/>
      </c>
      <c r="AM38" s="458"/>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392"/>
      <c r="C39" s="392"/>
      <c r="D39" s="393"/>
      <c r="E39" s="433"/>
      <c r="F39" s="434"/>
      <c r="G39" s="434"/>
      <c r="H39" s="434"/>
      <c r="I39" s="435"/>
      <c r="J39" s="470"/>
      <c r="K39" s="468"/>
      <c r="L39" s="468"/>
      <c r="M39" s="468"/>
      <c r="N39" s="468"/>
      <c r="O39" s="469"/>
      <c r="P39" s="470"/>
      <c r="Q39" s="468"/>
      <c r="R39" s="468"/>
      <c r="S39" s="468"/>
      <c r="T39" s="468"/>
      <c r="U39" s="469"/>
      <c r="V39" s="459"/>
      <c r="W39" s="460"/>
      <c r="X39" s="460"/>
      <c r="Y39" s="460"/>
      <c r="Z39" s="460"/>
      <c r="AA39" s="461"/>
      <c r="AB39" s="443"/>
      <c r="AC39" s="439"/>
      <c r="AD39" s="439"/>
      <c r="AE39" s="439"/>
      <c r="AF39" s="439"/>
      <c r="AG39" s="440"/>
      <c r="AH39" s="450"/>
      <c r="AI39" s="451"/>
      <c r="AJ39" s="451"/>
      <c r="AK39" s="451"/>
      <c r="AL39" s="451"/>
      <c r="AM39" s="452"/>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392"/>
      <c r="C40" s="392"/>
      <c r="D40" s="393"/>
      <c r="E40" s="433"/>
      <c r="F40" s="434"/>
      <c r="G40" s="434"/>
      <c r="H40" s="434"/>
      <c r="I40" s="435"/>
      <c r="J40" s="470" t="str">
        <f>IF(AND('Mapa de Riesgos'!$H$30="Muy Baja",'Mapa de Riesgos'!$L$30="Leve"),CONCATENATE("R",'Mapa de Riesgos'!$A$30),"")</f>
        <v/>
      </c>
      <c r="K40" s="468"/>
      <c r="L40" s="468" t="str">
        <f>IF(AND('Mapa de Riesgos'!$H$36="Muy Baja",'Mapa de Riesgos'!$L$36="Leve"),CONCATENATE("R",'Mapa de Riesgos'!$A$36),"")</f>
        <v/>
      </c>
      <c r="M40" s="468"/>
      <c r="N40" s="468" t="str">
        <f>IF(AND('Mapa de Riesgos'!$H$42="Muy Baja",'Mapa de Riesgos'!$L$42="Leve"),CONCATENATE("R",'Mapa de Riesgos'!$A$42),"")</f>
        <v/>
      </c>
      <c r="O40" s="469"/>
      <c r="P40" s="470" t="str">
        <f>IF(AND('Mapa de Riesgos'!$H$30="Muy Baja",'Mapa de Riesgos'!$L$30="Menor"),CONCATENATE("R",'Mapa de Riesgos'!$A$30),"")</f>
        <v/>
      </c>
      <c r="Q40" s="468"/>
      <c r="R40" s="468" t="str">
        <f>IF(AND('Mapa de Riesgos'!$H$36="Muy Baja",'Mapa de Riesgos'!$L$36="Menor"),CONCATENATE("R",'Mapa de Riesgos'!$A$36),"")</f>
        <v/>
      </c>
      <c r="S40" s="468"/>
      <c r="T40" s="468" t="str">
        <f>IF(AND('Mapa de Riesgos'!$H$42="Muy Baja",'Mapa de Riesgos'!$L$42="Menor"),CONCATENATE("R",'Mapa de Riesgos'!$A$42),"")</f>
        <v/>
      </c>
      <c r="U40" s="469"/>
      <c r="V40" s="459" t="str">
        <f>IF(AND('Mapa de Riesgos'!$H$30="Muy Baja",'Mapa de Riesgos'!$L$30="Moderado"),CONCATENATE("R",'Mapa de Riesgos'!$A$30),"")</f>
        <v/>
      </c>
      <c r="W40" s="460"/>
      <c r="X40" s="460" t="str">
        <f>IF(AND('Mapa de Riesgos'!$H$36="Muy Baja",'Mapa de Riesgos'!$L$36="Moderado"),CONCATENATE("R",'Mapa de Riesgos'!$A$36),"")</f>
        <v/>
      </c>
      <c r="Y40" s="460"/>
      <c r="Z40" s="460" t="str">
        <f>IF(AND('Mapa de Riesgos'!$H$42="Muy Baja",'Mapa de Riesgos'!$L$42="Moderado"),CONCATENATE("R",'Mapa de Riesgos'!$A$42),"")</f>
        <v/>
      </c>
      <c r="AA40" s="461"/>
      <c r="AB40" s="443" t="str">
        <f>IF(AND('Mapa de Riesgos'!$H$30="Muy Baja",'Mapa de Riesgos'!$L$30="Mayor"),CONCATENATE("R",'Mapa de Riesgos'!$A$30),"")</f>
        <v/>
      </c>
      <c r="AC40" s="439"/>
      <c r="AD40" s="439" t="str">
        <f>IF(AND('Mapa de Riesgos'!$H$36="Muy Baja",'Mapa de Riesgos'!$L$36="Mayor"),CONCATENATE("R",'Mapa de Riesgos'!$A$36),"")</f>
        <v/>
      </c>
      <c r="AE40" s="439"/>
      <c r="AF40" s="439" t="str">
        <f>IF(AND('Mapa de Riesgos'!$H$42="Muy Baja",'Mapa de Riesgos'!$L$42="Mayor"),CONCATENATE("R",'Mapa de Riesgos'!$A$42),"")</f>
        <v/>
      </c>
      <c r="AG40" s="440"/>
      <c r="AH40" s="450" t="str">
        <f>IF(AND('Mapa de Riesgos'!$H$30="Muy Baja",'Mapa de Riesgos'!$L$30="Catastrófico"),CONCATENATE("R",'Mapa de Riesgos'!$A$30),"")</f>
        <v/>
      </c>
      <c r="AI40" s="451"/>
      <c r="AJ40" s="451" t="str">
        <f>IF(AND('Mapa de Riesgos'!$H$36="Muy Baja",'Mapa de Riesgos'!$L$36="Catastrófico"),CONCATENATE("R",'Mapa de Riesgos'!$A$36),"")</f>
        <v/>
      </c>
      <c r="AK40" s="451"/>
      <c r="AL40" s="451" t="str">
        <f>IF(AND('Mapa de Riesgos'!$H$42="Muy Baja",'Mapa de Riesgos'!$L$42="Catastrófico"),CONCATENATE("R",'Mapa de Riesgos'!$A$42),"")</f>
        <v/>
      </c>
      <c r="AM40" s="452"/>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392"/>
      <c r="C41" s="392"/>
      <c r="D41" s="393"/>
      <c r="E41" s="433"/>
      <c r="F41" s="434"/>
      <c r="G41" s="434"/>
      <c r="H41" s="434"/>
      <c r="I41" s="435"/>
      <c r="J41" s="470"/>
      <c r="K41" s="468"/>
      <c r="L41" s="468"/>
      <c r="M41" s="468"/>
      <c r="N41" s="468"/>
      <c r="O41" s="469"/>
      <c r="P41" s="470"/>
      <c r="Q41" s="468"/>
      <c r="R41" s="468"/>
      <c r="S41" s="468"/>
      <c r="T41" s="468"/>
      <c r="U41" s="469"/>
      <c r="V41" s="459"/>
      <c r="W41" s="460"/>
      <c r="X41" s="460"/>
      <c r="Y41" s="460"/>
      <c r="Z41" s="460"/>
      <c r="AA41" s="461"/>
      <c r="AB41" s="443"/>
      <c r="AC41" s="439"/>
      <c r="AD41" s="439"/>
      <c r="AE41" s="439"/>
      <c r="AF41" s="439"/>
      <c r="AG41" s="440"/>
      <c r="AH41" s="450"/>
      <c r="AI41" s="451"/>
      <c r="AJ41" s="451"/>
      <c r="AK41" s="451"/>
      <c r="AL41" s="451"/>
      <c r="AM41" s="452"/>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392"/>
      <c r="C42" s="392"/>
      <c r="D42" s="393"/>
      <c r="E42" s="433"/>
      <c r="F42" s="434"/>
      <c r="G42" s="434"/>
      <c r="H42" s="434"/>
      <c r="I42" s="435"/>
      <c r="J42" s="470" t="str">
        <f>IF(AND('Mapa de Riesgos'!$H$48="Muy Baja",'Mapa de Riesgos'!$L$48="Leve"),CONCATENATE("R",'Mapa de Riesgos'!$A$48),"")</f>
        <v/>
      </c>
      <c r="K42" s="468"/>
      <c r="L42" s="468" t="str">
        <f>IF(AND('Mapa de Riesgos'!$H$54="Muy Baja",'Mapa de Riesgos'!$L$54="Leve"),CONCATENATE("R",'Mapa de Riesgos'!$A$54),"")</f>
        <v/>
      </c>
      <c r="M42" s="468"/>
      <c r="N42" s="468" t="str">
        <f>IF(AND('Mapa de Riesgos'!$H$60="Muy Baja",'Mapa de Riesgos'!$L$60="Leve"),CONCATENATE("R",'Mapa de Riesgos'!$A$60),"")</f>
        <v/>
      </c>
      <c r="O42" s="469"/>
      <c r="P42" s="470" t="str">
        <f>IF(AND('Mapa de Riesgos'!$H$48="Muy Baja",'Mapa de Riesgos'!$L$48="Menor"),CONCATENATE("R",'Mapa de Riesgos'!$A$48),"")</f>
        <v/>
      </c>
      <c r="Q42" s="468"/>
      <c r="R42" s="468" t="str">
        <f>IF(AND('Mapa de Riesgos'!$H$54="Muy Baja",'Mapa de Riesgos'!$L$54="Menor"),CONCATENATE("R",'Mapa de Riesgos'!$A$54),"")</f>
        <v/>
      </c>
      <c r="S42" s="468"/>
      <c r="T42" s="468" t="str">
        <f>IF(AND('Mapa de Riesgos'!$H$60="Muy Baja",'Mapa de Riesgos'!$L$60="Menor"),CONCATENATE("R",'Mapa de Riesgos'!$A$60),"")</f>
        <v/>
      </c>
      <c r="U42" s="469"/>
      <c r="V42" s="459" t="str">
        <f>IF(AND('Mapa de Riesgos'!$H$48="Muy Baja",'Mapa de Riesgos'!$L$48="Moderado"),CONCATENATE("R",'Mapa de Riesgos'!$A$48),"")</f>
        <v/>
      </c>
      <c r="W42" s="460"/>
      <c r="X42" s="460" t="str">
        <f>IF(AND('Mapa de Riesgos'!$H$54="Muy Baja",'Mapa de Riesgos'!$L$54="Moderado"),CONCATENATE("R",'Mapa de Riesgos'!$A$54),"")</f>
        <v/>
      </c>
      <c r="Y42" s="460"/>
      <c r="Z42" s="460" t="str">
        <f>IF(AND('Mapa de Riesgos'!$H$60="Muy Baja",'Mapa de Riesgos'!$L$60="Moderado"),CONCATENATE("R",'Mapa de Riesgos'!$A$60),"")</f>
        <v/>
      </c>
      <c r="AA42" s="461"/>
      <c r="AB42" s="443" t="str">
        <f>IF(AND('Mapa de Riesgos'!$H$48="Muy Baja",'Mapa de Riesgos'!$L$48="Mayor"),CONCATENATE("R",'Mapa de Riesgos'!$A$48),"")</f>
        <v/>
      </c>
      <c r="AC42" s="439"/>
      <c r="AD42" s="439" t="str">
        <f>IF(AND('Mapa de Riesgos'!$H$54="Muy Baja",'Mapa de Riesgos'!$L$54="Mayor"),CONCATENATE("R",'Mapa de Riesgos'!$A$54),"")</f>
        <v/>
      </c>
      <c r="AE42" s="439"/>
      <c r="AF42" s="439" t="str">
        <f>IF(AND('Mapa de Riesgos'!$H$60="Muy Baja",'Mapa de Riesgos'!$L$60="Mayor"),CONCATENATE("R",'Mapa de Riesgos'!$A$60),"")</f>
        <v/>
      </c>
      <c r="AG42" s="440"/>
      <c r="AH42" s="450" t="str">
        <f>IF(AND('Mapa de Riesgos'!$H$48="Muy Baja",'Mapa de Riesgos'!$L$48="Catastrófico"),CONCATENATE("R",'Mapa de Riesgos'!$A$48),"")</f>
        <v/>
      </c>
      <c r="AI42" s="451"/>
      <c r="AJ42" s="451" t="str">
        <f>IF(AND('Mapa de Riesgos'!$H$54="Muy Baja",'Mapa de Riesgos'!$L$54="Catastrófico"),CONCATENATE("R",'Mapa de Riesgos'!$A$54),"")</f>
        <v/>
      </c>
      <c r="AK42" s="451"/>
      <c r="AL42" s="451" t="str">
        <f>IF(AND('Mapa de Riesgos'!$H$60="Muy Baja",'Mapa de Riesgos'!$L$60="Catastrófico"),CONCATENATE("R",'Mapa de Riesgos'!$A$60),"")</f>
        <v/>
      </c>
      <c r="AM42" s="452"/>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392"/>
      <c r="C43" s="392"/>
      <c r="D43" s="393"/>
      <c r="E43" s="433"/>
      <c r="F43" s="434"/>
      <c r="G43" s="434"/>
      <c r="H43" s="434"/>
      <c r="I43" s="435"/>
      <c r="J43" s="470"/>
      <c r="K43" s="468"/>
      <c r="L43" s="468"/>
      <c r="M43" s="468"/>
      <c r="N43" s="468"/>
      <c r="O43" s="469"/>
      <c r="P43" s="470"/>
      <c r="Q43" s="468"/>
      <c r="R43" s="468"/>
      <c r="S43" s="468"/>
      <c r="T43" s="468"/>
      <c r="U43" s="469"/>
      <c r="V43" s="459"/>
      <c r="W43" s="460"/>
      <c r="X43" s="460"/>
      <c r="Y43" s="460"/>
      <c r="Z43" s="460"/>
      <c r="AA43" s="461"/>
      <c r="AB43" s="443"/>
      <c r="AC43" s="439"/>
      <c r="AD43" s="439"/>
      <c r="AE43" s="439"/>
      <c r="AF43" s="439"/>
      <c r="AG43" s="440"/>
      <c r="AH43" s="450"/>
      <c r="AI43" s="451"/>
      <c r="AJ43" s="451"/>
      <c r="AK43" s="451"/>
      <c r="AL43" s="451"/>
      <c r="AM43" s="452"/>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392"/>
      <c r="C44" s="392"/>
      <c r="D44" s="393"/>
      <c r="E44" s="433"/>
      <c r="F44" s="434"/>
      <c r="G44" s="434"/>
      <c r="H44" s="434"/>
      <c r="I44" s="435"/>
      <c r="J44" s="470" t="str">
        <f>IF(AND('Mapa de Riesgos'!$H$66="Muy Baja",'Mapa de Riesgos'!$L$66="Leve"),CONCATENATE("R",'Mapa de Riesgos'!$A$66),"")</f>
        <v/>
      </c>
      <c r="K44" s="468"/>
      <c r="L44" s="468" t="str">
        <f>IF(AND('Mapa de Riesgos'!$H$72="Muy Baja",'Mapa de Riesgos'!$L$72="Leve"),CONCATENATE("R",'Mapa de Riesgos'!$A$72),"")</f>
        <v/>
      </c>
      <c r="M44" s="468"/>
      <c r="N44" s="468" t="str">
        <f>IF(AND('Mapa de Riesgos'!$H$78="Muy Baja",'Mapa de Riesgos'!$L$78="Leve"),CONCATENATE("R",'Mapa de Riesgos'!$A$78),"")</f>
        <v/>
      </c>
      <c r="O44" s="469"/>
      <c r="P44" s="470" t="str">
        <f>IF(AND('Mapa de Riesgos'!$H$66="Muy Baja",'Mapa de Riesgos'!$L$66="Menor"),CONCATENATE("R",'Mapa de Riesgos'!$A$66),"")</f>
        <v/>
      </c>
      <c r="Q44" s="468"/>
      <c r="R44" s="468" t="str">
        <f>IF(AND('Mapa de Riesgos'!$H$72="Muy Baja",'Mapa de Riesgos'!$L$72="Menor"),CONCATENATE("R",'Mapa de Riesgos'!$A$72),"")</f>
        <v/>
      </c>
      <c r="S44" s="468"/>
      <c r="T44" s="468" t="str">
        <f>IF(AND('Mapa de Riesgos'!$H$78="Muy Baja",'Mapa de Riesgos'!$L$78="Menor"),CONCATENATE("R",'Mapa de Riesgos'!$A$78),"")</f>
        <v/>
      </c>
      <c r="U44" s="469"/>
      <c r="V44" s="459" t="str">
        <f>IF(AND('Mapa de Riesgos'!$H$66="Muy Baja",'Mapa de Riesgos'!$L$66="Moderado"),CONCATENATE("R",'Mapa de Riesgos'!$A$66),"")</f>
        <v/>
      </c>
      <c r="W44" s="460"/>
      <c r="X44" s="460" t="str">
        <f>IF(AND('Mapa de Riesgos'!$H$72="Muy Baja",'Mapa de Riesgos'!$L$72="Moderado"),CONCATENATE("R",'Mapa de Riesgos'!$A$72),"")</f>
        <v/>
      </c>
      <c r="Y44" s="460"/>
      <c r="Z44" s="460" t="str">
        <f>IF(AND('Mapa de Riesgos'!$H$78="Muy Baja",'Mapa de Riesgos'!$L$78="Moderado"),CONCATENATE("R",'Mapa de Riesgos'!$A$78),"")</f>
        <v/>
      </c>
      <c r="AA44" s="461"/>
      <c r="AB44" s="443" t="str">
        <f>IF(AND('Mapa de Riesgos'!$H$66="Muy Baja",'Mapa de Riesgos'!$L$66="Mayor"),CONCATENATE("R",'Mapa de Riesgos'!$A$66),"")</f>
        <v/>
      </c>
      <c r="AC44" s="439"/>
      <c r="AD44" s="439" t="str">
        <f>IF(AND('Mapa de Riesgos'!$H$72="Muy Baja",'Mapa de Riesgos'!$L$72="Mayor"),CONCATENATE("R",'Mapa de Riesgos'!$A$72),"")</f>
        <v/>
      </c>
      <c r="AE44" s="439"/>
      <c r="AF44" s="439" t="str">
        <f>IF(AND('Mapa de Riesgos'!$H$78="Muy Baja",'Mapa de Riesgos'!$L$78="Mayor"),CONCATENATE("R",'Mapa de Riesgos'!$A$78),"")</f>
        <v/>
      </c>
      <c r="AG44" s="440"/>
      <c r="AH44" s="450" t="str">
        <f>IF(AND('Mapa de Riesgos'!$H$66="Muy Baja",'Mapa de Riesgos'!$L$66="Catastrófico"),CONCATENATE("R",'Mapa de Riesgos'!$A$66),"")</f>
        <v/>
      </c>
      <c r="AI44" s="451"/>
      <c r="AJ44" s="451" t="str">
        <f>IF(AND('Mapa de Riesgos'!$H$72="Muy Baja",'Mapa de Riesgos'!$L$72="Catastrófico"),CONCATENATE("R",'Mapa de Riesgos'!$A$72),"")</f>
        <v/>
      </c>
      <c r="AK44" s="451"/>
      <c r="AL44" s="451" t="str">
        <f>IF(AND('Mapa de Riesgos'!$H$78="Muy Baja",'Mapa de Riesgos'!$L$78="Catastrófico"),CONCATENATE("R",'Mapa de Riesgos'!$A$78),"")</f>
        <v/>
      </c>
      <c r="AM44" s="452"/>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392"/>
      <c r="C45" s="392"/>
      <c r="D45" s="393"/>
      <c r="E45" s="436"/>
      <c r="F45" s="437"/>
      <c r="G45" s="437"/>
      <c r="H45" s="437"/>
      <c r="I45" s="438"/>
      <c r="J45" s="471"/>
      <c r="K45" s="472"/>
      <c r="L45" s="472"/>
      <c r="M45" s="472"/>
      <c r="N45" s="472"/>
      <c r="O45" s="473"/>
      <c r="P45" s="471"/>
      <c r="Q45" s="472"/>
      <c r="R45" s="472"/>
      <c r="S45" s="472"/>
      <c r="T45" s="472"/>
      <c r="U45" s="473"/>
      <c r="V45" s="462"/>
      <c r="W45" s="463"/>
      <c r="X45" s="463"/>
      <c r="Y45" s="463"/>
      <c r="Z45" s="463"/>
      <c r="AA45" s="464"/>
      <c r="AB45" s="447"/>
      <c r="AC45" s="448"/>
      <c r="AD45" s="448"/>
      <c r="AE45" s="448"/>
      <c r="AF45" s="448"/>
      <c r="AG45" s="449"/>
      <c r="AH45" s="453"/>
      <c r="AI45" s="454"/>
      <c r="AJ45" s="454"/>
      <c r="AK45" s="454"/>
      <c r="AL45" s="454"/>
      <c r="AM45" s="455"/>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30" t="s">
        <v>189</v>
      </c>
      <c r="K46" s="431"/>
      <c r="L46" s="431"/>
      <c r="M46" s="431"/>
      <c r="N46" s="431"/>
      <c r="O46" s="432"/>
      <c r="P46" s="430" t="s">
        <v>190</v>
      </c>
      <c r="Q46" s="431"/>
      <c r="R46" s="431"/>
      <c r="S46" s="431"/>
      <c r="T46" s="431"/>
      <c r="U46" s="432"/>
      <c r="V46" s="430" t="s">
        <v>191</v>
      </c>
      <c r="W46" s="431"/>
      <c r="X46" s="431"/>
      <c r="Y46" s="431"/>
      <c r="Z46" s="431"/>
      <c r="AA46" s="432"/>
      <c r="AB46" s="430" t="s">
        <v>192</v>
      </c>
      <c r="AC46" s="446"/>
      <c r="AD46" s="431"/>
      <c r="AE46" s="431"/>
      <c r="AF46" s="431"/>
      <c r="AG46" s="432"/>
      <c r="AH46" s="430" t="s">
        <v>193</v>
      </c>
      <c r="AI46" s="431"/>
      <c r="AJ46" s="431"/>
      <c r="AK46" s="431"/>
      <c r="AL46" s="431"/>
      <c r="AM46" s="432"/>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33"/>
      <c r="K47" s="434"/>
      <c r="L47" s="434"/>
      <c r="M47" s="434"/>
      <c r="N47" s="434"/>
      <c r="O47" s="435"/>
      <c r="P47" s="433"/>
      <c r="Q47" s="434"/>
      <c r="R47" s="434"/>
      <c r="S47" s="434"/>
      <c r="T47" s="434"/>
      <c r="U47" s="435"/>
      <c r="V47" s="433"/>
      <c r="W47" s="434"/>
      <c r="X47" s="434"/>
      <c r="Y47" s="434"/>
      <c r="Z47" s="434"/>
      <c r="AA47" s="435"/>
      <c r="AB47" s="433"/>
      <c r="AC47" s="434"/>
      <c r="AD47" s="434"/>
      <c r="AE47" s="434"/>
      <c r="AF47" s="434"/>
      <c r="AG47" s="435"/>
      <c r="AH47" s="433"/>
      <c r="AI47" s="434"/>
      <c r="AJ47" s="434"/>
      <c r="AK47" s="434"/>
      <c r="AL47" s="434"/>
      <c r="AM47" s="435"/>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33"/>
      <c r="K48" s="434"/>
      <c r="L48" s="434"/>
      <c r="M48" s="434"/>
      <c r="N48" s="434"/>
      <c r="O48" s="435"/>
      <c r="P48" s="433"/>
      <c r="Q48" s="434"/>
      <c r="R48" s="434"/>
      <c r="S48" s="434"/>
      <c r="T48" s="434"/>
      <c r="U48" s="435"/>
      <c r="V48" s="433"/>
      <c r="W48" s="434"/>
      <c r="X48" s="434"/>
      <c r="Y48" s="434"/>
      <c r="Z48" s="434"/>
      <c r="AA48" s="435"/>
      <c r="AB48" s="433"/>
      <c r="AC48" s="434"/>
      <c r="AD48" s="434"/>
      <c r="AE48" s="434"/>
      <c r="AF48" s="434"/>
      <c r="AG48" s="435"/>
      <c r="AH48" s="433"/>
      <c r="AI48" s="434"/>
      <c r="AJ48" s="434"/>
      <c r="AK48" s="434"/>
      <c r="AL48" s="434"/>
      <c r="AM48" s="435"/>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33"/>
      <c r="K49" s="434"/>
      <c r="L49" s="434"/>
      <c r="M49" s="434"/>
      <c r="N49" s="434"/>
      <c r="O49" s="435"/>
      <c r="P49" s="433"/>
      <c r="Q49" s="434"/>
      <c r="R49" s="434"/>
      <c r="S49" s="434"/>
      <c r="T49" s="434"/>
      <c r="U49" s="435"/>
      <c r="V49" s="433"/>
      <c r="W49" s="434"/>
      <c r="X49" s="434"/>
      <c r="Y49" s="434"/>
      <c r="Z49" s="434"/>
      <c r="AA49" s="435"/>
      <c r="AB49" s="433"/>
      <c r="AC49" s="434"/>
      <c r="AD49" s="434"/>
      <c r="AE49" s="434"/>
      <c r="AF49" s="434"/>
      <c r="AG49" s="435"/>
      <c r="AH49" s="433"/>
      <c r="AI49" s="434"/>
      <c r="AJ49" s="434"/>
      <c r="AK49" s="434"/>
      <c r="AL49" s="434"/>
      <c r="AM49" s="435"/>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33"/>
      <c r="K50" s="434"/>
      <c r="L50" s="434"/>
      <c r="M50" s="434"/>
      <c r="N50" s="434"/>
      <c r="O50" s="435"/>
      <c r="P50" s="433"/>
      <c r="Q50" s="434"/>
      <c r="R50" s="434"/>
      <c r="S50" s="434"/>
      <c r="T50" s="434"/>
      <c r="U50" s="435"/>
      <c r="V50" s="433"/>
      <c r="W50" s="434"/>
      <c r="X50" s="434"/>
      <c r="Y50" s="434"/>
      <c r="Z50" s="434"/>
      <c r="AA50" s="435"/>
      <c r="AB50" s="433"/>
      <c r="AC50" s="434"/>
      <c r="AD50" s="434"/>
      <c r="AE50" s="434"/>
      <c r="AF50" s="434"/>
      <c r="AG50" s="435"/>
      <c r="AH50" s="433"/>
      <c r="AI50" s="434"/>
      <c r="AJ50" s="434"/>
      <c r="AK50" s="434"/>
      <c r="AL50" s="434"/>
      <c r="AM50" s="435"/>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36"/>
      <c r="K51" s="437"/>
      <c r="L51" s="437"/>
      <c r="M51" s="437"/>
      <c r="N51" s="437"/>
      <c r="O51" s="438"/>
      <c r="P51" s="436"/>
      <c r="Q51" s="437"/>
      <c r="R51" s="437"/>
      <c r="S51" s="437"/>
      <c r="T51" s="437"/>
      <c r="U51" s="438"/>
      <c r="V51" s="436"/>
      <c r="W51" s="437"/>
      <c r="X51" s="437"/>
      <c r="Y51" s="437"/>
      <c r="Z51" s="437"/>
      <c r="AA51" s="438"/>
      <c r="AB51" s="436"/>
      <c r="AC51" s="437"/>
      <c r="AD51" s="437"/>
      <c r="AE51" s="437"/>
      <c r="AF51" s="437"/>
      <c r="AG51" s="438"/>
      <c r="AH51" s="436"/>
      <c r="AI51" s="437"/>
      <c r="AJ51" s="437"/>
      <c r="AK51" s="437"/>
      <c r="AL51" s="437"/>
      <c r="AM51" s="438"/>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E1" zoomScale="42" zoomScaleNormal="42" workbookViewId="0">
      <selection activeCell="P38" sqref="P38"/>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03" t="s">
        <v>194</v>
      </c>
      <c r="C2" s="504"/>
      <c r="D2" s="504"/>
      <c r="E2" s="504"/>
      <c r="F2" s="504"/>
      <c r="G2" s="504"/>
      <c r="H2" s="504"/>
      <c r="I2" s="504"/>
      <c r="J2" s="445" t="s">
        <v>23</v>
      </c>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04"/>
      <c r="C3" s="504"/>
      <c r="D3" s="504"/>
      <c r="E3" s="504"/>
      <c r="F3" s="504"/>
      <c r="G3" s="504"/>
      <c r="H3" s="504"/>
      <c r="I3" s="504"/>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04"/>
      <c r="C4" s="504"/>
      <c r="D4" s="504"/>
      <c r="E4" s="504"/>
      <c r="F4" s="504"/>
      <c r="G4" s="504"/>
      <c r="H4" s="504"/>
      <c r="I4" s="504"/>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45"/>
      <c r="AL4" s="445"/>
      <c r="AM4" s="44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392" t="s">
        <v>179</v>
      </c>
      <c r="C6" s="392"/>
      <c r="D6" s="393"/>
      <c r="E6" s="487" t="s">
        <v>180</v>
      </c>
      <c r="F6" s="488"/>
      <c r="G6" s="488"/>
      <c r="H6" s="488"/>
      <c r="I6" s="505"/>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494" t="s">
        <v>181</v>
      </c>
      <c r="AP6" s="495"/>
      <c r="AQ6" s="495"/>
      <c r="AR6" s="495"/>
      <c r="AS6" s="495"/>
      <c r="AT6" s="49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392"/>
      <c r="C7" s="392"/>
      <c r="D7" s="393"/>
      <c r="E7" s="491"/>
      <c r="F7" s="490"/>
      <c r="G7" s="490"/>
      <c r="H7" s="490"/>
      <c r="I7" s="506"/>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497"/>
      <c r="AP7" s="498"/>
      <c r="AQ7" s="498"/>
      <c r="AR7" s="498"/>
      <c r="AS7" s="498"/>
      <c r="AT7" s="49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392"/>
      <c r="C8" s="392"/>
      <c r="D8" s="393"/>
      <c r="E8" s="491"/>
      <c r="F8" s="490"/>
      <c r="G8" s="490"/>
      <c r="H8" s="490"/>
      <c r="I8" s="506"/>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497"/>
      <c r="AP8" s="498"/>
      <c r="AQ8" s="498"/>
      <c r="AR8" s="498"/>
      <c r="AS8" s="498"/>
      <c r="AT8" s="49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392"/>
      <c r="C9" s="392"/>
      <c r="D9" s="393"/>
      <c r="E9" s="491"/>
      <c r="F9" s="490"/>
      <c r="G9" s="490"/>
      <c r="H9" s="490"/>
      <c r="I9" s="506"/>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497"/>
      <c r="AP9" s="498"/>
      <c r="AQ9" s="498"/>
      <c r="AR9" s="498"/>
      <c r="AS9" s="498"/>
      <c r="AT9" s="49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392"/>
      <c r="C10" s="392"/>
      <c r="D10" s="393"/>
      <c r="E10" s="491"/>
      <c r="F10" s="490"/>
      <c r="G10" s="490"/>
      <c r="H10" s="490"/>
      <c r="I10" s="506"/>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497"/>
      <c r="AP10" s="498"/>
      <c r="AQ10" s="498"/>
      <c r="AR10" s="498"/>
      <c r="AS10" s="498"/>
      <c r="AT10" s="49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392"/>
      <c r="C11" s="392"/>
      <c r="D11" s="393"/>
      <c r="E11" s="491"/>
      <c r="F11" s="490"/>
      <c r="G11" s="490"/>
      <c r="H11" s="490"/>
      <c r="I11" s="506"/>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497"/>
      <c r="AP11" s="498"/>
      <c r="AQ11" s="498"/>
      <c r="AR11" s="498"/>
      <c r="AS11" s="498"/>
      <c r="AT11" s="49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392"/>
      <c r="C12" s="392"/>
      <c r="D12" s="393"/>
      <c r="E12" s="491"/>
      <c r="F12" s="490"/>
      <c r="G12" s="490"/>
      <c r="H12" s="490"/>
      <c r="I12" s="506"/>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497"/>
      <c r="AP12" s="498"/>
      <c r="AQ12" s="498"/>
      <c r="AR12" s="498"/>
      <c r="AS12" s="498"/>
      <c r="AT12" s="49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392"/>
      <c r="C13" s="392"/>
      <c r="D13" s="393"/>
      <c r="E13" s="491"/>
      <c r="F13" s="490"/>
      <c r="G13" s="490"/>
      <c r="H13" s="490"/>
      <c r="I13" s="506"/>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497"/>
      <c r="AP13" s="498"/>
      <c r="AQ13" s="498"/>
      <c r="AR13" s="498"/>
      <c r="AS13" s="498"/>
      <c r="AT13" s="49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392"/>
      <c r="C14" s="392"/>
      <c r="D14" s="393"/>
      <c r="E14" s="491"/>
      <c r="F14" s="490"/>
      <c r="G14" s="490"/>
      <c r="H14" s="490"/>
      <c r="I14" s="506"/>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497"/>
      <c r="AP14" s="498"/>
      <c r="AQ14" s="498"/>
      <c r="AR14" s="498"/>
      <c r="AS14" s="498"/>
      <c r="AT14" s="49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392"/>
      <c r="C15" s="392"/>
      <c r="D15" s="393"/>
      <c r="E15" s="492"/>
      <c r="F15" s="493"/>
      <c r="G15" s="493"/>
      <c r="H15" s="493"/>
      <c r="I15" s="507"/>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00"/>
      <c r="AP15" s="501"/>
      <c r="AQ15" s="501"/>
      <c r="AR15" s="501"/>
      <c r="AS15" s="501"/>
      <c r="AT15" s="50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392"/>
      <c r="C16" s="392"/>
      <c r="D16" s="393"/>
      <c r="E16" s="487" t="s">
        <v>182</v>
      </c>
      <c r="F16" s="488"/>
      <c r="G16" s="488"/>
      <c r="H16" s="488"/>
      <c r="I16" s="488"/>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478" t="s">
        <v>183</v>
      </c>
      <c r="AP16" s="479"/>
      <c r="AQ16" s="479"/>
      <c r="AR16" s="479"/>
      <c r="AS16" s="479"/>
      <c r="AT16" s="48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392"/>
      <c r="C17" s="392"/>
      <c r="D17" s="393"/>
      <c r="E17" s="489"/>
      <c r="F17" s="490"/>
      <c r="G17" s="490"/>
      <c r="H17" s="490"/>
      <c r="I17" s="490"/>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481"/>
      <c r="AP17" s="482"/>
      <c r="AQ17" s="482"/>
      <c r="AR17" s="482"/>
      <c r="AS17" s="482"/>
      <c r="AT17" s="4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392"/>
      <c r="C18" s="392"/>
      <c r="D18" s="393"/>
      <c r="E18" s="491"/>
      <c r="F18" s="490"/>
      <c r="G18" s="490"/>
      <c r="H18" s="490"/>
      <c r="I18" s="490"/>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481"/>
      <c r="AP18" s="482"/>
      <c r="AQ18" s="482"/>
      <c r="AR18" s="482"/>
      <c r="AS18" s="482"/>
      <c r="AT18" s="4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392"/>
      <c r="C19" s="392"/>
      <c r="D19" s="393"/>
      <c r="E19" s="491"/>
      <c r="F19" s="490"/>
      <c r="G19" s="490"/>
      <c r="H19" s="490"/>
      <c r="I19" s="490"/>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481"/>
      <c r="AP19" s="482"/>
      <c r="AQ19" s="482"/>
      <c r="AR19" s="482"/>
      <c r="AS19" s="482"/>
      <c r="AT19" s="4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392"/>
      <c r="C20" s="392"/>
      <c r="D20" s="393"/>
      <c r="E20" s="491"/>
      <c r="F20" s="490"/>
      <c r="G20" s="490"/>
      <c r="H20" s="490"/>
      <c r="I20" s="490"/>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481"/>
      <c r="AP20" s="482"/>
      <c r="AQ20" s="482"/>
      <c r="AR20" s="482"/>
      <c r="AS20" s="482"/>
      <c r="AT20" s="4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392"/>
      <c r="C21" s="392"/>
      <c r="D21" s="393"/>
      <c r="E21" s="491"/>
      <c r="F21" s="490"/>
      <c r="G21" s="490"/>
      <c r="H21" s="490"/>
      <c r="I21" s="490"/>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481"/>
      <c r="AP21" s="482"/>
      <c r="AQ21" s="482"/>
      <c r="AR21" s="482"/>
      <c r="AS21" s="482"/>
      <c r="AT21" s="4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392"/>
      <c r="C22" s="392"/>
      <c r="D22" s="393"/>
      <c r="E22" s="491"/>
      <c r="F22" s="490"/>
      <c r="G22" s="490"/>
      <c r="H22" s="490"/>
      <c r="I22" s="490"/>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481"/>
      <c r="AP22" s="482"/>
      <c r="AQ22" s="482"/>
      <c r="AR22" s="482"/>
      <c r="AS22" s="482"/>
      <c r="AT22" s="4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392"/>
      <c r="C23" s="392"/>
      <c r="D23" s="393"/>
      <c r="E23" s="491"/>
      <c r="F23" s="490"/>
      <c r="G23" s="490"/>
      <c r="H23" s="490"/>
      <c r="I23" s="490"/>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481"/>
      <c r="AP23" s="482"/>
      <c r="AQ23" s="482"/>
      <c r="AR23" s="482"/>
      <c r="AS23" s="482"/>
      <c r="AT23" s="4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392"/>
      <c r="C24" s="392"/>
      <c r="D24" s="393"/>
      <c r="E24" s="491"/>
      <c r="F24" s="490"/>
      <c r="G24" s="490"/>
      <c r="H24" s="490"/>
      <c r="I24" s="490"/>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481"/>
      <c r="AP24" s="482"/>
      <c r="AQ24" s="482"/>
      <c r="AR24" s="482"/>
      <c r="AS24" s="482"/>
      <c r="AT24" s="4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392"/>
      <c r="C25" s="392"/>
      <c r="D25" s="393"/>
      <c r="E25" s="492"/>
      <c r="F25" s="493"/>
      <c r="G25" s="493"/>
      <c r="H25" s="493"/>
      <c r="I25" s="493"/>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484"/>
      <c r="AP25" s="485"/>
      <c r="AQ25" s="485"/>
      <c r="AR25" s="485"/>
      <c r="AS25" s="485"/>
      <c r="AT25" s="486"/>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392"/>
      <c r="C26" s="392"/>
      <c r="D26" s="393"/>
      <c r="E26" s="487" t="s">
        <v>184</v>
      </c>
      <c r="F26" s="488"/>
      <c r="G26" s="488"/>
      <c r="H26" s="488"/>
      <c r="I26" s="505"/>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17" t="s">
        <v>185</v>
      </c>
      <c r="AP26" s="518"/>
      <c r="AQ26" s="518"/>
      <c r="AR26" s="518"/>
      <c r="AS26" s="518"/>
      <c r="AT26" s="51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392"/>
      <c r="C27" s="392"/>
      <c r="D27" s="393"/>
      <c r="E27" s="489"/>
      <c r="F27" s="490"/>
      <c r="G27" s="490"/>
      <c r="H27" s="490"/>
      <c r="I27" s="506"/>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20"/>
      <c r="AP27" s="521"/>
      <c r="AQ27" s="521"/>
      <c r="AR27" s="521"/>
      <c r="AS27" s="521"/>
      <c r="AT27" s="52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392"/>
      <c r="C28" s="392"/>
      <c r="D28" s="393"/>
      <c r="E28" s="491"/>
      <c r="F28" s="490"/>
      <c r="G28" s="490"/>
      <c r="H28" s="490"/>
      <c r="I28" s="506"/>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20"/>
      <c r="AP28" s="521"/>
      <c r="AQ28" s="521"/>
      <c r="AR28" s="521"/>
      <c r="AS28" s="521"/>
      <c r="AT28" s="52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392"/>
      <c r="C29" s="392"/>
      <c r="D29" s="393"/>
      <c r="E29" s="491"/>
      <c r="F29" s="490"/>
      <c r="G29" s="490"/>
      <c r="H29" s="490"/>
      <c r="I29" s="506"/>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20"/>
      <c r="AP29" s="521"/>
      <c r="AQ29" s="521"/>
      <c r="AR29" s="521"/>
      <c r="AS29" s="521"/>
      <c r="AT29" s="52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392"/>
      <c r="C30" s="392"/>
      <c r="D30" s="393"/>
      <c r="E30" s="491"/>
      <c r="F30" s="490"/>
      <c r="G30" s="490"/>
      <c r="H30" s="490"/>
      <c r="I30" s="506"/>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20"/>
      <c r="AP30" s="521"/>
      <c r="AQ30" s="521"/>
      <c r="AR30" s="521"/>
      <c r="AS30" s="521"/>
      <c r="AT30" s="522"/>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392"/>
      <c r="C31" s="392"/>
      <c r="D31" s="393"/>
      <c r="E31" s="491"/>
      <c r="F31" s="490"/>
      <c r="G31" s="490"/>
      <c r="H31" s="490"/>
      <c r="I31" s="506"/>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20"/>
      <c r="AP31" s="521"/>
      <c r="AQ31" s="521"/>
      <c r="AR31" s="521"/>
      <c r="AS31" s="521"/>
      <c r="AT31" s="52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392"/>
      <c r="C32" s="392"/>
      <c r="D32" s="393"/>
      <c r="E32" s="491"/>
      <c r="F32" s="490"/>
      <c r="G32" s="490"/>
      <c r="H32" s="490"/>
      <c r="I32" s="506"/>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20"/>
      <c r="AP32" s="521"/>
      <c r="AQ32" s="521"/>
      <c r="AR32" s="521"/>
      <c r="AS32" s="521"/>
      <c r="AT32" s="52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392"/>
      <c r="C33" s="392"/>
      <c r="D33" s="393"/>
      <c r="E33" s="491"/>
      <c r="F33" s="490"/>
      <c r="G33" s="490"/>
      <c r="H33" s="490"/>
      <c r="I33" s="506"/>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20"/>
      <c r="AP33" s="521"/>
      <c r="AQ33" s="521"/>
      <c r="AR33" s="521"/>
      <c r="AS33" s="521"/>
      <c r="AT33" s="52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392"/>
      <c r="C34" s="392"/>
      <c r="D34" s="393"/>
      <c r="E34" s="491"/>
      <c r="F34" s="490"/>
      <c r="G34" s="490"/>
      <c r="H34" s="490"/>
      <c r="I34" s="506"/>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20"/>
      <c r="AP34" s="521"/>
      <c r="AQ34" s="521"/>
      <c r="AR34" s="521"/>
      <c r="AS34" s="521"/>
      <c r="AT34" s="52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392"/>
      <c r="C35" s="392"/>
      <c r="D35" s="393"/>
      <c r="E35" s="492"/>
      <c r="F35" s="493"/>
      <c r="G35" s="493"/>
      <c r="H35" s="493"/>
      <c r="I35" s="507"/>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23"/>
      <c r="AP35" s="524"/>
      <c r="AQ35" s="524"/>
      <c r="AR35" s="524"/>
      <c r="AS35" s="524"/>
      <c r="AT35" s="525"/>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392"/>
      <c r="C36" s="392"/>
      <c r="D36" s="393"/>
      <c r="E36" s="487" t="s">
        <v>186</v>
      </c>
      <c r="F36" s="488"/>
      <c r="G36" s="488"/>
      <c r="H36" s="488"/>
      <c r="I36" s="488"/>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R1C1</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08" t="s">
        <v>187</v>
      </c>
      <c r="AP36" s="509"/>
      <c r="AQ36" s="509"/>
      <c r="AR36" s="509"/>
      <c r="AS36" s="509"/>
      <c r="AT36" s="51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392"/>
      <c r="C37" s="392"/>
      <c r="D37" s="393"/>
      <c r="E37" s="489"/>
      <c r="F37" s="490"/>
      <c r="G37" s="490"/>
      <c r="H37" s="490"/>
      <c r="I37" s="490"/>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R2C2</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11"/>
      <c r="AP37" s="512"/>
      <c r="AQ37" s="512"/>
      <c r="AR37" s="512"/>
      <c r="AS37" s="512"/>
      <c r="AT37" s="51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392"/>
      <c r="C38" s="392"/>
      <c r="D38" s="393"/>
      <c r="E38" s="491"/>
      <c r="F38" s="490"/>
      <c r="G38" s="490"/>
      <c r="H38" s="490"/>
      <c r="I38" s="490"/>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R3C1</v>
      </c>
      <c r="Q38" s="68" t="str">
        <f>IF(AND('Mapa de Riesgos'!$Y$25="Baja",'Mapa de Riesgos'!$AA$25="Menor"),CONCATENATE("R3C",'Mapa de Riesgos'!$O$25),"")</f>
        <v>R3C2</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11"/>
      <c r="AP38" s="512"/>
      <c r="AQ38" s="512"/>
      <c r="AR38" s="512"/>
      <c r="AS38" s="512"/>
      <c r="AT38" s="51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392"/>
      <c r="C39" s="392"/>
      <c r="D39" s="393"/>
      <c r="E39" s="491"/>
      <c r="F39" s="490"/>
      <c r="G39" s="490"/>
      <c r="H39" s="490"/>
      <c r="I39" s="490"/>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R4C1</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11"/>
      <c r="AP39" s="512"/>
      <c r="AQ39" s="512"/>
      <c r="AR39" s="512"/>
      <c r="AS39" s="512"/>
      <c r="AT39" s="51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392"/>
      <c r="C40" s="392"/>
      <c r="D40" s="393"/>
      <c r="E40" s="491"/>
      <c r="F40" s="490"/>
      <c r="G40" s="490"/>
      <c r="H40" s="490"/>
      <c r="I40" s="490"/>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11"/>
      <c r="AP40" s="512"/>
      <c r="AQ40" s="512"/>
      <c r="AR40" s="512"/>
      <c r="AS40" s="512"/>
      <c r="AT40" s="51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392"/>
      <c r="C41" s="392"/>
      <c r="D41" s="393"/>
      <c r="E41" s="491"/>
      <c r="F41" s="490"/>
      <c r="G41" s="490"/>
      <c r="H41" s="490"/>
      <c r="I41" s="490"/>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11"/>
      <c r="AP41" s="512"/>
      <c r="AQ41" s="512"/>
      <c r="AR41" s="512"/>
      <c r="AS41" s="512"/>
      <c r="AT41" s="51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392"/>
      <c r="C42" s="392"/>
      <c r="D42" s="393"/>
      <c r="E42" s="491"/>
      <c r="F42" s="490"/>
      <c r="G42" s="490"/>
      <c r="H42" s="490"/>
      <c r="I42" s="490"/>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11"/>
      <c r="AP42" s="512"/>
      <c r="AQ42" s="512"/>
      <c r="AR42" s="512"/>
      <c r="AS42" s="512"/>
      <c r="AT42" s="51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392"/>
      <c r="C43" s="392"/>
      <c r="D43" s="393"/>
      <c r="E43" s="491"/>
      <c r="F43" s="490"/>
      <c r="G43" s="490"/>
      <c r="H43" s="490"/>
      <c r="I43" s="490"/>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11"/>
      <c r="AP43" s="512"/>
      <c r="AQ43" s="512"/>
      <c r="AR43" s="512"/>
      <c r="AS43" s="512"/>
      <c r="AT43" s="51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392"/>
      <c r="C44" s="392"/>
      <c r="D44" s="393"/>
      <c r="E44" s="491"/>
      <c r="F44" s="490"/>
      <c r="G44" s="490"/>
      <c r="H44" s="490"/>
      <c r="I44" s="490"/>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11"/>
      <c r="AP44" s="512"/>
      <c r="AQ44" s="512"/>
      <c r="AR44" s="512"/>
      <c r="AS44" s="512"/>
      <c r="AT44" s="51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392"/>
      <c r="C45" s="392"/>
      <c r="D45" s="393"/>
      <c r="E45" s="492"/>
      <c r="F45" s="493"/>
      <c r="G45" s="493"/>
      <c r="H45" s="493"/>
      <c r="I45" s="493"/>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14"/>
      <c r="AP45" s="515"/>
      <c r="AQ45" s="515"/>
      <c r="AR45" s="515"/>
      <c r="AS45" s="515"/>
      <c r="AT45" s="516"/>
    </row>
    <row r="46" spans="1:80" ht="46.5" customHeight="1" x14ac:dyDescent="0.35">
      <c r="A46" s="83"/>
      <c r="B46" s="392"/>
      <c r="C46" s="392"/>
      <c r="D46" s="393"/>
      <c r="E46" s="487" t="s">
        <v>188</v>
      </c>
      <c r="F46" s="488"/>
      <c r="G46" s="488"/>
      <c r="H46" s="488"/>
      <c r="I46" s="505"/>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392"/>
      <c r="C47" s="392"/>
      <c r="D47" s="393"/>
      <c r="E47" s="489"/>
      <c r="F47" s="490"/>
      <c r="G47" s="490"/>
      <c r="H47" s="490"/>
      <c r="I47" s="506"/>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392"/>
      <c r="C48" s="392"/>
      <c r="D48" s="393"/>
      <c r="E48" s="489"/>
      <c r="F48" s="490"/>
      <c r="G48" s="490"/>
      <c r="H48" s="490"/>
      <c r="I48" s="506"/>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392"/>
      <c r="C49" s="392"/>
      <c r="D49" s="393"/>
      <c r="E49" s="491"/>
      <c r="F49" s="490"/>
      <c r="G49" s="490"/>
      <c r="H49" s="490"/>
      <c r="I49" s="506"/>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392"/>
      <c r="C50" s="392"/>
      <c r="D50" s="393"/>
      <c r="E50" s="491"/>
      <c r="F50" s="490"/>
      <c r="G50" s="490"/>
      <c r="H50" s="490"/>
      <c r="I50" s="506"/>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392"/>
      <c r="C51" s="392"/>
      <c r="D51" s="393"/>
      <c r="E51" s="491"/>
      <c r="F51" s="490"/>
      <c r="G51" s="490"/>
      <c r="H51" s="490"/>
      <c r="I51" s="506"/>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392"/>
      <c r="C52" s="392"/>
      <c r="D52" s="393"/>
      <c r="E52" s="491"/>
      <c r="F52" s="490"/>
      <c r="G52" s="490"/>
      <c r="H52" s="490"/>
      <c r="I52" s="506"/>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392"/>
      <c r="C53" s="392"/>
      <c r="D53" s="393"/>
      <c r="E53" s="491"/>
      <c r="F53" s="490"/>
      <c r="G53" s="490"/>
      <c r="H53" s="490"/>
      <c r="I53" s="506"/>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392"/>
      <c r="C54" s="392"/>
      <c r="D54" s="393"/>
      <c r="E54" s="491"/>
      <c r="F54" s="490"/>
      <c r="G54" s="490"/>
      <c r="H54" s="490"/>
      <c r="I54" s="506"/>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392"/>
      <c r="C55" s="392"/>
      <c r="D55" s="393"/>
      <c r="E55" s="492"/>
      <c r="F55" s="493"/>
      <c r="G55" s="493"/>
      <c r="H55" s="493"/>
      <c r="I55" s="507"/>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487" t="s">
        <v>189</v>
      </c>
      <c r="K56" s="488"/>
      <c r="L56" s="488"/>
      <c r="M56" s="488"/>
      <c r="N56" s="488"/>
      <c r="O56" s="505"/>
      <c r="P56" s="487" t="s">
        <v>190</v>
      </c>
      <c r="Q56" s="488"/>
      <c r="R56" s="488"/>
      <c r="S56" s="488"/>
      <c r="T56" s="488"/>
      <c r="U56" s="505"/>
      <c r="V56" s="487" t="s">
        <v>191</v>
      </c>
      <c r="W56" s="488"/>
      <c r="X56" s="488"/>
      <c r="Y56" s="488"/>
      <c r="Z56" s="488"/>
      <c r="AA56" s="505"/>
      <c r="AB56" s="487" t="s">
        <v>192</v>
      </c>
      <c r="AC56" s="526"/>
      <c r="AD56" s="488"/>
      <c r="AE56" s="488"/>
      <c r="AF56" s="488"/>
      <c r="AG56" s="505"/>
      <c r="AH56" s="487" t="s">
        <v>193</v>
      </c>
      <c r="AI56" s="488"/>
      <c r="AJ56" s="488"/>
      <c r="AK56" s="488"/>
      <c r="AL56" s="488"/>
      <c r="AM56" s="50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491"/>
      <c r="K57" s="490"/>
      <c r="L57" s="490"/>
      <c r="M57" s="490"/>
      <c r="N57" s="490"/>
      <c r="O57" s="506"/>
      <c r="P57" s="491"/>
      <c r="Q57" s="490"/>
      <c r="R57" s="490"/>
      <c r="S57" s="490"/>
      <c r="T57" s="490"/>
      <c r="U57" s="506"/>
      <c r="V57" s="491"/>
      <c r="W57" s="490"/>
      <c r="X57" s="490"/>
      <c r="Y57" s="490"/>
      <c r="Z57" s="490"/>
      <c r="AA57" s="506"/>
      <c r="AB57" s="491"/>
      <c r="AC57" s="490"/>
      <c r="AD57" s="490"/>
      <c r="AE57" s="490"/>
      <c r="AF57" s="490"/>
      <c r="AG57" s="506"/>
      <c r="AH57" s="491"/>
      <c r="AI57" s="490"/>
      <c r="AJ57" s="490"/>
      <c r="AK57" s="490"/>
      <c r="AL57" s="490"/>
      <c r="AM57" s="506"/>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491"/>
      <c r="K58" s="490"/>
      <c r="L58" s="490"/>
      <c r="M58" s="490"/>
      <c r="N58" s="490"/>
      <c r="O58" s="506"/>
      <c r="P58" s="491"/>
      <c r="Q58" s="490"/>
      <c r="R58" s="490"/>
      <c r="S58" s="490"/>
      <c r="T58" s="490"/>
      <c r="U58" s="506"/>
      <c r="V58" s="491"/>
      <c r="W58" s="490"/>
      <c r="X58" s="490"/>
      <c r="Y58" s="490"/>
      <c r="Z58" s="490"/>
      <c r="AA58" s="506"/>
      <c r="AB58" s="491"/>
      <c r="AC58" s="490"/>
      <c r="AD58" s="490"/>
      <c r="AE58" s="490"/>
      <c r="AF58" s="490"/>
      <c r="AG58" s="506"/>
      <c r="AH58" s="491"/>
      <c r="AI58" s="490"/>
      <c r="AJ58" s="490"/>
      <c r="AK58" s="490"/>
      <c r="AL58" s="490"/>
      <c r="AM58" s="506"/>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491"/>
      <c r="K59" s="490"/>
      <c r="L59" s="490"/>
      <c r="M59" s="490"/>
      <c r="N59" s="490"/>
      <c r="O59" s="506"/>
      <c r="P59" s="491"/>
      <c r="Q59" s="490"/>
      <c r="R59" s="490"/>
      <c r="S59" s="490"/>
      <c r="T59" s="490"/>
      <c r="U59" s="506"/>
      <c r="V59" s="491"/>
      <c r="W59" s="490"/>
      <c r="X59" s="490"/>
      <c r="Y59" s="490"/>
      <c r="Z59" s="490"/>
      <c r="AA59" s="506"/>
      <c r="AB59" s="491"/>
      <c r="AC59" s="490"/>
      <c r="AD59" s="490"/>
      <c r="AE59" s="490"/>
      <c r="AF59" s="490"/>
      <c r="AG59" s="506"/>
      <c r="AH59" s="491"/>
      <c r="AI59" s="490"/>
      <c r="AJ59" s="490"/>
      <c r="AK59" s="490"/>
      <c r="AL59" s="490"/>
      <c r="AM59" s="506"/>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491"/>
      <c r="K60" s="490"/>
      <c r="L60" s="490"/>
      <c r="M60" s="490"/>
      <c r="N60" s="490"/>
      <c r="O60" s="506"/>
      <c r="P60" s="491"/>
      <c r="Q60" s="490"/>
      <c r="R60" s="490"/>
      <c r="S60" s="490"/>
      <c r="T60" s="490"/>
      <c r="U60" s="506"/>
      <c r="V60" s="491"/>
      <c r="W60" s="490"/>
      <c r="X60" s="490"/>
      <c r="Y60" s="490"/>
      <c r="Z60" s="490"/>
      <c r="AA60" s="506"/>
      <c r="AB60" s="491"/>
      <c r="AC60" s="490"/>
      <c r="AD60" s="490"/>
      <c r="AE60" s="490"/>
      <c r="AF60" s="490"/>
      <c r="AG60" s="506"/>
      <c r="AH60" s="491"/>
      <c r="AI60" s="490"/>
      <c r="AJ60" s="490"/>
      <c r="AK60" s="490"/>
      <c r="AL60" s="490"/>
      <c r="AM60" s="506"/>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492"/>
      <c r="K61" s="493"/>
      <c r="L61" s="493"/>
      <c r="M61" s="493"/>
      <c r="N61" s="493"/>
      <c r="O61" s="507"/>
      <c r="P61" s="492"/>
      <c r="Q61" s="493"/>
      <c r="R61" s="493"/>
      <c r="S61" s="493"/>
      <c r="T61" s="493"/>
      <c r="U61" s="507"/>
      <c r="V61" s="492"/>
      <c r="W61" s="493"/>
      <c r="X61" s="493"/>
      <c r="Y61" s="493"/>
      <c r="Z61" s="493"/>
      <c r="AA61" s="507"/>
      <c r="AB61" s="492"/>
      <c r="AC61" s="493"/>
      <c r="AD61" s="493"/>
      <c r="AE61" s="493"/>
      <c r="AF61" s="493"/>
      <c r="AG61" s="507"/>
      <c r="AH61" s="492"/>
      <c r="AI61" s="493"/>
      <c r="AJ61" s="493"/>
      <c r="AK61" s="493"/>
      <c r="AL61" s="493"/>
      <c r="AM61" s="507"/>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27" t="s">
        <v>195</v>
      </c>
      <c r="C1" s="527"/>
      <c r="D1" s="527"/>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196</v>
      </c>
      <c r="D3" s="12" t="s">
        <v>179</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197</v>
      </c>
      <c r="C4" s="14" t="s">
        <v>198</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199</v>
      </c>
      <c r="C5" s="17" t="s">
        <v>200</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201</v>
      </c>
      <c r="C6" s="17" t="s">
        <v>202</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203</v>
      </c>
      <c r="C7" s="17" t="s">
        <v>204</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205</v>
      </c>
      <c r="C8" s="17" t="s">
        <v>206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28" t="s">
        <v>207</v>
      </c>
      <c r="C1" s="528"/>
      <c r="D1" s="528"/>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208</v>
      </c>
      <c r="D3" s="36" t="s">
        <v>209</v>
      </c>
      <c r="E3" s="83"/>
      <c r="F3" s="83"/>
      <c r="G3" s="83"/>
      <c r="H3" s="83"/>
      <c r="I3" s="83"/>
      <c r="J3" s="83"/>
      <c r="K3" s="83"/>
      <c r="L3" s="83"/>
      <c r="M3" s="83"/>
      <c r="N3" s="83"/>
      <c r="O3" s="83"/>
      <c r="P3" s="83"/>
      <c r="Q3" s="83"/>
      <c r="R3" s="83"/>
      <c r="S3" s="83"/>
      <c r="T3" s="83"/>
      <c r="U3" s="83"/>
    </row>
    <row r="4" spans="1:21" ht="33.75" x14ac:dyDescent="0.25">
      <c r="A4" s="100" t="s">
        <v>210</v>
      </c>
      <c r="B4" s="39" t="s">
        <v>211</v>
      </c>
      <c r="C4" s="44" t="s">
        <v>212</v>
      </c>
      <c r="D4" s="37" t="s">
        <v>213</v>
      </c>
      <c r="E4" s="83"/>
      <c r="F4" s="83"/>
      <c r="G4" s="83"/>
      <c r="H4" s="83"/>
      <c r="I4" s="83"/>
      <c r="J4" s="83"/>
      <c r="K4" s="83"/>
      <c r="L4" s="83"/>
      <c r="M4" s="83"/>
      <c r="N4" s="83"/>
      <c r="O4" s="83"/>
      <c r="P4" s="83"/>
      <c r="Q4" s="83"/>
      <c r="R4" s="83"/>
      <c r="S4" s="83"/>
      <c r="T4" s="83"/>
      <c r="U4" s="83"/>
    </row>
    <row r="5" spans="1:21" ht="67.5" x14ac:dyDescent="0.25">
      <c r="A5" s="100" t="s">
        <v>214</v>
      </c>
      <c r="B5" s="40" t="s">
        <v>215</v>
      </c>
      <c r="C5" s="45" t="s">
        <v>216</v>
      </c>
      <c r="D5" s="38" t="s">
        <v>217</v>
      </c>
      <c r="E5" s="83"/>
      <c r="F5" s="83"/>
      <c r="G5" s="83"/>
      <c r="H5" s="83"/>
      <c r="I5" s="83"/>
      <c r="J5" s="83"/>
      <c r="K5" s="83"/>
      <c r="L5" s="83"/>
      <c r="M5" s="83"/>
      <c r="N5" s="83"/>
      <c r="O5" s="83"/>
      <c r="P5" s="83"/>
      <c r="Q5" s="83"/>
      <c r="R5" s="83"/>
      <c r="S5" s="83"/>
      <c r="T5" s="83"/>
      <c r="U5" s="83"/>
    </row>
    <row r="6" spans="1:21" ht="67.5" x14ac:dyDescent="0.25">
      <c r="A6" s="100" t="s">
        <v>185</v>
      </c>
      <c r="B6" s="41" t="s">
        <v>218</v>
      </c>
      <c r="C6" s="45" t="s">
        <v>219</v>
      </c>
      <c r="D6" s="38" t="s">
        <v>220</v>
      </c>
      <c r="E6" s="83"/>
      <c r="F6" s="83"/>
      <c r="G6" s="83"/>
      <c r="H6" s="83"/>
      <c r="I6" s="83"/>
      <c r="J6" s="83"/>
      <c r="K6" s="83"/>
      <c r="L6" s="83"/>
      <c r="M6" s="83"/>
      <c r="N6" s="83"/>
      <c r="O6" s="83"/>
      <c r="P6" s="83"/>
      <c r="Q6" s="83"/>
      <c r="R6" s="83"/>
      <c r="S6" s="83"/>
      <c r="T6" s="83"/>
      <c r="U6" s="83"/>
    </row>
    <row r="7" spans="1:21" ht="101.25" x14ac:dyDescent="0.25">
      <c r="A7" s="100" t="s">
        <v>221</v>
      </c>
      <c r="B7" s="42" t="s">
        <v>222</v>
      </c>
      <c r="C7" s="45" t="s">
        <v>223</v>
      </c>
      <c r="D7" s="38" t="s">
        <v>224</v>
      </c>
      <c r="E7" s="83"/>
      <c r="F7" s="83"/>
      <c r="G7" s="83"/>
      <c r="H7" s="83"/>
      <c r="I7" s="83"/>
      <c r="J7" s="83"/>
      <c r="K7" s="83"/>
      <c r="L7" s="83"/>
      <c r="M7" s="83"/>
      <c r="N7" s="83"/>
      <c r="O7" s="83"/>
      <c r="P7" s="83"/>
      <c r="Q7" s="83"/>
      <c r="R7" s="83"/>
      <c r="S7" s="83"/>
      <c r="T7" s="83"/>
      <c r="U7" s="83"/>
    </row>
    <row r="8" spans="1:21" ht="67.5" x14ac:dyDescent="0.25">
      <c r="A8" s="100" t="s">
        <v>225</v>
      </c>
      <c r="B8" s="43" t="s">
        <v>226</v>
      </c>
      <c r="C8" s="45" t="s">
        <v>227</v>
      </c>
      <c r="D8" s="38" t="s">
        <v>228</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229</v>
      </c>
      <c r="C11" s="100" t="s">
        <v>230</v>
      </c>
      <c r="D11" s="100" t="s">
        <v>231</v>
      </c>
      <c r="E11" s="83"/>
      <c r="F11" s="83"/>
      <c r="G11" s="83"/>
      <c r="H11" s="83"/>
      <c r="I11" s="83"/>
      <c r="J11" s="83"/>
      <c r="K11" s="83"/>
      <c r="L11" s="83"/>
      <c r="M11" s="83"/>
      <c r="N11" s="83"/>
      <c r="O11" s="83"/>
      <c r="P11" s="83"/>
      <c r="Q11" s="83"/>
      <c r="R11" s="83"/>
      <c r="S11" s="83"/>
      <c r="T11" s="83"/>
      <c r="U11" s="83"/>
    </row>
    <row r="12" spans="1:21" x14ac:dyDescent="0.25">
      <c r="A12" s="100"/>
      <c r="B12" s="100" t="s">
        <v>232</v>
      </c>
      <c r="C12" s="100" t="s">
        <v>164</v>
      </c>
      <c r="D12" s="100" t="s">
        <v>233</v>
      </c>
      <c r="E12" s="83"/>
      <c r="F12" s="83"/>
      <c r="G12" s="83"/>
      <c r="H12" s="83"/>
      <c r="I12" s="83"/>
      <c r="J12" s="83"/>
      <c r="K12" s="83"/>
      <c r="L12" s="83"/>
      <c r="M12" s="83"/>
      <c r="N12" s="83"/>
      <c r="O12" s="83"/>
      <c r="P12" s="83"/>
      <c r="Q12" s="83"/>
      <c r="R12" s="83"/>
      <c r="S12" s="83"/>
      <c r="T12" s="83"/>
      <c r="U12" s="83"/>
    </row>
    <row r="13" spans="1:21" x14ac:dyDescent="0.25">
      <c r="A13" s="100"/>
      <c r="B13" s="100"/>
      <c r="C13" s="100" t="s">
        <v>234</v>
      </c>
      <c r="D13" s="100" t="s">
        <v>156</v>
      </c>
      <c r="E13" s="83"/>
      <c r="F13" s="83"/>
      <c r="G13" s="83"/>
      <c r="H13" s="83"/>
      <c r="I13" s="83"/>
      <c r="J13" s="83"/>
      <c r="K13" s="83"/>
      <c r="L13" s="83"/>
      <c r="M13" s="83"/>
      <c r="N13" s="83"/>
      <c r="O13" s="83"/>
      <c r="P13" s="83"/>
      <c r="Q13" s="83"/>
      <c r="R13" s="83"/>
      <c r="S13" s="83"/>
      <c r="T13" s="83"/>
      <c r="U13" s="83"/>
    </row>
    <row r="14" spans="1:21" x14ac:dyDescent="0.25">
      <c r="A14" s="100"/>
      <c r="B14" s="100"/>
      <c r="C14" s="100" t="s">
        <v>235</v>
      </c>
      <c r="D14" s="100" t="s">
        <v>236</v>
      </c>
      <c r="E14" s="83"/>
      <c r="F14" s="83"/>
      <c r="G14" s="83"/>
      <c r="H14" s="83"/>
      <c r="I14" s="83"/>
      <c r="J14" s="83"/>
      <c r="K14" s="83"/>
      <c r="L14" s="83"/>
      <c r="M14" s="83"/>
      <c r="N14" s="83"/>
      <c r="O14" s="83"/>
      <c r="P14" s="83"/>
      <c r="Q14" s="83"/>
      <c r="R14" s="83"/>
      <c r="S14" s="83"/>
      <c r="T14" s="83"/>
      <c r="U14" s="83"/>
    </row>
    <row r="15" spans="1:21" x14ac:dyDescent="0.25">
      <c r="A15" s="100"/>
      <c r="B15" s="100"/>
      <c r="C15" s="100" t="s">
        <v>142</v>
      </c>
      <c r="D15" s="100" t="s">
        <v>237</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238</v>
      </c>
      <c r="C209" s="30" t="s">
        <v>239</v>
      </c>
      <c r="D209" s="33" t="s">
        <v>238</v>
      </c>
      <c r="E209" s="33" t="s">
        <v>239</v>
      </c>
    </row>
    <row r="210" spans="1:8" ht="21" x14ac:dyDescent="0.35">
      <c r="A210" s="83"/>
      <c r="B210" s="31" t="s">
        <v>240</v>
      </c>
      <c r="C210" s="31" t="s">
        <v>241</v>
      </c>
      <c r="D210" t="s">
        <v>240</v>
      </c>
      <c r="F210" t="str">
        <f>IF(NOT(ISBLANK(D210)),D210,IF(NOT(ISBLANK(E210)),"     "&amp;E210,FALSE))</f>
        <v>Afectación Económica o presupuestal</v>
      </c>
      <c r="G210" t="s">
        <v>240</v>
      </c>
      <c r="H210" t="str">
        <f>IF(NOT(ISERROR(MATCH(G210,_xlfn.ANCHORARRAY(B221),0))),F223&amp;"Por favor no seleccionar los criterios de impacto",G210)</f>
        <v>❌Por favor no seleccionar los criterios de impacto</v>
      </c>
    </row>
    <row r="211" spans="1:8" ht="21" x14ac:dyDescent="0.35">
      <c r="A211" s="83"/>
      <c r="B211" s="31" t="s">
        <v>240</v>
      </c>
      <c r="C211" s="31" t="s">
        <v>216</v>
      </c>
      <c r="E211" t="s">
        <v>241</v>
      </c>
      <c r="F211" t="str">
        <f t="shared" ref="F211:F221" si="0">IF(NOT(ISBLANK(D211)),D211,IF(NOT(ISBLANK(E211)),"     "&amp;E211,FALSE))</f>
        <v xml:space="preserve">     Afectación menor a 10 SMLMV .</v>
      </c>
    </row>
    <row r="212" spans="1:8" ht="21" x14ac:dyDescent="0.35">
      <c r="A212" s="83"/>
      <c r="B212" s="31" t="s">
        <v>240</v>
      </c>
      <c r="C212" s="31" t="s">
        <v>219</v>
      </c>
      <c r="E212" t="s">
        <v>216</v>
      </c>
      <c r="F212" t="str">
        <f t="shared" si="0"/>
        <v xml:space="preserve">     Entre 10 y 50 SMLMV </v>
      </c>
    </row>
    <row r="213" spans="1:8" ht="21" x14ac:dyDescent="0.35">
      <c r="A213" s="83"/>
      <c r="B213" s="31" t="s">
        <v>240</v>
      </c>
      <c r="C213" s="31" t="s">
        <v>223</v>
      </c>
      <c r="E213" t="s">
        <v>219</v>
      </c>
      <c r="F213" t="str">
        <f t="shared" si="0"/>
        <v xml:space="preserve">     Entre 50 y 100 SMLMV </v>
      </c>
    </row>
    <row r="214" spans="1:8" ht="21" x14ac:dyDescent="0.35">
      <c r="A214" s="83"/>
      <c r="B214" s="31" t="s">
        <v>240</v>
      </c>
      <c r="C214" s="31" t="s">
        <v>227</v>
      </c>
      <c r="E214" t="s">
        <v>223</v>
      </c>
      <c r="F214" t="str">
        <f t="shared" si="0"/>
        <v xml:space="preserve">     Entre 100 y 500 SMLMV </v>
      </c>
    </row>
    <row r="215" spans="1:8" ht="21" x14ac:dyDescent="0.35">
      <c r="A215" s="83"/>
      <c r="B215" s="31" t="s">
        <v>209</v>
      </c>
      <c r="C215" s="31" t="s">
        <v>213</v>
      </c>
      <c r="E215" t="s">
        <v>227</v>
      </c>
      <c r="F215" t="str">
        <f t="shared" si="0"/>
        <v xml:space="preserve">     Mayor a 500 SMLMV </v>
      </c>
    </row>
    <row r="216" spans="1:8" ht="21" x14ac:dyDescent="0.35">
      <c r="A216" s="83"/>
      <c r="B216" s="31" t="s">
        <v>209</v>
      </c>
      <c r="C216" s="31" t="s">
        <v>217</v>
      </c>
      <c r="D216" t="s">
        <v>209</v>
      </c>
      <c r="F216" t="str">
        <f t="shared" si="0"/>
        <v>Pérdida Reputacional</v>
      </c>
    </row>
    <row r="217" spans="1:8" ht="21" x14ac:dyDescent="0.35">
      <c r="A217" s="83"/>
      <c r="B217" s="31" t="s">
        <v>209</v>
      </c>
      <c r="C217" s="31" t="s">
        <v>220</v>
      </c>
      <c r="E217" t="s">
        <v>213</v>
      </c>
      <c r="F217" t="str">
        <f t="shared" si="0"/>
        <v xml:space="preserve">     El riesgo afecta la imagen de alguna área de la organización</v>
      </c>
    </row>
    <row r="218" spans="1:8" ht="21" x14ac:dyDescent="0.35">
      <c r="A218" s="83"/>
      <c r="B218" s="31" t="s">
        <v>209</v>
      </c>
      <c r="C218" s="31" t="s">
        <v>224</v>
      </c>
      <c r="E218" t="s">
        <v>217</v>
      </c>
      <c r="F218" t="str">
        <f t="shared" si="0"/>
        <v xml:space="preserve">     El riesgo afecta la imagen de la entidad internamente, de conocimiento general, nivel interno, de junta dircetiva y accionistas y/o de provedores</v>
      </c>
    </row>
    <row r="219" spans="1:8" ht="21" x14ac:dyDescent="0.35">
      <c r="A219" s="83"/>
      <c r="B219" s="31" t="s">
        <v>209</v>
      </c>
      <c r="C219" s="31" t="s">
        <v>228</v>
      </c>
      <c r="E219" t="s">
        <v>220</v>
      </c>
      <c r="F219" t="str">
        <f t="shared" si="0"/>
        <v xml:space="preserve">     El riesgo afecta la imagen de la entidad con algunos usuarios de relevancia frente al logro de los objetivos</v>
      </c>
    </row>
    <row r="220" spans="1:8" x14ac:dyDescent="0.25">
      <c r="A220" s="83"/>
      <c r="B220" s="32"/>
      <c r="C220" s="32"/>
      <c r="E220" t="s">
        <v>224</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228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242</v>
      </c>
    </row>
    <row r="224" spans="1:8" x14ac:dyDescent="0.25">
      <c r="B224" s="22"/>
      <c r="C224" s="22"/>
      <c r="F224" s="35" t="s">
        <v>243</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29" t="s">
        <v>244</v>
      </c>
      <c r="C1" s="530"/>
      <c r="D1" s="530"/>
      <c r="E1" s="530"/>
      <c r="F1" s="531"/>
    </row>
    <row r="2" spans="2:6" ht="16.5" thickBot="1" x14ac:dyDescent="0.3">
      <c r="B2" s="86"/>
      <c r="C2" s="86"/>
      <c r="D2" s="86"/>
      <c r="E2" s="86"/>
      <c r="F2" s="86"/>
    </row>
    <row r="3" spans="2:6" ht="16.5" thickBot="1" x14ac:dyDescent="0.25">
      <c r="B3" s="533" t="s">
        <v>245</v>
      </c>
      <c r="C3" s="534"/>
      <c r="D3" s="534"/>
      <c r="E3" s="98" t="s">
        <v>246</v>
      </c>
      <c r="F3" s="99" t="s">
        <v>247</v>
      </c>
    </row>
    <row r="4" spans="2:6" ht="31.5" x14ac:dyDescent="0.2">
      <c r="B4" s="535" t="s">
        <v>248</v>
      </c>
      <c r="C4" s="537" t="s">
        <v>131</v>
      </c>
      <c r="D4" s="87" t="s">
        <v>144</v>
      </c>
      <c r="E4" s="88" t="s">
        <v>249</v>
      </c>
      <c r="F4" s="89">
        <v>0.25</v>
      </c>
    </row>
    <row r="5" spans="2:6" ht="47.25" x14ac:dyDescent="0.2">
      <c r="B5" s="536"/>
      <c r="C5" s="538"/>
      <c r="D5" s="90" t="s">
        <v>250</v>
      </c>
      <c r="E5" s="91" t="s">
        <v>251</v>
      </c>
      <c r="F5" s="92">
        <v>0.15</v>
      </c>
    </row>
    <row r="6" spans="2:6" ht="47.25" x14ac:dyDescent="0.2">
      <c r="B6" s="536"/>
      <c r="C6" s="538"/>
      <c r="D6" s="90" t="s">
        <v>252</v>
      </c>
      <c r="E6" s="91" t="s">
        <v>253</v>
      </c>
      <c r="F6" s="92">
        <v>0.1</v>
      </c>
    </row>
    <row r="7" spans="2:6" ht="63" x14ac:dyDescent="0.2">
      <c r="B7" s="536"/>
      <c r="C7" s="538" t="s">
        <v>132</v>
      </c>
      <c r="D7" s="90" t="s">
        <v>254</v>
      </c>
      <c r="E7" s="91" t="s">
        <v>255</v>
      </c>
      <c r="F7" s="92">
        <v>0.25</v>
      </c>
    </row>
    <row r="8" spans="2:6" ht="31.5" x14ac:dyDescent="0.2">
      <c r="B8" s="536"/>
      <c r="C8" s="538"/>
      <c r="D8" s="90" t="s">
        <v>145</v>
      </c>
      <c r="E8" s="91" t="s">
        <v>256</v>
      </c>
      <c r="F8" s="92">
        <v>0.15</v>
      </c>
    </row>
    <row r="9" spans="2:6" ht="47.25" x14ac:dyDescent="0.2">
      <c r="B9" s="536" t="s">
        <v>257</v>
      </c>
      <c r="C9" s="538" t="s">
        <v>134</v>
      </c>
      <c r="D9" s="90" t="s">
        <v>146</v>
      </c>
      <c r="E9" s="91" t="s">
        <v>258</v>
      </c>
      <c r="F9" s="93" t="s">
        <v>259</v>
      </c>
    </row>
    <row r="10" spans="2:6" ht="63" x14ac:dyDescent="0.2">
      <c r="B10" s="536"/>
      <c r="C10" s="538"/>
      <c r="D10" s="90" t="s">
        <v>260</v>
      </c>
      <c r="E10" s="91" t="s">
        <v>261</v>
      </c>
      <c r="F10" s="93" t="s">
        <v>259</v>
      </c>
    </row>
    <row r="11" spans="2:6" ht="47.25" x14ac:dyDescent="0.2">
      <c r="B11" s="536"/>
      <c r="C11" s="538" t="s">
        <v>135</v>
      </c>
      <c r="D11" s="90" t="s">
        <v>147</v>
      </c>
      <c r="E11" s="91" t="s">
        <v>262</v>
      </c>
      <c r="F11" s="93" t="s">
        <v>259</v>
      </c>
    </row>
    <row r="12" spans="2:6" ht="47.25" x14ac:dyDescent="0.2">
      <c r="B12" s="536"/>
      <c r="C12" s="538"/>
      <c r="D12" s="90" t="s">
        <v>263</v>
      </c>
      <c r="E12" s="91" t="s">
        <v>264</v>
      </c>
      <c r="F12" s="93" t="s">
        <v>259</v>
      </c>
    </row>
    <row r="13" spans="2:6" ht="31.5" x14ac:dyDescent="0.2">
      <c r="B13" s="536"/>
      <c r="C13" s="538" t="s">
        <v>136</v>
      </c>
      <c r="D13" s="90" t="s">
        <v>148</v>
      </c>
      <c r="E13" s="91" t="s">
        <v>265</v>
      </c>
      <c r="F13" s="93" t="s">
        <v>259</v>
      </c>
    </row>
    <row r="14" spans="2:6" ht="32.25" thickBot="1" x14ac:dyDescent="0.25">
      <c r="B14" s="539"/>
      <c r="C14" s="540"/>
      <c r="D14" s="94" t="s">
        <v>266</v>
      </c>
      <c r="E14" s="95" t="s">
        <v>267</v>
      </c>
      <c r="F14" s="96" t="s">
        <v>259</v>
      </c>
    </row>
    <row r="15" spans="2:6" ht="49.5" customHeight="1" x14ac:dyDescent="0.2">
      <c r="B15" s="532" t="s">
        <v>268</v>
      </c>
      <c r="C15" s="532"/>
      <c r="D15" s="532"/>
      <c r="E15" s="532"/>
      <c r="F15" s="532"/>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269</v>
      </c>
      <c r="E2" t="s">
        <v>270</v>
      </c>
    </row>
    <row r="3" spans="2:5" x14ac:dyDescent="0.25">
      <c r="B3" t="s">
        <v>271</v>
      </c>
      <c r="E3" t="s">
        <v>152</v>
      </c>
    </row>
    <row r="4" spans="2:5" x14ac:dyDescent="0.25">
      <c r="B4" t="s">
        <v>272</v>
      </c>
      <c r="E4" t="s">
        <v>137</v>
      </c>
    </row>
    <row r="5" spans="2:5" x14ac:dyDescent="0.25">
      <c r="B5" t="s">
        <v>149</v>
      </c>
    </row>
    <row r="8" spans="2:5" x14ac:dyDescent="0.25">
      <c r="B8" t="s">
        <v>273</v>
      </c>
    </row>
    <row r="9" spans="2:5" x14ac:dyDescent="0.25">
      <c r="B9" t="s">
        <v>274</v>
      </c>
    </row>
    <row r="10" spans="2:5" x14ac:dyDescent="0.25">
      <c r="B10" t="s">
        <v>275</v>
      </c>
    </row>
    <row r="13" spans="2:5" x14ac:dyDescent="0.25">
      <c r="B13" t="s">
        <v>276</v>
      </c>
    </row>
    <row r="14" spans="2:5" x14ac:dyDescent="0.25">
      <c r="B14" t="s">
        <v>141</v>
      </c>
    </row>
    <row r="15" spans="2:5" x14ac:dyDescent="0.25">
      <c r="B15" t="s">
        <v>277</v>
      </c>
    </row>
    <row r="16" spans="2:5" x14ac:dyDescent="0.25">
      <c r="B16" t="s">
        <v>278</v>
      </c>
    </row>
    <row r="17" spans="2:2" x14ac:dyDescent="0.25">
      <c r="B17" t="s">
        <v>279</v>
      </c>
    </row>
    <row r="18" spans="2:2" x14ac:dyDescent="0.25">
      <c r="B18" t="s">
        <v>280</v>
      </c>
    </row>
    <row r="19" spans="2:2" x14ac:dyDescent="0.25">
      <c r="B19" t="s">
        <v>281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2021-11-09T19:45:50Z</dcterms:modified>
  <cp:category/>
  <cp:contentStatus/>
</cp:coreProperties>
</file>