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45DC45A1-646F-49FD-8249-B1DBFD291B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Acción'!$F$8:$I$69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8" i="14" l="1"/>
  <c r="N66" i="14"/>
  <c r="N65" i="14"/>
  <c r="N64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3" i="14"/>
  <c r="N22" i="14"/>
  <c r="N20" i="14"/>
  <c r="N19" i="14"/>
  <c r="AA17" i="14"/>
  <c r="U17" i="14"/>
  <c r="N17" i="14"/>
  <c r="N16" i="14"/>
  <c r="N15" i="14"/>
  <c r="N13" i="14"/>
  <c r="N11" i="14"/>
  <c r="N10" i="14"/>
  <c r="N9" i="14"/>
  <c r="N69" i="14" s="1"/>
  <c r="Q24" i="14"/>
  <c r="M47" i="14"/>
  <c r="N47" i="14" s="1"/>
  <c r="M46" i="14"/>
  <c r="N46" i="14" s="1"/>
  <c r="M45" i="14"/>
  <c r="N45" i="14" s="1"/>
  <c r="M21" i="14"/>
  <c r="N21" i="14" s="1"/>
  <c r="T25" i="14"/>
  <c r="P26" i="14"/>
  <c r="V10" i="14"/>
  <c r="P10" i="14"/>
  <c r="AB17" i="14" l="1"/>
  <c r="P55" i="14"/>
  <c r="P67" i="14" l="1"/>
  <c r="P15" i="14" l="1"/>
  <c r="Q15" i="14"/>
  <c r="Q30" i="14"/>
  <c r="P45" i="14"/>
  <c r="W30" i="14" l="1"/>
  <c r="P30" i="14"/>
  <c r="P24" i="14"/>
  <c r="P23" i="14"/>
  <c r="Q23" i="14"/>
  <c r="AA27" i="14"/>
  <c r="Q27" i="14"/>
  <c r="U27" i="14" s="1"/>
  <c r="P20" i="14"/>
  <c r="T11" i="14"/>
  <c r="AB27" i="14" l="1"/>
  <c r="R69" i="14"/>
  <c r="S69" i="14"/>
  <c r="X69" i="14"/>
  <c r="Y69" i="14"/>
  <c r="Z69" i="14"/>
  <c r="U66" i="14" l="1"/>
  <c r="U68" i="14"/>
  <c r="AA68" i="14"/>
  <c r="AA66" i="14"/>
  <c r="AA65" i="14"/>
  <c r="AA64" i="14"/>
  <c r="AA62" i="14"/>
  <c r="AA60" i="14"/>
  <c r="AA59" i="14"/>
  <c r="AA58" i="14"/>
  <c r="AA57" i="14"/>
  <c r="AA56" i="14"/>
  <c r="AA55" i="14"/>
  <c r="AA54" i="14"/>
  <c r="AA53" i="14"/>
  <c r="AA52" i="14"/>
  <c r="AA51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2" i="14"/>
  <c r="AA21" i="14"/>
  <c r="AA20" i="14"/>
  <c r="AA19" i="14"/>
  <c r="AA16" i="14"/>
  <c r="AA15" i="14"/>
  <c r="AA13" i="14"/>
  <c r="AA10" i="14"/>
  <c r="AA11" i="14"/>
  <c r="AA9" i="14"/>
  <c r="U65" i="14"/>
  <c r="U64" i="14"/>
  <c r="U60" i="14"/>
  <c r="U59" i="14"/>
  <c r="U56" i="14"/>
  <c r="U55" i="14"/>
  <c r="U54" i="14"/>
  <c r="U53" i="14"/>
  <c r="U52" i="14"/>
  <c r="U50" i="14"/>
  <c r="U49" i="14"/>
  <c r="U44" i="14"/>
  <c r="U43" i="14"/>
  <c r="U42" i="14"/>
  <c r="U40" i="14"/>
  <c r="U39" i="14"/>
  <c r="U38" i="14"/>
  <c r="U37" i="14"/>
  <c r="U36" i="14"/>
  <c r="U35" i="14"/>
  <c r="U34" i="14"/>
  <c r="U33" i="14"/>
  <c r="U32" i="14"/>
  <c r="U31" i="14"/>
  <c r="U29" i="14"/>
  <c r="U28" i="14"/>
  <c r="U22" i="14"/>
  <c r="U21" i="14"/>
  <c r="U19" i="14"/>
  <c r="U13" i="14"/>
  <c r="U9" i="14"/>
  <c r="U11" i="14"/>
  <c r="W23" i="14"/>
  <c r="V25" i="14"/>
  <c r="W50" i="14"/>
  <c r="AA50" i="14" s="1"/>
  <c r="V61" i="14"/>
  <c r="AA61" i="14" s="1"/>
  <c r="W69" i="14" l="1"/>
  <c r="AB50" i="14"/>
  <c r="T69" i="14"/>
  <c r="AB68" i="14"/>
  <c r="AB66" i="14"/>
  <c r="AB54" i="14"/>
  <c r="AB64" i="14"/>
  <c r="AB38" i="14"/>
  <c r="AB55" i="14"/>
  <c r="AB19" i="14"/>
  <c r="AB31" i="14"/>
  <c r="AB39" i="14"/>
  <c r="AB29" i="14"/>
  <c r="AB37" i="14"/>
  <c r="AB53" i="14"/>
  <c r="AB11" i="14"/>
  <c r="AB21" i="14"/>
  <c r="AB32" i="14"/>
  <c r="AB40" i="14"/>
  <c r="AB56" i="14"/>
  <c r="AB65" i="14"/>
  <c r="AB9" i="14"/>
  <c r="V69" i="14"/>
  <c r="AB22" i="14"/>
  <c r="AB33" i="14"/>
  <c r="AB49" i="14"/>
  <c r="AB13" i="14"/>
  <c r="AB34" i="14"/>
  <c r="AB42" i="14"/>
  <c r="AA23" i="14"/>
  <c r="AA69" i="14" s="1"/>
  <c r="AB35" i="14"/>
  <c r="AB43" i="14"/>
  <c r="AB59" i="14"/>
  <c r="AB28" i="14"/>
  <c r="AB36" i="14"/>
  <c r="AB44" i="14"/>
  <c r="AB52" i="14"/>
  <c r="AB60" i="14"/>
  <c r="P63" i="14"/>
  <c r="U62" i="14" s="1"/>
  <c r="AB62" i="14" s="1"/>
  <c r="P61" i="14"/>
  <c r="U61" i="14" s="1"/>
  <c r="AB61" i="14" s="1"/>
  <c r="U58" i="14"/>
  <c r="AB58" i="14" s="1"/>
  <c r="U57" i="14"/>
  <c r="AB57" i="14" s="1"/>
  <c r="P51" i="14"/>
  <c r="U51" i="14" s="1"/>
  <c r="AB51" i="14" s="1"/>
  <c r="Q48" i="14"/>
  <c r="U48" i="14" s="1"/>
  <c r="AB48" i="14" s="1"/>
  <c r="U47" i="14"/>
  <c r="AB47" i="14" s="1"/>
  <c r="U46" i="14"/>
  <c r="AB46" i="14" s="1"/>
  <c r="Q41" i="14"/>
  <c r="U41" i="14" s="1"/>
  <c r="AB41" i="14" s="1"/>
  <c r="U30" i="14"/>
  <c r="AB30" i="14" s="1"/>
  <c r="U23" i="14"/>
  <c r="U20" i="14"/>
  <c r="AB20" i="14" s="1"/>
  <c r="P16" i="14"/>
  <c r="U16" i="14" s="1"/>
  <c r="AB16" i="14" s="1"/>
  <c r="U15" i="14"/>
  <c r="AB15" i="14" s="1"/>
  <c r="U45" i="14" l="1"/>
  <c r="AB45" i="14" s="1"/>
  <c r="P69" i="14"/>
  <c r="U10" i="14"/>
  <c r="AB23" i="14"/>
  <c r="Q69" i="14"/>
  <c r="A69" i="14"/>
  <c r="U69" i="14" l="1"/>
  <c r="AB10" i="14"/>
  <c r="AB6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M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13807 dosis aplicadas</t>
        </r>
      </text>
    </comment>
  </commentList>
</comments>
</file>

<file path=xl/sharedStrings.xml><?xml version="1.0" encoding="utf-8"?>
<sst xmlns="http://schemas.openxmlformats.org/spreadsheetml/2006/main" count="616" uniqueCount="285">
  <si>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</si>
  <si>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</si>
  <si>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</si>
  <si>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</si>
  <si>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</si>
  <si>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</si>
  <si>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</si>
  <si>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</si>
  <si>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</si>
  <si>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</si>
  <si>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</si>
  <si>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</si>
  <si>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</si>
  <si>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</si>
  <si>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</si>
  <si>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</si>
  <si>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</si>
  <si>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</si>
  <si>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</si>
  <si>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</si>
  <si>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</si>
  <si>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</si>
  <si>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</si>
  <si>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</si>
  <si>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</si>
  <si>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</si>
  <si>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</si>
  <si>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</si>
  <si>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</si>
  <si>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</si>
  <si>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</si>
  <si>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</si>
  <si>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</si>
  <si>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</si>
  <si>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</si>
  <si>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</si>
  <si>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</si>
  <si>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</si>
  <si>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</si>
  <si>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</si>
  <si>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</si>
  <si>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</si>
  <si>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</si>
  <si>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</si>
  <si>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</si>
  <si>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</si>
  <si>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</si>
  <si>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</si>
  <si>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</si>
  <si>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</si>
  <si>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</si>
  <si>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</si>
  <si>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</si>
  <si>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</si>
  <si>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</si>
  <si>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</si>
  <si>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</si>
  <si>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</si>
  <si>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</si>
  <si>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</si>
  <si>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</si>
  <si>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</si>
  <si>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</si>
  <si>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</si>
  <si>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</si>
  <si>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</si>
  <si>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2.3.2.02.02.009.1905019.285
2.3.2.02.02.009.1905019.272 
2.3.2.02.02.009.1905019.585
2.3.2.02.02.009.1905019.501</t>
  </si>
  <si>
    <t>DIAGNÓSTICO PARA LA ORGANIZACIÓN DE LA RED DE PRESTACIÓN DEL SERVICIO DE SALUD EN EL MUNICIPIO DE BUCARAMANGA</t>
  </si>
  <si>
    <t>Elaborar (2) estudios técnico y metodológico a la Secretaría Municipal de Salud y Ambiente de Bucaramanga, para el mejoramiento de la eficacia y la calidad en la red de prestación pública de servicios de salud.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</si>
  <si>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</si>
  <si>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</si>
  <si>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</si>
  <si>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 xml:space="preserve">2.3.2.02.02.009.1905019.209
2.3.2.02.02.009.1905019.585
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</si>
  <si>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</si>
  <si>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</si>
  <si>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</si>
  <si>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</si>
  <si>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</si>
  <si>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</si>
  <si>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</si>
  <si>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</si>
  <si>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</si>
  <si>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</si>
  <si>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</si>
  <si>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</si>
  <si>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</si>
  <si>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 xml:space="preserve">2.3.2.02.02.009.1905019.201
2.3.2.02.02.009.1906031.501
2.3.2.02.02.009.1905019.501 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</si>
  <si>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</si>
  <si>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</si>
  <si>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</si>
  <si>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</si>
  <si>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</si>
  <si>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</si>
  <si>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2.3.2.02.02.009.1905023.209
2.3.2.02.02.009.1905031.572 Pendiente por adicionar a proyecto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</si>
  <si>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</si>
  <si>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</si>
  <si>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</si>
  <si>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2.3.2.02.02.009.1905023.209
2.3.2.02.02.009.1905023.501 Pendiente por adicionar a proyecto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</si>
  <si>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</si>
  <si>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</si>
  <si>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</si>
  <si>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</si>
  <si>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</si>
  <si>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</si>
  <si>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</si>
  <si>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</si>
  <si>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</si>
  <si>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</si>
  <si>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</si>
  <si>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</si>
  <si>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</si>
  <si>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</si>
  <si>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</si>
  <si>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</si>
  <si>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</si>
  <si>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2.3.2.02.02.009.1905022.209
2.3.2.02.02.009.1905022.501 Pendiente por adicionar a proyecto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</si>
  <si>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</si>
  <si>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</si>
  <si>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</si>
  <si>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</si>
  <si>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</si>
  <si>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</si>
  <si>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</si>
  <si>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</si>
  <si>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</si>
  <si>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</si>
  <si>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</si>
  <si>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</si>
  <si>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</si>
  <si>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2.3.2.02.02.009.1905019.209
2.3.2.02.02.009.1905019.501 Pendiente por adicionar a proyecto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</si>
  <si>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</si>
  <si>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</si>
  <si>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</si>
  <si>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</si>
  <si>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</si>
  <si>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</si>
  <si>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</si>
  <si>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</si>
  <si>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</si>
  <si>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</si>
  <si>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</si>
  <si>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</si>
  <si>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</si>
  <si>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</si>
  <si>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</si>
  <si>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</si>
  <si>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</si>
  <si>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</si>
  <si>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</si>
  <si>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</si>
  <si>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</si>
  <si>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</si>
  <si>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</si>
  <si>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</si>
  <si>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</si>
  <si>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</si>
  <si>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</si>
  <si>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</si>
  <si>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</si>
  <si>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2.3.2.02.02.009.1905019.209 Pendiente por adicionar a proyecto
2.3.2.02.02.009.1905019.501 Pendiente por adicionar a proyecto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</si>
  <si>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</si>
  <si>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</si>
  <si>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</si>
  <si>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</si>
  <si>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</si>
  <si>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</si>
  <si>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</si>
  <si>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</si>
  <si>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</si>
  <si>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</si>
  <si>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</si>
  <si>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2.3.2.02.02.009.1905024.501
2.3.2.02.02.009.1905024.270
2.3.2.02.02.009.1905024.209
2.3.2.02.02.009.1905024.501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</si>
  <si>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</si>
  <si>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</si>
  <si>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</si>
  <si>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 xml:space="preserve">2.3.2.02.02.009.1905024.501
2.3.2.02.02.009.1905024.501
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</si>
  <si>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</si>
  <si>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</si>
  <si>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</si>
  <si>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</si>
  <si>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</si>
  <si>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</si>
  <si>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</si>
  <si>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2.3.2.02.02.009.1905024.209
2.3.2.02.02.009.1903031.209
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</si>
  <si>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</si>
  <si>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</si>
  <si>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</si>
  <si>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</si>
  <si>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</si>
  <si>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</si>
  <si>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</si>
  <si>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2.3.2.02.02.009.1905030.209
2.3.2.02.02.009.1905030.501 Pendiente por adicionar a proyecto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</si>
  <si>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</si>
  <si>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</si>
  <si>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</si>
  <si>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2.3.2.02.02.009.1905030.201
2.3.2.02.02.009.1905030.501 Pendiente por adicionar a proyecto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</si>
  <si>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</si>
  <si>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</si>
  <si>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</si>
  <si>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</si>
  <si>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</si>
  <si>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2.3.2.02.02.009.1905025.209
2.3.2.02.02.009.1905025.501 Pendiente por adicionar a proyecto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</si>
  <si>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</si>
  <si>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</si>
  <si>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</si>
  <si>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</si>
  <si>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</si>
  <si>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</si>
  <si>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</si>
  <si>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</si>
  <si>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</si>
  <si>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</si>
  <si>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</si>
  <si>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</si>
  <si>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</si>
  <si>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</si>
  <si>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</si>
  <si>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</si>
  <si>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</si>
  <si>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</si>
  <si>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</si>
  <si>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</si>
  <si>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</si>
  <si>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</si>
  <si>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</si>
  <si>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</si>
  <si>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</si>
  <si>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</si>
  <si>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</si>
  <si>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</si>
  <si>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</si>
  <si>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</si>
  <si>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2.3.2.02.02.009.3202005.201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</si>
  <si>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</si>
  <si>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</si>
  <si>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 xml:space="preserve">2.3.2.02.02.009.3202005.201
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</si>
  <si>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</si>
  <si>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</si>
  <si>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</si>
  <si>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</si>
  <si>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</si>
  <si>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</si>
  <si>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2.3.2.02.02.009.3202005.201
2.3.2.02.02.009.3202005.501
2.3.2.02.02.009.3202041.588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</si>
  <si>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</si>
  <si>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</si>
  <si>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</si>
  <si>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</si>
  <si>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</si>
  <si>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</si>
  <si>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</si>
  <si>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</si>
  <si>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</si>
  <si>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</si>
  <si>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</si>
  <si>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</si>
  <si>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</si>
  <si>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</si>
  <si>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</si>
  <si>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</si>
  <si>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</si>
  <si>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</si>
  <si>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</si>
  <si>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2.3.2.02.02.009.1906023.208 $79.880.515.915
2.3.2.02.02.009.1906023.279 $134.040.044.112
2.3.2.02.02.009.1906023.274 $5.590.188.172
2.3.2.02.02.009.1906023.292 $13.865.040.612
2.3.2.02.02.009.1906023.247 $6.053.442.339
2.3.2.02.02.009.1903011.279 $886.001.426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</si>
  <si>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</si>
  <si>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</si>
  <si>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</si>
  <si>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</si>
  <si>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2.3.2.02.02.009.1905026.501</t>
  </si>
  <si>
    <t>2.3.2.02.02.009.1905035.201 $136.150.000
2.3.2.02.02.005.1905035.274 $3.588.490.157</t>
  </si>
  <si>
    <t>2.3.2.02.02.009.1905028.209 $98.571.428
2.3.2.02.02.009.1905028.501  $2.285.714 
Pendiente por adicionar al proyecto</t>
  </si>
  <si>
    <t>2.3.2.02.02.009.1905028.209 $65.595.238
2.3.2.02.02.009.1905019.501 $7.130.952</t>
  </si>
  <si>
    <t>2.3.2.02.02.009.1905019.209 $550.000.000
2.3.2.02.02.009.1905019.585 $590.000.000</t>
  </si>
  <si>
    <t>2.3.2.02.02.009.1905019.209 $170.000.000
2.3.2.02.02.009.1905019.501 $8.000.000
Pendiente por adicionar a proyecto</t>
  </si>
  <si>
    <t>2.3.2.02.02.009.1905024.570</t>
  </si>
  <si>
    <t>2.3.2.02.02.009.3208010.201
2.3.2.02.02.009.3208010.280</t>
  </si>
  <si>
    <t>N.A. para esta vigencia.</t>
  </si>
  <si>
    <t>2.3.2.02.02.009.3201009.201
2.3.2.02.02.009.3201005.580
2.3.2.02.02.009.3201005.518
2.3.2.02.02.009.3201005.320
2.3.7.06.02.4599002.615</t>
  </si>
  <si>
    <t xml:space="preserve">
2.3.7.06.02.4599002.615</t>
  </si>
  <si>
    <t>Recursos de Vigencias Expiradas que deben ser incluídos a la Fuente de Financiación a favor del Municipio. Lo anterior porque no fueron ejecutados en su totalidad.</t>
  </si>
  <si>
    <t>2.3.2.02.02.005.1905035.274 $1.906.080.086
2.3.2.02.02.005.1905026.509 $1.272.607.864,71 
2.3.2.02.02.005.1905026.585 $17.636.386
2.3.2.02.02.005.1905027.509 $200.000.000
2.3.2.02.02.005.1905027.585 $52.140.696,29
2.3.2.02.02.005.1905027.572 $97.859.303,77</t>
  </si>
  <si>
    <t>2.3.2.02.02.009.1906031.501 $302.363.835,14
Pendiente por adicionar a proyecto</t>
  </si>
  <si>
    <t>2.3.2.02.02.009.1906004.501 $397.986.999,58 
Pendiente por adicionar a proyecto</t>
  </si>
  <si>
    <t xml:space="preserve">2.3.2.02.02.009.1905026.209
2.3.2.02.02.009.1905027.209
2.3.2.02.02.009.1905027.509
Pendiente por incluir </t>
  </si>
  <si>
    <t>Pendiente 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</si>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</sst>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#,##0.000"/>
    <numFmt numFmtId="168" formatCode="#,##0.0000"/>
    <numFmt numFmtId="169" formatCode="0.0%"/>
    <numFmt numFmtId="170" formatCode="0.000"/>
    <numFmt numFmtId="171" formatCode="#,##0_ ;\-#,##0\ "/>
  </numFmts>
  <fonts count="1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16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165" fontId="15" fillId="0" borderId="2" xfId="108" applyNumberFormat="1" applyFont="1" applyFill="1" applyBorder="1" applyAlignment="1">
      <alignment horizontal="center" vertical="center" wrapText="1"/>
    </xf>
    <xf numFmtId="165" fontId="11" fillId="0" borderId="2" xfId="108" applyNumberFormat="1" applyFont="1" applyFill="1" applyBorder="1" applyAlignment="1">
      <alignment horizontal="center" vertical="center" wrapText="1"/>
    </xf>
    <xf numFmtId="165" fontId="10" fillId="0" borderId="2" xfId="108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165" fontId="13" fillId="0" borderId="2" xfId="108" applyNumberFormat="1" applyFont="1" applyFill="1" applyBorder="1" applyAlignment="1">
      <alignment horizontal="right" vertical="center" wrapText="1"/>
    </xf>
    <xf numFmtId="9" fontId="12" fillId="2" borderId="2" xfId="107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65" fontId="8" fillId="0" borderId="2" xfId="108" applyNumberFormat="1" applyFont="1" applyBorder="1"/>
    <xf numFmtId="0" fontId="1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165" fontId="8" fillId="0" borderId="2" xfId="108" applyNumberFormat="1" applyFont="1" applyBorder="1" applyAlignment="1">
      <alignment horizontal="center" vertical="center"/>
    </xf>
    <xf numFmtId="165" fontId="8" fillId="0" borderId="2" xfId="108" applyNumberFormat="1" applyFont="1" applyFill="1" applyBorder="1" applyAlignment="1">
      <alignment horizontal="center" vertical="center"/>
    </xf>
    <xf numFmtId="42" fontId="9" fillId="0" borderId="2" xfId="111" applyFont="1" applyFill="1" applyBorder="1" applyAlignment="1">
      <alignment horizontal="center" vertical="center" wrapText="1"/>
    </xf>
    <xf numFmtId="0" fontId="4" fillId="0" borderId="0" xfId="0" applyFont="1"/>
    <xf numFmtId="165" fontId="13" fillId="0" borderId="2" xfId="108" applyNumberFormat="1" applyFont="1" applyFill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justify" vertical="center" wrapText="1"/>
    </xf>
    <xf numFmtId="164" fontId="16" fillId="0" borderId="2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justify" vertical="center" wrapText="1"/>
    </xf>
    <xf numFmtId="164" fontId="16" fillId="2" borderId="2" xfId="0" applyNumberFormat="1" applyFont="1" applyFill="1" applyBorder="1" applyAlignment="1">
      <alignment vertical="center"/>
    </xf>
    <xf numFmtId="5" fontId="9" fillId="0" borderId="2" xfId="108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4" fontId="13" fillId="0" borderId="2" xfId="108" applyNumberFormat="1" applyFont="1" applyFill="1" applyBorder="1" applyAlignment="1">
      <alignment horizontal="center" vertical="center" wrapText="1"/>
    </xf>
    <xf numFmtId="44" fontId="9" fillId="0" borderId="2" xfId="108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vertical="center"/>
    </xf>
    <xf numFmtId="9" fontId="12" fillId="0" borderId="2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165" fontId="9" fillId="2" borderId="2" xfId="108" applyNumberFormat="1" applyFont="1" applyFill="1" applyBorder="1" applyAlignment="1">
      <alignment vertical="center" wrapText="1"/>
    </xf>
    <xf numFmtId="9" fontId="9" fillId="0" borderId="2" xfId="107" applyFont="1" applyFill="1" applyBorder="1" applyAlignment="1">
      <alignment vertical="center" wrapText="1"/>
    </xf>
    <xf numFmtId="5" fontId="9" fillId="0" borderId="2" xfId="108" applyNumberFormat="1" applyFont="1" applyFill="1" applyBorder="1" applyAlignment="1">
      <alignment vertical="center" wrapText="1"/>
    </xf>
    <xf numFmtId="44" fontId="8" fillId="0" borderId="2" xfId="108" applyNumberFormat="1" applyFont="1" applyFill="1" applyBorder="1" applyAlignment="1">
      <alignment horizontal="center" vertical="center" wrapText="1"/>
    </xf>
    <xf numFmtId="44" fontId="10" fillId="0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44" fontId="7" fillId="2" borderId="4" xfId="108" applyNumberFormat="1" applyFont="1" applyFill="1" applyBorder="1" applyAlignment="1">
      <alignment vertical="center"/>
    </xf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vertical="center" wrapText="1"/>
    </xf>
    <xf numFmtId="44" fontId="15" fillId="0" borderId="2" xfId="108" applyNumberFormat="1" applyFont="1" applyFill="1" applyBorder="1" applyAlignment="1">
      <alignment horizontal="center" vertical="center" wrapText="1"/>
    </xf>
    <xf numFmtId="44" fontId="11" fillId="0" borderId="2" xfId="108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7" fontId="9" fillId="0" borderId="1" xfId="108" applyNumberFormat="1" applyFont="1" applyFill="1" applyBorder="1" applyAlignment="1">
      <alignment horizontal="center" vertical="center" wrapText="1"/>
    </xf>
    <xf numFmtId="7" fontId="9" fillId="0" borderId="4" xfId="10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4" fontId="9" fillId="2" borderId="1" xfId="108" applyNumberFormat="1" applyFont="1" applyFill="1" applyBorder="1" applyAlignment="1">
      <alignment horizontal="center" vertical="center" wrapText="1"/>
    </xf>
    <xf numFmtId="44" fontId="9" fillId="2" borderId="4" xfId="108" applyNumberFormat="1" applyFont="1" applyFill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center" vertical="center" wrapText="1"/>
    </xf>
    <xf numFmtId="165" fontId="9" fillId="2" borderId="4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70" fontId="12" fillId="2" borderId="2" xfId="11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topLeftCell="O1" zoomScale="60" zoomScaleNormal="60" workbookViewId="0">
      <selection activeCell="O24" sqref="O24"/>
    </sheetView>
  </sheetViews>
  <sheetFormatPr baseColWidth="10" defaultColWidth="11.19921875" defaultRowHeight="13.8" x14ac:dyDescent="0.25"/>
  <cols>
    <col min="1" max="1" width="9.69921875" style="1" customWidth="1"/>
    <col min="2" max="4" width="27.5" style="1" customWidth="1"/>
    <col min="5" max="6" width="50.59765625" style="1" customWidth="1"/>
    <col min="7" max="7" width="21.59765625" style="1" customWidth="1"/>
    <col min="8" max="8" width="47.59765625" style="1" customWidth="1"/>
    <col min="9" max="9" width="53.19921875" style="1" customWidth="1"/>
    <col min="10" max="10" width="14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3.09765625" style="1" customWidth="1"/>
    <col min="16" max="20" width="23.5" style="1" customWidth="1"/>
    <col min="21" max="21" width="28" style="1" customWidth="1"/>
    <col min="22" max="26" width="23.5" style="1" customWidth="1"/>
    <col min="27" max="27" width="27.0976562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51"/>
      <c r="B1" s="156" t="s">
        <v>44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44" t="s">
        <v>284</v>
      </c>
      <c r="AD1" s="144"/>
      <c r="AE1" s="144"/>
    </row>
    <row r="2" spans="1:31" x14ac:dyDescent="0.25">
      <c r="A2" s="151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45" t="s">
        <v>37</v>
      </c>
      <c r="AD2" s="145"/>
      <c r="AE2" s="145"/>
    </row>
    <row r="3" spans="1:31" x14ac:dyDescent="0.25">
      <c r="A3" s="151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45" t="s">
        <v>34</v>
      </c>
      <c r="AD3" s="145"/>
      <c r="AE3" s="145"/>
    </row>
    <row r="4" spans="1:31" x14ac:dyDescent="0.25">
      <c r="A4" s="151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45" t="s">
        <v>33</v>
      </c>
      <c r="AD4" s="145"/>
      <c r="AE4" s="145"/>
    </row>
    <row r="5" spans="1:31" x14ac:dyDescent="0.25">
      <c r="A5" s="152" t="s">
        <v>31</v>
      </c>
      <c r="B5" s="152"/>
      <c r="C5" s="152"/>
      <c r="D5" s="154">
        <v>44414</v>
      </c>
      <c r="E5" s="154"/>
      <c r="F5" s="154"/>
      <c r="G5" s="154"/>
      <c r="H5" s="154"/>
      <c r="I5" s="154"/>
      <c r="J5" s="154"/>
      <c r="K5" s="154"/>
      <c r="L5" s="1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53" t="s">
        <v>32</v>
      </c>
      <c r="B6" s="153"/>
      <c r="C6" s="153"/>
      <c r="D6" s="155">
        <v>44408</v>
      </c>
      <c r="E6" s="155"/>
      <c r="F6" s="155"/>
      <c r="G6" s="155"/>
      <c r="H6" s="155"/>
      <c r="I6" s="155"/>
      <c r="J6" s="155"/>
      <c r="K6" s="155"/>
      <c r="L6" s="15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48" t="s">
        <v>10</v>
      </c>
      <c r="C7" s="148"/>
      <c r="D7" s="148"/>
      <c r="E7" s="148"/>
      <c r="F7" s="148"/>
      <c r="G7" s="148" t="s">
        <v>11</v>
      </c>
      <c r="H7" s="148"/>
      <c r="I7" s="148"/>
      <c r="J7" s="148"/>
      <c r="K7" s="148"/>
      <c r="L7" s="148" t="s">
        <v>26</v>
      </c>
      <c r="M7" s="148"/>
      <c r="N7" s="148"/>
      <c r="O7" s="148" t="s">
        <v>24</v>
      </c>
      <c r="P7" s="148"/>
      <c r="Q7" s="148"/>
      <c r="R7" s="148"/>
      <c r="S7" s="148"/>
      <c r="T7" s="148"/>
      <c r="U7" s="148"/>
      <c r="V7" s="148" t="s">
        <v>18</v>
      </c>
      <c r="W7" s="148"/>
      <c r="X7" s="148"/>
      <c r="Y7" s="148"/>
      <c r="Z7" s="148"/>
      <c r="AA7" s="148"/>
      <c r="AB7" s="146" t="s">
        <v>19</v>
      </c>
      <c r="AC7" s="146" t="s">
        <v>27</v>
      </c>
      <c r="AD7" s="146" t="s">
        <v>25</v>
      </c>
      <c r="AE7" s="146"/>
    </row>
    <row r="8" spans="1:31" ht="27.6" x14ac:dyDescent="0.25">
      <c r="A8" s="7" t="s">
        <v>30</v>
      </c>
      <c r="B8" s="19" t="s">
        <v>1</v>
      </c>
      <c r="C8" s="7" t="s">
        <v>6</v>
      </c>
      <c r="D8" s="7" t="s">
        <v>2</v>
      </c>
      <c r="E8" s="7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7" t="s">
        <v>9</v>
      </c>
      <c r="P8" s="19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19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147"/>
      <c r="AC8" s="147"/>
      <c r="AD8" s="19" t="s">
        <v>13</v>
      </c>
      <c r="AE8" s="19" t="s">
        <v>14</v>
      </c>
    </row>
    <row r="9" spans="1:31" ht="204" customHeight="1" x14ac:dyDescent="0.25">
      <c r="A9" s="42">
        <v>27</v>
      </c>
      <c r="B9" s="18" t="s">
        <v>38</v>
      </c>
      <c r="C9" s="18" t="s">
        <v>45</v>
      </c>
      <c r="D9" s="18" t="s">
        <v>46</v>
      </c>
      <c r="E9" s="41" t="s">
        <v>47</v>
      </c>
      <c r="F9" s="31" t="s">
        <v>48</v>
      </c>
      <c r="G9" s="40">
        <v>2020680010036</v>
      </c>
      <c r="H9" s="46" t="s">
        <v>49</v>
      </c>
      <c r="I9" s="9" t="s">
        <v>50</v>
      </c>
      <c r="J9" s="12">
        <v>44197</v>
      </c>
      <c r="K9" s="12">
        <v>44561</v>
      </c>
      <c r="L9" s="84">
        <v>1</v>
      </c>
      <c r="M9" s="86">
        <v>0.57999999999999996</v>
      </c>
      <c r="N9" s="83">
        <f>IFERROR(IF(M9/L9&gt;100%,100%,M9/L9),"-")</f>
        <v>0.57999999999999996</v>
      </c>
      <c r="O9" s="47" t="s">
        <v>262</v>
      </c>
      <c r="P9" s="93"/>
      <c r="Q9" s="93">
        <v>79880515915</v>
      </c>
      <c r="R9" s="93"/>
      <c r="S9" s="93"/>
      <c r="T9" s="93">
        <v>160434716661</v>
      </c>
      <c r="U9" s="106">
        <f>SUM(P9:T9)</f>
        <v>240315232576</v>
      </c>
      <c r="V9" s="48"/>
      <c r="W9" s="93">
        <v>46323465487</v>
      </c>
      <c r="X9" s="48"/>
      <c r="Y9" s="48"/>
      <c r="Z9" s="93">
        <v>82826369952.050003</v>
      </c>
      <c r="AA9" s="107">
        <f>SUM(V9:Z9)</f>
        <v>129149835439.05</v>
      </c>
      <c r="AB9" s="81">
        <f>IFERROR(AA9/U9,"-")</f>
        <v>0.5374184318432923</v>
      </c>
      <c r="AC9" s="78"/>
      <c r="AD9" s="82" t="s">
        <v>51</v>
      </c>
      <c r="AE9" s="82" t="s">
        <v>263</v>
      </c>
    </row>
    <row r="10" spans="1:31" ht="105" customHeight="1" x14ac:dyDescent="0.25">
      <c r="A10" s="42">
        <v>28</v>
      </c>
      <c r="B10" s="13" t="s">
        <v>38</v>
      </c>
      <c r="C10" s="13" t="s">
        <v>45</v>
      </c>
      <c r="D10" s="13" t="s">
        <v>46</v>
      </c>
      <c r="E10" s="17" t="s">
        <v>59</v>
      </c>
      <c r="F10" s="14" t="s">
        <v>60</v>
      </c>
      <c r="G10" s="39">
        <v>2020680010032</v>
      </c>
      <c r="H10" s="36" t="s">
        <v>56</v>
      </c>
      <c r="I10" s="9" t="s">
        <v>61</v>
      </c>
      <c r="J10" s="12">
        <v>44228</v>
      </c>
      <c r="K10" s="12">
        <v>44561</v>
      </c>
      <c r="L10" s="45">
        <v>1</v>
      </c>
      <c r="M10" s="52">
        <v>0.57999999999999996</v>
      </c>
      <c r="N10" s="44">
        <f>IFERROR(IF(M10/L10&gt;100%,100%,M10/L10),"-")</f>
        <v>0.57999999999999996</v>
      </c>
      <c r="O10" s="47" t="s">
        <v>62</v>
      </c>
      <c r="P10" s="93">
        <f>169500000+418000000</f>
        <v>587500000</v>
      </c>
      <c r="Q10" s="93"/>
      <c r="R10" s="93"/>
      <c r="S10" s="93"/>
      <c r="T10" s="93"/>
      <c r="U10" s="106">
        <f>SUM(P10:T10)</f>
        <v>587500000</v>
      </c>
      <c r="V10" s="48">
        <f>270790000+2820000+60000000+33000000</f>
        <v>366610000</v>
      </c>
      <c r="W10" s="48"/>
      <c r="X10" s="50"/>
      <c r="Y10" s="48"/>
      <c r="Z10" s="48"/>
      <c r="AA10" s="53">
        <f>SUM(V10:Z10)</f>
        <v>366610000</v>
      </c>
      <c r="AB10" s="8">
        <f>IFERROR(AA10/U10,"-")</f>
        <v>0.62401702127659575</v>
      </c>
      <c r="AC10" s="10"/>
      <c r="AD10" s="11" t="s">
        <v>51</v>
      </c>
      <c r="AE10" s="11" t="s">
        <v>263</v>
      </c>
    </row>
    <row r="11" spans="1:31" ht="83.25" customHeight="1" x14ac:dyDescent="0.25">
      <c r="A11" s="42">
        <v>29</v>
      </c>
      <c r="B11" s="18" t="s">
        <v>38</v>
      </c>
      <c r="C11" s="18" t="s">
        <v>45</v>
      </c>
      <c r="D11" s="18" t="s">
        <v>46</v>
      </c>
      <c r="E11" s="41" t="s">
        <v>52</v>
      </c>
      <c r="F11" s="31" t="s">
        <v>53</v>
      </c>
      <c r="G11" s="39"/>
      <c r="H11" s="14" t="s">
        <v>54</v>
      </c>
      <c r="I11" s="9"/>
      <c r="J11" s="12"/>
      <c r="K11" s="12"/>
      <c r="L11" s="149">
        <v>1</v>
      </c>
      <c r="M11" s="150">
        <v>0.57999999999999996</v>
      </c>
      <c r="N11" s="143">
        <f>IFERROR(IF(M11/L11&gt;100%,100%,M11/L11),"-")</f>
        <v>0.57999999999999996</v>
      </c>
      <c r="O11" s="47" t="s">
        <v>55</v>
      </c>
      <c r="P11" s="109"/>
      <c r="Q11" s="93"/>
      <c r="R11" s="110"/>
      <c r="S11" s="92"/>
      <c r="T11" s="93">
        <f>2535585114.46-302500000</f>
        <v>2233085114.46</v>
      </c>
      <c r="U11" s="140">
        <f>SUM(P11:T12)</f>
        <v>2535585114.46</v>
      </c>
      <c r="V11" s="48"/>
      <c r="W11" s="51"/>
      <c r="X11" s="51"/>
      <c r="Y11" s="51"/>
      <c r="Z11" s="51"/>
      <c r="AA11" s="139">
        <f>SUM(V11:Z12)</f>
        <v>55000000</v>
      </c>
      <c r="AB11" s="137">
        <f>IFERROR(AA11/U11,"-")</f>
        <v>2.1691245813971926E-2</v>
      </c>
      <c r="AC11" s="138"/>
      <c r="AD11" s="136" t="s">
        <v>51</v>
      </c>
      <c r="AE11" s="136" t="s">
        <v>263</v>
      </c>
    </row>
    <row r="12" spans="1:31" ht="62.4" x14ac:dyDescent="0.25">
      <c r="A12" s="85">
        <v>29</v>
      </c>
      <c r="B12" s="18" t="s">
        <v>38</v>
      </c>
      <c r="C12" s="18" t="s">
        <v>45</v>
      </c>
      <c r="D12" s="18" t="s">
        <v>46</v>
      </c>
      <c r="E12" s="41" t="s">
        <v>52</v>
      </c>
      <c r="F12" s="31" t="s">
        <v>53</v>
      </c>
      <c r="G12" s="39">
        <v>2020680010032</v>
      </c>
      <c r="H12" s="36" t="s">
        <v>56</v>
      </c>
      <c r="I12" s="9" t="s">
        <v>57</v>
      </c>
      <c r="J12" s="12">
        <v>44256</v>
      </c>
      <c r="K12" s="12">
        <v>44561</v>
      </c>
      <c r="L12" s="149"/>
      <c r="M12" s="150"/>
      <c r="N12" s="143"/>
      <c r="O12" s="47" t="s">
        <v>58</v>
      </c>
      <c r="P12" s="93"/>
      <c r="Q12" s="93"/>
      <c r="R12" s="93"/>
      <c r="S12" s="93"/>
      <c r="T12" s="93">
        <v>302500000</v>
      </c>
      <c r="U12" s="140"/>
      <c r="V12" s="48"/>
      <c r="W12" s="51"/>
      <c r="X12" s="51"/>
      <c r="Y12" s="48"/>
      <c r="Z12" s="48">
        <v>55000000</v>
      </c>
      <c r="AA12" s="139"/>
      <c r="AB12" s="137"/>
      <c r="AC12" s="138"/>
      <c r="AD12" s="136"/>
      <c r="AE12" s="136"/>
    </row>
    <row r="13" spans="1:31" ht="75" x14ac:dyDescent="0.25">
      <c r="A13" s="85">
        <v>30</v>
      </c>
      <c r="B13" s="18" t="s">
        <v>38</v>
      </c>
      <c r="C13" s="18" t="s">
        <v>45</v>
      </c>
      <c r="D13" s="18" t="s">
        <v>46</v>
      </c>
      <c r="E13" s="41" t="s">
        <v>63</v>
      </c>
      <c r="F13" s="31" t="s">
        <v>64</v>
      </c>
      <c r="G13" s="39">
        <v>2020680010032</v>
      </c>
      <c r="H13" s="36" t="s">
        <v>56</v>
      </c>
      <c r="I13" s="9" t="s">
        <v>65</v>
      </c>
      <c r="J13" s="12">
        <v>44223</v>
      </c>
      <c r="K13" s="12">
        <v>44561</v>
      </c>
      <c r="L13" s="149">
        <v>1</v>
      </c>
      <c r="M13" s="150">
        <v>0.56999999999999995</v>
      </c>
      <c r="N13" s="143">
        <f>IFERROR(IF(M13/L13&gt;100%,100%,M13/L13),"-")</f>
        <v>0.56999999999999995</v>
      </c>
      <c r="O13" s="47" t="s">
        <v>66</v>
      </c>
      <c r="P13" s="93">
        <v>569300000</v>
      </c>
      <c r="Q13" s="93"/>
      <c r="R13" s="93"/>
      <c r="S13" s="93"/>
      <c r="T13" s="93"/>
      <c r="U13" s="140">
        <f>SUM(P13:T14)</f>
        <v>919300000</v>
      </c>
      <c r="V13" s="48">
        <v>379802300</v>
      </c>
      <c r="W13" s="51"/>
      <c r="X13" s="51"/>
      <c r="Y13" s="48"/>
      <c r="Z13" s="48"/>
      <c r="AA13" s="139">
        <f>SUM(V13:Z14)</f>
        <v>379802300</v>
      </c>
      <c r="AB13" s="137">
        <f>IFERROR(AA13/U13,"-")</f>
        <v>0.41314293484172743</v>
      </c>
      <c r="AC13" s="138"/>
      <c r="AD13" s="136" t="s">
        <v>51</v>
      </c>
      <c r="AE13" s="136" t="s">
        <v>263</v>
      </c>
    </row>
    <row r="14" spans="1:31" ht="75" x14ac:dyDescent="0.25">
      <c r="A14" s="42">
        <v>30</v>
      </c>
      <c r="B14" s="18" t="s">
        <v>38</v>
      </c>
      <c r="C14" s="18" t="s">
        <v>45</v>
      </c>
      <c r="D14" s="18" t="s">
        <v>46</v>
      </c>
      <c r="E14" s="41" t="s">
        <v>63</v>
      </c>
      <c r="F14" s="31" t="s">
        <v>64</v>
      </c>
      <c r="G14" s="111">
        <v>20210680010043</v>
      </c>
      <c r="H14" s="46" t="s">
        <v>67</v>
      </c>
      <c r="I14" s="9" t="s">
        <v>68</v>
      </c>
      <c r="J14" s="12">
        <v>44335</v>
      </c>
      <c r="K14" s="12">
        <v>44561</v>
      </c>
      <c r="L14" s="149"/>
      <c r="M14" s="150"/>
      <c r="N14" s="143"/>
      <c r="O14" s="47" t="s">
        <v>280</v>
      </c>
      <c r="P14" s="93">
        <v>350000000</v>
      </c>
      <c r="Q14" s="119"/>
      <c r="R14" s="93"/>
      <c r="S14" s="93"/>
      <c r="T14" s="93"/>
      <c r="U14" s="140"/>
      <c r="V14" s="48"/>
      <c r="W14" s="51"/>
      <c r="X14" s="51"/>
      <c r="Y14" s="48"/>
      <c r="Z14" s="48"/>
      <c r="AA14" s="139"/>
      <c r="AB14" s="137"/>
      <c r="AC14" s="138"/>
      <c r="AD14" s="136"/>
      <c r="AE14" s="136"/>
    </row>
    <row r="15" spans="1:31" ht="60" x14ac:dyDescent="0.25">
      <c r="A15" s="42">
        <v>31</v>
      </c>
      <c r="B15" s="13" t="s">
        <v>38</v>
      </c>
      <c r="C15" s="13" t="s">
        <v>45</v>
      </c>
      <c r="D15" s="13" t="s">
        <v>46</v>
      </c>
      <c r="E15" s="17" t="s">
        <v>69</v>
      </c>
      <c r="F15" s="14" t="s">
        <v>70</v>
      </c>
      <c r="G15" s="39">
        <v>2020680010032</v>
      </c>
      <c r="H15" s="36" t="s">
        <v>56</v>
      </c>
      <c r="I15" s="9" t="s">
        <v>71</v>
      </c>
      <c r="J15" s="12">
        <v>44228</v>
      </c>
      <c r="K15" s="12">
        <v>44561</v>
      </c>
      <c r="L15" s="43">
        <v>1</v>
      </c>
      <c r="M15" s="54">
        <v>1</v>
      </c>
      <c r="N15" s="44">
        <f>IFERROR(IF(M15/L15&gt;100%,100%,M15/L15),"-")</f>
        <v>1</v>
      </c>
      <c r="O15" s="47" t="s">
        <v>72</v>
      </c>
      <c r="P15" s="93">
        <f>5700000+41300000+4700000</f>
        <v>51700000</v>
      </c>
      <c r="Q15" s="93">
        <f>42300000</f>
        <v>42300000</v>
      </c>
      <c r="R15" s="93"/>
      <c r="S15" s="93"/>
      <c r="T15" s="93"/>
      <c r="U15" s="106">
        <f t="shared" ref="U15:U22" si="0">SUM(P15:T15)</f>
        <v>94000000</v>
      </c>
      <c r="V15" s="48">
        <v>5700000</v>
      </c>
      <c r="W15" s="48">
        <v>42300000</v>
      </c>
      <c r="X15" s="51"/>
      <c r="Y15" s="51"/>
      <c r="Z15" s="51"/>
      <c r="AA15" s="53">
        <f t="shared" ref="AA15:AA22" si="1">SUM(V15:Z15)</f>
        <v>48000000</v>
      </c>
      <c r="AB15" s="8">
        <f t="shared" ref="AB15:AB23" si="2">IFERROR(AA15/U15,"-")</f>
        <v>0.51063829787234039</v>
      </c>
      <c r="AC15" s="10"/>
      <c r="AD15" s="11" t="s">
        <v>51</v>
      </c>
      <c r="AE15" s="82" t="s">
        <v>263</v>
      </c>
    </row>
    <row r="16" spans="1:31" ht="60" x14ac:dyDescent="0.25">
      <c r="A16" s="42">
        <v>32</v>
      </c>
      <c r="B16" s="13" t="s">
        <v>38</v>
      </c>
      <c r="C16" s="13" t="s">
        <v>45</v>
      </c>
      <c r="D16" s="13" t="s">
        <v>46</v>
      </c>
      <c r="E16" s="17" t="s">
        <v>73</v>
      </c>
      <c r="F16" s="14" t="s">
        <v>74</v>
      </c>
      <c r="G16" s="39">
        <v>2020680010032</v>
      </c>
      <c r="H16" s="36" t="s">
        <v>56</v>
      </c>
      <c r="I16" s="9" t="s">
        <v>75</v>
      </c>
      <c r="J16" s="12">
        <v>44228</v>
      </c>
      <c r="K16" s="12">
        <v>44561</v>
      </c>
      <c r="L16" s="45">
        <v>1</v>
      </c>
      <c r="M16" s="52">
        <v>1</v>
      </c>
      <c r="N16" s="44">
        <f>IFERROR(IF(M16/L16&gt;100%,100%,M16/L16),"-")</f>
        <v>1</v>
      </c>
      <c r="O16" s="47" t="s">
        <v>76</v>
      </c>
      <c r="P16" s="93">
        <f>300000000+23900000</f>
        <v>323900000</v>
      </c>
      <c r="Q16" s="93">
        <v>490000000</v>
      </c>
      <c r="R16" s="93"/>
      <c r="S16" s="93"/>
      <c r="T16" s="93"/>
      <c r="U16" s="106">
        <f t="shared" si="0"/>
        <v>813900000</v>
      </c>
      <c r="V16" s="48">
        <v>300000000</v>
      </c>
      <c r="W16" s="55">
        <v>490000000</v>
      </c>
      <c r="X16" s="50"/>
      <c r="Y16" s="50"/>
      <c r="Z16" s="50"/>
      <c r="AA16" s="53">
        <f t="shared" si="1"/>
        <v>790000000</v>
      </c>
      <c r="AB16" s="8">
        <f t="shared" si="2"/>
        <v>0.9706352131711512</v>
      </c>
      <c r="AC16" s="10"/>
      <c r="AD16" s="11" t="s">
        <v>51</v>
      </c>
      <c r="AE16" s="82" t="s">
        <v>263</v>
      </c>
    </row>
    <row r="17" spans="1:31" ht="62.4" x14ac:dyDescent="0.25">
      <c r="A17" s="85">
        <v>33</v>
      </c>
      <c r="B17" s="13" t="s">
        <v>38</v>
      </c>
      <c r="C17" s="13" t="s">
        <v>45</v>
      </c>
      <c r="D17" s="13" t="s">
        <v>46</v>
      </c>
      <c r="E17" s="17" t="s">
        <v>77</v>
      </c>
      <c r="F17" s="14" t="s">
        <v>78</v>
      </c>
      <c r="G17" s="34"/>
      <c r="H17" s="46" t="s">
        <v>264</v>
      </c>
      <c r="I17" s="9" t="s">
        <v>265</v>
      </c>
      <c r="J17" s="12">
        <v>44256</v>
      </c>
      <c r="K17" s="12">
        <v>44377</v>
      </c>
      <c r="L17" s="130">
        <v>0.3</v>
      </c>
      <c r="M17" s="128">
        <v>0.25</v>
      </c>
      <c r="N17" s="126">
        <f>IFERROR(IF(M17/L17&gt;100%,100%,M17/L17),"-")</f>
        <v>0.83333333333333337</v>
      </c>
      <c r="O17" s="47"/>
      <c r="P17" s="93"/>
      <c r="Q17" s="93"/>
      <c r="R17" s="93"/>
      <c r="S17" s="93"/>
      <c r="T17" s="93"/>
      <c r="U17" s="132">
        <f>SUM(P17:T18)</f>
        <v>20166551737.459999</v>
      </c>
      <c r="V17" s="48"/>
      <c r="W17" s="51"/>
      <c r="X17" s="51"/>
      <c r="Y17" s="51"/>
      <c r="Z17" s="51"/>
      <c r="AA17" s="134">
        <f>SUM(V17:Z18)</f>
        <v>0</v>
      </c>
      <c r="AB17" s="120">
        <f>IFERROR(AA17/U17,"-")</f>
        <v>0</v>
      </c>
      <c r="AC17" s="122">
        <v>32939737.5</v>
      </c>
      <c r="AD17" s="124" t="s">
        <v>51</v>
      </c>
      <c r="AE17" s="124" t="s">
        <v>263</v>
      </c>
    </row>
    <row r="18" spans="1:31" ht="60" x14ac:dyDescent="0.25">
      <c r="A18" s="85">
        <v>33</v>
      </c>
      <c r="B18" s="13" t="s">
        <v>38</v>
      </c>
      <c r="C18" s="13" t="s">
        <v>45</v>
      </c>
      <c r="D18" s="13" t="s">
        <v>46</v>
      </c>
      <c r="E18" s="17" t="s">
        <v>77</v>
      </c>
      <c r="F18" s="14" t="s">
        <v>78</v>
      </c>
      <c r="G18" s="34"/>
      <c r="H18" s="14" t="s">
        <v>54</v>
      </c>
      <c r="I18" s="9"/>
      <c r="J18" s="12"/>
      <c r="K18" s="12"/>
      <c r="L18" s="131"/>
      <c r="M18" s="129"/>
      <c r="N18" s="127"/>
      <c r="O18" s="47" t="s">
        <v>266</v>
      </c>
      <c r="P18" s="93"/>
      <c r="Q18" s="93"/>
      <c r="R18" s="93"/>
      <c r="S18" s="93"/>
      <c r="T18" s="93">
        <v>20166551737.459999</v>
      </c>
      <c r="U18" s="133"/>
      <c r="V18" s="88"/>
      <c r="W18" s="51"/>
      <c r="X18" s="51"/>
      <c r="Y18" s="51"/>
      <c r="Z18" s="51"/>
      <c r="AA18" s="135"/>
      <c r="AB18" s="121"/>
      <c r="AC18" s="123"/>
      <c r="AD18" s="125"/>
      <c r="AE18" s="125"/>
    </row>
    <row r="19" spans="1:31" ht="60" x14ac:dyDescent="0.25">
      <c r="A19" s="85">
        <v>34</v>
      </c>
      <c r="B19" s="13" t="s">
        <v>38</v>
      </c>
      <c r="C19" s="13" t="s">
        <v>45</v>
      </c>
      <c r="D19" s="13" t="s">
        <v>46</v>
      </c>
      <c r="E19" s="17" t="s">
        <v>79</v>
      </c>
      <c r="F19" s="14" t="s">
        <v>80</v>
      </c>
      <c r="G19" s="34"/>
      <c r="H19" s="14" t="s">
        <v>81</v>
      </c>
      <c r="I19" s="9"/>
      <c r="J19" s="12"/>
      <c r="K19" s="12"/>
      <c r="L19" s="43">
        <v>0</v>
      </c>
      <c r="M19" s="54">
        <v>0</v>
      </c>
      <c r="N19" s="44" t="str">
        <f>IFERROR(IF(M19/L19&gt;100%,100%,M19/L19),"-")</f>
        <v>-</v>
      </c>
      <c r="O19" s="16"/>
      <c r="P19" s="93"/>
      <c r="Q19" s="93"/>
      <c r="R19" s="93"/>
      <c r="S19" s="93"/>
      <c r="T19" s="93"/>
      <c r="U19" s="106">
        <f t="shared" si="0"/>
        <v>0</v>
      </c>
      <c r="V19" s="48"/>
      <c r="W19" s="51"/>
      <c r="X19" s="51"/>
      <c r="Y19" s="51"/>
      <c r="Z19" s="51"/>
      <c r="AA19" s="53">
        <f t="shared" si="1"/>
        <v>0</v>
      </c>
      <c r="AB19" s="8" t="str">
        <f t="shared" si="2"/>
        <v>-</v>
      </c>
      <c r="AC19" s="10"/>
      <c r="AD19" s="11" t="s">
        <v>51</v>
      </c>
      <c r="AE19" s="82" t="s">
        <v>263</v>
      </c>
    </row>
    <row r="20" spans="1:31" ht="60" x14ac:dyDescent="0.25">
      <c r="A20" s="85">
        <v>35</v>
      </c>
      <c r="B20" s="13" t="s">
        <v>38</v>
      </c>
      <c r="C20" s="13" t="s">
        <v>45</v>
      </c>
      <c r="D20" s="13" t="s">
        <v>46</v>
      </c>
      <c r="E20" s="17" t="s">
        <v>82</v>
      </c>
      <c r="F20" s="14" t="s">
        <v>83</v>
      </c>
      <c r="G20" s="39">
        <v>2020680010130</v>
      </c>
      <c r="H20" s="14" t="s">
        <v>84</v>
      </c>
      <c r="I20" s="9" t="s">
        <v>85</v>
      </c>
      <c r="J20" s="12">
        <v>44377</v>
      </c>
      <c r="K20" s="12">
        <v>44561</v>
      </c>
      <c r="L20" s="43">
        <v>1</v>
      </c>
      <c r="M20" s="54">
        <v>0</v>
      </c>
      <c r="N20" s="44">
        <f>IFERROR(IF(M20/L20&gt;100%,100%,M20/L20),"-")</f>
        <v>0</v>
      </c>
      <c r="O20" s="47" t="s">
        <v>86</v>
      </c>
      <c r="P20" s="93">
        <f>242950000+136946524+313053476</f>
        <v>692950000</v>
      </c>
      <c r="Q20" s="93"/>
      <c r="R20" s="93"/>
      <c r="S20" s="93"/>
      <c r="T20" s="93"/>
      <c r="U20" s="106">
        <f t="shared" si="0"/>
        <v>692950000</v>
      </c>
      <c r="V20" s="48"/>
      <c r="W20" s="51"/>
      <c r="X20" s="51"/>
      <c r="Y20" s="51"/>
      <c r="Z20" s="51"/>
      <c r="AA20" s="53">
        <f t="shared" si="1"/>
        <v>0</v>
      </c>
      <c r="AB20" s="8">
        <f t="shared" si="2"/>
        <v>0</v>
      </c>
      <c r="AC20" s="10"/>
      <c r="AD20" s="11" t="s">
        <v>51</v>
      </c>
      <c r="AE20" s="82" t="s">
        <v>263</v>
      </c>
    </row>
    <row r="21" spans="1:31" ht="78" x14ac:dyDescent="0.25">
      <c r="A21" s="85">
        <v>38</v>
      </c>
      <c r="B21" s="13" t="s">
        <v>38</v>
      </c>
      <c r="C21" s="13" t="s">
        <v>87</v>
      </c>
      <c r="D21" s="13" t="s">
        <v>88</v>
      </c>
      <c r="E21" s="17" t="s">
        <v>89</v>
      </c>
      <c r="F21" s="14" t="s">
        <v>90</v>
      </c>
      <c r="G21" s="39">
        <v>20200680010101</v>
      </c>
      <c r="H21" s="36" t="s">
        <v>91</v>
      </c>
      <c r="I21" s="9" t="s">
        <v>92</v>
      </c>
      <c r="J21" s="12">
        <v>44290</v>
      </c>
      <c r="K21" s="12">
        <v>44561</v>
      </c>
      <c r="L21" s="43">
        <v>15</v>
      </c>
      <c r="M21" s="54">
        <f>28+13</f>
        <v>41</v>
      </c>
      <c r="N21" s="44">
        <f>IFERROR(IF(M21/L21&gt;100%,100%,M21/L21),"-")</f>
        <v>1</v>
      </c>
      <c r="O21" s="47" t="s">
        <v>93</v>
      </c>
      <c r="P21" s="93">
        <v>135118963.86000001</v>
      </c>
      <c r="Q21" s="93">
        <v>139000000</v>
      </c>
      <c r="R21" s="93"/>
      <c r="S21" s="93"/>
      <c r="T21" s="93"/>
      <c r="U21" s="106">
        <f t="shared" si="0"/>
        <v>274118963.86000001</v>
      </c>
      <c r="V21" s="48"/>
      <c r="W21" s="48">
        <v>139000000</v>
      </c>
      <c r="X21" s="51"/>
      <c r="Y21" s="51"/>
      <c r="Z21" s="51"/>
      <c r="AA21" s="53">
        <f t="shared" si="1"/>
        <v>139000000</v>
      </c>
      <c r="AB21" s="8">
        <f t="shared" si="2"/>
        <v>0.50707910916732879</v>
      </c>
      <c r="AC21" s="10"/>
      <c r="AD21" s="11" t="s">
        <v>51</v>
      </c>
      <c r="AE21" s="82" t="s">
        <v>263</v>
      </c>
    </row>
    <row r="22" spans="1:31" ht="78" x14ac:dyDescent="0.25">
      <c r="A22" s="42">
        <v>39</v>
      </c>
      <c r="B22" s="13" t="s">
        <v>38</v>
      </c>
      <c r="C22" s="13" t="s">
        <v>87</v>
      </c>
      <c r="D22" s="13" t="s">
        <v>88</v>
      </c>
      <c r="E22" s="17" t="s">
        <v>94</v>
      </c>
      <c r="F22" s="14" t="s">
        <v>95</v>
      </c>
      <c r="G22" s="39">
        <v>20200680010101</v>
      </c>
      <c r="H22" s="36" t="s">
        <v>91</v>
      </c>
      <c r="I22" s="9" t="s">
        <v>96</v>
      </c>
      <c r="J22" s="12">
        <v>44251</v>
      </c>
      <c r="K22" s="12">
        <v>44196</v>
      </c>
      <c r="L22" s="43">
        <v>4</v>
      </c>
      <c r="M22" s="54">
        <v>4</v>
      </c>
      <c r="N22" s="44">
        <f>IFERROR(IF(M22/L22&gt;100%,100%,M22/L22),"-")</f>
        <v>1</v>
      </c>
      <c r="O22" s="47" t="s">
        <v>97</v>
      </c>
      <c r="P22" s="93">
        <v>12000000</v>
      </c>
      <c r="Q22" s="93">
        <v>263000000</v>
      </c>
      <c r="R22" s="93"/>
      <c r="S22" s="93"/>
      <c r="T22" s="93"/>
      <c r="U22" s="106">
        <f t="shared" si="0"/>
        <v>275000000</v>
      </c>
      <c r="V22" s="48"/>
      <c r="W22" s="48">
        <v>227000000</v>
      </c>
      <c r="X22" s="48"/>
      <c r="Y22" s="51"/>
      <c r="Z22" s="51"/>
      <c r="AA22" s="53">
        <f t="shared" si="1"/>
        <v>227000000</v>
      </c>
      <c r="AB22" s="8">
        <f t="shared" si="2"/>
        <v>0.82545454545454544</v>
      </c>
      <c r="AC22" s="10"/>
      <c r="AD22" s="11" t="s">
        <v>51</v>
      </c>
      <c r="AE22" s="82" t="s">
        <v>263</v>
      </c>
    </row>
    <row r="23" spans="1:31" ht="62.4" x14ac:dyDescent="0.25">
      <c r="A23" s="42">
        <v>40</v>
      </c>
      <c r="B23" s="31" t="s">
        <v>38</v>
      </c>
      <c r="C23" s="31" t="s">
        <v>87</v>
      </c>
      <c r="D23" s="31" t="s">
        <v>98</v>
      </c>
      <c r="E23" s="41" t="s">
        <v>103</v>
      </c>
      <c r="F23" s="31" t="s">
        <v>104</v>
      </c>
      <c r="G23" s="39">
        <v>20200680010047</v>
      </c>
      <c r="H23" s="36" t="s">
        <v>101</v>
      </c>
      <c r="I23" s="9" t="s">
        <v>105</v>
      </c>
      <c r="J23" s="12">
        <v>44228</v>
      </c>
      <c r="K23" s="12">
        <v>44196</v>
      </c>
      <c r="L23" s="141">
        <v>2</v>
      </c>
      <c r="M23" s="142">
        <v>2</v>
      </c>
      <c r="N23" s="143">
        <f>IFERROR(IF(M23/L23&gt;100%,100%,M23/L23),"-")</f>
        <v>1</v>
      </c>
      <c r="O23" s="47" t="s">
        <v>267</v>
      </c>
      <c r="P23" s="93">
        <f>35300000+9000000</f>
        <v>44300000</v>
      </c>
      <c r="Q23" s="93">
        <f>327100000+67413482</f>
        <v>394513482</v>
      </c>
      <c r="R23" s="93"/>
      <c r="S23" s="93"/>
      <c r="T23" s="93"/>
      <c r="U23" s="140">
        <f>SUM(P23:T26)</f>
        <v>8151777972.7799997</v>
      </c>
      <c r="V23" s="56"/>
      <c r="W23" s="48">
        <f>319100000+67413482</f>
        <v>386513482</v>
      </c>
      <c r="X23" s="56"/>
      <c r="Y23" s="56"/>
      <c r="Z23" s="56"/>
      <c r="AA23" s="139">
        <f>SUM(V23:Z26)</f>
        <v>2400587274</v>
      </c>
      <c r="AB23" s="137">
        <f t="shared" si="2"/>
        <v>0.29448634175463539</v>
      </c>
      <c r="AC23" s="138"/>
      <c r="AD23" s="136" t="s">
        <v>51</v>
      </c>
      <c r="AE23" s="136" t="s">
        <v>263</v>
      </c>
    </row>
    <row r="24" spans="1:31" ht="180" x14ac:dyDescent="0.25">
      <c r="A24" s="42">
        <v>40</v>
      </c>
      <c r="B24" s="31" t="s">
        <v>38</v>
      </c>
      <c r="C24" s="31" t="s">
        <v>87</v>
      </c>
      <c r="D24" s="31" t="s">
        <v>98</v>
      </c>
      <c r="E24" s="41" t="s">
        <v>103</v>
      </c>
      <c r="F24" s="31" t="s">
        <v>104</v>
      </c>
      <c r="G24" s="40"/>
      <c r="H24" s="14" t="s">
        <v>54</v>
      </c>
      <c r="I24" s="9"/>
      <c r="J24" s="12"/>
      <c r="K24" s="12"/>
      <c r="L24" s="141"/>
      <c r="M24" s="142"/>
      <c r="N24" s="143"/>
      <c r="O24" s="47" t="s">
        <v>279</v>
      </c>
      <c r="P24" s="93">
        <f>17636386+52140696.29+97859303.77</f>
        <v>167636386.06</v>
      </c>
      <c r="Q24" s="93">
        <f>1272607864.72+200000000</f>
        <v>1472607864.72</v>
      </c>
      <c r="R24" s="92"/>
      <c r="S24" s="92"/>
      <c r="T24" s="93">
        <v>1906080086</v>
      </c>
      <c r="U24" s="140"/>
      <c r="V24" s="56"/>
      <c r="W24" s="48"/>
      <c r="X24" s="56"/>
      <c r="Y24" s="56"/>
      <c r="Z24" s="56"/>
      <c r="AA24" s="139"/>
      <c r="AB24" s="137"/>
      <c r="AC24" s="138"/>
      <c r="AD24" s="136"/>
      <c r="AE24" s="136"/>
    </row>
    <row r="25" spans="1:31" ht="78" x14ac:dyDescent="0.25">
      <c r="A25" s="42">
        <v>40</v>
      </c>
      <c r="B25" s="31" t="s">
        <v>38</v>
      </c>
      <c r="C25" s="31" t="s">
        <v>87</v>
      </c>
      <c r="D25" s="31" t="s">
        <v>98</v>
      </c>
      <c r="E25" s="41" t="s">
        <v>103</v>
      </c>
      <c r="F25" s="31" t="s">
        <v>104</v>
      </c>
      <c r="G25" s="40">
        <v>20210680010005</v>
      </c>
      <c r="H25" s="46" t="s">
        <v>106</v>
      </c>
      <c r="I25" s="9" t="s">
        <v>107</v>
      </c>
      <c r="J25" s="12">
        <v>44225</v>
      </c>
      <c r="K25" s="12">
        <v>44561</v>
      </c>
      <c r="L25" s="141"/>
      <c r="M25" s="142"/>
      <c r="N25" s="143"/>
      <c r="O25" s="16" t="s">
        <v>268</v>
      </c>
      <c r="P25" s="93">
        <v>136150000</v>
      </c>
      <c r="Q25" s="93"/>
      <c r="R25" s="93"/>
      <c r="S25" s="93"/>
      <c r="T25" s="93">
        <f>3766640154-136150000</f>
        <v>3630490154</v>
      </c>
      <c r="U25" s="140"/>
      <c r="V25" s="29">
        <f>77224710+17500000</f>
        <v>94724710</v>
      </c>
      <c r="W25" s="56"/>
      <c r="X25" s="56"/>
      <c r="Y25" s="29"/>
      <c r="Z25" s="29">
        <v>1919349082</v>
      </c>
      <c r="AA25" s="139"/>
      <c r="AB25" s="137"/>
      <c r="AC25" s="138"/>
      <c r="AD25" s="136"/>
      <c r="AE25" s="136"/>
    </row>
    <row r="26" spans="1:31" ht="93.6" x14ac:dyDescent="0.25">
      <c r="A26" s="42">
        <v>40</v>
      </c>
      <c r="B26" s="31" t="s">
        <v>38</v>
      </c>
      <c r="C26" s="31" t="s">
        <v>87</v>
      </c>
      <c r="D26" s="31" t="s">
        <v>98</v>
      </c>
      <c r="E26" s="41" t="s">
        <v>103</v>
      </c>
      <c r="F26" s="31" t="s">
        <v>104</v>
      </c>
      <c r="G26" s="40">
        <v>20210680010046</v>
      </c>
      <c r="H26" s="46" t="s">
        <v>108</v>
      </c>
      <c r="I26" s="9" t="s">
        <v>109</v>
      </c>
      <c r="J26" s="12">
        <v>44342</v>
      </c>
      <c r="K26" s="12">
        <v>44561</v>
      </c>
      <c r="L26" s="141"/>
      <c r="M26" s="142"/>
      <c r="N26" s="143"/>
      <c r="O26" s="16" t="s">
        <v>281</v>
      </c>
      <c r="P26" s="93">
        <f>397986999.58+2013000.42</f>
        <v>400000000</v>
      </c>
      <c r="Q26" s="93"/>
      <c r="R26" s="93"/>
      <c r="S26" s="93"/>
      <c r="T26" s="93"/>
      <c r="U26" s="140"/>
      <c r="V26" s="73"/>
      <c r="W26" s="73"/>
      <c r="X26" s="56"/>
      <c r="Y26" s="56"/>
      <c r="Z26" s="56"/>
      <c r="AA26" s="139"/>
      <c r="AB26" s="137"/>
      <c r="AC26" s="138"/>
      <c r="AD26" s="136"/>
      <c r="AE26" s="136"/>
    </row>
    <row r="27" spans="1:31" ht="62.4" x14ac:dyDescent="0.25">
      <c r="A27" s="42">
        <v>41</v>
      </c>
      <c r="B27" s="18" t="s">
        <v>38</v>
      </c>
      <c r="C27" s="18" t="s">
        <v>87</v>
      </c>
      <c r="D27" s="18" t="s">
        <v>98</v>
      </c>
      <c r="E27" s="41" t="s">
        <v>99</v>
      </c>
      <c r="F27" s="31" t="s">
        <v>100</v>
      </c>
      <c r="G27" s="39">
        <v>20200680010047</v>
      </c>
      <c r="H27" s="36" t="s">
        <v>101</v>
      </c>
      <c r="I27" s="9" t="s">
        <v>102</v>
      </c>
      <c r="J27" s="12">
        <v>44224</v>
      </c>
      <c r="K27" s="12">
        <v>44196</v>
      </c>
      <c r="L27" s="95">
        <v>0.95</v>
      </c>
      <c r="M27" s="113">
        <v>0.54</v>
      </c>
      <c r="N27" s="103">
        <f t="shared" ref="N27:N62" si="3">IFERROR(IF(M27/L27&gt;100%,100%,M27/L27),"-")</f>
        <v>0.56842105263157905</v>
      </c>
      <c r="O27" s="16" t="s">
        <v>282</v>
      </c>
      <c r="P27" s="93"/>
      <c r="Q27" s="93">
        <f>20000000+76500000+21250000</f>
        <v>117750000</v>
      </c>
      <c r="R27" s="93"/>
      <c r="S27" s="93"/>
      <c r="T27" s="93"/>
      <c r="U27" s="106">
        <f>SUM(P27:T27)</f>
        <v>117750000</v>
      </c>
      <c r="V27" s="48"/>
      <c r="W27" s="48">
        <v>96500000</v>
      </c>
      <c r="X27" s="51"/>
      <c r="Y27" s="51"/>
      <c r="Z27" s="51"/>
      <c r="AA27" s="79">
        <f>SUM(V27:Z27)</f>
        <v>96500000</v>
      </c>
      <c r="AB27" s="81">
        <f t="shared" ref="AB27" si="4">IFERROR(AA27/U27,"-")</f>
        <v>0.81953290870488327</v>
      </c>
      <c r="AC27" s="10"/>
      <c r="AD27" s="82" t="s">
        <v>51</v>
      </c>
      <c r="AE27" s="82" t="s">
        <v>263</v>
      </c>
    </row>
    <row r="28" spans="1:31" ht="60" x14ac:dyDescent="0.25">
      <c r="A28" s="42">
        <v>42</v>
      </c>
      <c r="B28" s="13" t="s">
        <v>38</v>
      </c>
      <c r="C28" s="13" t="s">
        <v>87</v>
      </c>
      <c r="D28" s="13" t="s">
        <v>110</v>
      </c>
      <c r="E28" s="17" t="s">
        <v>111</v>
      </c>
      <c r="F28" s="14" t="s">
        <v>112</v>
      </c>
      <c r="G28" s="40">
        <v>2020680010111</v>
      </c>
      <c r="H28" s="46" t="s">
        <v>113</v>
      </c>
      <c r="I28" s="9" t="s">
        <v>114</v>
      </c>
      <c r="J28" s="12">
        <v>44275</v>
      </c>
      <c r="K28" s="12">
        <v>44561</v>
      </c>
      <c r="L28" s="43">
        <v>1</v>
      </c>
      <c r="M28" s="112">
        <v>0.57999999999999996</v>
      </c>
      <c r="N28" s="44">
        <f t="shared" si="3"/>
        <v>0.57999999999999996</v>
      </c>
      <c r="O28" s="16" t="s">
        <v>115</v>
      </c>
      <c r="P28" s="93">
        <v>7600000</v>
      </c>
      <c r="Q28" s="93">
        <v>485467000</v>
      </c>
      <c r="R28" s="93"/>
      <c r="S28" s="93"/>
      <c r="T28" s="93"/>
      <c r="U28" s="106">
        <f>SUM(P28:T28)</f>
        <v>493067000</v>
      </c>
      <c r="V28" s="48"/>
      <c r="W28" s="29">
        <v>485467000</v>
      </c>
      <c r="X28" s="51"/>
      <c r="Y28" s="51"/>
      <c r="Z28" s="51"/>
      <c r="AA28" s="53">
        <f>SUM(V28:Z28)</f>
        <v>485467000</v>
      </c>
      <c r="AB28" s="8">
        <f>IFERROR(AA28/U28,"-")</f>
        <v>0.98458627326509374</v>
      </c>
      <c r="AC28" s="10"/>
      <c r="AD28" s="11" t="s">
        <v>51</v>
      </c>
      <c r="AE28" s="82" t="s">
        <v>263</v>
      </c>
    </row>
    <row r="29" spans="1:31" ht="75" x14ac:dyDescent="0.25">
      <c r="A29" s="42">
        <v>43</v>
      </c>
      <c r="B29" s="13" t="s">
        <v>38</v>
      </c>
      <c r="C29" s="13" t="s">
        <v>87</v>
      </c>
      <c r="D29" s="13" t="s">
        <v>116</v>
      </c>
      <c r="E29" s="17" t="s">
        <v>117</v>
      </c>
      <c r="F29" s="14" t="s">
        <v>118</v>
      </c>
      <c r="G29" s="39">
        <v>20200680010109</v>
      </c>
      <c r="H29" s="36" t="s">
        <v>119</v>
      </c>
      <c r="I29" s="9" t="s">
        <v>120</v>
      </c>
      <c r="J29" s="12">
        <v>44259</v>
      </c>
      <c r="K29" s="12">
        <v>44561</v>
      </c>
      <c r="L29" s="43">
        <v>1</v>
      </c>
      <c r="M29" s="112">
        <v>0.57999999999999996</v>
      </c>
      <c r="N29" s="44">
        <f t="shared" si="3"/>
        <v>0.57999999999999996</v>
      </c>
      <c r="O29" s="16" t="s">
        <v>269</v>
      </c>
      <c r="P29" s="93">
        <v>2285714</v>
      </c>
      <c r="Q29" s="93">
        <v>98571428</v>
      </c>
      <c r="R29" s="93"/>
      <c r="S29" s="93"/>
      <c r="T29" s="93"/>
      <c r="U29" s="106">
        <f>SUM(P29:T29)</f>
        <v>100857142</v>
      </c>
      <c r="V29" s="48"/>
      <c r="W29" s="29">
        <v>95942856</v>
      </c>
      <c r="X29" s="58"/>
      <c r="Y29" s="51"/>
      <c r="Z29" s="51"/>
      <c r="AA29" s="53">
        <f>SUM(V29:Z29)</f>
        <v>95942856</v>
      </c>
      <c r="AB29" s="8">
        <f>IFERROR(AA29/U29,"-")</f>
        <v>0.95127478428845424</v>
      </c>
      <c r="AC29" s="10"/>
      <c r="AD29" s="11" t="s">
        <v>51</v>
      </c>
      <c r="AE29" s="82" t="s">
        <v>263</v>
      </c>
    </row>
    <row r="30" spans="1:31" ht="60" x14ac:dyDescent="0.25">
      <c r="A30" s="42">
        <v>44</v>
      </c>
      <c r="B30" s="18" t="s">
        <v>38</v>
      </c>
      <c r="C30" s="18" t="s">
        <v>87</v>
      </c>
      <c r="D30" s="18" t="s">
        <v>116</v>
      </c>
      <c r="E30" s="41" t="s">
        <v>121</v>
      </c>
      <c r="F30" s="31" t="s">
        <v>122</v>
      </c>
      <c r="G30" s="39">
        <v>20200680010109</v>
      </c>
      <c r="H30" s="36" t="s">
        <v>119</v>
      </c>
      <c r="I30" s="9" t="s">
        <v>123</v>
      </c>
      <c r="J30" s="12">
        <v>44259</v>
      </c>
      <c r="K30" s="12">
        <v>44561</v>
      </c>
      <c r="L30" s="80">
        <v>1</v>
      </c>
      <c r="M30" s="112">
        <v>0.57999999999999996</v>
      </c>
      <c r="N30" s="83">
        <f t="shared" si="3"/>
        <v>0.57999999999999996</v>
      </c>
      <c r="O30" s="16" t="s">
        <v>270</v>
      </c>
      <c r="P30" s="93">
        <f>5714286+1416666</f>
        <v>7130952</v>
      </c>
      <c r="Q30" s="93">
        <f>51428572+12750000</f>
        <v>64178572</v>
      </c>
      <c r="R30" s="93"/>
      <c r="S30" s="93"/>
      <c r="T30" s="93"/>
      <c r="U30" s="108">
        <f>SUM(P30:T30)</f>
        <v>71309524</v>
      </c>
      <c r="V30" s="48"/>
      <c r="W30" s="88">
        <f>44857144+6750000</f>
        <v>51607144</v>
      </c>
      <c r="X30" s="51"/>
      <c r="Y30" s="51"/>
      <c r="Z30" s="51"/>
      <c r="AA30" s="97">
        <f>SUM(V30:Z30)</f>
        <v>51607144</v>
      </c>
      <c r="AB30" s="98">
        <f>IFERROR(AA30/U30,"-")</f>
        <v>0.72370619105520884</v>
      </c>
      <c r="AC30" s="99"/>
      <c r="AD30" s="18" t="s">
        <v>51</v>
      </c>
      <c r="AE30" s="18" t="s">
        <v>263</v>
      </c>
    </row>
    <row r="31" spans="1:31" ht="120" x14ac:dyDescent="0.25">
      <c r="A31" s="42">
        <v>45</v>
      </c>
      <c r="B31" s="13" t="s">
        <v>38</v>
      </c>
      <c r="C31" s="13" t="s">
        <v>87</v>
      </c>
      <c r="D31" s="13" t="s">
        <v>124</v>
      </c>
      <c r="E31" s="17" t="s">
        <v>125</v>
      </c>
      <c r="F31" s="14" t="s">
        <v>126</v>
      </c>
      <c r="G31" s="39">
        <v>20200680010102</v>
      </c>
      <c r="H31" s="36" t="s">
        <v>127</v>
      </c>
      <c r="I31" s="9" t="s">
        <v>128</v>
      </c>
      <c r="J31" s="12">
        <v>44274</v>
      </c>
      <c r="K31" s="12">
        <v>44561</v>
      </c>
      <c r="L31" s="43">
        <v>1</v>
      </c>
      <c r="M31" s="112">
        <v>0.57999999999999996</v>
      </c>
      <c r="N31" s="44">
        <f t="shared" si="3"/>
        <v>0.57999999999999996</v>
      </c>
      <c r="O31" s="16" t="s">
        <v>129</v>
      </c>
      <c r="P31" s="93">
        <v>1450000</v>
      </c>
      <c r="Q31" s="93">
        <v>113050000</v>
      </c>
      <c r="R31" s="93"/>
      <c r="S31" s="93"/>
      <c r="T31" s="93"/>
      <c r="U31" s="106">
        <f t="shared" ref="U31:U44" si="5">SUM(P31:T31)</f>
        <v>114500000</v>
      </c>
      <c r="V31" s="48"/>
      <c r="W31" s="48">
        <v>112916666</v>
      </c>
      <c r="X31" s="51"/>
      <c r="Y31" s="51"/>
      <c r="Z31" s="51"/>
      <c r="AA31" s="53">
        <f t="shared" ref="AA31:AA44" si="6">SUM(V31:Z31)</f>
        <v>112916666</v>
      </c>
      <c r="AB31" s="8">
        <f t="shared" ref="AB31:AB44" si="7">IFERROR(AA31/U31,"-")</f>
        <v>0.98617175545851532</v>
      </c>
      <c r="AC31" s="10"/>
      <c r="AD31" s="11" t="s">
        <v>51</v>
      </c>
      <c r="AE31" s="82" t="s">
        <v>263</v>
      </c>
    </row>
    <row r="32" spans="1:31" ht="62.4" x14ac:dyDescent="0.25">
      <c r="A32" s="42">
        <v>46</v>
      </c>
      <c r="B32" s="13" t="s">
        <v>38</v>
      </c>
      <c r="C32" s="13" t="s">
        <v>87</v>
      </c>
      <c r="D32" s="13" t="s">
        <v>124</v>
      </c>
      <c r="E32" s="17" t="s">
        <v>130</v>
      </c>
      <c r="F32" s="14" t="s">
        <v>131</v>
      </c>
      <c r="G32" s="39">
        <v>20200680010102</v>
      </c>
      <c r="H32" s="36" t="s">
        <v>127</v>
      </c>
      <c r="I32" s="9" t="s">
        <v>132</v>
      </c>
      <c r="J32" s="12"/>
      <c r="K32" s="12"/>
      <c r="L32" s="43">
        <v>1</v>
      </c>
      <c r="M32" s="112">
        <v>0.57999999999999996</v>
      </c>
      <c r="N32" s="44">
        <f t="shared" si="3"/>
        <v>0.57999999999999996</v>
      </c>
      <c r="O32" s="16" t="s">
        <v>133</v>
      </c>
      <c r="P32" s="93"/>
      <c r="Q32" s="93">
        <v>49000000</v>
      </c>
      <c r="R32" s="93"/>
      <c r="S32" s="93"/>
      <c r="T32" s="93"/>
      <c r="U32" s="106">
        <f t="shared" si="5"/>
        <v>49000000</v>
      </c>
      <c r="V32" s="48"/>
      <c r="W32" s="48">
        <v>49000000</v>
      </c>
      <c r="X32" s="51"/>
      <c r="Y32" s="51"/>
      <c r="Z32" s="51"/>
      <c r="AA32" s="53">
        <f t="shared" si="6"/>
        <v>49000000</v>
      </c>
      <c r="AB32" s="8">
        <f t="shared" si="7"/>
        <v>1</v>
      </c>
      <c r="AC32" s="10"/>
      <c r="AD32" s="11" t="s">
        <v>51</v>
      </c>
      <c r="AE32" s="82" t="s">
        <v>263</v>
      </c>
    </row>
    <row r="33" spans="1:31" ht="62.4" x14ac:dyDescent="0.25">
      <c r="A33" s="42">
        <v>47</v>
      </c>
      <c r="B33" s="13" t="s">
        <v>38</v>
      </c>
      <c r="C33" s="13" t="s">
        <v>87</v>
      </c>
      <c r="D33" s="13" t="s">
        <v>124</v>
      </c>
      <c r="E33" s="17" t="s">
        <v>134</v>
      </c>
      <c r="F33" s="14" t="s">
        <v>135</v>
      </c>
      <c r="G33" s="39">
        <v>20200680010102</v>
      </c>
      <c r="H33" s="36" t="s">
        <v>127</v>
      </c>
      <c r="I33" s="9" t="s">
        <v>136</v>
      </c>
      <c r="J33" s="12">
        <v>44274</v>
      </c>
      <c r="K33" s="12">
        <v>44561</v>
      </c>
      <c r="L33" s="43">
        <v>1</v>
      </c>
      <c r="M33" s="112">
        <v>0.57999999999999996</v>
      </c>
      <c r="N33" s="44">
        <f t="shared" si="3"/>
        <v>0.57999999999999996</v>
      </c>
      <c r="O33" s="16" t="s">
        <v>129</v>
      </c>
      <c r="P33" s="93">
        <v>4350000</v>
      </c>
      <c r="Q33" s="93">
        <v>178200000</v>
      </c>
      <c r="R33" s="93"/>
      <c r="S33" s="93"/>
      <c r="T33" s="93"/>
      <c r="U33" s="106">
        <f t="shared" si="5"/>
        <v>182550000</v>
      </c>
      <c r="V33" s="48"/>
      <c r="W33" s="48">
        <v>177800002</v>
      </c>
      <c r="X33" s="51"/>
      <c r="Y33" s="51"/>
      <c r="Z33" s="51"/>
      <c r="AA33" s="53">
        <f t="shared" si="6"/>
        <v>177800002</v>
      </c>
      <c r="AB33" s="8">
        <f t="shared" si="7"/>
        <v>0.97397974253629138</v>
      </c>
      <c r="AC33" s="10"/>
      <c r="AD33" s="11" t="s">
        <v>51</v>
      </c>
      <c r="AE33" s="82" t="s">
        <v>263</v>
      </c>
    </row>
    <row r="34" spans="1:31" ht="62.4" x14ac:dyDescent="0.25">
      <c r="A34" s="42">
        <v>48</v>
      </c>
      <c r="B34" s="13" t="s">
        <v>38</v>
      </c>
      <c r="C34" s="13" t="s">
        <v>87</v>
      </c>
      <c r="D34" s="13" t="s">
        <v>124</v>
      </c>
      <c r="E34" s="17" t="s">
        <v>137</v>
      </c>
      <c r="F34" s="14" t="s">
        <v>138</v>
      </c>
      <c r="G34" s="39">
        <v>20200680010102</v>
      </c>
      <c r="H34" s="36" t="s">
        <v>127</v>
      </c>
      <c r="I34" s="9" t="s">
        <v>139</v>
      </c>
      <c r="J34" s="12">
        <v>44274</v>
      </c>
      <c r="K34" s="12">
        <v>44561</v>
      </c>
      <c r="L34" s="43">
        <v>1</v>
      </c>
      <c r="M34" s="112">
        <v>0.57999999999999996</v>
      </c>
      <c r="N34" s="44">
        <f t="shared" si="3"/>
        <v>0.57999999999999996</v>
      </c>
      <c r="O34" s="16" t="s">
        <v>129</v>
      </c>
      <c r="P34" s="93">
        <v>1450000</v>
      </c>
      <c r="Q34" s="93">
        <v>13050000</v>
      </c>
      <c r="R34" s="93"/>
      <c r="S34" s="93"/>
      <c r="T34" s="93"/>
      <c r="U34" s="106">
        <f t="shared" si="5"/>
        <v>14500000</v>
      </c>
      <c r="V34" s="48"/>
      <c r="W34" s="48">
        <v>12916666</v>
      </c>
      <c r="X34" s="51"/>
      <c r="Y34" s="51"/>
      <c r="Z34" s="51"/>
      <c r="AA34" s="53">
        <f t="shared" si="6"/>
        <v>12916666</v>
      </c>
      <c r="AB34" s="8">
        <f t="shared" si="7"/>
        <v>0.89080455172413797</v>
      </c>
      <c r="AC34" s="10"/>
      <c r="AD34" s="11" t="s">
        <v>51</v>
      </c>
      <c r="AE34" s="82" t="s">
        <v>263</v>
      </c>
    </row>
    <row r="35" spans="1:31" ht="62.4" x14ac:dyDescent="0.25">
      <c r="A35" s="42">
        <v>49</v>
      </c>
      <c r="B35" s="13" t="s">
        <v>38</v>
      </c>
      <c r="C35" s="13" t="s">
        <v>87</v>
      </c>
      <c r="D35" s="13" t="s">
        <v>124</v>
      </c>
      <c r="E35" s="17" t="s">
        <v>140</v>
      </c>
      <c r="F35" s="14" t="s">
        <v>141</v>
      </c>
      <c r="G35" s="39">
        <v>20200680010102</v>
      </c>
      <c r="H35" s="36" t="s">
        <v>127</v>
      </c>
      <c r="I35" s="9" t="s">
        <v>140</v>
      </c>
      <c r="J35" s="12">
        <v>44274</v>
      </c>
      <c r="K35" s="12">
        <v>44561</v>
      </c>
      <c r="L35" s="45">
        <v>1</v>
      </c>
      <c r="M35" s="59">
        <v>1</v>
      </c>
      <c r="N35" s="44">
        <f t="shared" si="3"/>
        <v>1</v>
      </c>
      <c r="O35" s="16" t="s">
        <v>129</v>
      </c>
      <c r="P35" s="93">
        <v>1450000</v>
      </c>
      <c r="Q35" s="93">
        <v>59050000</v>
      </c>
      <c r="R35" s="93"/>
      <c r="S35" s="93"/>
      <c r="T35" s="93"/>
      <c r="U35" s="106">
        <f t="shared" si="5"/>
        <v>60500000</v>
      </c>
      <c r="V35" s="48"/>
      <c r="W35" s="48">
        <v>58916666</v>
      </c>
      <c r="X35" s="51"/>
      <c r="Y35" s="51"/>
      <c r="Z35" s="51"/>
      <c r="AA35" s="53">
        <f t="shared" si="6"/>
        <v>58916666</v>
      </c>
      <c r="AB35" s="8">
        <f t="shared" si="7"/>
        <v>0.97382919008264468</v>
      </c>
      <c r="AC35" s="10"/>
      <c r="AD35" s="11" t="s">
        <v>51</v>
      </c>
      <c r="AE35" s="82" t="s">
        <v>263</v>
      </c>
    </row>
    <row r="36" spans="1:31" ht="78" x14ac:dyDescent="0.25">
      <c r="A36" s="42">
        <v>50</v>
      </c>
      <c r="B36" s="13" t="s">
        <v>38</v>
      </c>
      <c r="C36" s="13" t="s">
        <v>87</v>
      </c>
      <c r="D36" s="13" t="s">
        <v>142</v>
      </c>
      <c r="E36" s="17" t="s">
        <v>143</v>
      </c>
      <c r="F36" s="14" t="s">
        <v>144</v>
      </c>
      <c r="G36" s="60">
        <v>20210680010044</v>
      </c>
      <c r="H36" s="46" t="s">
        <v>145</v>
      </c>
      <c r="I36" s="9" t="s">
        <v>146</v>
      </c>
      <c r="J36" s="12">
        <v>44335</v>
      </c>
      <c r="K36" s="12">
        <v>44561</v>
      </c>
      <c r="L36" s="43">
        <v>1</v>
      </c>
      <c r="M36" s="54">
        <v>0</v>
      </c>
      <c r="N36" s="44">
        <f t="shared" si="3"/>
        <v>0</v>
      </c>
      <c r="O36" s="16" t="s">
        <v>271</v>
      </c>
      <c r="P36" s="93">
        <v>590000000</v>
      </c>
      <c r="Q36" s="93">
        <v>550000000</v>
      </c>
      <c r="R36" s="93"/>
      <c r="S36" s="93"/>
      <c r="T36" s="93"/>
      <c r="U36" s="106">
        <f t="shared" si="5"/>
        <v>1140000000</v>
      </c>
      <c r="V36" s="48"/>
      <c r="W36" s="49"/>
      <c r="X36" s="51"/>
      <c r="Y36" s="51"/>
      <c r="Z36" s="51"/>
      <c r="AA36" s="53">
        <f t="shared" si="6"/>
        <v>0</v>
      </c>
      <c r="AB36" s="8">
        <f t="shared" si="7"/>
        <v>0</v>
      </c>
      <c r="AC36" s="10"/>
      <c r="AD36" s="11" t="s">
        <v>51</v>
      </c>
      <c r="AE36" s="82" t="s">
        <v>263</v>
      </c>
    </row>
    <row r="37" spans="1:31" ht="62.4" x14ac:dyDescent="0.25">
      <c r="A37" s="42">
        <v>51</v>
      </c>
      <c r="B37" s="13" t="s">
        <v>38</v>
      </c>
      <c r="C37" s="13" t="s">
        <v>87</v>
      </c>
      <c r="D37" s="13" t="s">
        <v>142</v>
      </c>
      <c r="E37" s="17" t="s">
        <v>147</v>
      </c>
      <c r="F37" s="14" t="s">
        <v>148</v>
      </c>
      <c r="G37" s="39">
        <v>2020680010091</v>
      </c>
      <c r="H37" s="36" t="s">
        <v>149</v>
      </c>
      <c r="I37" s="16" t="s">
        <v>150</v>
      </c>
      <c r="J37" s="12">
        <v>44259</v>
      </c>
      <c r="K37" s="12">
        <v>44561</v>
      </c>
      <c r="L37" s="43">
        <v>1</v>
      </c>
      <c r="M37" s="54">
        <v>1</v>
      </c>
      <c r="N37" s="44">
        <f t="shared" si="3"/>
        <v>1</v>
      </c>
      <c r="O37" s="16" t="s">
        <v>133</v>
      </c>
      <c r="P37" s="93"/>
      <c r="Q37" s="100">
        <v>320000000</v>
      </c>
      <c r="R37" s="93"/>
      <c r="S37" s="93"/>
      <c r="T37" s="93"/>
      <c r="U37" s="106">
        <f t="shared" si="5"/>
        <v>320000000</v>
      </c>
      <c r="V37" s="48"/>
      <c r="W37" s="48">
        <v>300000000</v>
      </c>
      <c r="X37" s="51"/>
      <c r="Y37" s="51"/>
      <c r="Z37" s="51"/>
      <c r="AA37" s="53">
        <f t="shared" si="6"/>
        <v>300000000</v>
      </c>
      <c r="AB37" s="8">
        <f t="shared" si="7"/>
        <v>0.9375</v>
      </c>
      <c r="AC37" s="10"/>
      <c r="AD37" s="11" t="s">
        <v>51</v>
      </c>
      <c r="AE37" s="82" t="s">
        <v>263</v>
      </c>
    </row>
    <row r="38" spans="1:31" ht="75" x14ac:dyDescent="0.25">
      <c r="A38" s="42">
        <v>52</v>
      </c>
      <c r="B38" s="13" t="s">
        <v>38</v>
      </c>
      <c r="C38" s="13" t="s">
        <v>87</v>
      </c>
      <c r="D38" s="13" t="s">
        <v>142</v>
      </c>
      <c r="E38" s="17" t="s">
        <v>151</v>
      </c>
      <c r="F38" s="14" t="s">
        <v>152</v>
      </c>
      <c r="G38" s="39">
        <v>2020680010091</v>
      </c>
      <c r="H38" s="36" t="s">
        <v>149</v>
      </c>
      <c r="I38" s="16" t="s">
        <v>150</v>
      </c>
      <c r="J38" s="12">
        <v>44259</v>
      </c>
      <c r="K38" s="12">
        <v>44561</v>
      </c>
      <c r="L38" s="45">
        <v>1</v>
      </c>
      <c r="M38" s="52">
        <v>0.57999999999999996</v>
      </c>
      <c r="N38" s="44">
        <f t="shared" si="3"/>
        <v>0.57999999999999996</v>
      </c>
      <c r="O38" s="16" t="s">
        <v>272</v>
      </c>
      <c r="P38" s="93">
        <v>6400000</v>
      </c>
      <c r="Q38" s="93">
        <v>96800000</v>
      </c>
      <c r="R38" s="93"/>
      <c r="S38" s="93"/>
      <c r="T38" s="93"/>
      <c r="U38" s="106">
        <f t="shared" si="5"/>
        <v>103200000</v>
      </c>
      <c r="V38" s="48"/>
      <c r="W38" s="48">
        <v>96800000</v>
      </c>
      <c r="X38" s="51"/>
      <c r="Y38" s="51"/>
      <c r="Z38" s="51"/>
      <c r="AA38" s="53">
        <f t="shared" si="6"/>
        <v>96800000</v>
      </c>
      <c r="AB38" s="8">
        <f t="shared" si="7"/>
        <v>0.93798449612403101</v>
      </c>
      <c r="AC38" s="10"/>
      <c r="AD38" s="11" t="s">
        <v>51</v>
      </c>
      <c r="AE38" s="82" t="s">
        <v>263</v>
      </c>
    </row>
    <row r="39" spans="1:31" ht="62.4" x14ac:dyDescent="0.25">
      <c r="A39" s="42">
        <v>53</v>
      </c>
      <c r="B39" s="13" t="s">
        <v>38</v>
      </c>
      <c r="C39" s="13" t="s">
        <v>87</v>
      </c>
      <c r="D39" s="13" t="s">
        <v>142</v>
      </c>
      <c r="E39" s="17" t="s">
        <v>153</v>
      </c>
      <c r="F39" s="14" t="s">
        <v>154</v>
      </c>
      <c r="G39" s="39">
        <v>2020680010091</v>
      </c>
      <c r="H39" s="36" t="s">
        <v>149</v>
      </c>
      <c r="I39" s="16" t="s">
        <v>150</v>
      </c>
      <c r="J39" s="12">
        <v>44259</v>
      </c>
      <c r="K39" s="12">
        <v>44561</v>
      </c>
      <c r="L39" s="43">
        <v>1</v>
      </c>
      <c r="M39" s="54">
        <v>1</v>
      </c>
      <c r="N39" s="44">
        <f t="shared" si="3"/>
        <v>1</v>
      </c>
      <c r="O39" s="16" t="s">
        <v>129</v>
      </c>
      <c r="P39" s="93">
        <v>5666668</v>
      </c>
      <c r="Q39" s="100">
        <v>120100000</v>
      </c>
      <c r="R39" s="93"/>
      <c r="S39" s="93"/>
      <c r="T39" s="93"/>
      <c r="U39" s="106">
        <f t="shared" si="5"/>
        <v>125766668</v>
      </c>
      <c r="V39" s="48"/>
      <c r="W39" s="71">
        <v>116900000</v>
      </c>
      <c r="X39" s="51"/>
      <c r="Y39" s="51"/>
      <c r="Z39" s="51"/>
      <c r="AA39" s="53">
        <f t="shared" si="6"/>
        <v>116900000</v>
      </c>
      <c r="AB39" s="8">
        <f t="shared" si="7"/>
        <v>0.92949906250199776</v>
      </c>
      <c r="AC39" s="10"/>
      <c r="AD39" s="11" t="s">
        <v>51</v>
      </c>
      <c r="AE39" s="82" t="s">
        <v>263</v>
      </c>
    </row>
    <row r="40" spans="1:31" ht="62.4" x14ac:dyDescent="0.25">
      <c r="A40" s="42">
        <v>54</v>
      </c>
      <c r="B40" s="13" t="s">
        <v>38</v>
      </c>
      <c r="C40" s="13" t="s">
        <v>87</v>
      </c>
      <c r="D40" s="13" t="s">
        <v>142</v>
      </c>
      <c r="E40" s="74" t="s">
        <v>155</v>
      </c>
      <c r="F40" s="14" t="s">
        <v>156</v>
      </c>
      <c r="G40" s="39">
        <v>2020680010091</v>
      </c>
      <c r="H40" s="36" t="s">
        <v>149</v>
      </c>
      <c r="I40" s="16" t="s">
        <v>150</v>
      </c>
      <c r="J40" s="12">
        <v>44259</v>
      </c>
      <c r="K40" s="12">
        <v>44561</v>
      </c>
      <c r="L40" s="43">
        <v>5</v>
      </c>
      <c r="M40" s="54">
        <v>5</v>
      </c>
      <c r="N40" s="44">
        <f t="shared" si="3"/>
        <v>1</v>
      </c>
      <c r="O40" s="16" t="s">
        <v>129</v>
      </c>
      <c r="P40" s="93">
        <v>1416666</v>
      </c>
      <c r="Q40" s="100">
        <v>12750000</v>
      </c>
      <c r="R40" s="93"/>
      <c r="S40" s="93"/>
      <c r="T40" s="93"/>
      <c r="U40" s="106">
        <f t="shared" si="5"/>
        <v>14166666</v>
      </c>
      <c r="V40" s="48"/>
      <c r="W40" s="71">
        <v>11950000</v>
      </c>
      <c r="X40" s="61"/>
      <c r="Y40" s="61"/>
      <c r="Z40" s="61"/>
      <c r="AA40" s="53">
        <f t="shared" si="6"/>
        <v>11950000</v>
      </c>
      <c r="AB40" s="8">
        <f t="shared" si="7"/>
        <v>0.84352945146020952</v>
      </c>
      <c r="AC40" s="10"/>
      <c r="AD40" s="11" t="s">
        <v>51</v>
      </c>
      <c r="AE40" s="82" t="s">
        <v>263</v>
      </c>
    </row>
    <row r="41" spans="1:31" ht="62.4" x14ac:dyDescent="0.25">
      <c r="A41" s="42">
        <v>55</v>
      </c>
      <c r="B41" s="13" t="s">
        <v>38</v>
      </c>
      <c r="C41" s="13" t="s">
        <v>87</v>
      </c>
      <c r="D41" s="13" t="s">
        <v>142</v>
      </c>
      <c r="E41" s="33" t="s">
        <v>157</v>
      </c>
      <c r="F41" s="30" t="s">
        <v>158</v>
      </c>
      <c r="G41" s="39">
        <v>2020680010091</v>
      </c>
      <c r="H41" s="36" t="s">
        <v>149</v>
      </c>
      <c r="I41" s="16" t="s">
        <v>150</v>
      </c>
      <c r="J41" s="12">
        <v>44251</v>
      </c>
      <c r="K41" s="12">
        <v>44561</v>
      </c>
      <c r="L41" s="43">
        <v>1</v>
      </c>
      <c r="M41" s="54">
        <v>1</v>
      </c>
      <c r="N41" s="44">
        <f t="shared" si="3"/>
        <v>1</v>
      </c>
      <c r="O41" s="16" t="s">
        <v>159</v>
      </c>
      <c r="P41" s="93">
        <v>1513475</v>
      </c>
      <c r="Q41" s="93">
        <f>126000000+2486525</f>
        <v>128486525</v>
      </c>
      <c r="R41" s="93"/>
      <c r="S41" s="93"/>
      <c r="T41" s="93"/>
      <c r="U41" s="106">
        <f t="shared" si="5"/>
        <v>130000000</v>
      </c>
      <c r="V41" s="48"/>
      <c r="W41" s="48">
        <v>126000000</v>
      </c>
      <c r="X41" s="61"/>
      <c r="Y41" s="61"/>
      <c r="Z41" s="61"/>
      <c r="AA41" s="53">
        <f t="shared" si="6"/>
        <v>126000000</v>
      </c>
      <c r="AB41" s="8">
        <f t="shared" si="7"/>
        <v>0.96923076923076923</v>
      </c>
      <c r="AC41" s="10"/>
      <c r="AD41" s="11" t="s">
        <v>51</v>
      </c>
      <c r="AE41" s="82" t="s">
        <v>263</v>
      </c>
    </row>
    <row r="42" spans="1:31" ht="114.75" customHeight="1" x14ac:dyDescent="0.25">
      <c r="A42" s="42">
        <v>56</v>
      </c>
      <c r="B42" s="13" t="s">
        <v>38</v>
      </c>
      <c r="C42" s="13" t="s">
        <v>87</v>
      </c>
      <c r="D42" s="13" t="s">
        <v>142</v>
      </c>
      <c r="E42" s="33" t="s">
        <v>160</v>
      </c>
      <c r="F42" s="30" t="s">
        <v>161</v>
      </c>
      <c r="G42" s="39">
        <v>2020680010091</v>
      </c>
      <c r="H42" s="36" t="s">
        <v>149</v>
      </c>
      <c r="I42" s="16" t="s">
        <v>150</v>
      </c>
      <c r="J42" s="12">
        <v>44290</v>
      </c>
      <c r="K42" s="12">
        <v>44561</v>
      </c>
      <c r="L42" s="43">
        <v>1</v>
      </c>
      <c r="M42" s="112">
        <v>0.57999999999999996</v>
      </c>
      <c r="N42" s="44">
        <f t="shared" si="3"/>
        <v>0.57999999999999996</v>
      </c>
      <c r="O42" s="16" t="s">
        <v>133</v>
      </c>
      <c r="P42" s="93"/>
      <c r="Q42" s="100">
        <v>39200000</v>
      </c>
      <c r="R42" s="93"/>
      <c r="S42" s="93"/>
      <c r="T42" s="93"/>
      <c r="U42" s="106">
        <f t="shared" si="5"/>
        <v>39200000</v>
      </c>
      <c r="V42" s="48"/>
      <c r="W42" s="48">
        <v>39200000</v>
      </c>
      <c r="X42" s="61"/>
      <c r="Y42" s="61"/>
      <c r="Z42" s="61"/>
      <c r="AA42" s="53">
        <f t="shared" si="6"/>
        <v>39200000</v>
      </c>
      <c r="AB42" s="8">
        <f t="shared" si="7"/>
        <v>1</v>
      </c>
      <c r="AC42" s="10"/>
      <c r="AD42" s="11" t="s">
        <v>51</v>
      </c>
      <c r="AE42" s="82" t="s">
        <v>263</v>
      </c>
    </row>
    <row r="43" spans="1:31" ht="62.4" x14ac:dyDescent="0.25">
      <c r="A43" s="42">
        <v>57</v>
      </c>
      <c r="B43" s="13" t="s">
        <v>38</v>
      </c>
      <c r="C43" s="13" t="s">
        <v>87</v>
      </c>
      <c r="D43" s="13" t="s">
        <v>142</v>
      </c>
      <c r="E43" s="33" t="s">
        <v>162</v>
      </c>
      <c r="F43" s="30" t="s">
        <v>163</v>
      </c>
      <c r="G43" s="39">
        <v>2020680010091</v>
      </c>
      <c r="H43" s="36" t="s">
        <v>149</v>
      </c>
      <c r="I43" s="16" t="s">
        <v>150</v>
      </c>
      <c r="J43" s="12">
        <v>44259</v>
      </c>
      <c r="K43" s="12">
        <v>44561</v>
      </c>
      <c r="L43" s="43">
        <v>1</v>
      </c>
      <c r="M43" s="112">
        <v>0.57999999999999996</v>
      </c>
      <c r="N43" s="44">
        <f t="shared" si="3"/>
        <v>0.57999999999999996</v>
      </c>
      <c r="O43" s="16" t="s">
        <v>129</v>
      </c>
      <c r="P43" s="93">
        <v>1600000</v>
      </c>
      <c r="Q43" s="100">
        <v>34000000</v>
      </c>
      <c r="R43" s="93"/>
      <c r="S43" s="93"/>
      <c r="T43" s="93"/>
      <c r="U43" s="106">
        <f t="shared" si="5"/>
        <v>35600000</v>
      </c>
      <c r="V43" s="48"/>
      <c r="W43" s="48">
        <v>34000000</v>
      </c>
      <c r="X43" s="61"/>
      <c r="Y43" s="61"/>
      <c r="Z43" s="61"/>
      <c r="AA43" s="53">
        <f t="shared" si="6"/>
        <v>34000000</v>
      </c>
      <c r="AB43" s="8">
        <f t="shared" si="7"/>
        <v>0.9550561797752809</v>
      </c>
      <c r="AC43" s="10"/>
      <c r="AD43" s="11" t="s">
        <v>51</v>
      </c>
      <c r="AE43" s="82" t="s">
        <v>263</v>
      </c>
    </row>
    <row r="44" spans="1:31" ht="60" x14ac:dyDescent="0.25">
      <c r="A44" s="42">
        <v>58</v>
      </c>
      <c r="B44" s="13" t="s">
        <v>38</v>
      </c>
      <c r="C44" s="13" t="s">
        <v>87</v>
      </c>
      <c r="D44" s="13" t="s">
        <v>164</v>
      </c>
      <c r="E44" s="33" t="s">
        <v>165</v>
      </c>
      <c r="F44" s="30" t="s">
        <v>166</v>
      </c>
      <c r="G44" s="39"/>
      <c r="H44" s="36"/>
      <c r="I44" s="9"/>
      <c r="J44" s="12"/>
      <c r="K44" s="12"/>
      <c r="L44" s="43">
        <v>0</v>
      </c>
      <c r="M44" s="54"/>
      <c r="N44" s="44" t="str">
        <f t="shared" si="3"/>
        <v>-</v>
      </c>
      <c r="O44" s="16"/>
      <c r="P44" s="93"/>
      <c r="Q44" s="93"/>
      <c r="R44" s="93"/>
      <c r="S44" s="93"/>
      <c r="T44" s="93"/>
      <c r="U44" s="106">
        <f t="shared" si="5"/>
        <v>0</v>
      </c>
      <c r="V44" s="48"/>
      <c r="W44" s="48"/>
      <c r="X44" s="61"/>
      <c r="Y44" s="61"/>
      <c r="Z44" s="61"/>
      <c r="AA44" s="53">
        <f t="shared" si="6"/>
        <v>0</v>
      </c>
      <c r="AB44" s="8" t="str">
        <f t="shared" si="7"/>
        <v>-</v>
      </c>
      <c r="AC44" s="10"/>
      <c r="AD44" s="11" t="s">
        <v>51</v>
      </c>
      <c r="AE44" s="11" t="s">
        <v>263</v>
      </c>
    </row>
    <row r="45" spans="1:31" ht="120" x14ac:dyDescent="0.25">
      <c r="A45" s="42">
        <v>59</v>
      </c>
      <c r="B45" s="18" t="s">
        <v>38</v>
      </c>
      <c r="C45" s="18" t="s">
        <v>87</v>
      </c>
      <c r="D45" s="18" t="s">
        <v>164</v>
      </c>
      <c r="E45" s="37" t="s">
        <v>167</v>
      </c>
      <c r="F45" s="38" t="s">
        <v>168</v>
      </c>
      <c r="G45" s="39">
        <v>2020680010138</v>
      </c>
      <c r="H45" s="36" t="s">
        <v>169</v>
      </c>
      <c r="I45" s="9" t="s">
        <v>170</v>
      </c>
      <c r="J45" s="12">
        <v>44238</v>
      </c>
      <c r="K45" s="12">
        <v>44561</v>
      </c>
      <c r="L45" s="96">
        <v>32000</v>
      </c>
      <c r="M45" s="87">
        <f>65+4470+3024+489+2874+5312+2</f>
        <v>16236</v>
      </c>
      <c r="N45" s="83">
        <f t="shared" si="3"/>
        <v>0.50737500000000002</v>
      </c>
      <c r="O45" s="16" t="s">
        <v>171</v>
      </c>
      <c r="P45" s="93">
        <f>91641817.94+90000000</f>
        <v>181641817.94</v>
      </c>
      <c r="Q45" s="93">
        <v>66800000</v>
      </c>
      <c r="R45" s="93"/>
      <c r="S45" s="93"/>
      <c r="T45" s="93"/>
      <c r="U45" s="108">
        <f>SUM(P45:T45)</f>
        <v>248441817.94</v>
      </c>
      <c r="V45" s="29">
        <v>134600000</v>
      </c>
      <c r="W45" s="48">
        <v>66800000</v>
      </c>
      <c r="X45" s="61"/>
      <c r="Y45" s="61"/>
      <c r="Z45" s="61"/>
      <c r="AA45" s="97">
        <f>SUM(V45:Z45)</f>
        <v>201400000</v>
      </c>
      <c r="AB45" s="98">
        <f>IFERROR(AA45/U45,"-")</f>
        <v>0.81065257721081063</v>
      </c>
      <c r="AC45" s="99"/>
      <c r="AD45" s="18" t="s">
        <v>51</v>
      </c>
      <c r="AE45" s="18" t="s">
        <v>263</v>
      </c>
    </row>
    <row r="46" spans="1:31" ht="60" x14ac:dyDescent="0.25">
      <c r="A46" s="42">
        <v>60</v>
      </c>
      <c r="B46" s="18" t="s">
        <v>38</v>
      </c>
      <c r="C46" s="18" t="s">
        <v>87</v>
      </c>
      <c r="D46" s="18" t="s">
        <v>164</v>
      </c>
      <c r="E46" s="37" t="s">
        <v>172</v>
      </c>
      <c r="F46" s="38" t="s">
        <v>173</v>
      </c>
      <c r="G46" s="39">
        <v>2020680010138</v>
      </c>
      <c r="H46" s="36" t="s">
        <v>169</v>
      </c>
      <c r="I46" s="9" t="s">
        <v>174</v>
      </c>
      <c r="J46" s="12">
        <v>44250</v>
      </c>
      <c r="K46" s="12">
        <v>44561</v>
      </c>
      <c r="L46" s="102">
        <v>5000</v>
      </c>
      <c r="M46" s="87">
        <f>74+452+402+239+239+471</f>
        <v>1877</v>
      </c>
      <c r="N46" s="83">
        <f t="shared" si="3"/>
        <v>0.37540000000000001</v>
      </c>
      <c r="O46" s="16" t="s">
        <v>175</v>
      </c>
      <c r="P46" s="93">
        <v>277250000.80000001</v>
      </c>
      <c r="Q46" s="93"/>
      <c r="R46" s="93"/>
      <c r="S46" s="93"/>
      <c r="T46" s="93"/>
      <c r="U46" s="108">
        <f>SUM(P46:T46)</f>
        <v>277250000.80000001</v>
      </c>
      <c r="V46" s="29">
        <v>127300000</v>
      </c>
      <c r="W46" s="48"/>
      <c r="X46" s="61"/>
      <c r="Y46" s="61"/>
      <c r="Z46" s="61"/>
      <c r="AA46" s="97">
        <f>SUM(V46:Z46)</f>
        <v>127300000</v>
      </c>
      <c r="AB46" s="98">
        <f>IFERROR(AA46/U46,"-")</f>
        <v>0.45915238821525006</v>
      </c>
      <c r="AC46" s="99"/>
      <c r="AD46" s="18" t="s">
        <v>51</v>
      </c>
      <c r="AE46" s="82" t="s">
        <v>263</v>
      </c>
    </row>
    <row r="47" spans="1:31" ht="60" x14ac:dyDescent="0.25">
      <c r="A47" s="42">
        <v>61</v>
      </c>
      <c r="B47" s="13" t="s">
        <v>38</v>
      </c>
      <c r="C47" s="13" t="s">
        <v>87</v>
      </c>
      <c r="D47" s="13" t="s">
        <v>164</v>
      </c>
      <c r="E47" s="33" t="s">
        <v>176</v>
      </c>
      <c r="F47" s="30" t="s">
        <v>177</v>
      </c>
      <c r="G47" s="39">
        <v>2020680010138</v>
      </c>
      <c r="H47" s="36" t="s">
        <v>169</v>
      </c>
      <c r="I47" s="9" t="s">
        <v>178</v>
      </c>
      <c r="J47" s="12">
        <v>44241</v>
      </c>
      <c r="K47" s="12">
        <v>44561</v>
      </c>
      <c r="L47" s="102">
        <v>12000</v>
      </c>
      <c r="M47" s="54">
        <f>2666+9319+250</f>
        <v>12235</v>
      </c>
      <c r="N47" s="44">
        <f t="shared" si="3"/>
        <v>1</v>
      </c>
      <c r="O47" s="16" t="s">
        <v>179</v>
      </c>
      <c r="P47" s="93">
        <v>45558182</v>
      </c>
      <c r="Q47" s="93">
        <v>306413000</v>
      </c>
      <c r="R47" s="93"/>
      <c r="S47" s="93"/>
      <c r="T47" s="93"/>
      <c r="U47" s="106">
        <f>SUM(P47:T47)</f>
        <v>351971182</v>
      </c>
      <c r="V47" s="48"/>
      <c r="W47" s="71">
        <v>228510000</v>
      </c>
      <c r="X47" s="61"/>
      <c r="Y47" s="61"/>
      <c r="Z47" s="61"/>
      <c r="AA47" s="53">
        <f>SUM(V47:Z47)</f>
        <v>228510000</v>
      </c>
      <c r="AB47" s="8">
        <f>IFERROR(AA47/U47,"-")</f>
        <v>0.64922928832281501</v>
      </c>
      <c r="AC47" s="10"/>
      <c r="AD47" s="11" t="s">
        <v>51</v>
      </c>
      <c r="AE47" s="82" t="s">
        <v>263</v>
      </c>
    </row>
    <row r="48" spans="1:31" ht="75" x14ac:dyDescent="0.25">
      <c r="A48" s="42">
        <v>62</v>
      </c>
      <c r="B48" s="18" t="s">
        <v>38</v>
      </c>
      <c r="C48" s="18" t="s">
        <v>87</v>
      </c>
      <c r="D48" s="18" t="s">
        <v>164</v>
      </c>
      <c r="E48" s="37" t="s">
        <v>180</v>
      </c>
      <c r="F48" s="38" t="s">
        <v>181</v>
      </c>
      <c r="G48" s="39">
        <v>2020680010138</v>
      </c>
      <c r="H48" s="36" t="s">
        <v>169</v>
      </c>
      <c r="I48" s="9" t="s">
        <v>182</v>
      </c>
      <c r="J48" s="12">
        <v>44231</v>
      </c>
      <c r="K48" s="12">
        <v>44561</v>
      </c>
      <c r="L48" s="102">
        <v>1</v>
      </c>
      <c r="M48" s="87">
        <v>1</v>
      </c>
      <c r="N48" s="94">
        <f t="shared" si="3"/>
        <v>1</v>
      </c>
      <c r="O48" s="16" t="s">
        <v>183</v>
      </c>
      <c r="P48" s="93">
        <v>8000000</v>
      </c>
      <c r="Q48" s="93">
        <f>48700000+87300000</f>
        <v>136000000</v>
      </c>
      <c r="R48" s="93"/>
      <c r="S48" s="93"/>
      <c r="T48" s="93"/>
      <c r="U48" s="108">
        <f>SUM(P48:T48)</f>
        <v>144000000</v>
      </c>
      <c r="V48" s="56"/>
      <c r="W48" s="56">
        <v>136000000</v>
      </c>
      <c r="X48" s="61"/>
      <c r="Y48" s="61"/>
      <c r="Z48" s="61"/>
      <c r="AA48" s="97">
        <f>SUM(V48:Z48)</f>
        <v>136000000</v>
      </c>
      <c r="AB48" s="81">
        <f>IFERROR(AA48/U48,"-")</f>
        <v>0.94444444444444442</v>
      </c>
      <c r="AC48" s="99"/>
      <c r="AD48" s="18" t="s">
        <v>51</v>
      </c>
      <c r="AE48" s="18" t="s">
        <v>263</v>
      </c>
    </row>
    <row r="49" spans="1:31" ht="60" x14ac:dyDescent="0.25">
      <c r="A49" s="42">
        <v>63</v>
      </c>
      <c r="B49" s="13" t="s">
        <v>38</v>
      </c>
      <c r="C49" s="13" t="s">
        <v>87</v>
      </c>
      <c r="D49" s="13" t="s">
        <v>164</v>
      </c>
      <c r="E49" s="33" t="s">
        <v>184</v>
      </c>
      <c r="F49" s="30" t="s">
        <v>185</v>
      </c>
      <c r="G49" s="34"/>
      <c r="H49" s="9" t="s">
        <v>283</v>
      </c>
      <c r="I49" s="9" t="s">
        <v>283</v>
      </c>
      <c r="J49" s="12"/>
      <c r="K49" s="12"/>
      <c r="L49" s="45">
        <v>1</v>
      </c>
      <c r="M49" s="52">
        <v>0.66</v>
      </c>
      <c r="N49" s="44">
        <f t="shared" si="3"/>
        <v>0.66</v>
      </c>
      <c r="O49" s="16" t="s">
        <v>273</v>
      </c>
      <c r="P49" s="93">
        <v>43150983.530000001</v>
      </c>
      <c r="Q49" s="93"/>
      <c r="R49" s="93"/>
      <c r="S49" s="93"/>
      <c r="T49" s="93"/>
      <c r="U49" s="106">
        <f t="shared" ref="U49:U56" si="8">SUM(P49:T49)</f>
        <v>43150983.530000001</v>
      </c>
      <c r="V49" s="48"/>
      <c r="W49" s="48"/>
      <c r="X49" s="61"/>
      <c r="Y49" s="61"/>
      <c r="Z49" s="61"/>
      <c r="AA49" s="53">
        <f t="shared" ref="AA49:AA56" si="9">SUM(V49:Z49)</f>
        <v>0</v>
      </c>
      <c r="AB49" s="8">
        <f t="shared" ref="AB49:AB57" si="10">IFERROR(AA49/U49,"-")</f>
        <v>0</v>
      </c>
      <c r="AC49" s="10"/>
      <c r="AD49" s="11" t="s">
        <v>51</v>
      </c>
      <c r="AE49" s="82" t="s">
        <v>263</v>
      </c>
    </row>
    <row r="50" spans="1:31" ht="60" x14ac:dyDescent="0.25">
      <c r="A50" s="42">
        <v>64</v>
      </c>
      <c r="B50" s="13" t="s">
        <v>38</v>
      </c>
      <c r="C50" s="13" t="s">
        <v>87</v>
      </c>
      <c r="D50" s="13" t="s">
        <v>186</v>
      </c>
      <c r="E50" s="33" t="s">
        <v>187</v>
      </c>
      <c r="F50" s="30" t="s">
        <v>188</v>
      </c>
      <c r="G50" s="39">
        <v>2020680010103</v>
      </c>
      <c r="H50" s="36" t="s">
        <v>189</v>
      </c>
      <c r="I50" s="9" t="s">
        <v>190</v>
      </c>
      <c r="J50" s="12">
        <v>44228</v>
      </c>
      <c r="K50" s="12">
        <v>44561</v>
      </c>
      <c r="L50" s="43">
        <v>2</v>
      </c>
      <c r="M50" s="57">
        <v>2</v>
      </c>
      <c r="N50" s="44">
        <f t="shared" si="3"/>
        <v>1</v>
      </c>
      <c r="O50" s="16" t="s">
        <v>191</v>
      </c>
      <c r="P50" s="93">
        <v>23500000</v>
      </c>
      <c r="Q50" s="93">
        <v>72000000</v>
      </c>
      <c r="R50" s="93"/>
      <c r="S50" s="93"/>
      <c r="T50" s="93"/>
      <c r="U50" s="106">
        <f t="shared" si="8"/>
        <v>95500000</v>
      </c>
      <c r="V50" s="48"/>
      <c r="W50" s="48">
        <f>40500000+28000000</f>
        <v>68500000</v>
      </c>
      <c r="X50" s="61"/>
      <c r="Y50" s="61"/>
      <c r="Z50" s="61"/>
      <c r="AA50" s="53">
        <f t="shared" si="9"/>
        <v>68500000</v>
      </c>
      <c r="AB50" s="8">
        <f t="shared" si="10"/>
        <v>0.7172774869109948</v>
      </c>
      <c r="AC50" s="10"/>
      <c r="AD50" s="11" t="s">
        <v>51</v>
      </c>
      <c r="AE50" s="82" t="s">
        <v>263</v>
      </c>
    </row>
    <row r="51" spans="1:31" ht="60" x14ac:dyDescent="0.25">
      <c r="A51" s="42">
        <v>65</v>
      </c>
      <c r="B51" s="13" t="s">
        <v>38</v>
      </c>
      <c r="C51" s="13" t="s">
        <v>87</v>
      </c>
      <c r="D51" s="13" t="s">
        <v>186</v>
      </c>
      <c r="E51" s="33" t="s">
        <v>192</v>
      </c>
      <c r="F51" s="30" t="s">
        <v>193</v>
      </c>
      <c r="G51" s="39">
        <v>2020680010103</v>
      </c>
      <c r="H51" s="36" t="s">
        <v>189</v>
      </c>
      <c r="I51" s="9" t="s">
        <v>194</v>
      </c>
      <c r="J51" s="12">
        <v>44228</v>
      </c>
      <c r="K51" s="12">
        <v>44561</v>
      </c>
      <c r="L51" s="43">
        <v>1</v>
      </c>
      <c r="M51" s="54">
        <v>1</v>
      </c>
      <c r="N51" s="44">
        <f t="shared" si="3"/>
        <v>1</v>
      </c>
      <c r="O51" s="16" t="s">
        <v>195</v>
      </c>
      <c r="P51" s="93">
        <f>144000000+56000000</f>
        <v>200000000</v>
      </c>
      <c r="Q51" s="93"/>
      <c r="R51" s="93"/>
      <c r="S51" s="93"/>
      <c r="T51" s="93"/>
      <c r="U51" s="106">
        <f t="shared" si="8"/>
        <v>200000000</v>
      </c>
      <c r="V51" s="48">
        <v>144000000</v>
      </c>
      <c r="W51" s="48"/>
      <c r="X51" s="61"/>
      <c r="Y51" s="61"/>
      <c r="Z51" s="61"/>
      <c r="AA51" s="53">
        <f t="shared" si="9"/>
        <v>144000000</v>
      </c>
      <c r="AB51" s="8">
        <f t="shared" si="10"/>
        <v>0.72</v>
      </c>
      <c r="AC51" s="10"/>
      <c r="AD51" s="11" t="s">
        <v>51</v>
      </c>
      <c r="AE51" s="82" t="s">
        <v>263</v>
      </c>
    </row>
    <row r="52" spans="1:31" ht="60" x14ac:dyDescent="0.25">
      <c r="A52" s="42">
        <v>66</v>
      </c>
      <c r="B52" s="13" t="s">
        <v>38</v>
      </c>
      <c r="C52" s="13" t="s">
        <v>87</v>
      </c>
      <c r="D52" s="13" t="s">
        <v>196</v>
      </c>
      <c r="E52" s="33" t="s">
        <v>197</v>
      </c>
      <c r="F52" s="30" t="s">
        <v>198</v>
      </c>
      <c r="G52" s="60">
        <v>20200680010142</v>
      </c>
      <c r="H52" s="46" t="s">
        <v>199</v>
      </c>
      <c r="I52" s="9" t="s">
        <v>200</v>
      </c>
      <c r="J52" s="12">
        <v>44300</v>
      </c>
      <c r="K52" s="12">
        <v>44561</v>
      </c>
      <c r="L52" s="45">
        <v>1</v>
      </c>
      <c r="M52" s="52">
        <v>0.57999999999999996</v>
      </c>
      <c r="N52" s="44">
        <f t="shared" si="3"/>
        <v>0.57999999999999996</v>
      </c>
      <c r="O52" s="16" t="s">
        <v>201</v>
      </c>
      <c r="P52" s="93">
        <v>6400000</v>
      </c>
      <c r="Q52" s="93">
        <v>57600000</v>
      </c>
      <c r="R52" s="93"/>
      <c r="S52" s="93"/>
      <c r="T52" s="93"/>
      <c r="U52" s="106">
        <f t="shared" si="8"/>
        <v>64000000</v>
      </c>
      <c r="V52" s="48"/>
      <c r="W52" s="48">
        <v>49750000</v>
      </c>
      <c r="X52" s="61"/>
      <c r="Y52" s="61"/>
      <c r="Z52" s="61"/>
      <c r="AA52" s="53">
        <f t="shared" si="9"/>
        <v>49750000</v>
      </c>
      <c r="AB52" s="8">
        <f t="shared" si="10"/>
        <v>0.77734375</v>
      </c>
      <c r="AC52" s="10"/>
      <c r="AD52" s="11" t="s">
        <v>51</v>
      </c>
      <c r="AE52" s="82" t="s">
        <v>263</v>
      </c>
    </row>
    <row r="53" spans="1:31" ht="62.4" x14ac:dyDescent="0.25">
      <c r="A53" s="42">
        <v>99</v>
      </c>
      <c r="B53" s="18" t="s">
        <v>38</v>
      </c>
      <c r="C53" s="18" t="s">
        <v>39</v>
      </c>
      <c r="D53" s="31" t="s">
        <v>41</v>
      </c>
      <c r="E53" s="62" t="s">
        <v>42</v>
      </c>
      <c r="F53" s="30" t="s">
        <v>43</v>
      </c>
      <c r="G53" s="63"/>
      <c r="H53" s="64" t="s">
        <v>54</v>
      </c>
      <c r="I53" s="65"/>
      <c r="J53" s="12"/>
      <c r="K53" s="12"/>
      <c r="L53" s="66">
        <v>1</v>
      </c>
      <c r="M53" s="67">
        <v>1</v>
      </c>
      <c r="N53" s="44">
        <f t="shared" si="3"/>
        <v>1</v>
      </c>
      <c r="O53" s="16"/>
      <c r="P53" s="93"/>
      <c r="Q53" s="101"/>
      <c r="R53" s="101"/>
      <c r="S53" s="101"/>
      <c r="T53" s="101"/>
      <c r="U53" s="106">
        <f t="shared" si="8"/>
        <v>0</v>
      </c>
      <c r="V53" s="48"/>
      <c r="W53" s="48"/>
      <c r="X53" s="51"/>
      <c r="Y53" s="51"/>
      <c r="Z53" s="51"/>
      <c r="AA53" s="53">
        <f t="shared" si="9"/>
        <v>0</v>
      </c>
      <c r="AB53" s="8" t="str">
        <f t="shared" si="10"/>
        <v>-</v>
      </c>
      <c r="AC53" s="10"/>
      <c r="AD53" s="11" t="s">
        <v>51</v>
      </c>
      <c r="AE53" s="82" t="s">
        <v>263</v>
      </c>
    </row>
    <row r="54" spans="1:31" ht="62.4" x14ac:dyDescent="0.25">
      <c r="A54" s="42">
        <v>151</v>
      </c>
      <c r="B54" s="13" t="s">
        <v>202</v>
      </c>
      <c r="C54" s="13" t="s">
        <v>203</v>
      </c>
      <c r="D54" s="13" t="s">
        <v>204</v>
      </c>
      <c r="E54" s="33" t="s">
        <v>205</v>
      </c>
      <c r="F54" s="30" t="s">
        <v>206</v>
      </c>
      <c r="G54" s="39">
        <v>2020680010112</v>
      </c>
      <c r="H54" s="36" t="s">
        <v>207</v>
      </c>
      <c r="I54" s="9" t="s">
        <v>208</v>
      </c>
      <c r="J54" s="12">
        <v>44229</v>
      </c>
      <c r="K54" s="12">
        <v>44561</v>
      </c>
      <c r="L54" s="43">
        <v>1</v>
      </c>
      <c r="M54" s="112">
        <v>0.44</v>
      </c>
      <c r="N54" s="44">
        <f t="shared" si="3"/>
        <v>0.44</v>
      </c>
      <c r="O54" s="16" t="s">
        <v>209</v>
      </c>
      <c r="P54" s="93">
        <v>147650000</v>
      </c>
      <c r="Q54" s="93"/>
      <c r="R54" s="93"/>
      <c r="S54" s="93"/>
      <c r="T54" s="93"/>
      <c r="U54" s="53">
        <f t="shared" si="8"/>
        <v>147650000</v>
      </c>
      <c r="V54" s="48">
        <v>147650000</v>
      </c>
      <c r="W54" s="48"/>
      <c r="X54" s="61"/>
      <c r="Y54" s="61"/>
      <c r="Z54" s="61"/>
      <c r="AA54" s="53">
        <f t="shared" si="9"/>
        <v>147650000</v>
      </c>
      <c r="AB54" s="8">
        <f t="shared" si="10"/>
        <v>1</v>
      </c>
      <c r="AC54" s="10"/>
      <c r="AD54" s="11" t="s">
        <v>51</v>
      </c>
      <c r="AE54" s="89" t="s">
        <v>263</v>
      </c>
    </row>
    <row r="55" spans="1:31" ht="62.4" x14ac:dyDescent="0.25">
      <c r="A55" s="42">
        <v>152</v>
      </c>
      <c r="B55" s="13" t="s">
        <v>202</v>
      </c>
      <c r="C55" s="13" t="s">
        <v>203</v>
      </c>
      <c r="D55" s="13" t="s">
        <v>204</v>
      </c>
      <c r="E55" s="33" t="s">
        <v>210</v>
      </c>
      <c r="F55" s="30" t="s">
        <v>211</v>
      </c>
      <c r="G55" s="39">
        <v>2020680010112</v>
      </c>
      <c r="H55" s="36" t="s">
        <v>207</v>
      </c>
      <c r="I55" s="9" t="s">
        <v>212</v>
      </c>
      <c r="J55" s="12">
        <v>44231</v>
      </c>
      <c r="K55" s="12">
        <v>44561</v>
      </c>
      <c r="L55" s="43">
        <v>1</v>
      </c>
      <c r="M55" s="112">
        <v>0.58499999999999996</v>
      </c>
      <c r="N55" s="116">
        <f t="shared" si="3"/>
        <v>0.58499999999999996</v>
      </c>
      <c r="O55" s="16" t="s">
        <v>213</v>
      </c>
      <c r="P55" s="93">
        <f>326887976.54+856914.31</f>
        <v>327744890.85000002</v>
      </c>
      <c r="Q55" s="93"/>
      <c r="R55" s="93"/>
      <c r="S55" s="93"/>
      <c r="T55" s="93"/>
      <c r="U55" s="53">
        <f t="shared" si="8"/>
        <v>327744890.85000002</v>
      </c>
      <c r="V55" s="48">
        <v>168550000</v>
      </c>
      <c r="W55" s="48"/>
      <c r="X55" s="61"/>
      <c r="Y55" s="61"/>
      <c r="Z55" s="61"/>
      <c r="AA55" s="53">
        <f t="shared" si="9"/>
        <v>168550000</v>
      </c>
      <c r="AB55" s="8">
        <f t="shared" si="10"/>
        <v>0.51427193742934896</v>
      </c>
      <c r="AC55" s="10"/>
      <c r="AD55" s="11" t="s">
        <v>51</v>
      </c>
      <c r="AE55" s="89" t="s">
        <v>263</v>
      </c>
    </row>
    <row r="56" spans="1:31" ht="78" x14ac:dyDescent="0.25">
      <c r="A56" s="42">
        <v>153</v>
      </c>
      <c r="B56" s="13" t="s">
        <v>202</v>
      </c>
      <c r="C56" s="13" t="s">
        <v>203</v>
      </c>
      <c r="D56" s="13" t="s">
        <v>204</v>
      </c>
      <c r="E56" s="33" t="s">
        <v>214</v>
      </c>
      <c r="F56" s="30" t="s">
        <v>215</v>
      </c>
      <c r="G56" s="39">
        <v>2020680010112</v>
      </c>
      <c r="H56" s="36" t="s">
        <v>207</v>
      </c>
      <c r="I56" s="9" t="s">
        <v>216</v>
      </c>
      <c r="J56" s="12">
        <v>44231</v>
      </c>
      <c r="K56" s="12">
        <v>44561</v>
      </c>
      <c r="L56" s="43">
        <v>1</v>
      </c>
      <c r="M56" s="114">
        <v>0.5333</v>
      </c>
      <c r="N56" s="118">
        <f t="shared" si="3"/>
        <v>0.5333</v>
      </c>
      <c r="O56" s="16" t="s">
        <v>209</v>
      </c>
      <c r="P56" s="93">
        <v>105000000</v>
      </c>
      <c r="Q56" s="93"/>
      <c r="R56" s="93"/>
      <c r="S56" s="93"/>
      <c r="T56" s="93"/>
      <c r="U56" s="53">
        <f t="shared" si="8"/>
        <v>105000000</v>
      </c>
      <c r="V56" s="48">
        <v>105000000</v>
      </c>
      <c r="W56" s="48"/>
      <c r="X56" s="61"/>
      <c r="Y56" s="61"/>
      <c r="Z56" s="61"/>
      <c r="AA56" s="53">
        <f t="shared" si="9"/>
        <v>105000000</v>
      </c>
      <c r="AB56" s="8">
        <f t="shared" si="10"/>
        <v>1</v>
      </c>
      <c r="AC56" s="10"/>
      <c r="AD56" s="11" t="s">
        <v>51</v>
      </c>
      <c r="AE56" s="89" t="s">
        <v>263</v>
      </c>
    </row>
    <row r="57" spans="1:31" ht="62.4" x14ac:dyDescent="0.25">
      <c r="A57" s="42">
        <v>154</v>
      </c>
      <c r="B57" s="18" t="s">
        <v>202</v>
      </c>
      <c r="C57" s="18" t="s">
        <v>203</v>
      </c>
      <c r="D57" s="18" t="s">
        <v>204</v>
      </c>
      <c r="E57" s="37" t="s">
        <v>217</v>
      </c>
      <c r="F57" s="38" t="s">
        <v>218</v>
      </c>
      <c r="G57" s="39">
        <v>2020680010112</v>
      </c>
      <c r="H57" s="36" t="s">
        <v>207</v>
      </c>
      <c r="I57" s="9" t="s">
        <v>219</v>
      </c>
      <c r="J57" s="12">
        <v>44232</v>
      </c>
      <c r="K57" s="12">
        <v>44561</v>
      </c>
      <c r="L57" s="91">
        <v>1</v>
      </c>
      <c r="M57" s="112">
        <v>0.33</v>
      </c>
      <c r="N57" s="103">
        <f t="shared" si="3"/>
        <v>0.33</v>
      </c>
      <c r="O57" s="16" t="s">
        <v>274</v>
      </c>
      <c r="P57" s="93">
        <v>146500000</v>
      </c>
      <c r="Q57" s="93"/>
      <c r="R57" s="93"/>
      <c r="S57" s="93"/>
      <c r="T57" s="93"/>
      <c r="U57" s="97">
        <f>SUM(P57:T57)</f>
        <v>146500000</v>
      </c>
      <c r="V57" s="48">
        <v>132500000</v>
      </c>
      <c r="W57" s="48"/>
      <c r="X57" s="61"/>
      <c r="Y57" s="61"/>
      <c r="Z57" s="61"/>
      <c r="AA57" s="97">
        <f>SUM(V57:Z57)</f>
        <v>132500000</v>
      </c>
      <c r="AB57" s="90">
        <f t="shared" si="10"/>
        <v>0.90443686006825941</v>
      </c>
      <c r="AC57" s="10"/>
      <c r="AD57" s="11" t="s">
        <v>51</v>
      </c>
      <c r="AE57" s="89" t="s">
        <v>263</v>
      </c>
    </row>
    <row r="58" spans="1:31" ht="109.2" x14ac:dyDescent="0.25">
      <c r="A58" s="42">
        <v>155</v>
      </c>
      <c r="B58" s="18" t="s">
        <v>202</v>
      </c>
      <c r="C58" s="18" t="s">
        <v>203</v>
      </c>
      <c r="D58" s="18" t="s">
        <v>220</v>
      </c>
      <c r="E58" s="37" t="s">
        <v>221</v>
      </c>
      <c r="F58" s="38" t="s">
        <v>222</v>
      </c>
      <c r="G58" s="35">
        <v>20210680010014</v>
      </c>
      <c r="H58" s="68" t="s">
        <v>223</v>
      </c>
      <c r="I58" s="15" t="s">
        <v>224</v>
      </c>
      <c r="J58" s="12">
        <v>44292</v>
      </c>
      <c r="K58" s="12">
        <v>44561</v>
      </c>
      <c r="L58" s="91">
        <v>1</v>
      </c>
      <c r="M58" s="112">
        <v>0.40849999999999997</v>
      </c>
      <c r="N58" s="118">
        <f t="shared" si="3"/>
        <v>0.40849999999999997</v>
      </c>
      <c r="O58" s="16" t="s">
        <v>225</v>
      </c>
      <c r="P58" s="93">
        <v>221000000</v>
      </c>
      <c r="Q58" s="93"/>
      <c r="R58" s="93"/>
      <c r="S58" s="93"/>
      <c r="T58" s="93"/>
      <c r="U58" s="97">
        <f>SUM(P58:T58)</f>
        <v>221000000</v>
      </c>
      <c r="V58" s="48">
        <v>147164666</v>
      </c>
      <c r="W58" s="48"/>
      <c r="X58" s="61"/>
      <c r="Y58" s="61"/>
      <c r="Z58" s="61"/>
      <c r="AA58" s="97">
        <f>SUM(V58:Z58)</f>
        <v>147164666</v>
      </c>
      <c r="AB58" s="90">
        <f>IFERROR(AA58/U58,"-")</f>
        <v>0.66590346606334838</v>
      </c>
      <c r="AC58" s="10"/>
      <c r="AD58" s="11" t="s">
        <v>51</v>
      </c>
      <c r="AE58" s="89" t="s">
        <v>263</v>
      </c>
    </row>
    <row r="59" spans="1:31" ht="78" x14ac:dyDescent="0.25">
      <c r="A59" s="42">
        <v>156</v>
      </c>
      <c r="B59" s="13" t="s">
        <v>202</v>
      </c>
      <c r="C59" s="13" t="s">
        <v>226</v>
      </c>
      <c r="D59" s="13" t="s">
        <v>227</v>
      </c>
      <c r="E59" s="33" t="s">
        <v>228</v>
      </c>
      <c r="F59" s="30" t="s">
        <v>229</v>
      </c>
      <c r="G59" s="39">
        <v>2021680010007</v>
      </c>
      <c r="H59" s="75" t="s">
        <v>230</v>
      </c>
      <c r="I59" s="16" t="s">
        <v>231</v>
      </c>
      <c r="J59" s="12">
        <v>44238</v>
      </c>
      <c r="K59" s="12">
        <v>44561</v>
      </c>
      <c r="L59" s="43">
        <v>1</v>
      </c>
      <c r="M59" s="114">
        <v>0.746</v>
      </c>
      <c r="N59" s="117">
        <f t="shared" si="3"/>
        <v>0.746</v>
      </c>
      <c r="O59" s="16" t="s">
        <v>232</v>
      </c>
      <c r="P59" s="93">
        <v>2428795496</v>
      </c>
      <c r="Q59" s="93"/>
      <c r="R59" s="93"/>
      <c r="S59" s="93"/>
      <c r="T59" s="93"/>
      <c r="U59" s="53">
        <f>SUM(P59:T59)</f>
        <v>2428795496</v>
      </c>
      <c r="V59" s="48"/>
      <c r="W59" s="61"/>
      <c r="X59" s="61"/>
      <c r="Y59" s="61"/>
      <c r="Z59" s="61"/>
      <c r="AA59" s="53">
        <f>SUM(V59:Z59)</f>
        <v>0</v>
      </c>
      <c r="AB59" s="8">
        <f>IFERROR(AA59/U59,"-")</f>
        <v>0</v>
      </c>
      <c r="AC59" s="10"/>
      <c r="AD59" s="11" t="s">
        <v>51</v>
      </c>
      <c r="AE59" s="89" t="s">
        <v>263</v>
      </c>
    </row>
    <row r="60" spans="1:31" ht="171.6" x14ac:dyDescent="0.25">
      <c r="A60" s="42">
        <v>157</v>
      </c>
      <c r="B60" s="13" t="s">
        <v>202</v>
      </c>
      <c r="C60" s="13" t="s">
        <v>226</v>
      </c>
      <c r="D60" s="13" t="s">
        <v>227</v>
      </c>
      <c r="E60" s="33" t="s">
        <v>233</v>
      </c>
      <c r="F60" s="30" t="s">
        <v>234</v>
      </c>
      <c r="G60" s="39">
        <v>2021680010007</v>
      </c>
      <c r="H60" s="75" t="s">
        <v>230</v>
      </c>
      <c r="I60" s="16" t="s">
        <v>231</v>
      </c>
      <c r="J60" s="12">
        <v>44229</v>
      </c>
      <c r="K60" s="12">
        <v>44561</v>
      </c>
      <c r="L60" s="43">
        <v>1</v>
      </c>
      <c r="M60" s="115">
        <v>0.67469999999999997</v>
      </c>
      <c r="N60" s="118">
        <f t="shared" si="3"/>
        <v>0.67469999999999997</v>
      </c>
      <c r="O60" s="16" t="s">
        <v>235</v>
      </c>
      <c r="P60" s="93">
        <v>160450000</v>
      </c>
      <c r="Q60" s="93"/>
      <c r="R60" s="93"/>
      <c r="S60" s="93"/>
      <c r="T60" s="93"/>
      <c r="U60" s="53">
        <f>SUM(P60:T60)</f>
        <v>160450000</v>
      </c>
      <c r="V60" s="48">
        <v>130650000</v>
      </c>
      <c r="W60" s="61"/>
      <c r="X60" s="61"/>
      <c r="Y60" s="61"/>
      <c r="Z60" s="61"/>
      <c r="AA60" s="53">
        <f>SUM(V60:Z60)</f>
        <v>130650000</v>
      </c>
      <c r="AB60" s="8">
        <f>IFERROR(AA60/U60,"-")</f>
        <v>0.81427235899033967</v>
      </c>
      <c r="AC60" s="10"/>
      <c r="AD60" s="11" t="s">
        <v>51</v>
      </c>
      <c r="AE60" s="89" t="s">
        <v>263</v>
      </c>
    </row>
    <row r="61" spans="1:31" ht="78" x14ac:dyDescent="0.25">
      <c r="A61" s="42">
        <v>158</v>
      </c>
      <c r="B61" s="13" t="s">
        <v>202</v>
      </c>
      <c r="C61" s="13" t="s">
        <v>226</v>
      </c>
      <c r="D61" s="13" t="s">
        <v>227</v>
      </c>
      <c r="E61" s="33" t="s">
        <v>236</v>
      </c>
      <c r="F61" s="30" t="s">
        <v>237</v>
      </c>
      <c r="G61" s="39">
        <v>2021680010007</v>
      </c>
      <c r="H61" s="75" t="s">
        <v>230</v>
      </c>
      <c r="I61" s="16" t="s">
        <v>231</v>
      </c>
      <c r="J61" s="12">
        <v>44229</v>
      </c>
      <c r="K61" s="12">
        <v>44561</v>
      </c>
      <c r="L61" s="43">
        <v>1</v>
      </c>
      <c r="M61" s="112">
        <v>0.62</v>
      </c>
      <c r="N61" s="44">
        <f t="shared" si="3"/>
        <v>0.62</v>
      </c>
      <c r="O61" s="16" t="s">
        <v>238</v>
      </c>
      <c r="P61" s="93">
        <f>297000000+482464070</f>
        <v>779464070</v>
      </c>
      <c r="Q61" s="93"/>
      <c r="R61" s="93"/>
      <c r="S61" s="93"/>
      <c r="T61" s="93"/>
      <c r="U61" s="53">
        <f>SUM(P61:T61)</f>
        <v>779464070</v>
      </c>
      <c r="V61" s="48">
        <f>119400000</f>
        <v>119400000</v>
      </c>
      <c r="W61" s="61"/>
      <c r="X61" s="61"/>
      <c r="Y61" s="61"/>
      <c r="Z61" s="61"/>
      <c r="AA61" s="53">
        <f>SUM(V61:Z61)</f>
        <v>119400000</v>
      </c>
      <c r="AB61" s="8">
        <f>IFERROR(AA61/U61,"-")</f>
        <v>0.15318217297687628</v>
      </c>
      <c r="AC61" s="10"/>
      <c r="AD61" s="11" t="s">
        <v>51</v>
      </c>
      <c r="AE61" s="89" t="s">
        <v>263</v>
      </c>
    </row>
    <row r="62" spans="1:31" ht="78" x14ac:dyDescent="0.25">
      <c r="A62" s="42">
        <v>159</v>
      </c>
      <c r="B62" s="18" t="s">
        <v>202</v>
      </c>
      <c r="C62" s="18" t="s">
        <v>226</v>
      </c>
      <c r="D62" s="18" t="s">
        <v>227</v>
      </c>
      <c r="E62" s="37" t="s">
        <v>239</v>
      </c>
      <c r="F62" s="38" t="s">
        <v>240</v>
      </c>
      <c r="G62" s="39">
        <v>2021680010007</v>
      </c>
      <c r="H62" s="75" t="s">
        <v>230</v>
      </c>
      <c r="I62" s="16" t="s">
        <v>231</v>
      </c>
      <c r="J62" s="12">
        <v>44229</v>
      </c>
      <c r="K62" s="12">
        <v>44561</v>
      </c>
      <c r="L62" s="141">
        <v>1</v>
      </c>
      <c r="M62" s="160">
        <v>0.45</v>
      </c>
      <c r="N62" s="143">
        <f t="shared" si="3"/>
        <v>0.45</v>
      </c>
      <c r="O62" s="16" t="s">
        <v>241</v>
      </c>
      <c r="P62" s="93">
        <v>11550000</v>
      </c>
      <c r="Q62" s="93"/>
      <c r="R62" s="93"/>
      <c r="S62" s="93"/>
      <c r="T62" s="93"/>
      <c r="U62" s="139">
        <f>SUM(P62:T63)</f>
        <v>3096249023</v>
      </c>
      <c r="V62" s="48">
        <v>9450000</v>
      </c>
      <c r="W62" s="61"/>
      <c r="X62" s="61"/>
      <c r="Y62" s="61"/>
      <c r="Z62" s="61"/>
      <c r="AA62" s="139">
        <f>SUM(V62:Z63)</f>
        <v>9450000</v>
      </c>
      <c r="AB62" s="137">
        <f>IFERROR(AA62/U62,"-")</f>
        <v>3.0520800910398866E-3</v>
      </c>
      <c r="AC62" s="138"/>
      <c r="AD62" s="136" t="s">
        <v>51</v>
      </c>
      <c r="AE62" s="136" t="s">
        <v>263</v>
      </c>
    </row>
    <row r="63" spans="1:31" ht="75" x14ac:dyDescent="0.25">
      <c r="A63" s="42">
        <v>159</v>
      </c>
      <c r="B63" s="18" t="s">
        <v>202</v>
      </c>
      <c r="C63" s="18" t="s">
        <v>226</v>
      </c>
      <c r="D63" s="18" t="s">
        <v>227</v>
      </c>
      <c r="E63" s="37" t="s">
        <v>239</v>
      </c>
      <c r="F63" s="38" t="s">
        <v>240</v>
      </c>
      <c r="G63" s="40"/>
      <c r="H63" s="76"/>
      <c r="I63" s="32" t="s">
        <v>54</v>
      </c>
      <c r="J63" s="12"/>
      <c r="K63" s="12"/>
      <c r="L63" s="141"/>
      <c r="M63" s="160"/>
      <c r="N63" s="143"/>
      <c r="O63" s="16" t="s">
        <v>242</v>
      </c>
      <c r="P63" s="93">
        <f>3073132+3500000+2950125891+128000000</f>
        <v>3084699023</v>
      </c>
      <c r="Q63" s="93"/>
      <c r="R63" s="93"/>
      <c r="S63" s="93"/>
      <c r="T63" s="93"/>
      <c r="U63" s="139"/>
      <c r="V63" s="48"/>
      <c r="W63" s="61"/>
      <c r="X63" s="61"/>
      <c r="Y63" s="61"/>
      <c r="Z63" s="61"/>
      <c r="AA63" s="139"/>
      <c r="AB63" s="137"/>
      <c r="AC63" s="138"/>
      <c r="AD63" s="136"/>
      <c r="AE63" s="136"/>
    </row>
    <row r="64" spans="1:31" ht="120" x14ac:dyDescent="0.25">
      <c r="A64" s="42">
        <v>162</v>
      </c>
      <c r="B64" s="30" t="s">
        <v>202</v>
      </c>
      <c r="C64" s="30" t="s">
        <v>226</v>
      </c>
      <c r="D64" s="30" t="s">
        <v>243</v>
      </c>
      <c r="E64" s="33" t="s">
        <v>244</v>
      </c>
      <c r="F64" s="30" t="s">
        <v>245</v>
      </c>
      <c r="G64" s="35">
        <v>20210680010019</v>
      </c>
      <c r="H64" s="36" t="s">
        <v>246</v>
      </c>
      <c r="I64" s="9" t="s">
        <v>247</v>
      </c>
      <c r="J64" s="12">
        <v>44264</v>
      </c>
      <c r="K64" s="12">
        <v>44561</v>
      </c>
      <c r="L64" s="43">
        <v>1</v>
      </c>
      <c r="M64" s="114">
        <v>0.54600000000000004</v>
      </c>
      <c r="N64" s="44">
        <f>IFERROR(IF(M64/L64&gt;100%,100%,M64/L64),"-")</f>
        <v>0.54600000000000004</v>
      </c>
      <c r="O64" s="16" t="s">
        <v>248</v>
      </c>
      <c r="P64" s="93">
        <v>204500000</v>
      </c>
      <c r="Q64" s="93"/>
      <c r="R64" s="93"/>
      <c r="S64" s="93"/>
      <c r="T64" s="93"/>
      <c r="U64" s="53">
        <f>SUM(P64:T64)</f>
        <v>204500000</v>
      </c>
      <c r="V64" s="48">
        <v>192393333</v>
      </c>
      <c r="W64" s="61"/>
      <c r="X64" s="61"/>
      <c r="Y64" s="61"/>
      <c r="Z64" s="61"/>
      <c r="AA64" s="53">
        <f>SUM(V64:Z64)</f>
        <v>192393333</v>
      </c>
      <c r="AB64" s="8">
        <f>IFERROR(AA64/U64,"-")</f>
        <v>0.94079869437652808</v>
      </c>
      <c r="AC64" s="10"/>
      <c r="AD64" s="11" t="s">
        <v>51</v>
      </c>
      <c r="AE64" s="89" t="s">
        <v>263</v>
      </c>
    </row>
    <row r="65" spans="1:31" ht="46.8" x14ac:dyDescent="0.25">
      <c r="A65" s="42">
        <v>163</v>
      </c>
      <c r="B65" s="13" t="s">
        <v>202</v>
      </c>
      <c r="C65" s="13" t="s">
        <v>226</v>
      </c>
      <c r="D65" s="13" t="s">
        <v>243</v>
      </c>
      <c r="E65" s="33" t="s">
        <v>249</v>
      </c>
      <c r="F65" s="30" t="s">
        <v>250</v>
      </c>
      <c r="G65" s="35">
        <v>20210680010019</v>
      </c>
      <c r="H65" s="36" t="s">
        <v>246</v>
      </c>
      <c r="I65" s="9" t="s">
        <v>275</v>
      </c>
      <c r="J65" s="12"/>
      <c r="K65" s="12"/>
      <c r="L65" s="43">
        <v>0</v>
      </c>
      <c r="M65" s="54" t="s">
        <v>261</v>
      </c>
      <c r="N65" s="44" t="str">
        <f>IFERROR(IF(M65/L65&gt;100%,100%,M65/L65),"-")</f>
        <v>-</v>
      </c>
      <c r="O65" s="16"/>
      <c r="P65" s="93">
        <v>0</v>
      </c>
      <c r="Q65" s="93"/>
      <c r="R65" s="93"/>
      <c r="S65" s="93"/>
      <c r="T65" s="93"/>
      <c r="U65" s="53">
        <f>SUM(P65:T65)</f>
        <v>0</v>
      </c>
      <c r="V65" s="48"/>
      <c r="W65" s="61"/>
      <c r="X65" s="61"/>
      <c r="Y65" s="61"/>
      <c r="Z65" s="61"/>
      <c r="AA65" s="53">
        <f>SUM(V65:Z65)</f>
        <v>0</v>
      </c>
      <c r="AB65" s="8" t="str">
        <f>IFERROR(AA65/U65,"-")</f>
        <v>-</v>
      </c>
      <c r="AC65" s="10"/>
      <c r="AD65" s="11" t="s">
        <v>51</v>
      </c>
      <c r="AE65" s="89" t="s">
        <v>263</v>
      </c>
    </row>
    <row r="66" spans="1:31" ht="75" x14ac:dyDescent="0.25">
      <c r="A66" s="42">
        <v>168</v>
      </c>
      <c r="B66" s="18" t="s">
        <v>202</v>
      </c>
      <c r="C66" s="18" t="s">
        <v>226</v>
      </c>
      <c r="D66" s="18" t="s">
        <v>251</v>
      </c>
      <c r="E66" s="77" t="s">
        <v>252</v>
      </c>
      <c r="F66" s="38" t="s">
        <v>253</v>
      </c>
      <c r="G66" s="40">
        <v>2021680010001</v>
      </c>
      <c r="H66" s="46" t="s">
        <v>254</v>
      </c>
      <c r="I66" s="9" t="s">
        <v>255</v>
      </c>
      <c r="J66" s="12">
        <v>44228</v>
      </c>
      <c r="K66" s="12" t="s">
        <v>256</v>
      </c>
      <c r="L66" s="141">
        <v>1</v>
      </c>
      <c r="M66" s="158">
        <v>0.52500000000000002</v>
      </c>
      <c r="N66" s="159">
        <f>IFERROR(IF(M66/L66&gt;100%,100%,M66/L66),"-")</f>
        <v>0.52500000000000002</v>
      </c>
      <c r="O66" s="16" t="s">
        <v>276</v>
      </c>
      <c r="P66" s="93">
        <v>828307628</v>
      </c>
      <c r="Q66" s="93"/>
      <c r="R66" s="93"/>
      <c r="S66" s="93"/>
      <c r="T66" s="93"/>
      <c r="U66" s="139">
        <f>SUM(P66:T67)</f>
        <v>930256060</v>
      </c>
      <c r="V66" s="48">
        <v>352500000</v>
      </c>
      <c r="W66" s="48"/>
      <c r="X66" s="69"/>
      <c r="Y66" s="69"/>
      <c r="Z66" s="69"/>
      <c r="AA66" s="139">
        <f>SUM(V66:Z67)</f>
        <v>352500000</v>
      </c>
      <c r="AB66" s="137">
        <f>IFERROR(AA66/U66,"-")</f>
        <v>0.37892792657539903</v>
      </c>
      <c r="AC66" s="138"/>
      <c r="AD66" s="136" t="s">
        <v>51</v>
      </c>
      <c r="AE66" s="136" t="s">
        <v>263</v>
      </c>
    </row>
    <row r="67" spans="1:31" ht="62.4" x14ac:dyDescent="0.25">
      <c r="A67" s="42">
        <v>168</v>
      </c>
      <c r="B67" s="18" t="s">
        <v>202</v>
      </c>
      <c r="C67" s="18" t="s">
        <v>226</v>
      </c>
      <c r="D67" s="18" t="s">
        <v>251</v>
      </c>
      <c r="E67" s="77" t="s">
        <v>252</v>
      </c>
      <c r="F67" s="38" t="s">
        <v>253</v>
      </c>
      <c r="G67" s="40">
        <v>2021680010001</v>
      </c>
      <c r="H67" s="46" t="s">
        <v>254</v>
      </c>
      <c r="I67" s="9" t="s">
        <v>278</v>
      </c>
      <c r="J67" s="12"/>
      <c r="K67" s="12"/>
      <c r="L67" s="141"/>
      <c r="M67" s="158"/>
      <c r="N67" s="159"/>
      <c r="O67" s="16" t="s">
        <v>277</v>
      </c>
      <c r="P67" s="93">
        <f>170856060-68907628</f>
        <v>101948432</v>
      </c>
      <c r="Q67" s="93"/>
      <c r="R67" s="93"/>
      <c r="S67" s="93"/>
      <c r="T67" s="93"/>
      <c r="U67" s="139"/>
      <c r="V67" s="48"/>
      <c r="W67" s="48"/>
      <c r="X67" s="69"/>
      <c r="Y67" s="69"/>
      <c r="Z67" s="69"/>
      <c r="AA67" s="139"/>
      <c r="AB67" s="137"/>
      <c r="AC67" s="138"/>
      <c r="AD67" s="136"/>
      <c r="AE67" s="136"/>
    </row>
    <row r="68" spans="1:31" ht="45" x14ac:dyDescent="0.25">
      <c r="A68" s="42">
        <v>218</v>
      </c>
      <c r="B68" s="13" t="s">
        <v>40</v>
      </c>
      <c r="C68" s="13" t="s">
        <v>257</v>
      </c>
      <c r="D68" s="13" t="s">
        <v>258</v>
      </c>
      <c r="E68" s="33" t="s">
        <v>259</v>
      </c>
      <c r="F68" s="30" t="s">
        <v>260</v>
      </c>
      <c r="G68" s="34"/>
      <c r="H68" s="14" t="s">
        <v>81</v>
      </c>
      <c r="I68" s="9"/>
      <c r="J68" s="12"/>
      <c r="K68" s="12"/>
      <c r="L68" s="45">
        <v>1</v>
      </c>
      <c r="M68" s="52">
        <v>0.66</v>
      </c>
      <c r="N68" s="44">
        <f>IFERROR(IF(M68/L68&gt;100%,100%,M68/L68),"-")</f>
        <v>0.66</v>
      </c>
      <c r="O68" s="16"/>
      <c r="P68" s="93"/>
      <c r="Q68" s="93"/>
      <c r="R68" s="93"/>
      <c r="S68" s="93"/>
      <c r="T68" s="93"/>
      <c r="U68" s="53">
        <f>SUM(P68:T68)</f>
        <v>0</v>
      </c>
      <c r="V68" s="48"/>
      <c r="W68" s="61"/>
      <c r="X68" s="61"/>
      <c r="Y68" s="70"/>
      <c r="Z68" s="70"/>
      <c r="AA68" s="53">
        <f>SUM(V68:Z68)</f>
        <v>0</v>
      </c>
      <c r="AB68" s="8" t="str">
        <f>IFERROR(AA68/U68,"-")</f>
        <v>-</v>
      </c>
      <c r="AC68" s="10"/>
      <c r="AD68" s="11" t="s">
        <v>51</v>
      </c>
      <c r="AE68" s="89" t="s">
        <v>263</v>
      </c>
    </row>
    <row r="69" spans="1:31" x14ac:dyDescent="0.25">
      <c r="A69" s="20">
        <f>SUM(--(FREQUENCY(A9:A68,A9:A68)&gt;0))</f>
        <v>52</v>
      </c>
      <c r="B69" s="21"/>
      <c r="C69" s="22"/>
      <c r="D69" s="22"/>
      <c r="E69" s="22"/>
      <c r="F69" s="22"/>
      <c r="G69" s="22"/>
      <c r="H69" s="22"/>
      <c r="I69" s="22"/>
      <c r="J69" s="22"/>
      <c r="K69" s="23"/>
      <c r="L69" s="23"/>
      <c r="M69" s="24" t="s">
        <v>17</v>
      </c>
      <c r="N69" s="23">
        <f>IFERROR(AVERAGE(N9:N68),"-")</f>
        <v>0.67659243644826339</v>
      </c>
      <c r="O69" s="25"/>
      <c r="P69" s="26">
        <f>SUM(P9:P68)</f>
        <v>13435979349.040001</v>
      </c>
      <c r="Q69" s="26">
        <f t="shared" ref="Q69:AA69" si="11">SUM(Q9:Q68)</f>
        <v>85800403786.720001</v>
      </c>
      <c r="R69" s="26">
        <f t="shared" si="11"/>
        <v>0</v>
      </c>
      <c r="S69" s="26">
        <f t="shared" si="11"/>
        <v>0</v>
      </c>
      <c r="T69" s="26">
        <f t="shared" si="11"/>
        <v>188673423752.91998</v>
      </c>
      <c r="U69" s="105">
        <f t="shared" si="11"/>
        <v>287909806888.67993</v>
      </c>
      <c r="V69" s="26">
        <f t="shared" si="11"/>
        <v>3057995009</v>
      </c>
      <c r="W69" s="26">
        <f t="shared" si="11"/>
        <v>50023755969</v>
      </c>
      <c r="X69" s="26">
        <f t="shared" si="11"/>
        <v>0</v>
      </c>
      <c r="Y69" s="26">
        <f t="shared" si="11"/>
        <v>0</v>
      </c>
      <c r="Z69" s="26">
        <f t="shared" si="11"/>
        <v>84800719034.050003</v>
      </c>
      <c r="AA69" s="28">
        <f t="shared" si="11"/>
        <v>137882470012.04999</v>
      </c>
      <c r="AB69" s="27">
        <f>IFERROR(AA69/U69,"-")</f>
        <v>0.47890855647498703</v>
      </c>
      <c r="AC69" s="28"/>
      <c r="AD69" s="25"/>
      <c r="AE69" s="25"/>
    </row>
    <row r="71" spans="1:31" x14ac:dyDescent="0.25">
      <c r="O71" s="119"/>
      <c r="S71"/>
      <c r="T71"/>
      <c r="U71"/>
      <c r="V71"/>
      <c r="X71"/>
      <c r="Y71"/>
      <c r="Z71"/>
    </row>
    <row r="72" spans="1:31" x14ac:dyDescent="0.25">
      <c r="S72"/>
      <c r="T72"/>
      <c r="U72"/>
      <c r="V72" s="72"/>
      <c r="W72" s="72"/>
      <c r="X72"/>
      <c r="Y72"/>
      <c r="Z72"/>
    </row>
    <row r="73" spans="1:31" x14ac:dyDescent="0.25">
      <c r="S73"/>
      <c r="T73"/>
      <c r="U73"/>
      <c r="V73" s="72"/>
      <c r="W73" s="72"/>
      <c r="X73"/>
      <c r="Y73"/>
      <c r="Z73"/>
    </row>
    <row r="74" spans="1:31" x14ac:dyDescent="0.25">
      <c r="S74"/>
      <c r="T74"/>
      <c r="U74" s="104"/>
      <c r="V74"/>
      <c r="X74"/>
      <c r="Y74"/>
      <c r="Z74"/>
    </row>
    <row r="75" spans="1:31" x14ac:dyDescent="0.25">
      <c r="S75"/>
      <c r="T75"/>
      <c r="U75"/>
      <c r="V75"/>
      <c r="X75"/>
      <c r="Y75"/>
      <c r="Z75"/>
    </row>
    <row r="76" spans="1:31" x14ac:dyDescent="0.25">
      <c r="S76"/>
      <c r="T76"/>
      <c r="U76"/>
      <c r="X76"/>
      <c r="Y76"/>
      <c r="Z76"/>
    </row>
    <row r="77" spans="1:31" x14ac:dyDescent="0.25">
      <c r="S77"/>
      <c r="T77"/>
      <c r="U77"/>
    </row>
    <row r="78" spans="1:31" x14ac:dyDescent="0.25">
      <c r="S78"/>
      <c r="T78"/>
      <c r="U78"/>
    </row>
    <row r="79" spans="1:31" x14ac:dyDescent="0.25">
      <c r="S79"/>
      <c r="T79"/>
      <c r="U79"/>
    </row>
    <row r="80" spans="1:31" x14ac:dyDescent="0.25">
      <c r="S80"/>
      <c r="T80"/>
      <c r="U80"/>
    </row>
    <row r="81" spans="19:21" x14ac:dyDescent="0.25">
      <c r="S81"/>
      <c r="T81"/>
      <c r="U81"/>
    </row>
    <row r="82" spans="19:21" x14ac:dyDescent="0.25">
      <c r="S82"/>
      <c r="T82"/>
      <c r="U82"/>
    </row>
  </sheetData>
  <mergeCells count="72">
    <mergeCell ref="N62:N63"/>
    <mergeCell ref="A1:A4"/>
    <mergeCell ref="A5:C5"/>
    <mergeCell ref="A6:C6"/>
    <mergeCell ref="D5:L5"/>
    <mergeCell ref="D6:L6"/>
    <mergeCell ref="B1:AB4"/>
    <mergeCell ref="V7:AA7"/>
    <mergeCell ref="AB7:AB8"/>
    <mergeCell ref="B7:F7"/>
    <mergeCell ref="G7:K7"/>
    <mergeCell ref="L13:L14"/>
    <mergeCell ref="M13:M14"/>
    <mergeCell ref="N13:N14"/>
    <mergeCell ref="AA13:AA14"/>
    <mergeCell ref="L11:L12"/>
    <mergeCell ref="M11:M12"/>
    <mergeCell ref="N11:N12"/>
    <mergeCell ref="AA11:AA12"/>
    <mergeCell ref="U11:U12"/>
    <mergeCell ref="U13:U14"/>
    <mergeCell ref="L7:N7"/>
    <mergeCell ref="O7:U7"/>
    <mergeCell ref="AC1:AE1"/>
    <mergeCell ref="AC2:AE2"/>
    <mergeCell ref="AC3:AE3"/>
    <mergeCell ref="AC4:AE4"/>
    <mergeCell ref="AC7:AC8"/>
    <mergeCell ref="AD7:AE7"/>
    <mergeCell ref="AC13:AC14"/>
    <mergeCell ref="AB11:AB12"/>
    <mergeCell ref="AC11:AC12"/>
    <mergeCell ref="AD13:AD14"/>
    <mergeCell ref="AE13:AE14"/>
    <mergeCell ref="AD11:AD12"/>
    <mergeCell ref="AE11:AE12"/>
    <mergeCell ref="AB13:AB14"/>
    <mergeCell ref="AD62:AD63"/>
    <mergeCell ref="AE62:AE63"/>
    <mergeCell ref="AD66:AD67"/>
    <mergeCell ref="AE66:AE67"/>
    <mergeCell ref="AA66:AA67"/>
    <mergeCell ref="AB66:AB67"/>
    <mergeCell ref="AC66:AC67"/>
    <mergeCell ref="AA62:AA63"/>
    <mergeCell ref="AB62:AB63"/>
    <mergeCell ref="AC62:AC63"/>
    <mergeCell ref="AD23:AD26"/>
    <mergeCell ref="AE23:AE26"/>
    <mergeCell ref="AB23:AB26"/>
    <mergeCell ref="AC23:AC26"/>
    <mergeCell ref="AA23:AA26"/>
    <mergeCell ref="M17:M18"/>
    <mergeCell ref="L17:L18"/>
    <mergeCell ref="U17:U18"/>
    <mergeCell ref="AA17:AA18"/>
    <mergeCell ref="U23:U26"/>
    <mergeCell ref="L23:L26"/>
    <mergeCell ref="M23:M26"/>
    <mergeCell ref="N23:N26"/>
    <mergeCell ref="U62:U63"/>
    <mergeCell ref="L62:L63"/>
    <mergeCell ref="L66:L67"/>
    <mergeCell ref="M66:M67"/>
    <mergeCell ref="N66:N67"/>
    <mergeCell ref="U66:U67"/>
    <mergeCell ref="M62:M63"/>
    <mergeCell ref="AB17:AB18"/>
    <mergeCell ref="AC17:AC18"/>
    <mergeCell ref="AD17:AD18"/>
    <mergeCell ref="AE17:AE18"/>
    <mergeCell ref="N17:N18"/>
  </mergeCells>
  <conditionalFormatting sqref="N9:N17 N19:N26 N28:N68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2021-11-03T21:06:08Z</dcterms:modified>
</cp:coreProperties>
</file>