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9 - Septiembre\Publicados\"/>
    </mc:Choice>
  </mc:AlternateContent>
  <xr:revisionPtr revIDLastSave="0" documentId="13_ncr:1_{8BD02754-32E7-42F2-A5D6-1681B6BC92E4}"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Acción'!$A$8:$AE$111</definedName>
  </definedNames>
  <calcPr calcId="181029"/>
</workbook>
</file>

<file path=xl/calcChain.xml><?xml version="1.0" encoding="utf-8"?>
<calcChain xmlns="http://schemas.openxmlformats.org/spreadsheetml/2006/main">
  <c r="AC37" i="14" l="1"/>
  <c r="T55" i="14" l="1"/>
  <c r="P23" i="14"/>
  <c r="P24" i="14"/>
  <c r="T74" i="14" l="1"/>
  <c r="P74" i="14"/>
  <c r="Z75" i="14"/>
  <c r="AA107" i="14"/>
  <c r="AA106" i="14"/>
  <c r="AA105" i="14"/>
  <c r="AA103" i="14"/>
  <c r="AA97" i="14"/>
  <c r="AA96" i="14"/>
  <c r="AA94" i="14"/>
  <c r="AA92" i="14"/>
  <c r="AA91" i="14"/>
  <c r="AA89" i="14"/>
  <c r="AA88" i="14"/>
  <c r="AA87" i="14"/>
  <c r="AA86" i="14"/>
  <c r="AA82" i="14"/>
  <c r="AA79" i="14"/>
  <c r="AA78" i="14"/>
  <c r="AA76" i="14"/>
  <c r="AA75" i="14"/>
  <c r="AA69" i="14"/>
  <c r="AA68" i="14"/>
  <c r="AA62" i="14"/>
  <c r="AA29" i="14"/>
  <c r="AA28" i="14"/>
  <c r="AA21" i="14"/>
  <c r="AA18" i="14"/>
  <c r="AA17" i="14"/>
  <c r="AA16" i="14"/>
  <c r="AA15" i="14"/>
  <c r="AA14" i="14"/>
  <c r="AA13" i="14"/>
  <c r="AA12" i="14"/>
  <c r="AA9" i="14"/>
  <c r="U89" i="14" l="1"/>
  <c r="N90" i="14"/>
  <c r="T75" i="14"/>
  <c r="T58" i="14"/>
  <c r="T70" i="14"/>
  <c r="T48" i="14"/>
  <c r="T47" i="14"/>
  <c r="T67" i="14"/>
  <c r="V19" i="14"/>
  <c r="AA19" i="14" s="1"/>
  <c r="P20" i="14"/>
  <c r="P19" i="14"/>
  <c r="T84" i="14"/>
  <c r="T33" i="14"/>
  <c r="V10" i="14"/>
  <c r="AA10" i="14" s="1"/>
  <c r="V101" i="14"/>
  <c r="AA101" i="14" s="1"/>
  <c r="V95" i="14"/>
  <c r="AA95" i="14" s="1"/>
  <c r="V108" i="14"/>
  <c r="AA108" i="14" s="1"/>
  <c r="V98" i="14"/>
  <c r="AA98" i="14" s="1"/>
  <c r="Z31" i="14"/>
  <c r="AA31" i="14" s="1"/>
  <c r="Z25" i="14"/>
  <c r="Z27" i="14"/>
  <c r="V23" i="14"/>
  <c r="AA23" i="14" s="1"/>
  <c r="V74" i="14"/>
  <c r="AA70" i="14" s="1"/>
  <c r="V50" i="14" l="1"/>
  <c r="T71" i="14" l="1"/>
  <c r="P60" i="14" l="1"/>
  <c r="P50" i="14"/>
  <c r="T50" i="14"/>
  <c r="T51" i="14"/>
  <c r="P86" i="14" l="1"/>
  <c r="N94" i="14" l="1"/>
  <c r="N92" i="14"/>
  <c r="N95" i="14"/>
  <c r="N75" i="14"/>
  <c r="U75" i="14"/>
  <c r="Z35" i="14"/>
  <c r="AA35" i="14" s="1"/>
  <c r="Z52" i="14"/>
  <c r="AA37" i="14" s="1"/>
  <c r="U9" i="14"/>
  <c r="AB9" i="14" s="1"/>
  <c r="U10" i="14"/>
  <c r="AB10" i="14" s="1"/>
  <c r="U12" i="14"/>
  <c r="AB12" i="14" s="1"/>
  <c r="U13" i="14"/>
  <c r="AB13" i="14" s="1"/>
  <c r="P14" i="14"/>
  <c r="U14" i="14" s="1"/>
  <c r="AB14" i="14" s="1"/>
  <c r="P15" i="14"/>
  <c r="U15" i="14" s="1"/>
  <c r="AB15" i="14" s="1"/>
  <c r="U16" i="14"/>
  <c r="AB16" i="14" s="1"/>
  <c r="U17" i="14"/>
  <c r="U19" i="14"/>
  <c r="U21" i="14"/>
  <c r="T25" i="14"/>
  <c r="U23" i="14" s="1"/>
  <c r="U28" i="14"/>
  <c r="U29" i="14"/>
  <c r="U31" i="14"/>
  <c r="U35" i="14"/>
  <c r="T42" i="14"/>
  <c r="T46" i="14"/>
  <c r="T52" i="14"/>
  <c r="U62" i="14"/>
  <c r="U68" i="14"/>
  <c r="U69" i="14"/>
  <c r="U70" i="14"/>
  <c r="U76" i="14"/>
  <c r="U78" i="14"/>
  <c r="U79" i="14"/>
  <c r="U82" i="14"/>
  <c r="U86" i="14"/>
  <c r="U87" i="14"/>
  <c r="U88" i="14"/>
  <c r="U91" i="14"/>
  <c r="U92" i="14"/>
  <c r="U94" i="14"/>
  <c r="U95" i="14"/>
  <c r="U96" i="14"/>
  <c r="U97" i="14"/>
  <c r="T100" i="14"/>
  <c r="U98" i="14" s="1"/>
  <c r="U101" i="14"/>
  <c r="U103" i="14"/>
  <c r="U105" i="14"/>
  <c r="U106" i="14"/>
  <c r="U107" i="14"/>
  <c r="U108" i="14"/>
  <c r="S109" i="14"/>
  <c r="A109" i="14"/>
  <c r="N101" i="14"/>
  <c r="N78" i="14"/>
  <c r="N70" i="14"/>
  <c r="N69" i="14"/>
  <c r="N68" i="14"/>
  <c r="N62" i="14"/>
  <c r="N29" i="14"/>
  <c r="N28" i="14"/>
  <c r="N31" i="14"/>
  <c r="N37" i="14"/>
  <c r="Q109" i="14"/>
  <c r="R109" i="14"/>
  <c r="V109" i="14"/>
  <c r="W109" i="14"/>
  <c r="X109" i="14"/>
  <c r="Y109" i="14"/>
  <c r="AC12" i="14"/>
  <c r="AC109" i="14" s="1"/>
  <c r="N108" i="14"/>
  <c r="N107" i="14"/>
  <c r="N106" i="14"/>
  <c r="N105" i="14"/>
  <c r="N103" i="14"/>
  <c r="N98" i="14"/>
  <c r="N97" i="14"/>
  <c r="N96" i="14"/>
  <c r="N91" i="14"/>
  <c r="N89" i="14"/>
  <c r="N88" i="14"/>
  <c r="N87" i="14"/>
  <c r="N86" i="14"/>
  <c r="N82" i="14"/>
  <c r="N79" i="14"/>
  <c r="N76" i="14"/>
  <c r="N35" i="14"/>
  <c r="N23" i="14"/>
  <c r="N21" i="14"/>
  <c r="N19" i="14"/>
  <c r="N18" i="14"/>
  <c r="N17" i="14"/>
  <c r="N16" i="14"/>
  <c r="N15" i="14"/>
  <c r="N14" i="14"/>
  <c r="N13" i="14"/>
  <c r="N12" i="14"/>
  <c r="N10" i="14"/>
  <c r="N9" i="14"/>
  <c r="AA109" i="14" l="1"/>
  <c r="N109" i="14"/>
  <c r="Z109" i="14"/>
  <c r="AB28" i="14"/>
  <c r="AB108" i="14"/>
  <c r="AB23" i="14"/>
  <c r="AB92" i="14"/>
  <c r="AB78" i="14"/>
  <c r="AB19" i="14"/>
  <c r="AB76" i="14"/>
  <c r="AB87" i="14"/>
  <c r="AB103" i="14"/>
  <c r="AB105" i="14"/>
  <c r="AB107" i="14"/>
  <c r="AB70" i="14"/>
  <c r="AB96" i="14"/>
  <c r="AB91" i="14"/>
  <c r="AB86" i="14"/>
  <c r="AB35" i="14"/>
  <c r="AB101" i="14"/>
  <c r="AB95" i="14"/>
  <c r="AB89" i="14"/>
  <c r="AB62" i="14"/>
  <c r="AB17" i="14"/>
  <c r="AB68" i="14"/>
  <c r="U37" i="14"/>
  <c r="AB37" i="14" s="1"/>
  <c r="AB97" i="14"/>
  <c r="AB82" i="14"/>
  <c r="AB69" i="14"/>
  <c r="AB29" i="14"/>
  <c r="T109" i="14"/>
  <c r="AB106" i="14"/>
  <c r="AB98" i="14"/>
  <c r="AB94" i="14"/>
  <c r="AB88" i="14"/>
  <c r="AB79" i="14"/>
  <c r="AB75" i="14"/>
  <c r="AB31" i="14"/>
  <c r="AB21" i="14"/>
  <c r="P18" i="14"/>
  <c r="U18" i="14" s="1"/>
  <c r="AB18" i="14" s="1"/>
  <c r="P109" i="14" l="1"/>
  <c r="U109" i="14"/>
  <c r="AB109" i="14" s="1"/>
</calcChain>
</file>

<file path=xl/sharedStrings.xml><?xml version="1.0" encoding="utf-8"?>
<sst xmlns="http://schemas.openxmlformats.org/spreadsheetml/2006/main" count="861" uniqueCount="304">
  <si>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</si>
  <si>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</si>
  <si>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</si>
  <si>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</si>
  <si>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</si>
  <si>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</si>
  <si>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</si>
  <si>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</si>
  <si>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</si>
  <si>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</si>
  <si>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</si>
  <si>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</si>
  <si>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</si>
  <si>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</si>
  <si>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</si>
  <si>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</si>
  <si>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</si>
  <si>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</si>
  <si>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</si>
  <si>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</si>
  <si>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</si>
  <si>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</si>
  <si>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</si>
  <si>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</si>
  <si>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</si>
  <si>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</si>
  <si>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</si>
  <si>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</si>
  <si>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</si>
  <si>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</si>
  <si>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</si>
  <si>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</si>
  <si>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</si>
  <si>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</si>
  <si>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</si>
  <si>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</si>
  <si>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</si>
  <si>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</si>
  <si>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</si>
  <si>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</si>
  <si>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</si>
  <si>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BUCARAMANGA EQUITATIVA E INCLUYENTE: UNA CIUDAD DE BIENESTAR</t>
  </si>
  <si>
    <t>Capacidades Y Oportunidades Para Superar Brechas Sociales</t>
  </si>
  <si>
    <t>BUCARAMANGA CIUDAD VITAL: LA VIDA ES SAGRADA</t>
  </si>
  <si>
    <t>Bucaramanga Segura</t>
  </si>
  <si>
    <t>Prevención Del Delito</t>
  </si>
  <si>
    <t>PENDIENTE POR ADICIONAR</t>
  </si>
  <si>
    <t>Aceleradores De Desarrollo Social</t>
  </si>
  <si>
    <t>Formular e implementar 1 estrategia para brindar asistencia social a la población afectada por las diferentes emergencias y particularmente COVID-19.</t>
  </si>
  <si>
    <t>Número de estrategias formuladas e implementadas para brindar asistencia social a la población afectada por las diferentes emergencias y particularmente COVID-19.</t>
  </si>
  <si>
    <t>Mantener el 100% de los programas que desarrolla la Administración Central.</t>
  </si>
  <si>
    <t>Porcentaje de programas que desarrolla la Administración Central mantenidos.</t>
  </si>
  <si>
    <t>Sec. Interior</t>
  </si>
  <si>
    <t>BUCARAMANGA SOSTENIBLE: UNA REGIÓN CON FUTURO</t>
  </si>
  <si>
    <t>Bucaramanga Gestiona El Riesgo De Desastre Y Se Adapta Al Proceso De Cambio Climático</t>
  </si>
  <si>
    <t>Conocimiento Del Riesgo Y Adaptación Al Cambio Climático</t>
  </si>
  <si>
    <t>Actualizar e implementar el Plan Municipal de Gestión de Riesgo y su Adaptación al Cambio Climático y la Política Pública de Gestión de Riesgo y Adaptación al Cambio Climático.</t>
  </si>
  <si>
    <t>Número de Planes Municipales de Gestión de Riesgo y su Adaptación al Cambio Político y Políticas Públicas de de Gestión de Riesgo y Adaptación al Cambio Climático actualizados e implementados.</t>
  </si>
  <si>
    <t>APOYO AL CONOCIMIENTO OPERATIVO DE LA UNIDAD DE GESTIÓN DEL RIESGO. EMERGENCIAS Y DESASTRES PARA RESPUESTA A LOS EFECTOS DEL CAMBIO CLIMÁTICO EN EL MUNICIPIO DE BUCARAMANGA</t>
  </si>
  <si>
    <t>Mejorar la capacidad operativa de la Unidad Municipal de gestión del Riesgo y Desastre para la respuesta eficiente a los eventos de desastre natural y otros en el municipio de Bucaramanga.</t>
  </si>
  <si>
    <t>Realizar 9 estudios en áreas o zonas con situaciones de riesgo.</t>
  </si>
  <si>
    <t>Número de estudios en áreas o zonas con situaciones de riesgo realizados.</t>
  </si>
  <si>
    <t>Adquirir 5 Sistema de Alertas Tempranas e Innovación para la gestión del riesgo.</t>
  </si>
  <si>
    <t>Número de Sistemas de Alertas Tempranas e Innovación adquiridos para la gestión del riesgo.</t>
  </si>
  <si>
    <t>2.3.2.02.02.008.4503019.588 - $90.000.000</t>
  </si>
  <si>
    <t>Reducción, Mitigación Del Riesgo Y Adaptación Al Cambio Climático</t>
  </si>
  <si>
    <t>Formular e implementar 1 estrategia de respuesta a emergencia - EMRE que contenga el protocolo de atención de emergencias por calidad del aire.</t>
  </si>
  <si>
    <t>Número de estrategias de respuesta a emergencia - EMRE que contenga el protocolo de atención de emergencias por calidad del aire formuladas e implementadas.</t>
  </si>
  <si>
    <t>2.3.2.02.01.003.4503004.201 - $ 20.000.000</t>
  </si>
  <si>
    <t xml:space="preserve">Fortalecer 30 instancias sociales del Sistema Municipal de Gestión de Riesgo. </t>
  </si>
  <si>
    <t>Número instancias sociales fortalecidas del Sistema Municipal de Gestión de Riesgo.</t>
  </si>
  <si>
    <t>2.3.2.02.01.003.4503004.201 - $20.000.000</t>
  </si>
  <si>
    <t>Intervenir estratégicamente 6 zonas de riesgo de desastre.</t>
  </si>
  <si>
    <t>Número de zonas de riesgo de desastre intervenidas estratégicamente.</t>
  </si>
  <si>
    <t>Realizar 1 inventario municipal de asentamientos humanos localizados en zonas de alto riesgo no mitigable.</t>
  </si>
  <si>
    <t>Número de inventarios municipales de asentamientos humanos localizados en zonas de alto riesgo no mitigable realizados.</t>
  </si>
  <si>
    <t>Mantener la atención al 100% de las familias en emergencias naturales y antrópicas.</t>
  </si>
  <si>
    <t>Porcentaje de familias atendidas en emergencias naturales y antrópicas.</t>
  </si>
  <si>
    <t>2.3.2.02.01.003.4503004.201 - $ 816.000.000</t>
  </si>
  <si>
    <t>Manejo Del Riesgo Y Adaptación Al Cambio Climático</t>
  </si>
  <si>
    <t>Mantener la atención integral al 100% de las emergencias y desastres ocurridas en el municipio.</t>
  </si>
  <si>
    <t>Porcentaje de emergencias y desastres ocurridas en el municipio atendidas integralmente.</t>
  </si>
  <si>
    <t>SUBSIDIO Y ASIGNACIÓN DE RECURSOS COMPLEMENTARIOS PARA ATENDER EMERGENCIAS Y EVENTOS NATURALES EN EL MUNICIPIO DE BUCARAMANGA</t>
  </si>
  <si>
    <t>Espacio Público Vital</t>
  </si>
  <si>
    <t>Equipamiento Comunitario</t>
  </si>
  <si>
    <t>Mantener las 4 Plazas de Mercado administradas por el Municipio.</t>
  </si>
  <si>
    <t>Número de plazas de mercado administradas por el Municipio mantenidas.</t>
  </si>
  <si>
    <t>FORTALECIMIENTO A LA OPERATIVIDAD DE LOS CENTROS DE ACOPIO A CARGO DEL MUNICIPIO DE BUCARAMANGA</t>
  </si>
  <si>
    <t>Garantizar una eficaz gestión y funcionamiento de las plazas de mercado que se encuentran bajo la administración de la Alcaldía de Bucaramanga.</t>
  </si>
  <si>
    <t>2.3.2.02.01.003.4002031.201 -  $  78.151.521
2.3.2.02.02.008.4002012.201 - $ 279.700.000
2.3.2.02.02.008.4002031.201 - $ 259.148.479</t>
  </si>
  <si>
    <t>Formular e implementar 1 programa de gestores de convivencia.</t>
  </si>
  <si>
    <t>Número de programas de gestores de convivencia formulados e implementados.</t>
  </si>
  <si>
    <t>APOYO A LA RECUPERACIÓN, CONTROL Y PRESERVACIÓN DEL ESPACIO PÚBLICO EN EL MUNICIPIO DE BUCARAMANGA</t>
  </si>
  <si>
    <t>Reducir la invasión y el uso inadecuado del espacio público en la ciudad de Bucaramanga.</t>
  </si>
  <si>
    <t>IMPLEMENTACIÓN DE ACCIONES E INICIATIVAS SOCIALES PARA RESOLUCIÓN PACÍFICA DE CONFLICTOS Y LA SANA CONVIVENCIA EN LA CIUDAD DE BUCARAMANGA</t>
  </si>
  <si>
    <t xml:space="preserve">Promover la resolución pacífica de conflictos sociales  a través de acciones para la sana convivencia de las diferentes comunas y corregimientos de la ciudad de Bucaramanga. </t>
  </si>
  <si>
    <t>2.3.2.02.02.008.4501004.204 - $ 347.500.000</t>
  </si>
  <si>
    <t>IMPLEMENTACIÓN DE ACCIONES SOCIALES Y CULTURALES PARA LA GESTIÓN DE LA CONVIVENCIA EN EL MUNICIPIO DE BUCARAMANGA</t>
  </si>
  <si>
    <t>Disminuir la prevalencia de conflictos sociales derivados de la frágil convivencia ciudadana en el municipio de Bucaramanga.</t>
  </si>
  <si>
    <t>Intervenir 10 puntos críticos de criminalidad con acciones integrales.</t>
  </si>
  <si>
    <t>Número de puntos críticos de criminalidad intervenidos con acciones integrales.</t>
  </si>
  <si>
    <t>2.3.2.02.02.008.4501004.204 - $ 87.300.000</t>
  </si>
  <si>
    <t>2.3.2.02.02.008.4501004.504 -$81.000.000</t>
  </si>
  <si>
    <t>Promoción De La Seguridad Ciudadana, El Orden Público Y La Convivencia</t>
  </si>
  <si>
    <t>Desarrollar e implementar 1 protocolo para la coordinación de acciones de respeto y garantía a la protesta pacífica.</t>
  </si>
  <si>
    <t>Número de protocolos desarrollados e implementados para la coordinación de acciones de respeto y garantía a la protesta pacífica.</t>
  </si>
  <si>
    <t>2.3.2.02.02.008.4501004.504 - $45.000.000</t>
  </si>
  <si>
    <t>2.3.2.02.02.008.4501004.204 - $ 35.200.000</t>
  </si>
  <si>
    <t>Fortalecimiento Institucional A Los Organismos De Seguridad</t>
  </si>
  <si>
    <t>Formular e implementar el Plan Integral de Seguridad y Convivencia Ciudadana (PISCC) en conjunto con las entidades pertinentes.</t>
  </si>
  <si>
    <t>Número de Planes Integral de Seguridad y Convivencia Ciudadana (PISCC) formulados e implementados en conjunto con las entidades pertinentes.</t>
  </si>
  <si>
    <t>2.3.2.02.02.008.4501004.204 - $ 60.000.000</t>
  </si>
  <si>
    <t>ADECUACIÓN DE SALAS DE PASO, ATENCIÓN AL USUARIO Y UNIDAD DE REACCIÓN INMEDIATA DE LA SEDE PRINCIPAL DE LA FISCALÍA GENERAL DE LA NACIÓN EN BUCARAMANGA</t>
  </si>
  <si>
    <t xml:space="preserve">Mejorar la infraestructura física de algunas instalaciones donde opera y presta el servicio la Fiscalía General de la Nación en el municipio de Bucaramanga, buscando una eficiente prestación del servicio en el marco del orden público. </t>
  </si>
  <si>
    <t>ADQUISICIÓN DE VEHÍCULOS PARA EL TRANSPORTE DE TROPA DEL BATALLÓN DE SERVICIOS N° 5 “MERCEDES ABREGO” DEL MUNICIPIO DE BUCARAMANGA</t>
  </si>
  <si>
    <t>Adquisición de vehículos para el transporte de tropa del batallón de servicios n° 5 “Mercedes Abrego” del municipio de Bucaramanga.</t>
  </si>
  <si>
    <t>2.3.2.01.01.003.07.01.4501056.204 - $350.000.000</t>
  </si>
  <si>
    <t>ADECUACIÓN DE SALA TRANSITORIA, ANTEJARDÍN Y OFICINAS ADMINISTRATIVAS DEL CENTRO FACILITADOR DE SERVICIOS MIGRATORIOS – CFSM DE MIGRACIÓN COLOMBIA – REGIONAL ORIENTE EN EL MUNICIPIO DE BUCARAMANGA</t>
  </si>
  <si>
    <t>Mejorar la prestación del servicio del usuario y ciudadano del CFSM de Bucaramanga, a través de la adecuación de las condiciones físicas del CFSM para la atención de trámites migratorios y retención temporal de ciudadanos extranjeros por parte de Migración Colombia en el Municipio de Bucaramanga.</t>
  </si>
  <si>
    <t>2.3.2.02.02.008.4501056.204 - $104.627.439</t>
  </si>
  <si>
    <t>2.3.2.02.02.008.4501004.504 - $270.000.000</t>
  </si>
  <si>
    <t>ADQUISICIÓN DE RECURSOS TECNÓLOGICOS PARA LA SEGURIDAD DEL MUNICIPIO DE BUCARAMANGA</t>
  </si>
  <si>
    <t>IMPLEMENTACIÓN DE ACCIONES PARA SALVAGUARDAR LA INTEGRIDAD Y SEGURIDAD DE LA OPERATIVIDAD DEL PERSONAL DE LA POLICÍA METROPOLITANA DE BUCARAMANGA</t>
  </si>
  <si>
    <t xml:space="preserve">Aumentar el nivel de protección y seguridad de la integridad física de los miembros de la policía metropolitana de Bucaramanga </t>
  </si>
  <si>
    <t>2.3.2.02.01.003.4501056.204 - $807.014.027
2.3.2.02.01.003.4501030.201 - $800.000.000</t>
  </si>
  <si>
    <t>DOTACIÓN GRUPO GOES Y SISER</t>
  </si>
  <si>
    <t>2.3.2.02.02.008.4501004.504 -$200,000,000</t>
  </si>
  <si>
    <t>FORTALECIMIENTO A LAS ESTRATEGIAS DE ORDEN PÚBLICO EN EL MARCO DEL PLAN INTEGRAL DE SEGURIDAD Y CONVIVENCIA CIUDADANA PISCC DEL MUNICIPIO DE BUCARAMANGA.</t>
  </si>
  <si>
    <t>Mejorar las condiciones de seguridad y convivencia ciudadana en el municipio de Bucaramanga.</t>
  </si>
  <si>
    <t>IMPLEMENTACIÓN DE ACCIONES PARA EL MEJORAMIENTO DE LA OPERATIVIDAD SISTEMAS DE INFORMACIÓN Y TECNOLOGIA DE LOS CENTROS DE INFORMACIÓN ESTRATEGICA POLICIA SECCIONAL CIEPS DEL MUNICIPIO DE BUCARAMANGA</t>
  </si>
  <si>
    <t>Mejorar la operatividad de los sistemas de información para el desarrollo de las acciones encaminadas a la vigilancia, seguridad y convivencia ciudadana de los centros de información estratégica policial seccional CIEPS de la metropolitana de Bucaramanga.</t>
  </si>
  <si>
    <t>SALAS CIEPS MOBILIARIO</t>
  </si>
  <si>
    <t>2.3.2.02.02.008.4501004.504-$82.113.630</t>
  </si>
  <si>
    <t>PROYECTO MOVILIDAD FISCALIA E INFRAESTRUCTURA</t>
  </si>
  <si>
    <t>2.3.2.02.02.008.4501004.504 -$85.000.000</t>
  </si>
  <si>
    <t>NUEVO PROYECTO DE INSPECCIONES Y COMISARIAS FONSET</t>
  </si>
  <si>
    <t>IMPLEMENTACIÓN DE ACCIONES PARA EL MEJORAMIENTO DE LA CONSOLIDACIÓN Y MANEJO DE DATOS DEL OBSERVATORIO DE LA INFORMACIÓN ASOCIADA A LA SEGURIDAD Y CONVIVENCIA CIUDADANA EN EL MUNICIPIO DE BUCARAMANGA</t>
  </si>
  <si>
    <t>Mejorar la capacidad operativa para la consolidación y reporte de los datos de criminalidad del observatorio de seguridad y convivencia ciudadana del municipio de Bucaramanga.</t>
  </si>
  <si>
    <t>MANTENIMIENTO VEHICULOS,
GASTOS DE BIENESTAR SOCIAL</t>
  </si>
  <si>
    <t>FORTALECIMIENTO DEL PROGRAMA “TOLERANCIA EN MOVIMIENTO", COMO PARTE DE LA POLÍTICA PÚBLICA DE SEGURIDAD Y CONVIVENCIA CIUDADANA DEL MUNICIPIO DE BUCARAMANGA</t>
  </si>
  <si>
    <t>Reducir los índices de inseguridad ciudadana e intolerancia social en el municipio de Bucaramanga.</t>
  </si>
  <si>
    <t>Mantener el Programa de Tolerancia en Movimiento con el objetivo de fortalecer la convivencia y seguridad ciudadana.</t>
  </si>
  <si>
    <t>Número de Programas de Tolerancia en Movimiento mantenidos con el objetivo de fortalecer la convivencia y seguridad ciudadana.</t>
  </si>
  <si>
    <t>PROYECTO CORNETAS</t>
  </si>
  <si>
    <t>2.3.2.02.02.008.4501004.504 -$250.000.000</t>
  </si>
  <si>
    <t>Promoción De Los Métodos De Resolución De Conflictos, Acceso A La Justicia Y Aplicación De La Justicia Restaurativa</t>
  </si>
  <si>
    <t>Mantener la casa de justicia como espacio de atención y descongestión de los servicios de justicia garantizando la asesoría de las personas que solicitan el servicio.</t>
  </si>
  <si>
    <t>Número de casas de justicia mantenidas como espacio de atención y descongestión de los servicios de justicia garantizando la asesoría de las personas que solicitan el servicio.</t>
  </si>
  <si>
    <t>ADICCIÓN DE PASIVOS EXIGIBLES</t>
  </si>
  <si>
    <t>2.3.7.06.02.4599002.601 - $ 220.000</t>
  </si>
  <si>
    <t>2.3.2.02.02.008.4501056.204 - $33.000.000</t>
  </si>
  <si>
    <t xml:space="preserve">Formular e implementar 1 estrategia de promoción y efectividad del Código Nacional de Seguridad y Convivencia Ciudadana. </t>
  </si>
  <si>
    <t xml:space="preserve">Número de estrategias formuladas e implementadas de promoción y efectividad del Código Nacional de Seguridad y Convivencia Ciudadana. </t>
  </si>
  <si>
    <t>2.3.2.02.02.008.4501056.236 - $98.500.000</t>
  </si>
  <si>
    <t>2.3.2.02.01.003.4501056.236 - $20.790.000</t>
  </si>
  <si>
    <t>Formular e implementar 1 estrategia orientada a erradicar la violencia y fortalecer la protección en niños, niñas y adolescentes, mujeres, líderes sociales y personas mayores en entornos de violencia.</t>
  </si>
  <si>
    <t>Número de estrategias formuladas e implementadas orientadas a erradicar la violencia y fortalecer la protección en niños, niñas y adolescentes, mujeres, líderes sociales y personas mayores en entornos de violencia.</t>
  </si>
  <si>
    <t>2.3.2.02.02.008.1202034.201 - $50.000.000</t>
  </si>
  <si>
    <t>Mantener 1 hogar de paso para la protección de niños y niñas en riesgo y/o vulnerabilidad.</t>
  </si>
  <si>
    <t>Número de hogares de paso para las niñas y niños en riesgo y/o vulnerabilidad mantenidos.</t>
  </si>
  <si>
    <t>FORTALECIMIENTO DEL HOGAR DE PASO PARA PROTECCIÓN DE NIÑOS, NIÑAS Y ADOLESCENTES DEL MUNICIPIO DE BUCARAMANGA</t>
  </si>
  <si>
    <t>Garantizar la prestación del servicio mediante la modalidad de hogar de paso como medida de protección provisional de niñas, niños y adolescente con derechos amenazados y/o vulnerados y en estado de inobservancia del municipio de Bucaramanga.</t>
  </si>
  <si>
    <t>2.3.2.02.02.006.4102037.201 - $ 360.000.000</t>
  </si>
  <si>
    <t>Mantener la adquisición del 100% las herramientas de innovación, ciencia y tecnología aprobadas a los organismos de orden público en marco de una ciudad inteligente.</t>
  </si>
  <si>
    <t>Porcentaje de herramientas de innovación, ciencia y tecnología adquiridas aprobadas a los organismos de orden público en marco de una ciudad inteligente.</t>
  </si>
  <si>
    <t>FORTALECIMIENTO POLICIA PISSC</t>
  </si>
  <si>
    <t>2.3.2.02.02.008.4501004.504 - $1.563.000.000</t>
  </si>
  <si>
    <t>BUCARAMANGA INTELIGENTE Y SEGURA</t>
  </si>
  <si>
    <t>2.3.2.02.02.008.4501004.504 - $4.000.000.000</t>
  </si>
  <si>
    <t xml:space="preserve">FORTALECIMIENTO INVESTIGACIÓN CRIMINAL POLICIA METROPOLITANA </t>
  </si>
  <si>
    <t>Mantener en funcionamiento el Circuito Cerrado de Televisión.</t>
  </si>
  <si>
    <t>Número de Circuitos Cerrados de Televisión en funcionamiento.</t>
  </si>
  <si>
    <t>MANTENIMIENTO AL CIRCUITO CERRADO DE TELEVISIÓN CCTV PARA LAS ACCIONES DE VIGILANCIA EN EL MUNICIPIO DE BUCARAMANGA</t>
  </si>
  <si>
    <t>Mantener en óptimas condiciones el CCTV para la vigilancia, control y seguimiento de la inseguridad en el municipio de Bucaramanga.</t>
  </si>
  <si>
    <t>2.3.2.02.02.008.4501056.204 - $457.000.000</t>
  </si>
  <si>
    <t>Formular e implementar el plan de acción para la habilitación  del Centro de Traslado por Protección - CTP en cumplimiento por el Código Nacional de Seguridad y Convicencia Ciudadana.</t>
  </si>
  <si>
    <t>Número de planes de acción formulados e implementados para la habilitación  del Centro de Traslado por Protección - CTP en cumplimiento por el Código Nacional de Seguridad y Convicencia Ciudadana.</t>
  </si>
  <si>
    <t>CTP</t>
  </si>
  <si>
    <t>Formular e implementar 1 estrategia para mejorar la prestación del servicio de las inspecciones de policía y el seguimiento a los procesos policivos.</t>
  </si>
  <si>
    <t>Número de estrategias formuladas e implementadas para mejorar la prestación del servicio de las inspecciones de policía y el seguimiento a los procesos policivos.</t>
  </si>
  <si>
    <t>2.3.7.06.02.4599002.601 - $ 1.133.333</t>
  </si>
  <si>
    <t>FORTALECIMIENTO DE LA CAPACIDAD INSTITUCIONAL A INSPECCIONES Y COMISARIAS DEL MUNICIPIO DE BUCARAMANGA</t>
  </si>
  <si>
    <t>Mejorar la capacidad operativa para la descongestión y atención de los procesos policivo de las Inspecciones y Comisarías del municipio de Bucaramanga.</t>
  </si>
  <si>
    <t>Mantener y fortalecer la prestación integral del servicio en las 3 comisarías de familia para prevenir la violencia intrafamiliar.</t>
  </si>
  <si>
    <t>Número de comisarías de familia mantenidas con la prestación integral del servicio para prevenir la violencia intrafamiliar.</t>
  </si>
  <si>
    <t>Crear y mantener 1 observatorio de convivencia y seguridad ciudadana.</t>
  </si>
  <si>
    <t>Número de observatorios de convivencia y seguridad ciudadana creados y mantenidos.</t>
  </si>
  <si>
    <t>Formular 1 estrategia de diagnóstico y abordaje de las conflictividades sociales.</t>
  </si>
  <si>
    <t>Número de estrategias de diagnóstico y abordaje de las conflictividades sociales formuladas e implementadas.</t>
  </si>
  <si>
    <t>2.3.2.02.02.008.4501004.504 - $30.000.000</t>
  </si>
  <si>
    <t>Formular e implementar 1 estrategia de promoción comunitaria de los mecanismos alternativos de solución de conflictos y  aplicación de la justicia restaurativa.</t>
  </si>
  <si>
    <t>Número de estrategias de  promoción comunitaria de los mecanismos alternativos de solución de conflictos y de aplicación de la justicia restaurativa formuladas e implementadas.</t>
  </si>
  <si>
    <t>JUSTICIA RESTAURATIVA</t>
  </si>
  <si>
    <t>En Bucaramanga Construimos Un Territorio De Paz</t>
  </si>
  <si>
    <t>Transformando Vidas</t>
  </si>
  <si>
    <t>Formular e implementar 1 plan de acción con la Agencia para la Reincorporación y la Normalización - ARN.</t>
  </si>
  <si>
    <t xml:space="preserve">Número de planes de acción formulados e implementados concon la Agencia para la Reincorporación y la Normalización - ARN. </t>
  </si>
  <si>
    <t>POR DEFINIR</t>
  </si>
  <si>
    <t xml:space="preserve">Mantener la atención integral al 100% de la población adolescente en conflicto con la ley penal. </t>
  </si>
  <si>
    <t>Porcentaje de población adolescente en conflicto con la ley penal mantenidos con atención integal.</t>
  </si>
  <si>
    <t>Desarrollar 4 iniciativas para la prevención de la trata de personas y explotación sexual comercial de niñas, niños y adolescentes.</t>
  </si>
  <si>
    <t>Número de iniciativas desarrolladas para la prevención de la trata de personas y explotación sexual comercial en niñas, niños y adolescentes.</t>
  </si>
  <si>
    <t>Atención A Víctimas Del Conflicto Armado</t>
  </si>
  <si>
    <t>Formular e implementar el Plan de Acción Territorial.</t>
  </si>
  <si>
    <t>Número de Planes de Acción Territorial formulados e implementados.</t>
  </si>
  <si>
    <t>FORTALECIMIENTO A LA ATENCIÓN INTEGRAL DE LA POBLACIÓN VICTIMA DEL CONFLICTO ARMADO EN EL MUNICIPIO DE BUCARAMANGA</t>
  </si>
  <si>
    <t xml:space="preserve">Alcanzar en el CAIV altos niveles de atención, asistencia y reparación integral  a la población víctima del conflicto armado reubicadas en el municipio de Bucaramanga. </t>
  </si>
  <si>
    <t>Formular e implementar el Plan Integral de prevención de violaciones a derechos humanos e infracciones al derecho internacional humanitario.</t>
  </si>
  <si>
    <t>Número de Planes Integrales de prevención de violaciones a derechos humanos e infracciones al derecho internacional humanitario formulados e implementados.</t>
  </si>
  <si>
    <t>2.3.2.02.02.008.4502017.201 - $17.000.000</t>
  </si>
  <si>
    <t>Mantener la ayuda y atención humanitaria de emergencia y en transición al 100% de la población víctima del conflicto interno armado que cumpla con los requisitos de ley.</t>
  </si>
  <si>
    <t>Porcentaje de población víctima del conflicto interno armado que cumpla con los requisitos de ley con ayuda humanitaria de emergencia y en transición .</t>
  </si>
  <si>
    <t>2.3.2.02.02.009.4101031.201 - $280.000.000</t>
  </si>
  <si>
    <t>Mantener la asistencia funeraria al 100% de la población víctima del conflicto que cumpla con los requisitos de ley.</t>
  </si>
  <si>
    <t>Porcentaje de población víctima del conflicto que cumpla con los requisitos de ley con asistencia funeraria.</t>
  </si>
  <si>
    <t>2.3.2.02.02.009.4101031.201 - $70.000.000</t>
  </si>
  <si>
    <t>Mantener las medidas de protección para prevenir riesgos y proteger a víctimas del conflicto interno armado al 100% de las solicitudes que cumplan con los requisitos de ley.</t>
  </si>
  <si>
    <t>Porcentaje de solicitudes que cumplan con los requisitos de ley con medidas de protección mantenidas para prevenir riesgos y proteger a víctimas del conflicto interno armado.</t>
  </si>
  <si>
    <t>2.3.2.02.02.009.4101031.201 - $10.000.000</t>
  </si>
  <si>
    <t>Mantener el Centro de Atención Integral a Víctimas del conflicto interno - CAIV.</t>
  </si>
  <si>
    <t>Número de Centros de Atención Integral para las Víctimas del conflicto interno mantenidos.</t>
  </si>
  <si>
    <t>2.3.7.06.02.4599002.601 - $ 5.633.333</t>
  </si>
  <si>
    <t>Realizar 4 iniciativas encaminadas a generar garantías de no repetición, memoria histórica y medidas de satisfacción a víctimas del conflicto interno armado.</t>
  </si>
  <si>
    <t>Número de iniciativas realizadas encaminadas a generar garantías de no repetición, memoria histórica y medidas de satisfacción a víctimas del conflicto interno armado.</t>
  </si>
  <si>
    <t>2.3.2.02.02.008.4101023.201 - $13.500.000
2.3.2.02.02.008.4502017.201 - $76.500.000
2.3.2-02.02.008.4502017.501 - $25.000.000</t>
  </si>
  <si>
    <t>Mantener el 100% de los espacios de participación de las víctimas del conflicto establecidos por la ley en la implementación de la política pública de víctimas.</t>
  </si>
  <si>
    <t>Porcentaje de espacios de participación de las víctimas del conflicto establecidos por la ley en la implementación de la política pública de víctimas mantenidos.</t>
  </si>
  <si>
    <t>2.3.2.02.02.008.4101023.201 - $54.300.000
2.3.2.02.02.009.4101031.201 - $20.700.000 
2.3.2.02.02.009.4101031.201 - $35.000.000
2.3.2.02.02.009.4101031.501 - $12.000.000</t>
  </si>
  <si>
    <t>Sistema Penitenciario Carcelario En El Marco De Los Derechos Humanos</t>
  </si>
  <si>
    <t>Formular e implementar 1 plan de acción con el Instituto Nacional Penitenciario y Carcelario - INPEC para construir la red de apoyo intersectorial de la casa de libertad.</t>
  </si>
  <si>
    <t>Número de planes de acción formulados e implementados con el Instituto Nacional Penitenciario y Carcelario - INPEC para construir la red de apoyo intersectorial de la casa de libertad.</t>
  </si>
  <si>
    <t>2.3.2.01.01.003.03.02.1206007.201 - $ 50.000.000
2.3.2.02.01.003.1206007.201 - $1.431.000</t>
  </si>
  <si>
    <t>Desarrollar 4 jornadas tendientes a garantizar los derechos humanos para la población carcelaria.</t>
  </si>
  <si>
    <t>Número de jornadas desarrolladas tendientes a garantizar los derechos humanos para la población carcelaria.</t>
  </si>
  <si>
    <t>APOYO A LA POBLACIÓN CARCELARIA DEL MUNICIPIO DE BUCARAMANGA</t>
  </si>
  <si>
    <t>Fortalecer los servicios de apoyo psicosocial, jurídico y educativo de la población privada de la libertad en el municipio de Bucaramanga.</t>
  </si>
  <si>
    <t>Asuntos Religiosos</t>
  </si>
  <si>
    <t>Diseñar e implementar 1 programa que promuevan las acciones para el reconocimiento y participación de las formas asociativas de la sociedad civil basadas en los principios de libertad religiosa de cultos y conciencia.</t>
  </si>
  <si>
    <t>Número de programas diseñados e implementados que promuevan las acciones para el reconocimiento y participación de las formas asociativas de la sociedad civil basadas en los principios de libertad religiosa de cultos y conciencia.</t>
  </si>
  <si>
    <t>2.3.2.02.02.008.4501004.504 - $15.000.000</t>
  </si>
  <si>
    <t>FORTALECIMIENTO A LA GESTIÓN OPERATIVA PARA LA EFICIENCIA DE LA PRESTACIÓN DE SERVICIOS DE LA SECRETARÍA DEL INTERIOR DIRIGIDOS A LA CIUDADANÍA DEL MUNICIPIO DE BUCARAMANGA</t>
  </si>
  <si>
    <t>Mejorar la capacidad y eficiencia en la prestación de los servicios ofertados por la Secretaría del Interior para la ciudadanía del municipio de Bucaramanga.</t>
  </si>
  <si>
    <t>2.3.2.02.02.008.4502017.201 - $ 501.500.000 
2.3.2.02.02.008.4502022.201 - $ 379.500.000</t>
  </si>
  <si>
    <t xml:space="preserve"> PLAN DE ACCIÓN - PLAN DE DESARROLLO MUNICIPAL
SECRETARÍA DEL INTERIOR</t>
  </si>
  <si>
    <t>Pendiente por adicionar</t>
  </si>
  <si>
    <t>2.3.2.02.02.008.4501056.236 - $100.000.000
2.3.2.02.02.008.4501056.204 - $150.000.000</t>
  </si>
  <si>
    <t>2.3.2.02.02.008.4501056.204 - $826.278.957,62
2.3.2.01.01.004.01.01.02.4501056.204 - $222.721.042,38</t>
  </si>
  <si>
    <t>2.3.2.02.02.008.4502017.201 - $313.000.000</t>
  </si>
  <si>
    <t>2.3.2.02.02.008.4502017.201 - $ 305.600.000
2.3.2.01.01.003.01.06.4101018.201 - $ 4.400.000</t>
  </si>
  <si>
    <t>2.3.2.02.01.003.1206007.201 - $ 48.569.000
2.3.2.02.02.008.1206007.201 - $ 100.000.000</t>
  </si>
  <si>
    <t>2.3.2.01.01.003.03.02.4501056.204 - $1.555.179.997</t>
  </si>
  <si>
    <t>2.3.2.02.02.008.4501004.504 - $26.999.996</t>
  </si>
  <si>
    <t>2.3.2.02.02.008.1202002.201 - $74.100.000
2.3.2.02.02.008.1202034.201 - $172.500.000</t>
  </si>
  <si>
    <t>PLAN DE MEDIOS</t>
  </si>
  <si>
    <t>2.3.2.02.02.008.4599025.201 - $ 185.000.000</t>
  </si>
  <si>
    <t>TOLERANCIA EN MOVIMIENTO - BALONES CON VALORES</t>
  </si>
  <si>
    <t>Melissa Franco Garcia</t>
  </si>
  <si>
    <t>IMPLEMENTACIÓN DE ACCIONES PARA EL MEJORAMIENTO DE LA OPERATIVIDAD Y EL TRANSPORTE DE PERSONAL EN LOS ORGANISMOS DE SEGURIDAD DEL MUNICIPIO DE BUCARAMANGA.</t>
  </si>
  <si>
    <t>ACTIVIDAD 1. Adquirir vehículos y medios de transporte para el traslado de personal de la MEBUC
ACTIVIDAD 2. Adquirir vehículos para la Fiscalia seccional Santarder
ACTIVIDAD 3. Adquirir vehículo para el Centro Facilitador de Servicio Migratorio  CFSM Bucaramanga
ACTIVIDAD 4. Adquirir oficina móvil  migratoria equipada para el Centro Facilitador de Servicio Migratorio  CFSM Bucaramanga</t>
  </si>
  <si>
    <t>MEJORAMIENTO EN LA PRESTACIÓN DEL SERVICIO PARA LA ATENCIÓN AL CIUDADANO EN LAS COMISARIAS E INSPECCIONES DEL MUNICIPIO DE BUCARAMANGA.</t>
  </si>
  <si>
    <t>Mejorar la eficiencia en la atención y prestación de los servicios de las comisarías de familia e inspecciones de policía en la ciudadanía de Bucaramanga.</t>
  </si>
  <si>
    <t>2.3.2.01.01.004.01.01.02.4501056.204 - $7.410.000
2.3.2.02.02.008.4501056.204 - $34.308.800
2.3.2.01.01.003.03.02.4501056.204 - $805.200</t>
  </si>
  <si>
    <t>2.3.2.01.01.005.02.03.01.01.4503004.201 - $ 22.000.000
2.3.2.02.02.008.4503004.201 - $ 500.000.000</t>
  </si>
  <si>
    <t>2.3.2.02.02.006.4002014.201 - $ 142.500.000
2.3.2.02.02.008.4002017.201 - $ 410.500.000
2.3.2.02.01.003.4002014.201 - $ 30.000.000</t>
  </si>
  <si>
    <t>2.3.2.02.02.008.4501056.236 - $205.710.000
2.3.2.02.02.008.4501056.237 - $425.000.000
2.3.2.01.01.003.03.02.4501056.204 - $18.549.104
2.3.2.01.01.004.01.01.02.4501056.204 - $17.658.118
2.3.2.02.02.008.4501056.204 - $148.500.000</t>
  </si>
  <si>
    <t>2.3.2.01.01.005.02.03.01.01.4501056.204 - $80.000.000
2.3.2.02.02.008.4501056.204 - $27.602.268</t>
  </si>
  <si>
    <t>2.3.2.02.02.006.4501056.201 - $399.075.264
2.3.2.02.02.006.4501056.597 - $501.792.912
2.3.2.02.02.008.4501004.504 - $38.124.302
2.3.2.02.02.008.4501056.201 - $72.000.000</t>
  </si>
  <si>
    <t>2.3.2.02.02.006.4501056.201 - $924.736
2.3.2.02.02.006.4501056.597 - $984.496
2.3.2.02.02.008.4501004.504 - $74.875.703</t>
  </si>
  <si>
    <t>2.3.2.02.02.008.4501056.536 - $115.743.935
2.3.2.02.02.008.4501056.537 - $98.839.932
2.3.2.01.01.003.07.07.02.4501004.504 - $10.128.000
2.3.2.01.01.003.02.08.4501004.504 - $ 1.067.000.000
2.3.2.01.01.003.03.02.4501004.504 - $ 198.310.440
2.3.2.01.01.003.07.02.4501004.504 - $ 65.000.000
2.3.2.01.01.005.02.03.01.01.4501004.504 - $ 148.000.000
2.3.2.01.01.005.02.03.01.01.4501004.504 - $ 170.000.000
2.3.2.02.02.009.4501056.264 - $159.146.685
2.3.2.02.02.008.4599016.504 - $ 1.415.207.179,14</t>
  </si>
  <si>
    <t>2.3.2.01.01.003.07.01.4501004.504 - $2.237.580.250
2.3.2.01.01.003.07.07.02.4501004.504 - $339.872.000</t>
  </si>
  <si>
    <t>2.3.2.02.02.008.4501056.201 - $8.000.000
2.3.2.02.02.008.4501056.261 - $18.064.799</t>
  </si>
  <si>
    <t>2.3.2.02.02.008.4501004.504 - $219.600.000
2.3.2.01.01.003.03.02.4501004.504 - $ 131.309.718
2.3.2.01.01.004.01.01.02.4501004.504 - $ 13.179.897</t>
  </si>
  <si>
    <t>2.3.2.02.02.008.1202002.201 - $317.260.751
2.3.2.02.02.008.1202034.201 - $440.000.000
2.3.2.02.02.008.1202002.262 - $3.179.405
2.3.2.02.02.008.1202002.598 - $58.361.947</t>
  </si>
  <si>
    <r>
      <t xml:space="preserve">2.3.2.02.01.002.4503004.201 - $ 442.848.126
2.3.2.01.01.003.03.02.4503004.201 - $ 54.735.904
2.3.2.01.01.003.07.01.4503004.201 - $ 134.254.307
</t>
    </r>
    <r>
      <rPr>
        <sz val="11"/>
        <rFont val="Arial"/>
        <family val="2"/>
      </rPr>
      <t>2.3.2.02.01.003.4503004.201 - $ 368.161.663</t>
    </r>
    <r>
      <rPr>
        <sz val="11"/>
        <color theme="1"/>
        <rFont val="Arial"/>
        <family val="2"/>
      </rPr>
      <t xml:space="preserve">
2.3.2.02.02.009.4503004.201 - $     121.800.000
2.3.2.02.02.008.4503004.315 - $     116.018.634</t>
    </r>
  </si>
  <si>
    <t>2.3.2.02.02.008.4501029.201 - $ 20.000.000</t>
  </si>
  <si>
    <t>DESARROLLO DE ESTRATEGIAS PARA LA PREVENCIÓN DE DELITOS EN NIÑO, NIÑAS, ADOLESCENTES Y JOVENES EN LA CIUDAD DE BUCARAMANGA</t>
  </si>
  <si>
    <t>Promoveer programas de prevención en incurrencia de delitos como hurtos, riñas, trafico de estupefacientes, lesiones personales, violencia intrafamiliar para niños, niñas, adolescentes y jovenes en el Municipio de Bucaramanga.</t>
  </si>
  <si>
    <t>2.3.2.02.02.008.4501056.537 - $10.000.000</t>
  </si>
  <si>
    <t>2.3.2.02.02.008.4501056.537 - $381.264.073
2.3.2.02.01.003.4501004.504 - $99.649.695
2.3.2.02.02.008.4501004.504 - $103.415.340</t>
  </si>
  <si>
    <t>2.3.2.02.01.003.4501056.536 - $21.678.600</t>
  </si>
  <si>
    <t>2.3.2.01.01.003.03.02.4501056.536 - $10,012,145</t>
  </si>
  <si>
    <t>2.3.2.01.01.003.03.02.4501056.536 - $232.202.898
2.3.2.02.01.003.4501056.536 - $56.149.623
2.3.2.01.01.003.03.02.4501004.504 - $70,284,852</t>
  </si>
  <si>
    <t>Pendiente por Adicionar</t>
  </si>
  <si>
    <t>NUEVO PROYECTO DE REDUCCIÓN</t>
  </si>
  <si>
    <t>Brindar la respuesta oportuna en el manejo, atención de eventos de emergencias y desastres naturales en la ciudad de bucaramanga</t>
  </si>
  <si>
    <t>IMPLEMENTACIÓN DE ACCIONES DE SEGURIDAD PARA AUMENTAR LA CAPACIDAD OPERATIVA DE LA POLICIA METROPOLITANA DE BUCARAMANGA</t>
  </si>
  <si>
    <t>Articular las acciones de seguridad ciudadana ejecutadas por el MEBUC</t>
  </si>
  <si>
    <t>2.3.2.02.02.008.4501056.204 - $653.814.000
2.3.2.02.01.003.4501004.504 - $ 100.000.000</t>
  </si>
  <si>
    <t>2.3.2.02.02.008.4501004.504  - $801380148
2.3.2.02.02.008.4501056.537 - $   676.246.777</t>
  </si>
  <si>
    <t>2.3.2.02.02.008.4501004.504 - $286185600
2.3.2.02.01.002.4501004.504 - $ 440.517.900</t>
  </si>
  <si>
    <t>MEJORAMIENTO EN LA PRESTACIÓN DEL SERVICIO PARA LA ATENCIÓN AL CIUDADANO EN LAS COMISAIAS E INSPECCIONES DEL MUNICIPIO DE BUCARAMANGA</t>
  </si>
  <si>
    <t>Mejorar la eficiencia en la atención y prestación de los servicios de las comisarias de familia e inspecciones de policia en la ciudadania de Bucaramanga</t>
  </si>
  <si>
    <t>2.3.2.02.02.008.4501004.504 -$219600000
2.3.2.01.01.003.03.02.4501004.504 - $131309718
2.3.2.01.01.004.01.01.02.4501004.504 - $13179897</t>
  </si>
  <si>
    <t>2.3.2.01.01.003.03.02.4501004.504 - $147.690.282
2.3.2.01.01.004.01.01.02.4501004.504 - $58640206
2.3.2.02.02.008.4501056.536 - $92.000.000
2.3.2.02.02.008.4501056.536 - $28.000.000
2.3.2.02.02.008.4501004.504 -$110808210</t>
  </si>
  <si>
    <t>2.3.2.01.01.003.03.02.4501004.504 - 102.000.000
2.3.2.01.003.03.02.4501004.504 - $14189560</t>
  </si>
  <si>
    <t xml:space="preserve">MEJORAMIENTO Y OBRAS COMPLEMENTARIAS A LAS INTALACIONES DEL CENTRO DE INTERNAMIENTO PREVENTIVO CIP LA JOYA PARA EL FUNCIONAMIENTO DEL SISTEMA DE RESPONSABILIDAD PENAL ADOLESCENTE EN EL MUNICIPIO DE BUCARAMANGA </t>
  </si>
  <si>
    <t xml:space="preserve">Mejorar la infraestructura fisica de algunas instalaciones donde opera y presta servicio el Centro de Internamiento Preventivo CIP La Joya para el Sistema de Responsabilidad Penal Adolescente para el municipio de Bucaramanga </t>
  </si>
  <si>
    <t>2.3.2.02.02.008.4501004.504 -$22.800.000</t>
  </si>
  <si>
    <t>2.3.2.02.02.008.4501004.504 -$681.000.000</t>
  </si>
  <si>
    <t>2.3.2.02.02.008.4102046.201 - $ 715.470.647,21
2.3.2.02.02.008.4102046.501 - $40.000.000</t>
  </si>
  <si>
    <t>2.3.2.02.02.006.4102046.201 - $ 1.479.121.351,05</t>
  </si>
  <si>
    <t>DESARROLLO DE ACCIONES PARA LA IDENTIFICACIÓN Y PREVENCIÓN DE CASOS DE NIÑOS, NIÑAS Y ADOLESCENTES VINCULADOS A DELITOS Y CONTRAVENCIONES DENTRO Y FUERA DE LAS INSTITUCIONES EDUCATIVAS DEL MUNICIPIO DE BUCARAMANGA</t>
  </si>
  <si>
    <t>IMPLEMENTACIÓN DE ACCIONES DE ASISTENCIA, PROTECCIÓN Y PREVENCIÓN A VÍCTIMAS DEL DELITO DE TRATA DE PERSONAS DEL MUNICIPIO DE BUCARAMANGA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</si>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</sst>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44" formatCode="_-&quot;$&quot;\ * #,##0.00_-;\-&quot;$&quot;\ * #,##0.00_-;_-&quot;$&quot;\ * &quot;-&quot;??_-;_-@_-"/>
    <numFmt numFmtId="164" formatCode="_(* #,##0.00_);_(* \(#,##0.00\);_(* &quot;-&quot;??_);_(@_)"/>
    <numFmt numFmtId="165" formatCode="dd/mm/yyyy;@"/>
    <numFmt numFmtId="166" formatCode="_-&quot;$&quot;\ * #,##0_-;\-&quot;$&quot;\ * #,##0_-;_-&quot;$&quot;\ * &quot;-&quot;??_-;_-@_-"/>
    <numFmt numFmtId="167" formatCode="#,##0.0"/>
    <numFmt numFmtId="168" formatCode="0.0"/>
    <numFmt numFmtId="169" formatCode="&quot;$&quot;\ #,##0"/>
    <numFmt numFmtId="170" formatCode="_(* #,##0_);_(* \(#,##0\);_(* &quot;-&quot;??_);_(@_)"/>
  </numFmts>
  <fonts count="17"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name val="Arial"/>
      <family val="2"/>
    </font>
    <font>
      <sz val="12"/>
      <color indexed="8"/>
      <name val="Arial"/>
      <family val="2"/>
    </font>
    <font>
      <b/>
      <sz val="12"/>
      <color indexed="8"/>
      <name val="Arial"/>
      <family val="2"/>
    </font>
    <font>
      <b/>
      <sz val="12"/>
      <color theme="1"/>
      <name val="Arial"/>
      <family val="2"/>
    </font>
    <font>
      <sz val="10"/>
      <color theme="1"/>
      <name val="Arial"/>
      <family val="2"/>
    </font>
    <font>
      <sz val="8"/>
      <name val="Arial"/>
      <family val="2"/>
    </font>
    <font>
      <sz val="12"/>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65"/>
        <bgColor indexed="64"/>
      </patternFill>
    </fill>
    <fill>
      <patternFill patternType="solid">
        <fgColor rgb="FFFF714F"/>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164" fontId="3" fillId="0" borderId="0" applyFont="0" applyFill="0" applyBorder="0" applyAlignment="0" applyProtection="0"/>
  </cellStyleXfs>
  <cellXfs count="174">
    <xf numFmtId="0" fontId="0" fillId="0" borderId="0" xfId="0"/>
    <xf numFmtId="0" fontId="0" fillId="0" borderId="0" xfId="0" applyFont="1"/>
    <xf numFmtId="0" fontId="0" fillId="0" borderId="2" xfId="0" applyFont="1" applyBorder="1" applyAlignment="1">
      <alignment vertical="center"/>
    </xf>
    <xf numFmtId="9" fontId="9" fillId="0" borderId="2" xfId="107" applyFont="1" applyFill="1" applyBorder="1" applyAlignment="1">
      <alignment horizontal="center"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7" fillId="2" borderId="4" xfId="0" applyFont="1" applyFill="1" applyBorder="1" applyAlignment="1">
      <alignment horizontal="center" vertical="center"/>
    </xf>
    <xf numFmtId="0" fontId="6" fillId="2" borderId="4" xfId="0" applyFont="1" applyFill="1" applyBorder="1" applyAlignment="1">
      <alignment horizontal="justify"/>
    </xf>
    <xf numFmtId="0" fontId="6" fillId="2" borderId="3" xfId="0" applyFont="1" applyFill="1" applyBorder="1"/>
    <xf numFmtId="9" fontId="7" fillId="2" borderId="3" xfId="0" applyNumberFormat="1" applyFont="1" applyFill="1" applyBorder="1" applyAlignment="1">
      <alignment horizontal="center" vertical="center"/>
    </xf>
    <xf numFmtId="0" fontId="7" fillId="2" borderId="3" xfId="0" applyFont="1" applyFill="1" applyBorder="1" applyAlignment="1">
      <alignment vertical="center"/>
    </xf>
    <xf numFmtId="0" fontId="6" fillId="2" borderId="3" xfId="0" applyFont="1" applyFill="1" applyBorder="1" applyAlignment="1">
      <alignment vertical="center"/>
    </xf>
    <xf numFmtId="166" fontId="6" fillId="2" borderId="3" xfId="108" applyNumberFormat="1" applyFont="1" applyFill="1" applyBorder="1" applyAlignment="1">
      <alignment vertical="center"/>
    </xf>
    <xf numFmtId="9" fontId="7" fillId="2" borderId="3" xfId="107" applyFont="1" applyFill="1" applyBorder="1" applyAlignment="1">
      <alignment horizontal="center" vertical="center" wrapText="1"/>
    </xf>
    <xf numFmtId="166" fontId="7" fillId="2" borderId="3" xfId="108" applyNumberFormat="1" applyFont="1" applyFill="1" applyBorder="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1" fontId="11" fillId="0" borderId="2" xfId="0" applyNumberFormat="1" applyFont="1" applyBorder="1" applyAlignment="1">
      <alignment horizontal="center" vertical="center" wrapText="1"/>
    </xf>
    <xf numFmtId="168" fontId="11" fillId="2" borderId="2" xfId="0" applyNumberFormat="1" applyFont="1" applyFill="1" applyBorder="1" applyAlignment="1">
      <alignment horizontal="center" vertical="center" wrapText="1"/>
    </xf>
    <xf numFmtId="0" fontId="0" fillId="3" borderId="2" xfId="0" applyFont="1" applyFill="1" applyBorder="1" applyAlignment="1">
      <alignment vertical="top"/>
    </xf>
    <xf numFmtId="0" fontId="0" fillId="3" borderId="2" xfId="0" applyFont="1" applyFill="1" applyBorder="1"/>
    <xf numFmtId="0" fontId="6" fillId="2" borderId="3" xfId="0" applyFont="1" applyFill="1" applyBorder="1" applyAlignment="1">
      <alignment horizontal="justify"/>
    </xf>
    <xf numFmtId="0" fontId="0" fillId="0" borderId="0" xfId="0" applyFont="1" applyAlignment="1">
      <alignment horizontal="justify"/>
    </xf>
    <xf numFmtId="9" fontId="8" fillId="0" borderId="2" xfId="0" applyNumberFormat="1" applyFont="1" applyBorder="1" applyAlignment="1">
      <alignment horizontal="center" vertical="center" wrapText="1"/>
    </xf>
    <xf numFmtId="3" fontId="11"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167" fontId="11" fillId="2" borderId="2" xfId="0" applyNumberFormat="1" applyFont="1" applyFill="1" applyBorder="1" applyAlignment="1">
      <alignment horizontal="center" vertical="center" wrapText="1"/>
    </xf>
    <xf numFmtId="165" fontId="8" fillId="0" borderId="2" xfId="0" applyNumberFormat="1" applyFont="1" applyBorder="1" applyAlignment="1">
      <alignment horizontal="center" vertical="center" wrapText="1"/>
    </xf>
    <xf numFmtId="9" fontId="11" fillId="2" borderId="2" xfId="0"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167" fontId="11"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165" fontId="6" fillId="0" borderId="2" xfId="0" applyNumberFormat="1" applyFont="1" applyFill="1" applyBorder="1" applyAlignment="1">
      <alignment vertical="center" wrapText="1"/>
    </xf>
    <xf numFmtId="0" fontId="9" fillId="0" borderId="2" xfId="0" applyFont="1" applyFill="1" applyBorder="1" applyAlignment="1">
      <alignment horizontal="justify" vertical="center" wrapText="1"/>
    </xf>
    <xf numFmtId="165" fontId="0" fillId="0" borderId="2" xfId="0" applyNumberFormat="1" applyFont="1" applyFill="1" applyBorder="1" applyAlignment="1">
      <alignment vertical="center" wrapText="1"/>
    </xf>
    <xf numFmtId="165" fontId="0" fillId="0" borderId="2" xfId="0" applyNumberFormat="1" applyFont="1" applyFill="1" applyBorder="1" applyAlignment="1">
      <alignment horizontal="left" vertical="center" wrapText="1"/>
    </xf>
    <xf numFmtId="165" fontId="0" fillId="0" borderId="2" xfId="0" applyNumberFormat="1"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wrapText="1"/>
    </xf>
    <xf numFmtId="0" fontId="10" fillId="0" borderId="2" xfId="0" applyFont="1" applyFill="1" applyBorder="1" applyAlignment="1">
      <alignment horizontal="justify" vertical="center" wrapText="1"/>
    </xf>
    <xf numFmtId="0" fontId="11" fillId="0" borderId="2" xfId="0"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3" fontId="9" fillId="0" borderId="2" xfId="0" applyNumberFormat="1" applyFont="1" applyFill="1" applyBorder="1" applyAlignment="1">
      <alignment horizontal="justify" vertical="center" wrapText="1"/>
    </xf>
    <xf numFmtId="0" fontId="9" fillId="0" borderId="2" xfId="0" applyFont="1" applyFill="1" applyBorder="1" applyAlignment="1">
      <alignment horizontal="left" vertical="center" wrapText="1"/>
    </xf>
    <xf numFmtId="3" fontId="10" fillId="0" borderId="2" xfId="0" applyNumberFormat="1" applyFont="1" applyFill="1" applyBorder="1" applyAlignment="1">
      <alignment horizontal="justify" vertical="center" wrapText="1"/>
    </xf>
    <xf numFmtId="3" fontId="10" fillId="0" borderId="2" xfId="0" applyNumberFormat="1" applyFont="1" applyFill="1" applyBorder="1" applyAlignment="1">
      <alignment vertical="center" wrapText="1"/>
    </xf>
    <xf numFmtId="0" fontId="11" fillId="0" borderId="2" xfId="0" applyFont="1" applyFill="1" applyBorder="1" applyAlignment="1">
      <alignment horizontal="justify" vertical="center"/>
    </xf>
    <xf numFmtId="0" fontId="8" fillId="0" borderId="2" xfId="0" applyFont="1" applyFill="1" applyBorder="1" applyAlignment="1">
      <alignment horizontal="justify" vertical="center" wrapText="1"/>
    </xf>
    <xf numFmtId="0" fontId="0" fillId="0" borderId="0" xfId="0" applyFont="1" applyFill="1" applyAlignment="1">
      <alignment horizontal="justify"/>
    </xf>
    <xf numFmtId="0" fontId="0" fillId="0" borderId="0" xfId="0" applyFont="1" applyFill="1"/>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6" fillId="2" borderId="3" xfId="0" applyFont="1" applyFill="1" applyBorder="1" applyAlignment="1">
      <alignment horizontal="center" vertical="center"/>
    </xf>
    <xf numFmtId="0" fontId="0" fillId="0" borderId="0" xfId="0" applyFont="1" applyAlignment="1">
      <alignment horizontal="center" vertical="center"/>
    </xf>
    <xf numFmtId="0" fontId="8" fillId="0" borderId="2" xfId="0" applyFont="1" applyFill="1" applyBorder="1" applyAlignment="1">
      <alignment horizontal="right" vertical="center" wrapText="1"/>
    </xf>
    <xf numFmtId="1" fontId="12" fillId="0" borderId="2" xfId="0" applyNumberFormat="1" applyFont="1" applyFill="1" applyBorder="1" applyAlignment="1">
      <alignment horizontal="right" vertical="center" wrapText="1"/>
    </xf>
    <xf numFmtId="1" fontId="11" fillId="0" borderId="2" xfId="0" applyNumberFormat="1" applyFont="1" applyFill="1" applyBorder="1" applyAlignment="1">
      <alignment horizontal="right" vertical="center" wrapText="1"/>
    </xf>
    <xf numFmtId="0" fontId="8" fillId="0" borderId="2" xfId="0" applyFont="1" applyFill="1" applyBorder="1" applyAlignment="1">
      <alignment horizontal="right" wrapText="1"/>
    </xf>
    <xf numFmtId="1" fontId="13" fillId="0" borderId="2" xfId="0" applyNumberFormat="1" applyFont="1" applyFill="1" applyBorder="1" applyAlignment="1">
      <alignment horizontal="right" vertical="center" wrapText="1"/>
    </xf>
    <xf numFmtId="1" fontId="8" fillId="0" borderId="2" xfId="0" applyNumberFormat="1" applyFont="1" applyFill="1" applyBorder="1" applyAlignment="1">
      <alignment horizontal="right" vertical="center" wrapText="1"/>
    </xf>
    <xf numFmtId="1" fontId="12" fillId="0" borderId="1" xfId="0" applyNumberFormat="1" applyFont="1" applyFill="1" applyBorder="1" applyAlignment="1">
      <alignment horizontal="right" vertical="center" wrapText="1"/>
    </xf>
    <xf numFmtId="0" fontId="0" fillId="0" borderId="0" xfId="0" applyFont="1" applyFill="1" applyAlignment="1">
      <alignment horizontal="right"/>
    </xf>
    <xf numFmtId="165" fontId="6" fillId="0" borderId="2" xfId="0" applyNumberFormat="1" applyFont="1" applyFill="1" applyBorder="1" applyAlignment="1">
      <alignment horizontal="justify" vertical="center" wrapText="1"/>
    </xf>
    <xf numFmtId="3" fontId="11" fillId="0" borderId="2" xfId="0"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165" fontId="8" fillId="0" borderId="2" xfId="0" applyNumberFormat="1" applyFont="1" applyFill="1" applyBorder="1" applyAlignment="1">
      <alignment vertical="center" wrapText="1"/>
    </xf>
    <xf numFmtId="3" fontId="11" fillId="0" borderId="1" xfId="0" applyNumberFormat="1" applyFont="1" applyFill="1" applyBorder="1" applyAlignment="1">
      <alignment horizontal="center" vertical="center" wrapText="1"/>
    </xf>
    <xf numFmtId="165" fontId="14" fillId="0" borderId="2" xfId="0" applyNumberFormat="1" applyFont="1" applyFill="1" applyBorder="1" applyAlignment="1">
      <alignment horizontal="justify" vertical="center" wrapText="1"/>
    </xf>
    <xf numFmtId="9" fontId="8" fillId="0" borderId="1" xfId="0" applyNumberFormat="1" applyFont="1" applyBorder="1" applyAlignment="1">
      <alignment horizontal="center" vertical="center" wrapText="1"/>
    </xf>
    <xf numFmtId="3" fontId="11" fillId="0"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9" fontId="8" fillId="0" borderId="1" xfId="0" applyNumberFormat="1" applyFont="1" applyBorder="1" applyAlignment="1">
      <alignment horizontal="center" vertical="center" wrapText="1"/>
    </xf>
    <xf numFmtId="5" fontId="9" fillId="0" borderId="1" xfId="108"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167" fontId="11" fillId="2" borderId="1" xfId="0" applyNumberFormat="1" applyFont="1" applyFill="1" applyBorder="1" applyAlignment="1">
      <alignment horizontal="center" vertical="center" wrapText="1"/>
    </xf>
    <xf numFmtId="1" fontId="13" fillId="0" borderId="2" xfId="0" applyNumberFormat="1" applyFont="1" applyBorder="1" applyAlignment="1">
      <alignment horizontal="right" vertical="center" wrapText="1"/>
    </xf>
    <xf numFmtId="0" fontId="10" fillId="0" borderId="2" xfId="0" applyFont="1" applyBorder="1" applyAlignment="1">
      <alignment horizontal="justify" vertical="center" wrapText="1"/>
    </xf>
    <xf numFmtId="0" fontId="8" fillId="0" borderId="2" xfId="0" applyFont="1" applyBorder="1" applyAlignment="1">
      <alignment wrapText="1"/>
    </xf>
    <xf numFmtId="165" fontId="0" fillId="0" borderId="2" xfId="0" applyNumberFormat="1" applyBorder="1" applyAlignment="1">
      <alignment horizontal="justify" vertical="center" wrapText="1"/>
    </xf>
    <xf numFmtId="165" fontId="0" fillId="0" borderId="2" xfId="0" applyNumberFormat="1" applyBorder="1" applyAlignment="1">
      <alignment vertical="center" wrapText="1"/>
    </xf>
    <xf numFmtId="9" fontId="8" fillId="4" borderId="1" xfId="0" applyNumberFormat="1" applyFont="1" applyFill="1" applyBorder="1" applyAlignment="1">
      <alignment horizontal="center" vertical="center" wrapText="1"/>
    </xf>
    <xf numFmtId="169" fontId="9" fillId="2" borderId="2" xfId="108" applyNumberFormat="1" applyFont="1" applyFill="1" applyBorder="1" applyAlignment="1">
      <alignment horizontal="right" vertical="center" wrapText="1"/>
    </xf>
    <xf numFmtId="169" fontId="9" fillId="2" borderId="1" xfId="108" applyNumberFormat="1" applyFont="1" applyFill="1" applyBorder="1" applyAlignment="1">
      <alignment horizontal="right" vertical="center" wrapText="1"/>
    </xf>
    <xf numFmtId="0" fontId="12" fillId="2" borderId="2" xfId="0" applyFont="1" applyFill="1" applyBorder="1" applyAlignment="1">
      <alignment horizontal="justify" vertical="center" wrapText="1"/>
    </xf>
    <xf numFmtId="169" fontId="8" fillId="0" borderId="2" xfId="108" applyNumberFormat="1" applyFont="1" applyFill="1" applyBorder="1" applyAlignment="1">
      <alignment horizontal="right" vertical="center" wrapText="1"/>
    </xf>
    <xf numFmtId="169" fontId="9" fillId="0" borderId="2" xfId="108" applyNumberFormat="1" applyFont="1" applyFill="1" applyBorder="1" applyAlignment="1">
      <alignment horizontal="right" vertical="center" wrapText="1"/>
    </xf>
    <xf numFmtId="169" fontId="0" fillId="0" borderId="2" xfId="0" applyNumberFormat="1" applyFont="1" applyFill="1" applyBorder="1" applyAlignment="1">
      <alignment horizontal="right"/>
    </xf>
    <xf numFmtId="169" fontId="0" fillId="0" borderId="2" xfId="0" applyNumberFormat="1" applyFill="1" applyBorder="1" applyAlignment="1">
      <alignment horizontal="right"/>
    </xf>
    <xf numFmtId="169" fontId="16" fillId="0" borderId="2" xfId="108" applyNumberFormat="1" applyFont="1" applyFill="1" applyBorder="1" applyAlignment="1">
      <alignment horizontal="right" vertical="center" wrapText="1"/>
    </xf>
    <xf numFmtId="165" fontId="0" fillId="0" borderId="3" xfId="0" applyNumberFormat="1" applyFont="1" applyFill="1" applyBorder="1" applyAlignment="1">
      <alignment vertical="center" wrapText="1"/>
    </xf>
    <xf numFmtId="169" fontId="8" fillId="5" borderId="2" xfId="108" applyNumberFormat="1" applyFont="1" applyFill="1" applyBorder="1" applyAlignment="1">
      <alignment horizontal="right" vertical="center" wrapText="1"/>
    </xf>
    <xf numFmtId="170" fontId="0" fillId="0" borderId="0" xfId="110" applyNumberFormat="1" applyFont="1"/>
    <xf numFmtId="169" fontId="0" fillId="0" borderId="0" xfId="0" applyNumberFormat="1" applyFont="1"/>
    <xf numFmtId="170" fontId="0" fillId="0" borderId="0" xfId="0" applyNumberFormat="1" applyFont="1"/>
    <xf numFmtId="169" fontId="9" fillId="5" borderId="2" xfId="108" applyNumberFormat="1" applyFont="1" applyFill="1" applyBorder="1" applyAlignment="1">
      <alignment horizontal="right" vertical="center" wrapText="1"/>
    </xf>
    <xf numFmtId="169" fontId="0" fillId="5" borderId="2" xfId="0" applyNumberFormat="1" applyFont="1" applyFill="1" applyBorder="1" applyAlignment="1">
      <alignment horizontal="right"/>
    </xf>
    <xf numFmtId="0" fontId="6" fillId="2" borderId="3" xfId="0" applyFont="1" applyFill="1" applyBorder="1" applyAlignment="1">
      <alignment horizontal="right"/>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9" fontId="8" fillId="0" borderId="2"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9" fontId="9" fillId="0" borderId="1" xfId="107" applyFont="1" applyFill="1" applyBorder="1" applyAlignment="1">
      <alignment horizontal="center" vertical="center" wrapText="1"/>
    </xf>
    <xf numFmtId="9" fontId="9" fillId="0" borderId="5" xfId="107" applyFont="1" applyFill="1" applyBorder="1" applyAlignment="1">
      <alignment horizontal="center" vertical="center" wrapText="1"/>
    </xf>
    <xf numFmtId="9" fontId="9" fillId="0" borderId="3"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5" xfId="108" applyNumberFormat="1" applyFont="1" applyFill="1" applyBorder="1" applyAlignment="1">
      <alignment horizontal="center" vertical="center" wrapText="1"/>
    </xf>
    <xf numFmtId="5" fontId="9" fillId="0" borderId="3" xfId="108" applyNumberFormat="1" applyFont="1" applyFill="1" applyBorder="1" applyAlignment="1">
      <alignment horizontal="center" vertical="center" wrapText="1"/>
    </xf>
    <xf numFmtId="169" fontId="9" fillId="2" borderId="1" xfId="108" applyNumberFormat="1" applyFont="1" applyFill="1" applyBorder="1" applyAlignment="1">
      <alignment horizontal="right" vertical="center" wrapText="1"/>
    </xf>
    <xf numFmtId="169" fontId="9" fillId="2" borderId="5" xfId="108" applyNumberFormat="1" applyFont="1" applyFill="1" applyBorder="1" applyAlignment="1">
      <alignment horizontal="right" vertical="center" wrapText="1"/>
    </xf>
    <xf numFmtId="169" fontId="9" fillId="2" borderId="3" xfId="108" applyNumberFormat="1" applyFont="1" applyFill="1" applyBorder="1" applyAlignment="1">
      <alignment horizontal="right" vertical="center" wrapText="1"/>
    </xf>
    <xf numFmtId="3" fontId="11" fillId="0" borderId="1"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9" fontId="11" fillId="0" borderId="1" xfId="107" applyFont="1" applyFill="1" applyBorder="1" applyAlignment="1">
      <alignment horizontal="center" vertical="center" wrapText="1"/>
    </xf>
    <xf numFmtId="9" fontId="11" fillId="0" borderId="3" xfId="107" applyFont="1" applyFill="1" applyBorder="1" applyAlignment="1">
      <alignment horizontal="center" vertical="center" wrapText="1"/>
    </xf>
    <xf numFmtId="9" fontId="11" fillId="2" borderId="1" xfId="107" applyFont="1" applyFill="1" applyBorder="1" applyAlignment="1">
      <alignment horizontal="center" vertical="center" wrapText="1"/>
    </xf>
    <xf numFmtId="9" fontId="11" fillId="2" borderId="3" xfId="107" applyFont="1" applyFill="1" applyBorder="1" applyAlignment="1">
      <alignment horizontal="center" vertical="center" wrapText="1"/>
    </xf>
    <xf numFmtId="2" fontId="6" fillId="0" borderId="1" xfId="109" applyNumberFormat="1" applyFont="1" applyBorder="1" applyAlignment="1">
      <alignment horizontal="center" vertical="center" wrapText="1"/>
    </xf>
    <xf numFmtId="2" fontId="6" fillId="0" borderId="5" xfId="109" applyNumberFormat="1" applyFont="1" applyBorder="1" applyAlignment="1">
      <alignment horizontal="center" vertical="center" wrapText="1"/>
    </xf>
    <xf numFmtId="2" fontId="6" fillId="0" borderId="3" xfId="109" applyNumberFormat="1" applyFont="1" applyBorder="1" applyAlignment="1">
      <alignment horizontal="center"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14" fontId="0" fillId="0" borderId="6" xfId="0" applyNumberFormat="1" applyFont="1" applyFill="1" applyBorder="1" applyAlignment="1">
      <alignment horizontal="center" vertical="top"/>
    </xf>
    <xf numFmtId="14" fontId="0" fillId="0" borderId="7" xfId="0" applyNumberFormat="1" applyFont="1" applyFill="1" applyBorder="1" applyAlignment="1">
      <alignment horizontal="center" vertical="top"/>
    </xf>
    <xf numFmtId="14" fontId="0" fillId="0" borderId="8" xfId="0" applyNumberFormat="1" applyFont="1" applyFill="1" applyBorder="1" applyAlignment="1">
      <alignment horizontal="center" vertical="top"/>
    </xf>
    <xf numFmtId="2" fontId="7" fillId="0" borderId="9" xfId="109" applyNumberFormat="1" applyFont="1" applyFill="1" applyBorder="1" applyAlignment="1">
      <alignment horizontal="center" vertical="center" wrapText="1"/>
    </xf>
    <xf numFmtId="2" fontId="7" fillId="0" borderId="10" xfId="109" applyNumberFormat="1" applyFont="1" applyFill="1" applyBorder="1" applyAlignment="1">
      <alignment horizontal="center" vertical="center" wrapText="1"/>
    </xf>
    <xf numFmtId="2" fontId="7" fillId="0" borderId="11" xfId="109" applyNumberFormat="1" applyFont="1" applyFill="1" applyBorder="1" applyAlignment="1">
      <alignment horizontal="center" vertical="center" wrapText="1"/>
    </xf>
    <xf numFmtId="2" fontId="7" fillId="0" borderId="12" xfId="109" applyNumberFormat="1" applyFont="1" applyFill="1" applyBorder="1" applyAlignment="1">
      <alignment horizontal="center" vertical="center" wrapText="1"/>
    </xf>
    <xf numFmtId="2" fontId="7" fillId="0" borderId="0" xfId="109" applyNumberFormat="1" applyFont="1" applyFill="1" applyBorder="1" applyAlignment="1">
      <alignment horizontal="center" vertical="center" wrapText="1"/>
    </xf>
    <xf numFmtId="2" fontId="7" fillId="0" borderId="13" xfId="109" applyNumberFormat="1" applyFont="1" applyFill="1" applyBorder="1" applyAlignment="1">
      <alignment horizontal="center" vertical="center" wrapText="1"/>
    </xf>
    <xf numFmtId="2" fontId="7" fillId="0" borderId="4" xfId="109" applyNumberFormat="1" applyFont="1" applyFill="1" applyBorder="1" applyAlignment="1">
      <alignment horizontal="center" vertical="center" wrapText="1"/>
    </xf>
    <xf numFmtId="2" fontId="7" fillId="0" borderId="14" xfId="109" applyNumberFormat="1" applyFont="1" applyFill="1" applyBorder="1" applyAlignment="1">
      <alignment horizontal="center" vertical="center" wrapText="1"/>
    </xf>
    <xf numFmtId="2" fontId="7" fillId="0" borderId="15" xfId="109" applyNumberFormat="1"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7" fillId="0" borderId="1" xfId="109" applyNumberFormat="1"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167" fontId="11" fillId="2" borderId="1" xfId="0" applyNumberFormat="1" applyFont="1" applyFill="1" applyBorder="1" applyAlignment="1">
      <alignment horizontal="center" vertical="center" wrapText="1"/>
    </xf>
    <xf numFmtId="167" fontId="11" fillId="2" borderId="3" xfId="0" applyNumberFormat="1" applyFont="1" applyFill="1" applyBorder="1" applyAlignment="1">
      <alignment horizontal="center" vertical="center" wrapText="1"/>
    </xf>
    <xf numFmtId="169" fontId="9" fillId="2" borderId="2" xfId="108" applyNumberFormat="1" applyFont="1" applyFill="1" applyBorder="1" applyAlignment="1">
      <alignment horizontal="right" vertical="center" wrapText="1"/>
    </xf>
    <xf numFmtId="9" fontId="11" fillId="0" borderId="1" xfId="0" applyNumberFormat="1"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1" fillId="2" borderId="5" xfId="0" applyNumberFormat="1" applyFont="1" applyFill="1" applyBorder="1" applyAlignment="1">
      <alignment horizontal="center" vertical="center" wrapText="1"/>
    </xf>
    <xf numFmtId="9" fontId="11" fillId="2" borderId="3" xfId="0" applyNumberFormat="1" applyFont="1" applyFill="1" applyBorder="1" applyAlignment="1">
      <alignment horizontal="center" vertical="center" wrapText="1"/>
    </xf>
    <xf numFmtId="0" fontId="8" fillId="0" borderId="5" xfId="0" applyFont="1" applyBorder="1" applyAlignment="1">
      <alignment horizontal="center" vertical="center" wrapText="1"/>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Normal" xfId="0" builtinId="0"/>
    <cellStyle name="Normal 2" xfId="109" xr:uid="{00000000-0005-0000-0000-00006E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14F"/>
      <color rgb="FFFFFF65"/>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0"/>
  <sheetViews>
    <sheetView tabSelected="1" zoomScale="50" zoomScaleNormal="50" workbookViewId="0">
      <selection activeCell="AE106" sqref="AE106"/>
    </sheetView>
  </sheetViews>
  <sheetFormatPr baseColWidth="10" defaultColWidth="11.19921875" defaultRowHeight="13.8" x14ac:dyDescent="0.25"/>
  <cols>
    <col min="1" max="1" width="9.69921875" style="1" customWidth="1"/>
    <col min="2" max="4" width="21.09765625" style="1" customWidth="1"/>
    <col min="5" max="5" width="50.59765625" style="22" customWidth="1"/>
    <col min="6" max="6" width="50.59765625" style="54" customWidth="1"/>
    <col min="7" max="7" width="21.19921875" style="67" customWidth="1"/>
    <col min="8" max="9" width="46.8984375" style="55" customWidth="1"/>
    <col min="10" max="10" width="16.19921875" style="59" customWidth="1"/>
    <col min="11" max="11" width="16" style="59" customWidth="1"/>
    <col min="12" max="13" width="14.8984375" style="1" customWidth="1"/>
    <col min="14" max="14" width="11.19921875" style="1" customWidth="1"/>
    <col min="15" max="15" width="43.8984375" style="1" customWidth="1"/>
    <col min="16" max="27" width="23.5" style="1" customWidth="1"/>
    <col min="28" max="28" width="16.19921875" style="1" customWidth="1"/>
    <col min="29" max="29" width="21.19921875" style="1" customWidth="1"/>
    <col min="30" max="31" width="22" style="1" customWidth="1"/>
    <col min="32" max="16384" width="11.19921875" style="1"/>
  </cols>
  <sheetData>
    <row r="1" spans="1:31" ht="13.95" customHeight="1" x14ac:dyDescent="0.25">
      <c r="A1" s="136"/>
      <c r="B1" s="145" t="s">
        <v>243</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7"/>
      <c r="AC1" s="159" t="s">
        <v>303</v>
      </c>
      <c r="AD1" s="159"/>
      <c r="AE1" s="159"/>
    </row>
    <row r="2" spans="1:31" x14ac:dyDescent="0.25">
      <c r="A2" s="137"/>
      <c r="B2" s="148"/>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50"/>
      <c r="AC2" s="160" t="s">
        <v>37</v>
      </c>
      <c r="AD2" s="160"/>
      <c r="AE2" s="160"/>
    </row>
    <row r="3" spans="1:31" x14ac:dyDescent="0.25">
      <c r="A3" s="137"/>
      <c r="B3" s="148"/>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50"/>
      <c r="AC3" s="160" t="s">
        <v>34</v>
      </c>
      <c r="AD3" s="160"/>
      <c r="AE3" s="160"/>
    </row>
    <row r="4" spans="1:31" x14ac:dyDescent="0.25">
      <c r="A4" s="138"/>
      <c r="B4" s="151"/>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3"/>
      <c r="AC4" s="161" t="s">
        <v>33</v>
      </c>
      <c r="AD4" s="161"/>
      <c r="AE4" s="161"/>
    </row>
    <row r="5" spans="1:31" x14ac:dyDescent="0.25">
      <c r="A5" s="139" t="s">
        <v>31</v>
      </c>
      <c r="B5" s="140"/>
      <c r="C5" s="141"/>
      <c r="D5" s="142">
        <v>44478</v>
      </c>
      <c r="E5" s="143"/>
      <c r="F5" s="143"/>
      <c r="G5" s="143"/>
      <c r="H5" s="143"/>
      <c r="I5" s="143"/>
      <c r="J5" s="143"/>
      <c r="K5" s="143"/>
      <c r="L5" s="144"/>
      <c r="M5" s="19"/>
      <c r="N5" s="19"/>
      <c r="O5" s="19"/>
      <c r="P5" s="19"/>
      <c r="Q5" s="19"/>
      <c r="R5" s="19"/>
      <c r="S5" s="19"/>
      <c r="T5" s="19"/>
      <c r="U5" s="19"/>
      <c r="V5" s="19"/>
      <c r="W5" s="19"/>
      <c r="X5" s="19"/>
      <c r="Y5" s="19"/>
      <c r="Z5" s="19"/>
      <c r="AA5" s="19"/>
      <c r="AB5" s="19"/>
      <c r="AC5" s="19"/>
      <c r="AD5" s="19"/>
      <c r="AE5" s="19"/>
    </row>
    <row r="6" spans="1:31" x14ac:dyDescent="0.25">
      <c r="A6" s="139" t="s">
        <v>32</v>
      </c>
      <c r="B6" s="140"/>
      <c r="C6" s="141"/>
      <c r="D6" s="142">
        <v>44469</v>
      </c>
      <c r="E6" s="143"/>
      <c r="F6" s="143"/>
      <c r="G6" s="143"/>
      <c r="H6" s="143"/>
      <c r="I6" s="143"/>
      <c r="J6" s="143"/>
      <c r="K6" s="143"/>
      <c r="L6" s="144"/>
      <c r="M6" s="19"/>
      <c r="N6" s="19"/>
      <c r="O6" s="19"/>
      <c r="P6" s="19"/>
      <c r="Q6" s="19"/>
      <c r="R6" s="19"/>
      <c r="S6" s="19"/>
      <c r="T6" s="19"/>
      <c r="U6" s="19"/>
      <c r="V6" s="19"/>
      <c r="W6" s="19"/>
      <c r="X6" s="19"/>
      <c r="Y6" s="19"/>
      <c r="Z6" s="19"/>
      <c r="AA6" s="19"/>
      <c r="AB6" s="19"/>
      <c r="AC6" s="19"/>
      <c r="AD6" s="20"/>
      <c r="AE6" s="20"/>
    </row>
    <row r="7" spans="1:31" ht="13.95" customHeight="1" x14ac:dyDescent="0.25">
      <c r="A7" s="2"/>
      <c r="B7" s="154" t="s">
        <v>10</v>
      </c>
      <c r="C7" s="155"/>
      <c r="D7" s="155"/>
      <c r="E7" s="155"/>
      <c r="F7" s="156"/>
      <c r="G7" s="154" t="s">
        <v>11</v>
      </c>
      <c r="H7" s="155"/>
      <c r="I7" s="155"/>
      <c r="J7" s="155"/>
      <c r="K7" s="156"/>
      <c r="L7" s="154" t="s">
        <v>26</v>
      </c>
      <c r="M7" s="155"/>
      <c r="N7" s="156"/>
      <c r="O7" s="154" t="s">
        <v>24</v>
      </c>
      <c r="P7" s="155"/>
      <c r="Q7" s="155"/>
      <c r="R7" s="155"/>
      <c r="S7" s="155"/>
      <c r="T7" s="155"/>
      <c r="U7" s="156"/>
      <c r="V7" s="154" t="s">
        <v>18</v>
      </c>
      <c r="W7" s="155"/>
      <c r="X7" s="155"/>
      <c r="Y7" s="155"/>
      <c r="Z7" s="155"/>
      <c r="AA7" s="156"/>
      <c r="AB7" s="157" t="s">
        <v>19</v>
      </c>
      <c r="AC7" s="157" t="s">
        <v>27</v>
      </c>
      <c r="AD7" s="162" t="s">
        <v>25</v>
      </c>
      <c r="AE7" s="163"/>
    </row>
    <row r="8" spans="1:31" ht="27.6" x14ac:dyDescent="0.25">
      <c r="A8" s="25" t="s">
        <v>30</v>
      </c>
      <c r="B8" s="32" t="s">
        <v>1</v>
      </c>
      <c r="C8" s="25" t="s">
        <v>6</v>
      </c>
      <c r="D8" s="25" t="s">
        <v>2</v>
      </c>
      <c r="E8" s="25" t="s">
        <v>7</v>
      </c>
      <c r="F8" s="25" t="s">
        <v>20</v>
      </c>
      <c r="G8" s="32" t="s">
        <v>15</v>
      </c>
      <c r="H8" s="32" t="s">
        <v>3</v>
      </c>
      <c r="I8" s="32" t="s">
        <v>16</v>
      </c>
      <c r="J8" s="32" t="s">
        <v>22</v>
      </c>
      <c r="K8" s="32" t="s">
        <v>23</v>
      </c>
      <c r="L8" s="32" t="s">
        <v>4</v>
      </c>
      <c r="M8" s="32" t="s">
        <v>5</v>
      </c>
      <c r="N8" s="32" t="s">
        <v>0</v>
      </c>
      <c r="O8" s="25" t="s">
        <v>9</v>
      </c>
      <c r="P8" s="32" t="s">
        <v>36</v>
      </c>
      <c r="Q8" s="32" t="s">
        <v>8</v>
      </c>
      <c r="R8" s="32" t="s">
        <v>28</v>
      </c>
      <c r="S8" s="32" t="s">
        <v>35</v>
      </c>
      <c r="T8" s="32" t="s">
        <v>12</v>
      </c>
      <c r="U8" s="32" t="s">
        <v>21</v>
      </c>
      <c r="V8" s="32" t="s">
        <v>36</v>
      </c>
      <c r="W8" s="32" t="s">
        <v>8</v>
      </c>
      <c r="X8" s="32" t="s">
        <v>28</v>
      </c>
      <c r="Y8" s="32" t="s">
        <v>35</v>
      </c>
      <c r="Z8" s="32" t="s">
        <v>12</v>
      </c>
      <c r="AA8" s="32" t="s">
        <v>29</v>
      </c>
      <c r="AB8" s="158"/>
      <c r="AC8" s="158"/>
      <c r="AD8" s="32" t="s">
        <v>13</v>
      </c>
      <c r="AE8" s="32" t="s">
        <v>14</v>
      </c>
    </row>
    <row r="9" spans="1:31" ht="82.8" customHeight="1" x14ac:dyDescent="0.25">
      <c r="A9" s="25">
        <v>99</v>
      </c>
      <c r="B9" s="15" t="s">
        <v>41</v>
      </c>
      <c r="C9" s="15" t="s">
        <v>42</v>
      </c>
      <c r="D9" s="16" t="s">
        <v>47</v>
      </c>
      <c r="E9" s="95" t="s">
        <v>48</v>
      </c>
      <c r="F9" s="39" t="s">
        <v>49</v>
      </c>
      <c r="G9" s="87">
        <v>20210680010086</v>
      </c>
      <c r="H9" s="88" t="s">
        <v>275</v>
      </c>
      <c r="I9" s="89" t="s">
        <v>276</v>
      </c>
      <c r="J9" s="27">
        <v>44438</v>
      </c>
      <c r="K9" s="27">
        <v>44561</v>
      </c>
      <c r="L9" s="17">
        <v>1</v>
      </c>
      <c r="M9" s="18">
        <v>0.6</v>
      </c>
      <c r="N9" s="23">
        <f>IFERROR(IF(M9/L9&gt;100%,100%,M9/L9),"-")</f>
        <v>0.6</v>
      </c>
      <c r="O9" s="90" t="s">
        <v>277</v>
      </c>
      <c r="P9" s="96"/>
      <c r="Q9" s="96"/>
      <c r="R9" s="96"/>
      <c r="S9" s="96"/>
      <c r="T9" s="96">
        <v>10000000</v>
      </c>
      <c r="U9" s="93">
        <f>SUM(P9:T9)</f>
        <v>10000000</v>
      </c>
      <c r="V9" s="96"/>
      <c r="W9" s="96"/>
      <c r="X9" s="96"/>
      <c r="Y9" s="96"/>
      <c r="Z9" s="97"/>
      <c r="AA9" s="93">
        <f>SUM(V9:Z9)</f>
        <v>0</v>
      </c>
      <c r="AB9" s="3">
        <f>IFERROR(AA9/U9,"-")</f>
        <v>0</v>
      </c>
      <c r="AC9" s="4">
        <v>21880000</v>
      </c>
      <c r="AD9" s="5" t="s">
        <v>52</v>
      </c>
      <c r="AE9" s="5" t="s">
        <v>256</v>
      </c>
    </row>
    <row r="10" spans="1:31" ht="126" customHeight="1" x14ac:dyDescent="0.25">
      <c r="A10" s="25">
        <v>169</v>
      </c>
      <c r="B10" s="56" t="s">
        <v>53</v>
      </c>
      <c r="C10" s="56" t="s">
        <v>54</v>
      </c>
      <c r="D10" s="44" t="s">
        <v>55</v>
      </c>
      <c r="E10" s="95" t="s">
        <v>56</v>
      </c>
      <c r="F10" s="39" t="s">
        <v>57</v>
      </c>
      <c r="G10" s="61">
        <v>20200680010038</v>
      </c>
      <c r="H10" s="42" t="s">
        <v>58</v>
      </c>
      <c r="I10" s="39" t="s">
        <v>59</v>
      </c>
      <c r="J10" s="84">
        <v>44202</v>
      </c>
      <c r="K10" s="84">
        <v>44561</v>
      </c>
      <c r="L10" s="124">
        <v>1</v>
      </c>
      <c r="M10" s="164">
        <v>0.3</v>
      </c>
      <c r="N10" s="114">
        <f>IFERROR(IF(M10/L10&gt;100%,100%,M10/L10),"-")</f>
        <v>0.3</v>
      </c>
      <c r="O10" s="36" t="s">
        <v>262</v>
      </c>
      <c r="P10" s="96">
        <v>354701511</v>
      </c>
      <c r="Q10" s="96"/>
      <c r="R10" s="96"/>
      <c r="S10" s="96"/>
      <c r="T10" s="97"/>
      <c r="U10" s="121">
        <f>SUM(P10:T11)</f>
        <v>522000000</v>
      </c>
      <c r="V10" s="96">
        <f>264714243</f>
        <v>264714243</v>
      </c>
      <c r="W10" s="96"/>
      <c r="X10" s="96"/>
      <c r="Y10" s="96"/>
      <c r="Z10" s="97"/>
      <c r="AA10" s="121">
        <f>SUM(V10:Z11)</f>
        <v>264714243</v>
      </c>
      <c r="AB10" s="115">
        <f>IFERROR(AA10/U10,"-")</f>
        <v>0.50711540804597699</v>
      </c>
      <c r="AC10" s="118">
        <v>0</v>
      </c>
      <c r="AD10" s="109" t="s">
        <v>52</v>
      </c>
      <c r="AE10" s="109" t="s">
        <v>256</v>
      </c>
    </row>
    <row r="11" spans="1:31" ht="84.6" customHeight="1" x14ac:dyDescent="0.25">
      <c r="A11" s="25">
        <v>169</v>
      </c>
      <c r="B11" s="56" t="s">
        <v>53</v>
      </c>
      <c r="C11" s="56" t="s">
        <v>54</v>
      </c>
      <c r="D11" s="44" t="s">
        <v>55</v>
      </c>
      <c r="E11" s="95" t="s">
        <v>56</v>
      </c>
      <c r="F11" s="39" t="s">
        <v>57</v>
      </c>
      <c r="G11" s="62"/>
      <c r="H11" s="35" t="s">
        <v>282</v>
      </c>
      <c r="I11" s="39"/>
      <c r="J11" s="84"/>
      <c r="K11" s="84"/>
      <c r="L11" s="125"/>
      <c r="M11" s="165"/>
      <c r="N11" s="113"/>
      <c r="O11" s="101"/>
      <c r="P11" s="96">
        <v>167298489</v>
      </c>
      <c r="Q11" s="96"/>
      <c r="R11" s="96"/>
      <c r="S11" s="96"/>
      <c r="T11" s="97"/>
      <c r="U11" s="123"/>
      <c r="V11" s="96"/>
      <c r="W11" s="96"/>
      <c r="X11" s="96"/>
      <c r="Y11" s="96"/>
      <c r="Z11" s="97"/>
      <c r="AA11" s="123"/>
      <c r="AB11" s="117"/>
      <c r="AC11" s="120"/>
      <c r="AD11" s="110"/>
      <c r="AE11" s="110"/>
    </row>
    <row r="12" spans="1:31" ht="75" customHeight="1" x14ac:dyDescent="0.25">
      <c r="A12" s="25">
        <v>170</v>
      </c>
      <c r="B12" s="57" t="s">
        <v>53</v>
      </c>
      <c r="C12" s="57" t="s">
        <v>54</v>
      </c>
      <c r="D12" s="49" t="s">
        <v>55</v>
      </c>
      <c r="E12" s="95" t="s">
        <v>60</v>
      </c>
      <c r="F12" s="39" t="s">
        <v>61</v>
      </c>
      <c r="G12" s="63"/>
      <c r="H12" s="35" t="s">
        <v>283</v>
      </c>
      <c r="I12" s="41"/>
      <c r="J12" s="84"/>
      <c r="K12" s="84"/>
      <c r="L12" s="69">
        <v>3</v>
      </c>
      <c r="M12" s="24">
        <v>3</v>
      </c>
      <c r="N12" s="23">
        <f t="shared" ref="N12:N21" si="0">IFERROR(IF(M12/L12&gt;100%,100%,M12/L12),"-")</f>
        <v>1</v>
      </c>
      <c r="O12" s="38"/>
      <c r="P12" s="96"/>
      <c r="Q12" s="96"/>
      <c r="R12" s="96"/>
      <c r="S12" s="96"/>
      <c r="T12" s="97"/>
      <c r="U12" s="93">
        <f t="shared" ref="U12:U18" si="1">SUM(P12:T12)</f>
        <v>0</v>
      </c>
      <c r="V12" s="96"/>
      <c r="W12" s="96"/>
      <c r="X12" s="96"/>
      <c r="Y12" s="96"/>
      <c r="Z12" s="97"/>
      <c r="AA12" s="93">
        <f t="shared" ref="AA12:AA18" si="2">SUM(V12:Z12)</f>
        <v>0</v>
      </c>
      <c r="AB12" s="3" t="str">
        <f>IFERROR(AA12/U12,"-")</f>
        <v>-</v>
      </c>
      <c r="AC12" s="4">
        <f>3*120000000</f>
        <v>360000000</v>
      </c>
      <c r="AD12" s="5" t="s">
        <v>52</v>
      </c>
      <c r="AE12" s="5" t="s">
        <v>256</v>
      </c>
    </row>
    <row r="13" spans="1:31" ht="75" customHeight="1" x14ac:dyDescent="0.25">
      <c r="A13" s="25">
        <v>171</v>
      </c>
      <c r="B13" s="57" t="s">
        <v>53</v>
      </c>
      <c r="C13" s="57" t="s">
        <v>54</v>
      </c>
      <c r="D13" s="49" t="s">
        <v>55</v>
      </c>
      <c r="E13" s="95" t="s">
        <v>62</v>
      </c>
      <c r="F13" s="39" t="s">
        <v>63</v>
      </c>
      <c r="G13" s="60"/>
      <c r="H13" s="35" t="s">
        <v>283</v>
      </c>
      <c r="I13" s="40"/>
      <c r="J13" s="84"/>
      <c r="K13" s="84"/>
      <c r="L13" s="69">
        <v>1</v>
      </c>
      <c r="M13" s="24">
        <v>0</v>
      </c>
      <c r="N13" s="23">
        <f t="shared" si="0"/>
        <v>0</v>
      </c>
      <c r="O13" s="38" t="s">
        <v>64</v>
      </c>
      <c r="P13" s="96">
        <v>90000000</v>
      </c>
      <c r="Q13" s="96"/>
      <c r="R13" s="96"/>
      <c r="S13" s="96"/>
      <c r="T13" s="97"/>
      <c r="U13" s="93">
        <f t="shared" si="1"/>
        <v>90000000</v>
      </c>
      <c r="V13" s="96"/>
      <c r="W13" s="96"/>
      <c r="X13" s="96"/>
      <c r="Y13" s="96"/>
      <c r="Z13" s="97"/>
      <c r="AA13" s="93">
        <f t="shared" si="2"/>
        <v>0</v>
      </c>
      <c r="AB13" s="3">
        <f>IFERROR(AA13/U13,"-")</f>
        <v>0</v>
      </c>
      <c r="AC13" s="4">
        <v>0</v>
      </c>
      <c r="AD13" s="5" t="s">
        <v>52</v>
      </c>
      <c r="AE13" s="5" t="s">
        <v>256</v>
      </c>
    </row>
    <row r="14" spans="1:31" ht="75" customHeight="1" x14ac:dyDescent="0.25">
      <c r="A14" s="25">
        <v>172</v>
      </c>
      <c r="B14" s="57" t="s">
        <v>53</v>
      </c>
      <c r="C14" s="57" t="s">
        <v>54</v>
      </c>
      <c r="D14" s="49" t="s">
        <v>65</v>
      </c>
      <c r="E14" s="95" t="s">
        <v>66</v>
      </c>
      <c r="F14" s="39" t="s">
        <v>67</v>
      </c>
      <c r="G14" s="63"/>
      <c r="H14" s="35" t="s">
        <v>283</v>
      </c>
      <c r="I14" s="41"/>
      <c r="J14" s="84"/>
      <c r="K14" s="84"/>
      <c r="L14" s="69">
        <v>1</v>
      </c>
      <c r="M14" s="24">
        <v>0</v>
      </c>
      <c r="N14" s="23">
        <f t="shared" si="0"/>
        <v>0</v>
      </c>
      <c r="O14" s="38" t="s">
        <v>68</v>
      </c>
      <c r="P14" s="96">
        <f>(5*4000000)</f>
        <v>20000000</v>
      </c>
      <c r="Q14" s="96"/>
      <c r="R14" s="96"/>
      <c r="S14" s="96"/>
      <c r="T14" s="97"/>
      <c r="U14" s="93">
        <f t="shared" si="1"/>
        <v>20000000</v>
      </c>
      <c r="V14" s="96"/>
      <c r="W14" s="96"/>
      <c r="X14" s="96"/>
      <c r="Y14" s="96"/>
      <c r="Z14" s="97"/>
      <c r="AA14" s="93">
        <f t="shared" si="2"/>
        <v>0</v>
      </c>
      <c r="AB14" s="3">
        <f>IFERROR(AA14/U14,"-")</f>
        <v>0</v>
      </c>
      <c r="AC14" s="4">
        <v>0</v>
      </c>
      <c r="AD14" s="5" t="s">
        <v>52</v>
      </c>
      <c r="AE14" s="5" t="s">
        <v>256</v>
      </c>
    </row>
    <row r="15" spans="1:31" ht="75" customHeight="1" x14ac:dyDescent="0.25">
      <c r="A15" s="25">
        <v>173</v>
      </c>
      <c r="B15" s="57" t="s">
        <v>53</v>
      </c>
      <c r="C15" s="57" t="s">
        <v>54</v>
      </c>
      <c r="D15" s="49" t="s">
        <v>65</v>
      </c>
      <c r="E15" s="95" t="s">
        <v>69</v>
      </c>
      <c r="F15" s="39" t="s">
        <v>70</v>
      </c>
      <c r="G15" s="63"/>
      <c r="H15" s="35" t="s">
        <v>283</v>
      </c>
      <c r="I15" s="41"/>
      <c r="J15" s="84"/>
      <c r="K15" s="84"/>
      <c r="L15" s="69">
        <v>10</v>
      </c>
      <c r="M15" s="24">
        <v>1</v>
      </c>
      <c r="N15" s="23">
        <f t="shared" si="0"/>
        <v>0.1</v>
      </c>
      <c r="O15" s="38" t="s">
        <v>71</v>
      </c>
      <c r="P15" s="96">
        <f>(5*4000000)</f>
        <v>20000000</v>
      </c>
      <c r="Q15" s="96"/>
      <c r="R15" s="96"/>
      <c r="S15" s="96"/>
      <c r="T15" s="97"/>
      <c r="U15" s="93">
        <f t="shared" si="1"/>
        <v>20000000</v>
      </c>
      <c r="V15" s="96"/>
      <c r="W15" s="96"/>
      <c r="X15" s="96"/>
      <c r="Y15" s="96"/>
      <c r="Z15" s="97"/>
      <c r="AA15" s="93">
        <f t="shared" si="2"/>
        <v>0</v>
      </c>
      <c r="AB15" s="3">
        <f>IFERROR(AA15/U15,"-")</f>
        <v>0</v>
      </c>
      <c r="AC15" s="4">
        <v>0</v>
      </c>
      <c r="AD15" s="5" t="s">
        <v>52</v>
      </c>
      <c r="AE15" s="5" t="s">
        <v>256</v>
      </c>
    </row>
    <row r="16" spans="1:31" ht="75" customHeight="1" x14ac:dyDescent="0.25">
      <c r="A16" s="25">
        <v>174</v>
      </c>
      <c r="B16" s="57" t="s">
        <v>53</v>
      </c>
      <c r="C16" s="57" t="s">
        <v>54</v>
      </c>
      <c r="D16" s="49" t="s">
        <v>65</v>
      </c>
      <c r="E16" s="95" t="s">
        <v>72</v>
      </c>
      <c r="F16" s="39" t="s">
        <v>73</v>
      </c>
      <c r="G16" s="63"/>
      <c r="H16" s="35" t="s">
        <v>283</v>
      </c>
      <c r="I16" s="41"/>
      <c r="J16" s="84"/>
      <c r="K16" s="84"/>
      <c r="L16" s="69">
        <v>4</v>
      </c>
      <c r="M16" s="24">
        <v>4</v>
      </c>
      <c r="N16" s="23">
        <f t="shared" si="0"/>
        <v>1</v>
      </c>
      <c r="O16" s="38"/>
      <c r="P16" s="96"/>
      <c r="Q16" s="96"/>
      <c r="R16" s="96"/>
      <c r="S16" s="96"/>
      <c r="T16" s="97"/>
      <c r="U16" s="93">
        <f t="shared" si="1"/>
        <v>0</v>
      </c>
      <c r="V16" s="96"/>
      <c r="W16" s="96"/>
      <c r="X16" s="96"/>
      <c r="Y16" s="96"/>
      <c r="Z16" s="97"/>
      <c r="AA16" s="93">
        <f t="shared" si="2"/>
        <v>0</v>
      </c>
      <c r="AB16" s="3" t="str">
        <f>IFERROR(AA16/U16,"-")</f>
        <v>-</v>
      </c>
      <c r="AC16" s="4">
        <v>17230795743</v>
      </c>
      <c r="AD16" s="5" t="s">
        <v>52</v>
      </c>
      <c r="AE16" s="5" t="s">
        <v>256</v>
      </c>
    </row>
    <row r="17" spans="1:31" ht="75" customHeight="1" x14ac:dyDescent="0.25">
      <c r="A17" s="25">
        <v>175</v>
      </c>
      <c r="B17" s="57" t="s">
        <v>53</v>
      </c>
      <c r="C17" s="57" t="s">
        <v>54</v>
      </c>
      <c r="D17" s="49" t="s">
        <v>65</v>
      </c>
      <c r="E17" s="95" t="s">
        <v>74</v>
      </c>
      <c r="F17" s="39" t="s">
        <v>75</v>
      </c>
      <c r="G17" s="63"/>
      <c r="H17" s="35" t="s">
        <v>283</v>
      </c>
      <c r="I17" s="41"/>
      <c r="J17" s="84"/>
      <c r="K17" s="84"/>
      <c r="L17" s="69">
        <v>1</v>
      </c>
      <c r="M17" s="24">
        <v>1</v>
      </c>
      <c r="N17" s="23">
        <f t="shared" si="0"/>
        <v>1</v>
      </c>
      <c r="O17" s="38"/>
      <c r="P17" s="96"/>
      <c r="Q17" s="96"/>
      <c r="R17" s="96"/>
      <c r="S17" s="96"/>
      <c r="T17" s="97"/>
      <c r="U17" s="93">
        <f t="shared" si="1"/>
        <v>0</v>
      </c>
      <c r="V17" s="96"/>
      <c r="W17" s="96"/>
      <c r="X17" s="96"/>
      <c r="Y17" s="96"/>
      <c r="Z17" s="97"/>
      <c r="AA17" s="93">
        <f t="shared" si="2"/>
        <v>0</v>
      </c>
      <c r="AB17" s="3" t="str">
        <f t="shared" ref="AB17:AB19" si="3">IFERROR(AA17/U17,"-")</f>
        <v>-</v>
      </c>
      <c r="AC17" s="4">
        <v>0</v>
      </c>
      <c r="AD17" s="5" t="s">
        <v>52</v>
      </c>
      <c r="AE17" s="5" t="s">
        <v>256</v>
      </c>
    </row>
    <row r="18" spans="1:31" ht="90" customHeight="1" x14ac:dyDescent="0.25">
      <c r="A18" s="25">
        <v>176</v>
      </c>
      <c r="B18" s="57" t="s">
        <v>53</v>
      </c>
      <c r="C18" s="57" t="s">
        <v>54</v>
      </c>
      <c r="D18" s="49" t="s">
        <v>65</v>
      </c>
      <c r="E18" s="95" t="s">
        <v>76</v>
      </c>
      <c r="F18" s="39" t="s">
        <v>77</v>
      </c>
      <c r="G18" s="63"/>
      <c r="H18" s="35" t="s">
        <v>283</v>
      </c>
      <c r="I18" s="41"/>
      <c r="J18" s="84"/>
      <c r="K18" s="84"/>
      <c r="L18" s="70">
        <v>1</v>
      </c>
      <c r="M18" s="28">
        <v>1</v>
      </c>
      <c r="N18" s="23">
        <f t="shared" si="0"/>
        <v>1</v>
      </c>
      <c r="O18" s="38" t="s">
        <v>78</v>
      </c>
      <c r="P18" s="96">
        <f>856200000-P14-P15-P16-P17</f>
        <v>816200000</v>
      </c>
      <c r="Q18" s="96"/>
      <c r="R18" s="96"/>
      <c r="S18" s="96"/>
      <c r="T18" s="97"/>
      <c r="U18" s="93">
        <f t="shared" si="1"/>
        <v>816200000</v>
      </c>
      <c r="V18" s="96"/>
      <c r="W18" s="96"/>
      <c r="X18" s="96"/>
      <c r="Y18" s="96"/>
      <c r="Z18" s="97"/>
      <c r="AA18" s="93">
        <f t="shared" si="2"/>
        <v>0</v>
      </c>
      <c r="AB18" s="3">
        <f t="shared" si="3"/>
        <v>0</v>
      </c>
      <c r="AC18" s="4">
        <v>0</v>
      </c>
      <c r="AD18" s="5" t="s">
        <v>52</v>
      </c>
      <c r="AE18" s="5" t="s">
        <v>256</v>
      </c>
    </row>
    <row r="19" spans="1:31" ht="75" customHeight="1" x14ac:dyDescent="0.25">
      <c r="A19" s="25">
        <v>177</v>
      </c>
      <c r="B19" s="56" t="s">
        <v>53</v>
      </c>
      <c r="C19" s="56" t="s">
        <v>54</v>
      </c>
      <c r="D19" s="44" t="s">
        <v>79</v>
      </c>
      <c r="E19" s="95" t="s">
        <v>80</v>
      </c>
      <c r="F19" s="39" t="s">
        <v>81</v>
      </c>
      <c r="G19" s="61">
        <v>20200680010079</v>
      </c>
      <c r="H19" s="42" t="s">
        <v>82</v>
      </c>
      <c r="I19" s="41" t="s">
        <v>284</v>
      </c>
      <c r="J19" s="71">
        <v>44393</v>
      </c>
      <c r="K19" s="71">
        <v>44561</v>
      </c>
      <c r="L19" s="132">
        <v>1</v>
      </c>
      <c r="M19" s="134">
        <v>1</v>
      </c>
      <c r="N19" s="114">
        <f t="shared" si="0"/>
        <v>1</v>
      </c>
      <c r="O19" s="36" t="s">
        <v>273</v>
      </c>
      <c r="P19" s="96">
        <f>109200000+71954166+368151999+51097293+134254307</f>
        <v>734657765</v>
      </c>
      <c r="Q19" s="96"/>
      <c r="R19" s="96"/>
      <c r="S19" s="96"/>
      <c r="T19" s="97"/>
      <c r="U19" s="121">
        <f>SUM(P19:T20)</f>
        <v>1237818634</v>
      </c>
      <c r="V19" s="96">
        <f>25200000+3150000+194948420+130495581+69700540</f>
        <v>423494541</v>
      </c>
      <c r="W19" s="96"/>
      <c r="X19" s="96"/>
      <c r="Y19" s="96"/>
      <c r="Z19" s="97"/>
      <c r="AA19" s="121">
        <f>SUM(V19:Z20)</f>
        <v>423494541</v>
      </c>
      <c r="AB19" s="115">
        <f t="shared" si="3"/>
        <v>0.34212971865795971</v>
      </c>
      <c r="AC19" s="118">
        <v>0</v>
      </c>
      <c r="AD19" s="109" t="s">
        <v>52</v>
      </c>
      <c r="AE19" s="109" t="s">
        <v>256</v>
      </c>
    </row>
    <row r="20" spans="1:31" ht="51.6" customHeight="1" x14ac:dyDescent="0.25">
      <c r="A20" s="25">
        <v>177</v>
      </c>
      <c r="B20" s="56" t="s">
        <v>53</v>
      </c>
      <c r="C20" s="56" t="s">
        <v>54</v>
      </c>
      <c r="D20" s="44" t="s">
        <v>79</v>
      </c>
      <c r="E20" s="95" t="s">
        <v>80</v>
      </c>
      <c r="F20" s="39" t="s">
        <v>81</v>
      </c>
      <c r="G20" s="61"/>
      <c r="H20" s="35" t="s">
        <v>46</v>
      </c>
      <c r="I20" s="41"/>
      <c r="J20" s="71"/>
      <c r="K20" s="71"/>
      <c r="L20" s="133"/>
      <c r="M20" s="135"/>
      <c r="N20" s="113"/>
      <c r="O20" s="36"/>
      <c r="P20" s="96">
        <f>1128618634-71954166-368151999-51097293-134254307</f>
        <v>503160869</v>
      </c>
      <c r="Q20" s="96"/>
      <c r="R20" s="96"/>
      <c r="S20" s="96"/>
      <c r="T20" s="97"/>
      <c r="U20" s="123"/>
      <c r="V20" s="96"/>
      <c r="W20" s="96"/>
      <c r="X20" s="96"/>
      <c r="Y20" s="96"/>
      <c r="Z20" s="97"/>
      <c r="AA20" s="123"/>
      <c r="AB20" s="117"/>
      <c r="AC20" s="120"/>
      <c r="AD20" s="110"/>
      <c r="AE20" s="110"/>
    </row>
    <row r="21" spans="1:31" ht="94.2" customHeight="1" x14ac:dyDescent="0.25">
      <c r="A21" s="25">
        <v>217</v>
      </c>
      <c r="B21" s="56" t="s">
        <v>43</v>
      </c>
      <c r="C21" s="56" t="s">
        <v>83</v>
      </c>
      <c r="D21" s="44" t="s">
        <v>84</v>
      </c>
      <c r="E21" s="95" t="s">
        <v>85</v>
      </c>
      <c r="F21" s="39" t="s">
        <v>86</v>
      </c>
      <c r="G21" s="61">
        <v>20200680010110</v>
      </c>
      <c r="H21" s="42" t="s">
        <v>87</v>
      </c>
      <c r="I21" s="39" t="s">
        <v>88</v>
      </c>
      <c r="J21" s="71">
        <v>44222</v>
      </c>
      <c r="K21" s="71">
        <v>44561</v>
      </c>
      <c r="L21" s="124">
        <v>4</v>
      </c>
      <c r="M21" s="126">
        <v>4</v>
      </c>
      <c r="N21" s="114">
        <f t="shared" si="0"/>
        <v>1</v>
      </c>
      <c r="O21" s="36" t="s">
        <v>89</v>
      </c>
      <c r="P21" s="96">
        <v>587726775</v>
      </c>
      <c r="Q21" s="96"/>
      <c r="R21" s="96"/>
      <c r="S21" s="96"/>
      <c r="T21" s="97"/>
      <c r="U21" s="121">
        <f>SUM(P21:T22)</f>
        <v>617000000</v>
      </c>
      <c r="V21" s="96">
        <v>452748479</v>
      </c>
      <c r="W21" s="96"/>
      <c r="X21" s="96"/>
      <c r="Y21" s="96"/>
      <c r="Z21" s="97"/>
      <c r="AA21" s="121">
        <f>SUM(V21:Z22)</f>
        <v>452748479</v>
      </c>
      <c r="AB21" s="115">
        <f>IFERROR(AA21/U21,"-")</f>
        <v>0.73379007941653163</v>
      </c>
      <c r="AC21" s="118">
        <v>0</v>
      </c>
      <c r="AD21" s="109" t="s">
        <v>52</v>
      </c>
      <c r="AE21" s="109" t="s">
        <v>256</v>
      </c>
    </row>
    <row r="22" spans="1:31" ht="45" customHeight="1" x14ac:dyDescent="0.25">
      <c r="A22" s="25">
        <v>217</v>
      </c>
      <c r="B22" s="56" t="s">
        <v>43</v>
      </c>
      <c r="C22" s="56" t="s">
        <v>83</v>
      </c>
      <c r="D22" s="44" t="s">
        <v>84</v>
      </c>
      <c r="E22" s="95" t="s">
        <v>85</v>
      </c>
      <c r="F22" s="39" t="s">
        <v>86</v>
      </c>
      <c r="G22" s="61"/>
      <c r="H22" s="35" t="s">
        <v>46</v>
      </c>
      <c r="I22" s="39"/>
      <c r="J22" s="71"/>
      <c r="K22" s="71"/>
      <c r="L22" s="125"/>
      <c r="M22" s="127"/>
      <c r="N22" s="113"/>
      <c r="O22" s="36"/>
      <c r="P22" s="96">
        <v>29273225</v>
      </c>
      <c r="Q22" s="96"/>
      <c r="R22" s="96"/>
      <c r="S22" s="96"/>
      <c r="T22" s="97"/>
      <c r="U22" s="123"/>
      <c r="V22" s="96"/>
      <c r="W22" s="96"/>
      <c r="X22" s="96"/>
      <c r="Y22" s="96"/>
      <c r="Z22" s="97"/>
      <c r="AA22" s="123"/>
      <c r="AB22" s="117"/>
      <c r="AC22" s="120"/>
      <c r="AD22" s="110"/>
      <c r="AE22" s="110"/>
    </row>
    <row r="23" spans="1:31" ht="63" customHeight="1" x14ac:dyDescent="0.25">
      <c r="A23" s="25">
        <v>229</v>
      </c>
      <c r="B23" s="43" t="s">
        <v>43</v>
      </c>
      <c r="C23" s="43" t="s">
        <v>44</v>
      </c>
      <c r="D23" s="43" t="s">
        <v>45</v>
      </c>
      <c r="E23" s="95" t="s">
        <v>90</v>
      </c>
      <c r="F23" s="39" t="s">
        <v>91</v>
      </c>
      <c r="G23" s="61">
        <v>20200680010062</v>
      </c>
      <c r="H23" s="42" t="s">
        <v>92</v>
      </c>
      <c r="I23" s="39" t="s">
        <v>93</v>
      </c>
      <c r="J23" s="84">
        <v>44209</v>
      </c>
      <c r="K23" s="84">
        <v>44561</v>
      </c>
      <c r="L23" s="124">
        <v>1</v>
      </c>
      <c r="M23" s="126">
        <v>1</v>
      </c>
      <c r="N23" s="114">
        <f>IFERROR(IF(M23/L23&gt;100%,100%,M23/L23),"-")</f>
        <v>1</v>
      </c>
      <c r="O23" s="36" t="s">
        <v>263</v>
      </c>
      <c r="P23" s="102">
        <f>583000000-35500000</f>
        <v>547500000</v>
      </c>
      <c r="Q23" s="102"/>
      <c r="R23" s="102"/>
      <c r="S23" s="102"/>
      <c r="T23" s="106"/>
      <c r="U23" s="121">
        <f>SUM(P23:T27)</f>
        <v>1639800000</v>
      </c>
      <c r="V23" s="96">
        <f>442500000+95100000</f>
        <v>537600000</v>
      </c>
      <c r="W23" s="96"/>
      <c r="X23" s="96"/>
      <c r="Y23" s="96"/>
      <c r="Z23" s="97"/>
      <c r="AA23" s="121">
        <f>SUM(V23:Z27)</f>
        <v>1678809997</v>
      </c>
      <c r="AB23" s="115">
        <f>IFERROR(AA23/U23,"-")</f>
        <v>1.0237894846932554</v>
      </c>
      <c r="AC23" s="118">
        <v>0</v>
      </c>
      <c r="AD23" s="109" t="s">
        <v>52</v>
      </c>
      <c r="AE23" s="109" t="s">
        <v>256</v>
      </c>
    </row>
    <row r="24" spans="1:31" ht="63" customHeight="1" x14ac:dyDescent="0.25">
      <c r="A24" s="25">
        <v>229</v>
      </c>
      <c r="B24" s="43" t="s">
        <v>43</v>
      </c>
      <c r="C24" s="43" t="s">
        <v>44</v>
      </c>
      <c r="D24" s="43" t="s">
        <v>45</v>
      </c>
      <c r="E24" s="95" t="s">
        <v>90</v>
      </c>
      <c r="F24" s="39" t="s">
        <v>91</v>
      </c>
      <c r="G24" s="61">
        <v>20200680010062</v>
      </c>
      <c r="H24" s="42" t="s">
        <v>92</v>
      </c>
      <c r="I24" s="44" t="s">
        <v>244</v>
      </c>
      <c r="J24" s="71"/>
      <c r="K24" s="71"/>
      <c r="L24" s="129"/>
      <c r="M24" s="131"/>
      <c r="N24" s="112"/>
      <c r="O24" s="36"/>
      <c r="P24" s="102">
        <f>5500000+35500000</f>
        <v>41000000</v>
      </c>
      <c r="Q24" s="102"/>
      <c r="R24" s="102"/>
      <c r="S24" s="102"/>
      <c r="T24" s="106"/>
      <c r="U24" s="122"/>
      <c r="V24" s="96"/>
      <c r="W24" s="96"/>
      <c r="X24" s="96"/>
      <c r="Y24" s="96"/>
      <c r="Z24" s="97"/>
      <c r="AA24" s="122"/>
      <c r="AB24" s="116"/>
      <c r="AC24" s="119"/>
      <c r="AD24" s="173"/>
      <c r="AE24" s="173"/>
    </row>
    <row r="25" spans="1:31" ht="94.5" customHeight="1" x14ac:dyDescent="0.25">
      <c r="A25" s="25">
        <v>229</v>
      </c>
      <c r="B25" s="43" t="s">
        <v>43</v>
      </c>
      <c r="C25" s="43" t="s">
        <v>44</v>
      </c>
      <c r="D25" s="43" t="s">
        <v>45</v>
      </c>
      <c r="E25" s="95" t="s">
        <v>90</v>
      </c>
      <c r="F25" s="39" t="s">
        <v>91</v>
      </c>
      <c r="G25" s="61">
        <v>20210680010041</v>
      </c>
      <c r="H25" s="42" t="s">
        <v>94</v>
      </c>
      <c r="I25" s="39" t="s">
        <v>95</v>
      </c>
      <c r="J25" s="84">
        <v>44330</v>
      </c>
      <c r="K25" s="84">
        <v>44561</v>
      </c>
      <c r="L25" s="129"/>
      <c r="M25" s="131"/>
      <c r="N25" s="112"/>
      <c r="O25" s="34" t="s">
        <v>298</v>
      </c>
      <c r="P25" s="102"/>
      <c r="Q25" s="102"/>
      <c r="R25" s="102"/>
      <c r="S25" s="107"/>
      <c r="T25" s="102">
        <f>676000000+5000000</f>
        <v>681000000</v>
      </c>
      <c r="U25" s="166"/>
      <c r="V25" s="96"/>
      <c r="W25" s="96"/>
      <c r="X25" s="96"/>
      <c r="Y25" s="98"/>
      <c r="Z25" s="96">
        <f>653583333+26416666</f>
        <v>679999999</v>
      </c>
      <c r="AA25" s="122"/>
      <c r="AB25" s="116"/>
      <c r="AC25" s="119"/>
      <c r="AD25" s="173"/>
      <c r="AE25" s="173"/>
    </row>
    <row r="26" spans="1:31" ht="94.5" customHeight="1" x14ac:dyDescent="0.25">
      <c r="A26" s="25">
        <v>229</v>
      </c>
      <c r="B26" s="43" t="s">
        <v>43</v>
      </c>
      <c r="C26" s="43" t="s">
        <v>44</v>
      </c>
      <c r="D26" s="43" t="s">
        <v>45</v>
      </c>
      <c r="E26" s="95" t="s">
        <v>90</v>
      </c>
      <c r="F26" s="39" t="s">
        <v>91</v>
      </c>
      <c r="G26" s="61">
        <v>20210680010041</v>
      </c>
      <c r="H26" s="42" t="s">
        <v>94</v>
      </c>
      <c r="I26" s="44"/>
      <c r="J26" s="84"/>
      <c r="K26" s="84"/>
      <c r="L26" s="129"/>
      <c r="M26" s="131"/>
      <c r="N26" s="112"/>
      <c r="O26" s="34" t="s">
        <v>297</v>
      </c>
      <c r="P26" s="102"/>
      <c r="Q26" s="102"/>
      <c r="R26" s="102"/>
      <c r="S26" s="107"/>
      <c r="T26" s="102">
        <v>22800000</v>
      </c>
      <c r="U26" s="166"/>
      <c r="V26" s="96"/>
      <c r="W26" s="96"/>
      <c r="X26" s="96"/>
      <c r="Y26" s="98"/>
      <c r="Z26" s="96"/>
      <c r="AA26" s="122"/>
      <c r="AB26" s="116"/>
      <c r="AC26" s="119"/>
      <c r="AD26" s="173"/>
      <c r="AE26" s="173"/>
    </row>
    <row r="27" spans="1:31" ht="78.75" customHeight="1" x14ac:dyDescent="0.25">
      <c r="A27" s="25">
        <v>229</v>
      </c>
      <c r="B27" s="43" t="s">
        <v>43</v>
      </c>
      <c r="C27" s="43" t="s">
        <v>44</v>
      </c>
      <c r="D27" s="43" t="s">
        <v>45</v>
      </c>
      <c r="E27" s="95" t="s">
        <v>90</v>
      </c>
      <c r="F27" s="39" t="s">
        <v>91</v>
      </c>
      <c r="G27" s="61">
        <v>20200680010156</v>
      </c>
      <c r="H27" s="45" t="s">
        <v>97</v>
      </c>
      <c r="I27" s="44" t="s">
        <v>98</v>
      </c>
      <c r="J27" s="84">
        <v>44202</v>
      </c>
      <c r="K27" s="84">
        <v>44561</v>
      </c>
      <c r="L27" s="125"/>
      <c r="M27" s="127"/>
      <c r="N27" s="113"/>
      <c r="O27" s="36" t="s">
        <v>96</v>
      </c>
      <c r="P27" s="102"/>
      <c r="Q27" s="102"/>
      <c r="R27" s="102"/>
      <c r="S27" s="107"/>
      <c r="T27" s="102">
        <v>347500000</v>
      </c>
      <c r="U27" s="123"/>
      <c r="V27" s="96"/>
      <c r="W27" s="96"/>
      <c r="X27" s="96"/>
      <c r="Y27" s="98"/>
      <c r="Z27" s="96">
        <f>331999999+129209999</f>
        <v>461209998</v>
      </c>
      <c r="AA27" s="123"/>
      <c r="AB27" s="117"/>
      <c r="AC27" s="120"/>
      <c r="AD27" s="110"/>
      <c r="AE27" s="110"/>
    </row>
    <row r="28" spans="1:31" ht="78.75" customHeight="1" x14ac:dyDescent="0.25">
      <c r="A28" s="25">
        <v>230</v>
      </c>
      <c r="B28" s="57" t="s">
        <v>43</v>
      </c>
      <c r="C28" s="57" t="s">
        <v>44</v>
      </c>
      <c r="D28" s="49" t="s">
        <v>45</v>
      </c>
      <c r="E28" s="95" t="s">
        <v>155</v>
      </c>
      <c r="F28" s="39" t="s">
        <v>156</v>
      </c>
      <c r="G28" s="62"/>
      <c r="H28" s="35" t="s">
        <v>135</v>
      </c>
      <c r="I28" s="41"/>
      <c r="J28" s="71"/>
      <c r="K28" s="71"/>
      <c r="L28" s="69">
        <v>1</v>
      </c>
      <c r="M28" s="24">
        <v>1</v>
      </c>
      <c r="N28" s="23">
        <f>IFERROR(IF(M28/L28&gt;100%,100%,M28/L28),"-")</f>
        <v>1</v>
      </c>
      <c r="O28" s="38" t="s">
        <v>157</v>
      </c>
      <c r="P28" s="96">
        <v>50000000</v>
      </c>
      <c r="Q28" s="96"/>
      <c r="R28" s="96"/>
      <c r="S28" s="98"/>
      <c r="T28" s="96"/>
      <c r="U28" s="93">
        <f>SUM(P28:T28)</f>
        <v>50000000</v>
      </c>
      <c r="V28" s="96"/>
      <c r="W28" s="96"/>
      <c r="X28" s="96"/>
      <c r="Y28" s="98"/>
      <c r="Z28" s="96"/>
      <c r="AA28" s="93">
        <f>SUM(V28:Z28)</f>
        <v>0</v>
      </c>
      <c r="AB28" s="3">
        <f>IFERROR(AA28/U28,"-")</f>
        <v>0</v>
      </c>
      <c r="AC28" s="4">
        <v>0</v>
      </c>
      <c r="AD28" s="5" t="s">
        <v>52</v>
      </c>
      <c r="AE28" s="5" t="s">
        <v>256</v>
      </c>
    </row>
    <row r="29" spans="1:31" ht="105" customHeight="1" x14ac:dyDescent="0.25">
      <c r="A29" s="25">
        <v>231</v>
      </c>
      <c r="B29" s="56" t="s">
        <v>43</v>
      </c>
      <c r="C29" s="56" t="s">
        <v>44</v>
      </c>
      <c r="D29" s="44" t="s">
        <v>45</v>
      </c>
      <c r="E29" s="95" t="s">
        <v>158</v>
      </c>
      <c r="F29" s="39" t="s">
        <v>159</v>
      </c>
      <c r="G29" s="64">
        <v>20210680010009</v>
      </c>
      <c r="H29" s="42" t="s">
        <v>160</v>
      </c>
      <c r="I29" s="39" t="s">
        <v>161</v>
      </c>
      <c r="J29" s="84">
        <v>44232</v>
      </c>
      <c r="K29" s="84">
        <v>44561</v>
      </c>
      <c r="L29" s="124">
        <v>1</v>
      </c>
      <c r="M29" s="126">
        <v>1</v>
      </c>
      <c r="N29" s="114">
        <f>IFERROR(IF(M29/L29&gt;100%,100%,M29/L29),"-")</f>
        <v>1</v>
      </c>
      <c r="O29" s="36" t="s">
        <v>162</v>
      </c>
      <c r="P29" s="96">
        <v>355773880</v>
      </c>
      <c r="Q29" s="96"/>
      <c r="R29" s="96"/>
      <c r="S29" s="98"/>
      <c r="T29" s="96"/>
      <c r="U29" s="121">
        <f>SUM(P29:T30)</f>
        <v>360000000</v>
      </c>
      <c r="V29" s="96">
        <v>320207103</v>
      </c>
      <c r="W29" s="96"/>
      <c r="X29" s="96"/>
      <c r="Y29" s="98"/>
      <c r="Z29" s="96"/>
      <c r="AA29" s="121">
        <f>SUM(V29:Z30)</f>
        <v>320207103</v>
      </c>
      <c r="AB29" s="115">
        <f>IFERROR(AA29/U29,"-")</f>
        <v>0.88946417499999997</v>
      </c>
      <c r="AC29" s="118">
        <v>0</v>
      </c>
      <c r="AD29" s="109" t="s">
        <v>52</v>
      </c>
      <c r="AE29" s="109" t="s">
        <v>256</v>
      </c>
    </row>
    <row r="30" spans="1:31" ht="45" customHeight="1" x14ac:dyDescent="0.25">
      <c r="A30" s="25">
        <v>231</v>
      </c>
      <c r="B30" s="56" t="s">
        <v>43</v>
      </c>
      <c r="C30" s="56" t="s">
        <v>44</v>
      </c>
      <c r="D30" s="44" t="s">
        <v>45</v>
      </c>
      <c r="E30" s="95" t="s">
        <v>158</v>
      </c>
      <c r="F30" s="39" t="s">
        <v>159</v>
      </c>
      <c r="G30" s="65"/>
      <c r="H30" s="35" t="s">
        <v>46</v>
      </c>
      <c r="I30" s="39"/>
      <c r="J30" s="71"/>
      <c r="K30" s="71"/>
      <c r="L30" s="125"/>
      <c r="M30" s="127"/>
      <c r="N30" s="113"/>
      <c r="O30" s="36"/>
      <c r="P30" s="96">
        <v>4226120</v>
      </c>
      <c r="Q30" s="96"/>
      <c r="R30" s="96"/>
      <c r="S30" s="98"/>
      <c r="T30" s="96"/>
      <c r="U30" s="123"/>
      <c r="V30" s="96"/>
      <c r="W30" s="96"/>
      <c r="X30" s="96"/>
      <c r="Y30" s="98"/>
      <c r="Z30" s="96"/>
      <c r="AA30" s="123"/>
      <c r="AB30" s="117"/>
      <c r="AC30" s="120"/>
      <c r="AD30" s="110"/>
      <c r="AE30" s="110"/>
    </row>
    <row r="31" spans="1:31" ht="100.2" customHeight="1" x14ac:dyDescent="0.25">
      <c r="A31" s="25">
        <v>232</v>
      </c>
      <c r="B31" s="56" t="s">
        <v>43</v>
      </c>
      <c r="C31" s="56" t="s">
        <v>44</v>
      </c>
      <c r="D31" s="44" t="s">
        <v>45</v>
      </c>
      <c r="E31" s="95" t="s">
        <v>141</v>
      </c>
      <c r="F31" s="39" t="s">
        <v>142</v>
      </c>
      <c r="G31" s="66">
        <v>20200680010162</v>
      </c>
      <c r="H31" s="46" t="s">
        <v>139</v>
      </c>
      <c r="I31" s="47" t="s">
        <v>140</v>
      </c>
      <c r="J31" s="84">
        <v>44225</v>
      </c>
      <c r="K31" s="84">
        <v>44561</v>
      </c>
      <c r="L31" s="124">
        <v>1</v>
      </c>
      <c r="M31" s="126">
        <v>1</v>
      </c>
      <c r="N31" s="114">
        <f>IFERROR(IF(M31/L31&gt;100%,100%,M31/L31),"-")</f>
        <v>1</v>
      </c>
      <c r="O31" s="36" t="s">
        <v>264</v>
      </c>
      <c r="P31" s="96"/>
      <c r="Q31" s="96"/>
      <c r="R31" s="96"/>
      <c r="S31" s="98"/>
      <c r="T31" s="96">
        <v>392114565</v>
      </c>
      <c r="U31" s="121">
        <f>SUM(P31:T34)</f>
        <v>1649746330</v>
      </c>
      <c r="V31" s="96"/>
      <c r="W31" s="96"/>
      <c r="X31" s="96"/>
      <c r="Y31" s="98"/>
      <c r="Z31" s="96">
        <f>347419490+83459223</f>
        <v>430878713</v>
      </c>
      <c r="AA31" s="121">
        <f>SUM(V31:Z34)</f>
        <v>487101611</v>
      </c>
      <c r="AB31" s="115">
        <f>IFERROR(AA31/U31,"-")</f>
        <v>0.29525849043713281</v>
      </c>
      <c r="AC31" s="118">
        <v>21880000</v>
      </c>
      <c r="AD31" s="109" t="s">
        <v>52</v>
      </c>
      <c r="AE31" s="109" t="s">
        <v>256</v>
      </c>
    </row>
    <row r="32" spans="1:31" ht="47.25" customHeight="1" x14ac:dyDescent="0.25">
      <c r="A32" s="25">
        <v>232</v>
      </c>
      <c r="B32" s="56" t="s">
        <v>43</v>
      </c>
      <c r="C32" s="56" t="s">
        <v>44</v>
      </c>
      <c r="D32" s="44" t="s">
        <v>45</v>
      </c>
      <c r="E32" s="95" t="s">
        <v>141</v>
      </c>
      <c r="F32" s="39" t="s">
        <v>142</v>
      </c>
      <c r="G32" s="61"/>
      <c r="H32" s="48" t="s">
        <v>46</v>
      </c>
      <c r="I32" s="39"/>
      <c r="J32" s="71"/>
      <c r="K32" s="71"/>
      <c r="L32" s="129"/>
      <c r="M32" s="131"/>
      <c r="N32" s="112"/>
      <c r="O32" s="36"/>
      <c r="P32" s="96"/>
      <c r="Q32" s="96"/>
      <c r="R32" s="96"/>
      <c r="S32" s="98"/>
      <c r="T32" s="96">
        <v>423302657</v>
      </c>
      <c r="U32" s="122"/>
      <c r="V32" s="96"/>
      <c r="W32" s="96"/>
      <c r="X32" s="96"/>
      <c r="Y32" s="98"/>
      <c r="Z32" s="96"/>
      <c r="AA32" s="122"/>
      <c r="AB32" s="116"/>
      <c r="AC32" s="119"/>
      <c r="AD32" s="173"/>
      <c r="AE32" s="173"/>
    </row>
    <row r="33" spans="1:31" ht="47.25" customHeight="1" x14ac:dyDescent="0.25">
      <c r="A33" s="25">
        <v>232</v>
      </c>
      <c r="B33" s="56" t="s">
        <v>43</v>
      </c>
      <c r="C33" s="56" t="s">
        <v>44</v>
      </c>
      <c r="D33" s="44" t="s">
        <v>45</v>
      </c>
      <c r="E33" s="95" t="s">
        <v>141</v>
      </c>
      <c r="F33" s="39" t="s">
        <v>142</v>
      </c>
      <c r="G33" s="87">
        <v>20210680010086</v>
      </c>
      <c r="H33" s="88" t="s">
        <v>275</v>
      </c>
      <c r="I33" s="89" t="s">
        <v>276</v>
      </c>
      <c r="J33" s="27">
        <v>44438</v>
      </c>
      <c r="K33" s="27">
        <v>44561</v>
      </c>
      <c r="L33" s="129"/>
      <c r="M33" s="131"/>
      <c r="N33" s="112"/>
      <c r="O33" s="90" t="s">
        <v>278</v>
      </c>
      <c r="P33" s="96"/>
      <c r="Q33" s="96"/>
      <c r="R33" s="96"/>
      <c r="S33" s="98"/>
      <c r="T33" s="96">
        <f>381264073+99649695+103415340</f>
        <v>584329108</v>
      </c>
      <c r="U33" s="122"/>
      <c r="V33" s="96"/>
      <c r="W33" s="96"/>
      <c r="X33" s="96"/>
      <c r="Y33" s="98"/>
      <c r="Z33" s="96">
        <v>56222898</v>
      </c>
      <c r="AA33" s="122"/>
      <c r="AB33" s="116"/>
      <c r="AC33" s="119"/>
      <c r="AD33" s="173"/>
      <c r="AE33" s="173"/>
    </row>
    <row r="34" spans="1:31" ht="47.25" customHeight="1" x14ac:dyDescent="0.25">
      <c r="A34" s="25">
        <v>232</v>
      </c>
      <c r="B34" s="56" t="s">
        <v>43</v>
      </c>
      <c r="C34" s="56" t="s">
        <v>44</v>
      </c>
      <c r="D34" s="44" t="s">
        <v>45</v>
      </c>
      <c r="E34" s="95" t="s">
        <v>141</v>
      </c>
      <c r="F34" s="39" t="s">
        <v>142</v>
      </c>
      <c r="G34" s="61"/>
      <c r="H34" s="49" t="s">
        <v>143</v>
      </c>
      <c r="I34" s="39"/>
      <c r="J34" s="71"/>
      <c r="K34" s="71"/>
      <c r="L34" s="125"/>
      <c r="M34" s="127"/>
      <c r="N34" s="113"/>
      <c r="O34" s="38" t="s">
        <v>144</v>
      </c>
      <c r="P34" s="96"/>
      <c r="Q34" s="96"/>
      <c r="R34" s="96"/>
      <c r="S34" s="98"/>
      <c r="T34" s="96">
        <v>250000000</v>
      </c>
      <c r="U34" s="123"/>
      <c r="V34" s="96"/>
      <c r="W34" s="96"/>
      <c r="X34" s="96"/>
      <c r="Y34" s="98"/>
      <c r="Z34" s="96"/>
      <c r="AA34" s="123"/>
      <c r="AB34" s="117"/>
      <c r="AC34" s="120"/>
      <c r="AD34" s="110"/>
      <c r="AE34" s="110"/>
    </row>
    <row r="35" spans="1:31" ht="107.4" customHeight="1" x14ac:dyDescent="0.25">
      <c r="A35" s="25">
        <v>233</v>
      </c>
      <c r="B35" s="56" t="s">
        <v>43</v>
      </c>
      <c r="C35" s="56" t="s">
        <v>44</v>
      </c>
      <c r="D35" s="44" t="s">
        <v>45</v>
      </c>
      <c r="E35" s="95" t="s">
        <v>99</v>
      </c>
      <c r="F35" s="39" t="s">
        <v>100</v>
      </c>
      <c r="G35" s="61">
        <v>20200680010156</v>
      </c>
      <c r="H35" s="45" t="s">
        <v>97</v>
      </c>
      <c r="I35" s="44" t="s">
        <v>98</v>
      </c>
      <c r="J35" s="84">
        <v>44202</v>
      </c>
      <c r="K35" s="84">
        <v>44561</v>
      </c>
      <c r="L35" s="124">
        <v>3</v>
      </c>
      <c r="M35" s="126">
        <v>3</v>
      </c>
      <c r="N35" s="114">
        <f>IFERROR(IF(M35/L35&gt;100%,100%,M35/L35),"-")</f>
        <v>1</v>
      </c>
      <c r="O35" s="34" t="s">
        <v>101</v>
      </c>
      <c r="P35" s="96"/>
      <c r="Q35" s="96"/>
      <c r="R35" s="96"/>
      <c r="S35" s="98"/>
      <c r="T35" s="96">
        <v>87300000</v>
      </c>
      <c r="U35" s="121">
        <f>SUM(P35:T36)</f>
        <v>168300000</v>
      </c>
      <c r="V35" s="96"/>
      <c r="W35" s="96"/>
      <c r="X35" s="96"/>
      <c r="Y35" s="98"/>
      <c r="Z35" s="96">
        <f>23333333+15000000</f>
        <v>38333333</v>
      </c>
      <c r="AA35" s="121">
        <f>SUM(V35:Z36)</f>
        <v>117833333</v>
      </c>
      <c r="AB35" s="115">
        <f>IFERROR(AA35/U35,"-")</f>
        <v>0.7001386393345217</v>
      </c>
      <c r="AC35" s="118">
        <v>0</v>
      </c>
      <c r="AD35" s="109" t="s">
        <v>52</v>
      </c>
      <c r="AE35" s="109" t="s">
        <v>256</v>
      </c>
    </row>
    <row r="36" spans="1:31" ht="94.5" customHeight="1" x14ac:dyDescent="0.25">
      <c r="A36" s="25">
        <v>233</v>
      </c>
      <c r="B36" s="56" t="s">
        <v>43</v>
      </c>
      <c r="C36" s="56" t="s">
        <v>44</v>
      </c>
      <c r="D36" s="44" t="s">
        <v>45</v>
      </c>
      <c r="E36" s="95" t="s">
        <v>99</v>
      </c>
      <c r="F36" s="39" t="s">
        <v>100</v>
      </c>
      <c r="G36" s="61">
        <v>20210680010041</v>
      </c>
      <c r="H36" s="45" t="s">
        <v>94</v>
      </c>
      <c r="I36" s="44" t="s">
        <v>95</v>
      </c>
      <c r="J36" s="84">
        <v>44330</v>
      </c>
      <c r="K36" s="84">
        <v>44561</v>
      </c>
      <c r="L36" s="125"/>
      <c r="M36" s="127"/>
      <c r="N36" s="113"/>
      <c r="O36" s="34" t="s">
        <v>102</v>
      </c>
      <c r="P36" s="96"/>
      <c r="Q36" s="96"/>
      <c r="R36" s="96"/>
      <c r="S36" s="98"/>
      <c r="T36" s="96">
        <v>81000000</v>
      </c>
      <c r="U36" s="123"/>
      <c r="V36" s="96"/>
      <c r="W36" s="96"/>
      <c r="X36" s="96"/>
      <c r="Y36" s="98"/>
      <c r="Z36" s="96">
        <v>79500000</v>
      </c>
      <c r="AA36" s="123"/>
      <c r="AB36" s="117"/>
      <c r="AC36" s="120"/>
      <c r="AD36" s="110"/>
      <c r="AE36" s="110"/>
    </row>
    <row r="37" spans="1:31" ht="78.75" customHeight="1" x14ac:dyDescent="0.25">
      <c r="A37" s="25">
        <v>235</v>
      </c>
      <c r="B37" s="43" t="s">
        <v>43</v>
      </c>
      <c r="C37" s="43" t="s">
        <v>44</v>
      </c>
      <c r="D37" s="43" t="s">
        <v>108</v>
      </c>
      <c r="E37" s="95" t="s">
        <v>109</v>
      </c>
      <c r="F37" s="39" t="s">
        <v>110</v>
      </c>
      <c r="G37" s="61">
        <v>20200680010156</v>
      </c>
      <c r="H37" s="45" t="s">
        <v>97</v>
      </c>
      <c r="I37" s="44" t="s">
        <v>98</v>
      </c>
      <c r="J37" s="84">
        <v>44202</v>
      </c>
      <c r="K37" s="84">
        <v>44561</v>
      </c>
      <c r="L37" s="128">
        <v>1</v>
      </c>
      <c r="M37" s="130">
        <v>1</v>
      </c>
      <c r="N37" s="111">
        <f>IFERROR(IF(M37/L37&gt;100%,100%,M37/L37),"-")</f>
        <v>1</v>
      </c>
      <c r="O37" s="36" t="s">
        <v>111</v>
      </c>
      <c r="P37" s="96"/>
      <c r="Q37" s="96"/>
      <c r="R37" s="96"/>
      <c r="S37" s="98"/>
      <c r="T37" s="96">
        <v>60000000</v>
      </c>
      <c r="U37" s="121">
        <f>SUM(P37:T61)</f>
        <v>13519077076.5</v>
      </c>
      <c r="V37" s="96"/>
      <c r="W37" s="96"/>
      <c r="X37" s="96"/>
      <c r="Y37" s="98"/>
      <c r="Z37" s="96">
        <v>60000000</v>
      </c>
      <c r="AA37" s="121">
        <f>SUM(V37:Z61)</f>
        <v>3300139751.3299999</v>
      </c>
      <c r="AB37" s="115">
        <f>IFERROR(AA37/U37,"-")</f>
        <v>0.24410984068332453</v>
      </c>
      <c r="AC37" s="118">
        <f>21880000+88470823</f>
        <v>110350823</v>
      </c>
      <c r="AD37" s="109" t="s">
        <v>52</v>
      </c>
      <c r="AE37" s="109" t="s">
        <v>256</v>
      </c>
    </row>
    <row r="38" spans="1:31" ht="94.5" customHeight="1" x14ac:dyDescent="0.25">
      <c r="A38" s="25">
        <v>235</v>
      </c>
      <c r="B38" s="43" t="s">
        <v>43</v>
      </c>
      <c r="C38" s="43" t="s">
        <v>44</v>
      </c>
      <c r="D38" s="43" t="s">
        <v>108</v>
      </c>
      <c r="E38" s="95" t="s">
        <v>109</v>
      </c>
      <c r="F38" s="39" t="s">
        <v>110</v>
      </c>
      <c r="G38" s="61">
        <v>20200680010131</v>
      </c>
      <c r="H38" s="42" t="s">
        <v>112</v>
      </c>
      <c r="I38" s="39" t="s">
        <v>113</v>
      </c>
      <c r="J38" s="84">
        <v>44426</v>
      </c>
      <c r="K38" s="84">
        <v>44560</v>
      </c>
      <c r="L38" s="129"/>
      <c r="M38" s="131"/>
      <c r="N38" s="112"/>
      <c r="O38" s="36" t="s">
        <v>246</v>
      </c>
      <c r="P38" s="96"/>
      <c r="Q38" s="96"/>
      <c r="R38" s="96"/>
      <c r="S38" s="98"/>
      <c r="T38" s="96">
        <v>1049000000</v>
      </c>
      <c r="U38" s="122"/>
      <c r="V38" s="96"/>
      <c r="W38" s="96"/>
      <c r="X38" s="96"/>
      <c r="Y38" s="98"/>
      <c r="Z38" s="96">
        <v>87100355</v>
      </c>
      <c r="AA38" s="122"/>
      <c r="AB38" s="116"/>
      <c r="AC38" s="119"/>
      <c r="AD38" s="173"/>
      <c r="AE38" s="173"/>
    </row>
    <row r="39" spans="1:31" ht="78.75" customHeight="1" x14ac:dyDescent="0.25">
      <c r="A39" s="25">
        <v>235</v>
      </c>
      <c r="B39" s="43" t="s">
        <v>43</v>
      </c>
      <c r="C39" s="43" t="s">
        <v>44</v>
      </c>
      <c r="D39" s="43" t="s">
        <v>108</v>
      </c>
      <c r="E39" s="95" t="s">
        <v>109</v>
      </c>
      <c r="F39" s="39" t="s">
        <v>110</v>
      </c>
      <c r="G39" s="61">
        <v>20210680010023</v>
      </c>
      <c r="H39" s="50" t="s">
        <v>114</v>
      </c>
      <c r="I39" s="39" t="s">
        <v>115</v>
      </c>
      <c r="J39" s="84">
        <v>44258</v>
      </c>
      <c r="K39" s="84">
        <v>44350</v>
      </c>
      <c r="L39" s="129"/>
      <c r="M39" s="131"/>
      <c r="N39" s="112"/>
      <c r="O39" s="36" t="s">
        <v>116</v>
      </c>
      <c r="P39" s="96"/>
      <c r="Q39" s="96"/>
      <c r="R39" s="96"/>
      <c r="S39" s="98"/>
      <c r="T39" s="96">
        <v>347157800</v>
      </c>
      <c r="U39" s="122"/>
      <c r="V39" s="96"/>
      <c r="W39" s="96"/>
      <c r="X39" s="96"/>
      <c r="Y39" s="98"/>
      <c r="Z39" s="96">
        <v>297576901</v>
      </c>
      <c r="AA39" s="122"/>
      <c r="AB39" s="116"/>
      <c r="AC39" s="119"/>
      <c r="AD39" s="173"/>
      <c r="AE39" s="173"/>
    </row>
    <row r="40" spans="1:31" ht="60" customHeight="1" x14ac:dyDescent="0.25">
      <c r="A40" s="25">
        <v>235</v>
      </c>
      <c r="B40" s="43" t="s">
        <v>43</v>
      </c>
      <c r="C40" s="43" t="s">
        <v>44</v>
      </c>
      <c r="D40" s="43" t="s">
        <v>108</v>
      </c>
      <c r="E40" s="95" t="s">
        <v>109</v>
      </c>
      <c r="F40" s="39" t="s">
        <v>110</v>
      </c>
      <c r="G40" s="61"/>
      <c r="H40" s="35" t="s">
        <v>46</v>
      </c>
      <c r="I40" s="39"/>
      <c r="J40" s="84"/>
      <c r="K40" s="84"/>
      <c r="L40" s="129"/>
      <c r="M40" s="131"/>
      <c r="N40" s="112"/>
      <c r="O40" s="36"/>
      <c r="P40" s="96"/>
      <c r="Q40" s="96"/>
      <c r="R40" s="96"/>
      <c r="S40" s="98"/>
      <c r="T40" s="96">
        <v>2842200</v>
      </c>
      <c r="U40" s="122"/>
      <c r="V40" s="96"/>
      <c r="W40" s="96"/>
      <c r="X40" s="96"/>
      <c r="Y40" s="98"/>
      <c r="Z40" s="96"/>
      <c r="AA40" s="122"/>
      <c r="AB40" s="116"/>
      <c r="AC40" s="119"/>
      <c r="AD40" s="173"/>
      <c r="AE40" s="173"/>
    </row>
    <row r="41" spans="1:31" ht="135" customHeight="1" x14ac:dyDescent="0.25">
      <c r="A41" s="25">
        <v>235</v>
      </c>
      <c r="B41" s="43" t="s">
        <v>43</v>
      </c>
      <c r="C41" s="43" t="s">
        <v>44</v>
      </c>
      <c r="D41" s="43" t="s">
        <v>108</v>
      </c>
      <c r="E41" s="95" t="s">
        <v>109</v>
      </c>
      <c r="F41" s="39" t="s">
        <v>110</v>
      </c>
      <c r="G41" s="61">
        <v>20210680010040</v>
      </c>
      <c r="H41" s="50" t="s">
        <v>117</v>
      </c>
      <c r="I41" s="39" t="s">
        <v>118</v>
      </c>
      <c r="J41" s="84">
        <v>44327</v>
      </c>
      <c r="K41" s="84">
        <v>44440</v>
      </c>
      <c r="L41" s="129"/>
      <c r="M41" s="131"/>
      <c r="N41" s="112"/>
      <c r="O41" s="36" t="s">
        <v>119</v>
      </c>
      <c r="P41" s="96"/>
      <c r="Q41" s="96"/>
      <c r="R41" s="96"/>
      <c r="S41" s="98"/>
      <c r="T41" s="96">
        <v>86602944.370000005</v>
      </c>
      <c r="U41" s="122"/>
      <c r="V41" s="96"/>
      <c r="W41" s="96"/>
      <c r="X41" s="96"/>
      <c r="Y41" s="98"/>
      <c r="Z41" s="96"/>
      <c r="AA41" s="122"/>
      <c r="AB41" s="116"/>
      <c r="AC41" s="119"/>
      <c r="AD41" s="173"/>
      <c r="AE41" s="173"/>
    </row>
    <row r="42" spans="1:31" ht="60" customHeight="1" x14ac:dyDescent="0.25">
      <c r="A42" s="25">
        <v>235</v>
      </c>
      <c r="B42" s="43" t="s">
        <v>43</v>
      </c>
      <c r="C42" s="43" t="s">
        <v>44</v>
      </c>
      <c r="D42" s="43" t="s">
        <v>108</v>
      </c>
      <c r="E42" s="95" t="s">
        <v>109</v>
      </c>
      <c r="F42" s="39" t="s">
        <v>110</v>
      </c>
      <c r="G42" s="61"/>
      <c r="H42" s="35" t="s">
        <v>46</v>
      </c>
      <c r="I42" s="39"/>
      <c r="J42" s="84"/>
      <c r="K42" s="84"/>
      <c r="L42" s="129"/>
      <c r="M42" s="131"/>
      <c r="N42" s="112"/>
      <c r="O42" s="36"/>
      <c r="P42" s="96"/>
      <c r="Q42" s="96"/>
      <c r="R42" s="96"/>
      <c r="S42" s="98"/>
      <c r="T42" s="96">
        <f>104627439-T41</f>
        <v>18024494.629999995</v>
      </c>
      <c r="U42" s="122"/>
      <c r="V42" s="96"/>
      <c r="W42" s="96"/>
      <c r="X42" s="96"/>
      <c r="Y42" s="98"/>
      <c r="Z42" s="96"/>
      <c r="AA42" s="122"/>
      <c r="AB42" s="116"/>
      <c r="AC42" s="119"/>
      <c r="AD42" s="173"/>
      <c r="AE42" s="173"/>
    </row>
    <row r="43" spans="1:31" ht="94.5" customHeight="1" x14ac:dyDescent="0.25">
      <c r="A43" s="25">
        <v>235</v>
      </c>
      <c r="B43" s="43" t="s">
        <v>43</v>
      </c>
      <c r="C43" s="43" t="s">
        <v>44</v>
      </c>
      <c r="D43" s="43" t="s">
        <v>108</v>
      </c>
      <c r="E43" s="95" t="s">
        <v>109</v>
      </c>
      <c r="F43" s="39" t="s">
        <v>110</v>
      </c>
      <c r="G43" s="61">
        <v>20210680010041</v>
      </c>
      <c r="H43" s="42" t="s">
        <v>94</v>
      </c>
      <c r="I43" s="39" t="s">
        <v>95</v>
      </c>
      <c r="J43" s="84">
        <v>44330</v>
      </c>
      <c r="K43" s="84">
        <v>44561</v>
      </c>
      <c r="L43" s="129"/>
      <c r="M43" s="131"/>
      <c r="N43" s="112"/>
      <c r="O43" s="34" t="s">
        <v>120</v>
      </c>
      <c r="P43" s="96"/>
      <c r="Q43" s="96"/>
      <c r="R43" s="96"/>
      <c r="S43" s="98"/>
      <c r="T43" s="96">
        <v>270000000</v>
      </c>
      <c r="U43" s="122"/>
      <c r="V43" s="96"/>
      <c r="W43" s="96"/>
      <c r="X43" s="96"/>
      <c r="Y43" s="98"/>
      <c r="Z43" s="96">
        <v>270000000</v>
      </c>
      <c r="AA43" s="122"/>
      <c r="AB43" s="116"/>
      <c r="AC43" s="119"/>
      <c r="AD43" s="173"/>
      <c r="AE43" s="173"/>
    </row>
    <row r="44" spans="1:31" ht="86.4" customHeight="1" x14ac:dyDescent="0.25">
      <c r="A44" s="25">
        <v>235</v>
      </c>
      <c r="B44" s="43" t="s">
        <v>43</v>
      </c>
      <c r="C44" s="43" t="s">
        <v>44</v>
      </c>
      <c r="D44" s="43" t="s">
        <v>108</v>
      </c>
      <c r="E44" s="95" t="s">
        <v>109</v>
      </c>
      <c r="F44" s="39" t="s">
        <v>110</v>
      </c>
      <c r="G44" s="62"/>
      <c r="H44" s="48" t="s">
        <v>121</v>
      </c>
      <c r="I44" s="39"/>
      <c r="J44" s="84"/>
      <c r="K44" s="84"/>
      <c r="L44" s="129"/>
      <c r="M44" s="131"/>
      <c r="N44" s="112"/>
      <c r="O44" s="36" t="s">
        <v>265</v>
      </c>
      <c r="P44" s="96"/>
      <c r="Q44" s="96"/>
      <c r="R44" s="96"/>
      <c r="S44" s="98"/>
      <c r="T44" s="96">
        <v>107602268</v>
      </c>
      <c r="U44" s="122"/>
      <c r="V44" s="96"/>
      <c r="W44" s="96"/>
      <c r="X44" s="96"/>
      <c r="Y44" s="98"/>
      <c r="Z44" s="96"/>
      <c r="AA44" s="122"/>
      <c r="AB44" s="116"/>
      <c r="AC44" s="119"/>
      <c r="AD44" s="173"/>
      <c r="AE44" s="173"/>
    </row>
    <row r="45" spans="1:31" ht="94.5" customHeight="1" x14ac:dyDescent="0.25">
      <c r="A45" s="25">
        <v>235</v>
      </c>
      <c r="B45" s="43" t="s">
        <v>43</v>
      </c>
      <c r="C45" s="43" t="s">
        <v>44</v>
      </c>
      <c r="D45" s="43" t="s">
        <v>108</v>
      </c>
      <c r="E45" s="95" t="s">
        <v>109</v>
      </c>
      <c r="F45" s="39" t="s">
        <v>110</v>
      </c>
      <c r="G45" s="61">
        <v>20210680010045</v>
      </c>
      <c r="H45" s="42" t="s">
        <v>122</v>
      </c>
      <c r="I45" s="39" t="s">
        <v>123</v>
      </c>
      <c r="J45" s="84">
        <v>44341</v>
      </c>
      <c r="K45" s="84">
        <v>44533</v>
      </c>
      <c r="L45" s="129"/>
      <c r="M45" s="131"/>
      <c r="N45" s="112"/>
      <c r="O45" s="36" t="s">
        <v>124</v>
      </c>
      <c r="P45" s="96">
        <v>800000000</v>
      </c>
      <c r="Q45" s="96"/>
      <c r="R45" s="96"/>
      <c r="S45" s="98"/>
      <c r="T45" s="96">
        <v>799658449</v>
      </c>
      <c r="U45" s="122"/>
      <c r="V45" s="96"/>
      <c r="W45" s="96"/>
      <c r="X45" s="96"/>
      <c r="Y45" s="98"/>
      <c r="Z45" s="96">
        <v>557000000</v>
      </c>
      <c r="AA45" s="122"/>
      <c r="AB45" s="116"/>
      <c r="AC45" s="119"/>
      <c r="AD45" s="173"/>
      <c r="AE45" s="173"/>
    </row>
    <row r="46" spans="1:31" ht="60" customHeight="1" x14ac:dyDescent="0.25">
      <c r="A46" s="25">
        <v>235</v>
      </c>
      <c r="B46" s="43" t="s">
        <v>43</v>
      </c>
      <c r="C46" s="43" t="s">
        <v>44</v>
      </c>
      <c r="D46" s="43" t="s">
        <v>108</v>
      </c>
      <c r="E46" s="95" t="s">
        <v>109</v>
      </c>
      <c r="F46" s="39" t="s">
        <v>110</v>
      </c>
      <c r="G46" s="61"/>
      <c r="H46" s="35" t="s">
        <v>46</v>
      </c>
      <c r="I46" s="39"/>
      <c r="J46" s="84"/>
      <c r="K46" s="84"/>
      <c r="L46" s="129"/>
      <c r="M46" s="131"/>
      <c r="N46" s="112"/>
      <c r="O46" s="36"/>
      <c r="P46" s="96"/>
      <c r="Q46" s="96"/>
      <c r="R46" s="96"/>
      <c r="S46" s="98"/>
      <c r="T46" s="96">
        <f>807014027-T45</f>
        <v>7355578</v>
      </c>
      <c r="U46" s="122"/>
      <c r="V46" s="96"/>
      <c r="W46" s="96"/>
      <c r="X46" s="96"/>
      <c r="Y46" s="98"/>
      <c r="Z46" s="96"/>
      <c r="AA46" s="122"/>
      <c r="AB46" s="116"/>
      <c r="AC46" s="119"/>
      <c r="AD46" s="173"/>
      <c r="AE46" s="173"/>
    </row>
    <row r="47" spans="1:31" ht="60" customHeight="1" x14ac:dyDescent="0.25">
      <c r="A47" s="25">
        <v>235</v>
      </c>
      <c r="B47" s="43" t="s">
        <v>43</v>
      </c>
      <c r="C47" s="43" t="s">
        <v>44</v>
      </c>
      <c r="D47" s="43" t="s">
        <v>108</v>
      </c>
      <c r="E47" s="95" t="s">
        <v>109</v>
      </c>
      <c r="F47" s="39" t="s">
        <v>110</v>
      </c>
      <c r="G47" s="61">
        <v>20210680010088</v>
      </c>
      <c r="H47" s="50" t="s">
        <v>285</v>
      </c>
      <c r="I47" s="39" t="s">
        <v>286</v>
      </c>
      <c r="J47" s="84"/>
      <c r="K47" s="84"/>
      <c r="L47" s="129"/>
      <c r="M47" s="131"/>
      <c r="N47" s="112"/>
      <c r="O47" s="34" t="s">
        <v>289</v>
      </c>
      <c r="P47" s="96"/>
      <c r="Q47" s="96"/>
      <c r="R47" s="96"/>
      <c r="S47" s="98"/>
      <c r="T47" s="96">
        <f>286185600+440517900</f>
        <v>726703500</v>
      </c>
      <c r="U47" s="122"/>
      <c r="V47" s="96"/>
      <c r="W47" s="96"/>
      <c r="X47" s="96"/>
      <c r="Y47" s="98"/>
      <c r="Z47" s="96"/>
      <c r="AA47" s="122"/>
      <c r="AB47" s="116"/>
      <c r="AC47" s="119"/>
      <c r="AD47" s="173"/>
      <c r="AE47" s="173"/>
    </row>
    <row r="48" spans="1:31" ht="60" customHeight="1" x14ac:dyDescent="0.25">
      <c r="A48" s="25">
        <v>235</v>
      </c>
      <c r="B48" s="43" t="s">
        <v>43</v>
      </c>
      <c r="C48" s="43" t="s">
        <v>44</v>
      </c>
      <c r="D48" s="43" t="s">
        <v>108</v>
      </c>
      <c r="E48" s="95" t="s">
        <v>109</v>
      </c>
      <c r="F48" s="39" t="s">
        <v>110</v>
      </c>
      <c r="G48" s="62"/>
      <c r="H48" s="48" t="s">
        <v>255</v>
      </c>
      <c r="I48" s="39"/>
      <c r="J48" s="84"/>
      <c r="K48" s="84"/>
      <c r="L48" s="129"/>
      <c r="M48" s="131"/>
      <c r="N48" s="112"/>
      <c r="O48" s="34" t="s">
        <v>287</v>
      </c>
      <c r="P48" s="96"/>
      <c r="Q48" s="96"/>
      <c r="R48" s="96"/>
      <c r="S48" s="98"/>
      <c r="T48" s="96">
        <f>100000000+653814000</f>
        <v>753814000</v>
      </c>
      <c r="U48" s="122"/>
      <c r="V48" s="96"/>
      <c r="W48" s="96"/>
      <c r="X48" s="96"/>
      <c r="Y48" s="98"/>
      <c r="Z48" s="96"/>
      <c r="AA48" s="122"/>
      <c r="AB48" s="116"/>
      <c r="AC48" s="119"/>
      <c r="AD48" s="173"/>
      <c r="AE48" s="173"/>
    </row>
    <row r="49" spans="1:31" ht="60" customHeight="1" x14ac:dyDescent="0.25">
      <c r="A49" s="25">
        <v>235</v>
      </c>
      <c r="B49" s="43" t="s">
        <v>43</v>
      </c>
      <c r="C49" s="43" t="s">
        <v>44</v>
      </c>
      <c r="D49" s="43" t="s">
        <v>108</v>
      </c>
      <c r="E49" s="95" t="s">
        <v>109</v>
      </c>
      <c r="F49" s="39" t="s">
        <v>110</v>
      </c>
      <c r="G49" s="62"/>
      <c r="H49" s="48" t="s">
        <v>125</v>
      </c>
      <c r="I49" s="39"/>
      <c r="J49" s="84"/>
      <c r="K49" s="84"/>
      <c r="L49" s="129"/>
      <c r="M49" s="131"/>
      <c r="N49" s="112"/>
      <c r="O49" s="36" t="s">
        <v>126</v>
      </c>
      <c r="P49" s="96"/>
      <c r="Q49" s="96"/>
      <c r="R49" s="96"/>
      <c r="S49" s="98"/>
      <c r="T49" s="96">
        <v>200000000</v>
      </c>
      <c r="U49" s="122"/>
      <c r="V49" s="96"/>
      <c r="W49" s="96"/>
      <c r="X49" s="96"/>
      <c r="Y49" s="98"/>
      <c r="Z49" s="96"/>
      <c r="AA49" s="122"/>
      <c r="AB49" s="116"/>
      <c r="AC49" s="119"/>
      <c r="AD49" s="173"/>
      <c r="AE49" s="173"/>
    </row>
    <row r="50" spans="1:31" s="55" customFormat="1" ht="110.25" customHeight="1" x14ac:dyDescent="0.25">
      <c r="A50" s="25">
        <v>235</v>
      </c>
      <c r="B50" s="43" t="s">
        <v>43</v>
      </c>
      <c r="C50" s="43" t="s">
        <v>44</v>
      </c>
      <c r="D50" s="43" t="s">
        <v>108</v>
      </c>
      <c r="E50" s="95" t="s">
        <v>109</v>
      </c>
      <c r="F50" s="39" t="s">
        <v>110</v>
      </c>
      <c r="G50" s="61">
        <v>20200680010136</v>
      </c>
      <c r="H50" s="51" t="s">
        <v>127</v>
      </c>
      <c r="I50" s="43" t="s">
        <v>128</v>
      </c>
      <c r="J50" s="84">
        <v>44252</v>
      </c>
      <c r="K50" s="84">
        <v>44561</v>
      </c>
      <c r="L50" s="129"/>
      <c r="M50" s="131"/>
      <c r="N50" s="112"/>
      <c r="O50" s="34" t="s">
        <v>266</v>
      </c>
      <c r="P50" s="96">
        <f>900868176+72000000</f>
        <v>972868176</v>
      </c>
      <c r="Q50" s="96"/>
      <c r="R50" s="96"/>
      <c r="S50" s="96"/>
      <c r="T50" s="96">
        <f>38124301.5</f>
        <v>38124301.5</v>
      </c>
      <c r="U50" s="122"/>
      <c r="V50" s="96">
        <f>598418853+72000000</f>
        <v>670418853</v>
      </c>
      <c r="W50" s="96"/>
      <c r="X50" s="96"/>
      <c r="Y50" s="98"/>
      <c r="Z50" s="96">
        <v>329434655</v>
      </c>
      <c r="AA50" s="122"/>
      <c r="AB50" s="116"/>
      <c r="AC50" s="119"/>
      <c r="AD50" s="173"/>
      <c r="AE50" s="173"/>
    </row>
    <row r="51" spans="1:31" s="55" customFormat="1" ht="60" customHeight="1" x14ac:dyDescent="0.25">
      <c r="A51" s="25">
        <v>235</v>
      </c>
      <c r="B51" s="43" t="s">
        <v>43</v>
      </c>
      <c r="C51" s="43" t="s">
        <v>44</v>
      </c>
      <c r="D51" s="43" t="s">
        <v>108</v>
      </c>
      <c r="E51" s="95" t="s">
        <v>109</v>
      </c>
      <c r="F51" s="39" t="s">
        <v>110</v>
      </c>
      <c r="G51" s="61"/>
      <c r="H51" s="35" t="s">
        <v>46</v>
      </c>
      <c r="I51" s="43"/>
      <c r="J51" s="84"/>
      <c r="K51" s="84"/>
      <c r="L51" s="129"/>
      <c r="M51" s="131"/>
      <c r="N51" s="112"/>
      <c r="O51" s="34" t="s">
        <v>267</v>
      </c>
      <c r="P51" s="96">
        <v>1909232</v>
      </c>
      <c r="Q51" s="96"/>
      <c r="R51" s="96"/>
      <c r="S51" s="99"/>
      <c r="T51" s="96">
        <f>4875703+70000000</f>
        <v>74875703</v>
      </c>
      <c r="U51" s="122"/>
      <c r="V51" s="96"/>
      <c r="W51" s="96"/>
      <c r="X51" s="96"/>
      <c r="Y51" s="98"/>
      <c r="Z51" s="96"/>
      <c r="AA51" s="122"/>
      <c r="AB51" s="116"/>
      <c r="AC51" s="119"/>
      <c r="AD51" s="173"/>
      <c r="AE51" s="173"/>
    </row>
    <row r="52" spans="1:31" ht="126" customHeight="1" x14ac:dyDescent="0.25">
      <c r="A52" s="25">
        <v>235</v>
      </c>
      <c r="B52" s="43" t="s">
        <v>43</v>
      </c>
      <c r="C52" s="43" t="s">
        <v>44</v>
      </c>
      <c r="D52" s="43" t="s">
        <v>108</v>
      </c>
      <c r="E52" s="95" t="s">
        <v>109</v>
      </c>
      <c r="F52" s="39" t="s">
        <v>110</v>
      </c>
      <c r="G52" s="61">
        <v>20210680010035</v>
      </c>
      <c r="H52" s="42" t="s">
        <v>129</v>
      </c>
      <c r="I52" s="39" t="s">
        <v>130</v>
      </c>
      <c r="J52" s="84">
        <v>44291</v>
      </c>
      <c r="K52" s="84">
        <v>44560</v>
      </c>
      <c r="L52" s="129"/>
      <c r="M52" s="131"/>
      <c r="N52" s="112"/>
      <c r="O52" s="37" t="s">
        <v>261</v>
      </c>
      <c r="P52" s="96"/>
      <c r="Q52" s="96"/>
      <c r="R52" s="96"/>
      <c r="S52" s="98"/>
      <c r="T52" s="96">
        <f>7410000+34308800+805200</f>
        <v>42524000</v>
      </c>
      <c r="U52" s="122"/>
      <c r="V52" s="96"/>
      <c r="W52" s="96"/>
      <c r="X52" s="96"/>
      <c r="Y52" s="98"/>
      <c r="Z52" s="96">
        <f>35118000+7406000</f>
        <v>42524000</v>
      </c>
      <c r="AA52" s="122"/>
      <c r="AB52" s="116"/>
      <c r="AC52" s="119"/>
      <c r="AD52" s="173"/>
      <c r="AE52" s="173"/>
    </row>
    <row r="53" spans="1:31" ht="60" customHeight="1" x14ac:dyDescent="0.25">
      <c r="A53" s="25">
        <v>235</v>
      </c>
      <c r="B53" s="43" t="s">
        <v>43</v>
      </c>
      <c r="C53" s="43" t="s">
        <v>44</v>
      </c>
      <c r="D53" s="43" t="s">
        <v>108</v>
      </c>
      <c r="E53" s="95" t="s">
        <v>109</v>
      </c>
      <c r="F53" s="39" t="s">
        <v>110</v>
      </c>
      <c r="G53" s="61"/>
      <c r="H53" s="35" t="s">
        <v>131</v>
      </c>
      <c r="I53" s="39"/>
      <c r="J53" s="84"/>
      <c r="K53" s="84"/>
      <c r="L53" s="129"/>
      <c r="M53" s="131"/>
      <c r="N53" s="112"/>
      <c r="O53" s="37" t="s">
        <v>132</v>
      </c>
      <c r="P53" s="96"/>
      <c r="Q53" s="96"/>
      <c r="R53" s="96"/>
      <c r="S53" s="98"/>
      <c r="T53" s="96">
        <v>82113630</v>
      </c>
      <c r="U53" s="122"/>
      <c r="V53" s="96"/>
      <c r="W53" s="96"/>
      <c r="X53" s="96"/>
      <c r="Y53" s="98"/>
      <c r="Z53" s="96"/>
      <c r="AA53" s="122"/>
      <c r="AB53" s="116"/>
      <c r="AC53" s="119"/>
      <c r="AD53" s="173"/>
      <c r="AE53" s="173"/>
    </row>
    <row r="54" spans="1:31" ht="227.4" customHeight="1" x14ac:dyDescent="0.25">
      <c r="A54" s="25">
        <v>235</v>
      </c>
      <c r="B54" s="43" t="s">
        <v>43</v>
      </c>
      <c r="C54" s="43" t="s">
        <v>44</v>
      </c>
      <c r="D54" s="43" t="s">
        <v>108</v>
      </c>
      <c r="E54" s="95" t="s">
        <v>109</v>
      </c>
      <c r="F54" s="39" t="s">
        <v>110</v>
      </c>
      <c r="G54" s="63"/>
      <c r="H54" s="35" t="s">
        <v>133</v>
      </c>
      <c r="I54" s="41"/>
      <c r="J54" s="84"/>
      <c r="K54" s="84"/>
      <c r="L54" s="129"/>
      <c r="M54" s="131"/>
      <c r="N54" s="112"/>
      <c r="O54" s="34" t="s">
        <v>268</v>
      </c>
      <c r="P54" s="96"/>
      <c r="Q54" s="96"/>
      <c r="R54" s="96"/>
      <c r="S54" s="98"/>
      <c r="T54" s="96">
        <v>3244624537</v>
      </c>
      <c r="U54" s="122"/>
      <c r="V54" s="96"/>
      <c r="W54" s="96"/>
      <c r="X54" s="96"/>
      <c r="Y54" s="96"/>
      <c r="Z54" s="96">
        <v>727751698</v>
      </c>
      <c r="AA54" s="122"/>
      <c r="AB54" s="116"/>
      <c r="AC54" s="119"/>
      <c r="AD54" s="173"/>
      <c r="AE54" s="173"/>
    </row>
    <row r="55" spans="1:31" ht="227.4" customHeight="1" x14ac:dyDescent="0.25">
      <c r="A55" s="25">
        <v>235</v>
      </c>
      <c r="B55" s="43" t="s">
        <v>43</v>
      </c>
      <c r="C55" s="43" t="s">
        <v>44</v>
      </c>
      <c r="D55" s="43" t="s">
        <v>108</v>
      </c>
      <c r="E55" s="95" t="s">
        <v>109</v>
      </c>
      <c r="F55" s="39" t="s">
        <v>110</v>
      </c>
      <c r="G55" s="61">
        <v>20210680010075</v>
      </c>
      <c r="H55" s="42" t="s">
        <v>257</v>
      </c>
      <c r="I55" s="56" t="s">
        <v>258</v>
      </c>
      <c r="J55" s="84">
        <v>44420</v>
      </c>
      <c r="K55" s="84">
        <v>44561</v>
      </c>
      <c r="L55" s="129"/>
      <c r="M55" s="131"/>
      <c r="N55" s="112"/>
      <c r="O55" s="34" t="s">
        <v>269</v>
      </c>
      <c r="P55" s="96"/>
      <c r="Q55" s="96"/>
      <c r="R55" s="96"/>
      <c r="S55" s="98"/>
      <c r="T55" s="96">
        <f>2577452250</f>
        <v>2577452250</v>
      </c>
      <c r="U55" s="122"/>
      <c r="V55" s="97"/>
      <c r="W55" s="97"/>
      <c r="X55" s="97"/>
      <c r="Y55" s="97"/>
      <c r="Z55" s="97"/>
      <c r="AA55" s="122"/>
      <c r="AB55" s="116"/>
      <c r="AC55" s="119"/>
      <c r="AD55" s="173"/>
      <c r="AE55" s="173"/>
    </row>
    <row r="56" spans="1:31" ht="78" x14ac:dyDescent="0.25">
      <c r="A56" s="25">
        <v>235</v>
      </c>
      <c r="B56" s="43" t="s">
        <v>43</v>
      </c>
      <c r="C56" s="43" t="s">
        <v>44</v>
      </c>
      <c r="D56" s="43" t="s">
        <v>108</v>
      </c>
      <c r="E56" s="95" t="s">
        <v>109</v>
      </c>
      <c r="F56" s="39" t="s">
        <v>110</v>
      </c>
      <c r="G56" s="61">
        <v>20210680010075</v>
      </c>
      <c r="H56" s="42" t="s">
        <v>257</v>
      </c>
      <c r="I56" s="56" t="s">
        <v>244</v>
      </c>
      <c r="J56" s="84"/>
      <c r="K56" s="84"/>
      <c r="L56" s="129"/>
      <c r="M56" s="131"/>
      <c r="N56" s="112"/>
      <c r="O56" s="34"/>
      <c r="P56" s="96"/>
      <c r="Q56" s="96"/>
      <c r="R56" s="96"/>
      <c r="S56" s="98"/>
      <c r="T56" s="96">
        <v>567251634</v>
      </c>
      <c r="U56" s="122"/>
      <c r="V56" s="97"/>
      <c r="W56" s="97"/>
      <c r="X56" s="97"/>
      <c r="Y56" s="97"/>
      <c r="Z56" s="97"/>
      <c r="AA56" s="122"/>
      <c r="AB56" s="116"/>
      <c r="AC56" s="119"/>
      <c r="AD56" s="173"/>
      <c r="AE56" s="173"/>
    </row>
    <row r="57" spans="1:31" ht="145.19999999999999" customHeight="1" x14ac:dyDescent="0.25">
      <c r="A57" s="25">
        <v>235</v>
      </c>
      <c r="B57" s="43" t="s">
        <v>43</v>
      </c>
      <c r="C57" s="43" t="s">
        <v>44</v>
      </c>
      <c r="D57" s="43" t="s">
        <v>108</v>
      </c>
      <c r="E57" s="95" t="s">
        <v>109</v>
      </c>
      <c r="F57" s="39" t="s">
        <v>110</v>
      </c>
      <c r="G57" s="61">
        <v>20210680010126</v>
      </c>
      <c r="H57" s="42" t="s">
        <v>301</v>
      </c>
      <c r="I57" s="41"/>
      <c r="J57" s="84"/>
      <c r="K57" s="84"/>
      <c r="L57" s="129"/>
      <c r="M57" s="131"/>
      <c r="N57" s="112"/>
      <c r="O57" s="36" t="s">
        <v>134</v>
      </c>
      <c r="P57" s="96"/>
      <c r="Q57" s="96"/>
      <c r="R57" s="96"/>
      <c r="S57" s="98"/>
      <c r="T57" s="96">
        <v>85000000</v>
      </c>
      <c r="U57" s="122"/>
      <c r="V57" s="96"/>
      <c r="W57" s="96"/>
      <c r="X57" s="96"/>
      <c r="Y57" s="98"/>
      <c r="Z57" s="96"/>
      <c r="AA57" s="122"/>
      <c r="AB57" s="116"/>
      <c r="AC57" s="119"/>
      <c r="AD57" s="173"/>
      <c r="AE57" s="173"/>
    </row>
    <row r="58" spans="1:31" ht="104.4" customHeight="1" x14ac:dyDescent="0.25">
      <c r="A58" s="25">
        <v>235</v>
      </c>
      <c r="B58" s="43" t="s">
        <v>43</v>
      </c>
      <c r="C58" s="43" t="s">
        <v>44</v>
      </c>
      <c r="D58" s="43" t="s">
        <v>108</v>
      </c>
      <c r="E58" s="95" t="s">
        <v>109</v>
      </c>
      <c r="F58" s="39" t="s">
        <v>110</v>
      </c>
      <c r="G58" s="63"/>
      <c r="H58" s="35" t="s">
        <v>135</v>
      </c>
      <c r="I58" s="41"/>
      <c r="J58" s="84"/>
      <c r="K58" s="84"/>
      <c r="L58" s="129"/>
      <c r="M58" s="131"/>
      <c r="N58" s="112"/>
      <c r="O58" s="36" t="s">
        <v>293</v>
      </c>
      <c r="P58" s="96"/>
      <c r="Q58" s="96"/>
      <c r="R58" s="96"/>
      <c r="S58" s="98"/>
      <c r="T58" s="96">
        <f>147690282+110808210+92000000+28000000-72669512</f>
        <v>305828980</v>
      </c>
      <c r="U58" s="122"/>
      <c r="V58" s="96"/>
      <c r="W58" s="96"/>
      <c r="X58" s="96"/>
      <c r="Y58" s="98"/>
      <c r="Z58" s="96"/>
      <c r="AA58" s="122"/>
      <c r="AB58" s="116"/>
      <c r="AC58" s="119"/>
      <c r="AD58" s="173"/>
      <c r="AE58" s="173"/>
    </row>
    <row r="59" spans="1:31" ht="60" customHeight="1" x14ac:dyDescent="0.25">
      <c r="A59" s="25">
        <v>235</v>
      </c>
      <c r="B59" s="43" t="s">
        <v>43</v>
      </c>
      <c r="C59" s="43" t="s">
        <v>44</v>
      </c>
      <c r="D59" s="43" t="s">
        <v>108</v>
      </c>
      <c r="E59" s="95" t="s">
        <v>109</v>
      </c>
      <c r="F59" s="39" t="s">
        <v>110</v>
      </c>
      <c r="G59" s="87">
        <v>20210680010086</v>
      </c>
      <c r="H59" s="42" t="s">
        <v>275</v>
      </c>
      <c r="I59" s="89" t="s">
        <v>276</v>
      </c>
      <c r="J59" s="27">
        <v>44438</v>
      </c>
      <c r="K59" s="27">
        <v>44561</v>
      </c>
      <c r="L59" s="129"/>
      <c r="M59" s="131"/>
      <c r="N59" s="112"/>
      <c r="O59" s="91" t="s">
        <v>279</v>
      </c>
      <c r="P59" s="96"/>
      <c r="Q59" s="96"/>
      <c r="R59" s="96"/>
      <c r="S59" s="98"/>
      <c r="T59" s="96">
        <v>21678600</v>
      </c>
      <c r="U59" s="122"/>
      <c r="V59" s="96"/>
      <c r="W59" s="96"/>
      <c r="X59" s="96"/>
      <c r="Y59" s="98"/>
      <c r="Z59" s="96">
        <v>8333333.3300000001</v>
      </c>
      <c r="AA59" s="122"/>
      <c r="AB59" s="116"/>
      <c r="AC59" s="119"/>
      <c r="AD59" s="173"/>
      <c r="AE59" s="173"/>
    </row>
    <row r="60" spans="1:31" ht="60" customHeight="1" x14ac:dyDescent="0.25">
      <c r="A60" s="25">
        <v>235</v>
      </c>
      <c r="B60" s="43" t="s">
        <v>43</v>
      </c>
      <c r="C60" s="43" t="s">
        <v>44</v>
      </c>
      <c r="D60" s="43" t="s">
        <v>108</v>
      </c>
      <c r="E60" s="95" t="s">
        <v>109</v>
      </c>
      <c r="F60" s="39" t="s">
        <v>110</v>
      </c>
      <c r="G60" s="62"/>
      <c r="H60" s="48" t="s">
        <v>138</v>
      </c>
      <c r="I60" s="39"/>
      <c r="J60" s="84"/>
      <c r="K60" s="84"/>
      <c r="L60" s="129"/>
      <c r="M60" s="131"/>
      <c r="N60" s="112"/>
      <c r="O60" s="36" t="s">
        <v>270</v>
      </c>
      <c r="P60" s="96">
        <f>80000000-72000000</f>
        <v>8000000</v>
      </c>
      <c r="Q60" s="96"/>
      <c r="R60" s="96"/>
      <c r="S60" s="98"/>
      <c r="T60" s="96">
        <v>18064799</v>
      </c>
      <c r="U60" s="122"/>
      <c r="V60" s="96"/>
      <c r="W60" s="96"/>
      <c r="X60" s="96"/>
      <c r="Y60" s="98"/>
      <c r="Z60" s="96"/>
      <c r="AA60" s="122"/>
      <c r="AB60" s="116"/>
      <c r="AC60" s="119"/>
      <c r="AD60" s="173"/>
      <c r="AE60" s="173"/>
    </row>
    <row r="61" spans="1:31" ht="94.5" customHeight="1" x14ac:dyDescent="0.25">
      <c r="A61" s="25">
        <v>235</v>
      </c>
      <c r="B61" s="43" t="s">
        <v>43</v>
      </c>
      <c r="C61" s="43" t="s">
        <v>44</v>
      </c>
      <c r="D61" s="43" t="s">
        <v>108</v>
      </c>
      <c r="E61" s="95" t="s">
        <v>109</v>
      </c>
      <c r="F61" s="39" t="s">
        <v>110</v>
      </c>
      <c r="G61" s="66">
        <v>20200680010162</v>
      </c>
      <c r="H61" s="46" t="s">
        <v>139</v>
      </c>
      <c r="I61" s="47" t="s">
        <v>140</v>
      </c>
      <c r="J61" s="84">
        <v>44225</v>
      </c>
      <c r="K61" s="84">
        <v>44561</v>
      </c>
      <c r="L61" s="125"/>
      <c r="M61" s="127"/>
      <c r="N61" s="113"/>
      <c r="O61" s="36" t="s">
        <v>245</v>
      </c>
      <c r="P61" s="96"/>
      <c r="Q61" s="96"/>
      <c r="R61" s="96"/>
      <c r="S61" s="98"/>
      <c r="T61" s="96">
        <v>250000000</v>
      </c>
      <c r="U61" s="123"/>
      <c r="V61" s="96"/>
      <c r="W61" s="96"/>
      <c r="X61" s="96"/>
      <c r="Y61" s="98"/>
      <c r="Z61" s="96">
        <v>249999956</v>
      </c>
      <c r="AA61" s="123"/>
      <c r="AB61" s="117"/>
      <c r="AC61" s="120"/>
      <c r="AD61" s="110"/>
      <c r="AE61" s="110"/>
    </row>
    <row r="62" spans="1:31" ht="126" customHeight="1" x14ac:dyDescent="0.25">
      <c r="A62" s="25">
        <v>236</v>
      </c>
      <c r="B62" s="56" t="s">
        <v>43</v>
      </c>
      <c r="C62" s="56" t="s">
        <v>44</v>
      </c>
      <c r="D62" s="44" t="s">
        <v>108</v>
      </c>
      <c r="E62" s="95" t="s">
        <v>163</v>
      </c>
      <c r="F62" s="39" t="s">
        <v>164</v>
      </c>
      <c r="G62" s="61">
        <v>20210680010035</v>
      </c>
      <c r="H62" s="42" t="s">
        <v>129</v>
      </c>
      <c r="I62" s="39" t="s">
        <v>130</v>
      </c>
      <c r="J62" s="84">
        <v>44413</v>
      </c>
      <c r="K62" s="84">
        <v>44560</v>
      </c>
      <c r="L62" s="167">
        <v>1</v>
      </c>
      <c r="M62" s="170">
        <v>1</v>
      </c>
      <c r="N62" s="114">
        <f>IFERROR(IF(M62/L62&gt;100%,100%,M62/L62),"-")</f>
        <v>1</v>
      </c>
      <c r="O62" s="36" t="s">
        <v>250</v>
      </c>
      <c r="P62" s="96"/>
      <c r="Q62" s="96"/>
      <c r="R62" s="96"/>
      <c r="S62" s="98"/>
      <c r="T62" s="96">
        <v>1548978000</v>
      </c>
      <c r="U62" s="121">
        <f>SUM(P62:T67)</f>
        <v>8622806917.5</v>
      </c>
      <c r="V62" s="96"/>
      <c r="W62" s="96"/>
      <c r="X62" s="96"/>
      <c r="Y62" s="98"/>
      <c r="Z62" s="96">
        <v>1548978000</v>
      </c>
      <c r="AA62" s="121">
        <f>SUM(V62:Z67)</f>
        <v>1575977995.5</v>
      </c>
      <c r="AB62" s="115">
        <f>IFERROR(AA62/U62,"-")</f>
        <v>0.18276855907576339</v>
      </c>
      <c r="AC62" s="118">
        <v>0</v>
      </c>
      <c r="AD62" s="109" t="s">
        <v>52</v>
      </c>
      <c r="AE62" s="109" t="s">
        <v>256</v>
      </c>
    </row>
    <row r="63" spans="1:31" ht="63" customHeight="1" x14ac:dyDescent="0.25">
      <c r="A63" s="25">
        <v>236</v>
      </c>
      <c r="B63" s="56" t="s">
        <v>43</v>
      </c>
      <c r="C63" s="56" t="s">
        <v>44</v>
      </c>
      <c r="D63" s="44" t="s">
        <v>108</v>
      </c>
      <c r="E63" s="95" t="s">
        <v>163</v>
      </c>
      <c r="F63" s="39" t="s">
        <v>164</v>
      </c>
      <c r="G63" s="61"/>
      <c r="H63" s="35" t="s">
        <v>46</v>
      </c>
      <c r="I63" s="39"/>
      <c r="J63" s="84"/>
      <c r="K63" s="84"/>
      <c r="L63" s="168"/>
      <c r="M63" s="171"/>
      <c r="N63" s="112"/>
      <c r="O63" s="36"/>
      <c r="P63" s="96"/>
      <c r="Q63" s="96"/>
      <c r="R63" s="96"/>
      <c r="S63" s="98"/>
      <c r="T63" s="96">
        <v>6201997</v>
      </c>
      <c r="U63" s="122"/>
      <c r="V63" s="96"/>
      <c r="W63" s="96"/>
      <c r="X63" s="96"/>
      <c r="Y63" s="98"/>
      <c r="Z63" s="96"/>
      <c r="AA63" s="122"/>
      <c r="AB63" s="116"/>
      <c r="AC63" s="119"/>
      <c r="AD63" s="173"/>
      <c r="AE63" s="173"/>
    </row>
    <row r="64" spans="1:31" s="55" customFormat="1" ht="97.2" customHeight="1" x14ac:dyDescent="0.25">
      <c r="A64" s="25">
        <v>236</v>
      </c>
      <c r="B64" s="56" t="s">
        <v>43</v>
      </c>
      <c r="C64" s="56" t="s">
        <v>44</v>
      </c>
      <c r="D64" s="44" t="s">
        <v>108</v>
      </c>
      <c r="E64" s="95" t="s">
        <v>163</v>
      </c>
      <c r="F64" s="39" t="s">
        <v>164</v>
      </c>
      <c r="G64" s="61">
        <v>20200680010136</v>
      </c>
      <c r="H64" s="51" t="s">
        <v>127</v>
      </c>
      <c r="I64" s="43" t="s">
        <v>128</v>
      </c>
      <c r="J64" s="84">
        <v>44252</v>
      </c>
      <c r="K64" s="84">
        <v>44561</v>
      </c>
      <c r="L64" s="168"/>
      <c r="M64" s="171"/>
      <c r="N64" s="112"/>
      <c r="O64" s="38" t="s">
        <v>251</v>
      </c>
      <c r="P64" s="96"/>
      <c r="Q64" s="96"/>
      <c r="R64" s="96"/>
      <c r="S64" s="98"/>
      <c r="T64" s="96">
        <v>26999995.5</v>
      </c>
      <c r="U64" s="122"/>
      <c r="V64" s="96"/>
      <c r="W64" s="96"/>
      <c r="X64" s="96"/>
      <c r="Y64" s="98"/>
      <c r="Z64" s="96">
        <v>26999995.5</v>
      </c>
      <c r="AA64" s="122"/>
      <c r="AB64" s="116"/>
      <c r="AC64" s="119"/>
      <c r="AD64" s="173"/>
      <c r="AE64" s="173"/>
    </row>
    <row r="65" spans="1:31" ht="63" customHeight="1" x14ac:dyDescent="0.25">
      <c r="A65" s="25">
        <v>236</v>
      </c>
      <c r="B65" s="56" t="s">
        <v>43</v>
      </c>
      <c r="C65" s="56" t="s">
        <v>44</v>
      </c>
      <c r="D65" s="44" t="s">
        <v>108</v>
      </c>
      <c r="E65" s="95" t="s">
        <v>163</v>
      </c>
      <c r="F65" s="39" t="s">
        <v>164</v>
      </c>
      <c r="G65" s="61"/>
      <c r="H65" s="35" t="s">
        <v>165</v>
      </c>
      <c r="I65" s="39"/>
      <c r="J65" s="84"/>
      <c r="K65" s="84"/>
      <c r="L65" s="168"/>
      <c r="M65" s="171"/>
      <c r="N65" s="112"/>
      <c r="O65" s="38" t="s">
        <v>166</v>
      </c>
      <c r="P65" s="96"/>
      <c r="Q65" s="96"/>
      <c r="R65" s="96"/>
      <c r="S65" s="98"/>
      <c r="T65" s="96">
        <v>1563000000</v>
      </c>
      <c r="U65" s="122"/>
      <c r="V65" s="96"/>
      <c r="W65" s="96"/>
      <c r="X65" s="96"/>
      <c r="Y65" s="98"/>
      <c r="Z65" s="96"/>
      <c r="AA65" s="122"/>
      <c r="AB65" s="116"/>
      <c r="AC65" s="119"/>
      <c r="AD65" s="173"/>
      <c r="AE65" s="173"/>
    </row>
    <row r="66" spans="1:31" ht="63" customHeight="1" x14ac:dyDescent="0.25">
      <c r="A66" s="25">
        <v>236</v>
      </c>
      <c r="B66" s="56" t="s">
        <v>43</v>
      </c>
      <c r="C66" s="56" t="s">
        <v>44</v>
      </c>
      <c r="D66" s="44" t="s">
        <v>108</v>
      </c>
      <c r="E66" s="95" t="s">
        <v>163</v>
      </c>
      <c r="F66" s="39" t="s">
        <v>164</v>
      </c>
      <c r="G66" s="61"/>
      <c r="H66" s="35" t="s">
        <v>167</v>
      </c>
      <c r="I66" s="39"/>
      <c r="J66" s="84"/>
      <c r="K66" s="84"/>
      <c r="L66" s="168"/>
      <c r="M66" s="171"/>
      <c r="N66" s="112"/>
      <c r="O66" s="38" t="s">
        <v>168</v>
      </c>
      <c r="P66" s="96"/>
      <c r="Q66" s="96"/>
      <c r="R66" s="96"/>
      <c r="S66" s="98"/>
      <c r="T66" s="96">
        <v>4000000000</v>
      </c>
      <c r="U66" s="122"/>
      <c r="V66" s="96"/>
      <c r="W66" s="96"/>
      <c r="X66" s="96"/>
      <c r="Y66" s="98"/>
      <c r="Z66" s="96"/>
      <c r="AA66" s="122"/>
      <c r="AB66" s="116"/>
      <c r="AC66" s="119"/>
      <c r="AD66" s="173"/>
      <c r="AE66" s="173"/>
    </row>
    <row r="67" spans="1:31" ht="63" customHeight="1" x14ac:dyDescent="0.25">
      <c r="A67" s="25">
        <v>236</v>
      </c>
      <c r="B67" s="56" t="s">
        <v>43</v>
      </c>
      <c r="C67" s="56" t="s">
        <v>44</v>
      </c>
      <c r="D67" s="44" t="s">
        <v>108</v>
      </c>
      <c r="E67" s="95" t="s">
        <v>163</v>
      </c>
      <c r="F67" s="39" t="s">
        <v>164</v>
      </c>
      <c r="G67" s="61"/>
      <c r="H67" s="35" t="s">
        <v>169</v>
      </c>
      <c r="I67" s="39"/>
      <c r="J67" s="84"/>
      <c r="K67" s="84"/>
      <c r="L67" s="169"/>
      <c r="M67" s="172"/>
      <c r="N67" s="113"/>
      <c r="O67" s="68" t="s">
        <v>288</v>
      </c>
      <c r="P67" s="96"/>
      <c r="Q67" s="96"/>
      <c r="R67" s="96"/>
      <c r="S67" s="98"/>
      <c r="T67" s="96">
        <f>801380148+676246777</f>
        <v>1477626925</v>
      </c>
      <c r="U67" s="123"/>
      <c r="V67" s="96"/>
      <c r="W67" s="96"/>
      <c r="X67" s="96"/>
      <c r="Y67" s="98"/>
      <c r="Z67" s="96"/>
      <c r="AA67" s="123"/>
      <c r="AB67" s="117"/>
      <c r="AC67" s="120"/>
      <c r="AD67" s="110"/>
      <c r="AE67" s="110"/>
    </row>
    <row r="68" spans="1:31" ht="78.75" customHeight="1" x14ac:dyDescent="0.25">
      <c r="A68" s="25">
        <v>237</v>
      </c>
      <c r="B68" s="57" t="s">
        <v>43</v>
      </c>
      <c r="C68" s="57" t="s">
        <v>44</v>
      </c>
      <c r="D68" s="57" t="s">
        <v>108</v>
      </c>
      <c r="E68" s="95" t="s">
        <v>170</v>
      </c>
      <c r="F68" s="53" t="s">
        <v>171</v>
      </c>
      <c r="G68" s="61">
        <v>20200680010176</v>
      </c>
      <c r="H68" s="42" t="s">
        <v>172</v>
      </c>
      <c r="I68" s="39" t="s">
        <v>173</v>
      </c>
      <c r="J68" s="84">
        <v>44221</v>
      </c>
      <c r="K68" s="84">
        <v>44561</v>
      </c>
      <c r="L68" s="69">
        <v>1</v>
      </c>
      <c r="M68" s="24">
        <v>1</v>
      </c>
      <c r="N68" s="23">
        <f>IFERROR(IF(M68/L68&gt;100%,100%,M68/L68),"-")</f>
        <v>1</v>
      </c>
      <c r="O68" s="38" t="s">
        <v>174</v>
      </c>
      <c r="P68" s="96"/>
      <c r="Q68" s="96"/>
      <c r="R68" s="96"/>
      <c r="S68" s="98"/>
      <c r="T68" s="96">
        <v>457000000</v>
      </c>
      <c r="U68" s="93">
        <f>SUM(P68:T68)</f>
        <v>457000000</v>
      </c>
      <c r="V68" s="96"/>
      <c r="W68" s="96"/>
      <c r="X68" s="96"/>
      <c r="Y68" s="98"/>
      <c r="Z68" s="96">
        <v>457000000</v>
      </c>
      <c r="AA68" s="93">
        <f>SUM(V68:Z68)</f>
        <v>457000000</v>
      </c>
      <c r="AB68" s="3">
        <f>IFERROR(AA68/U68,"-")</f>
        <v>1</v>
      </c>
      <c r="AC68" s="4">
        <v>0</v>
      </c>
      <c r="AD68" s="5" t="s">
        <v>52</v>
      </c>
      <c r="AE68" s="5" t="s">
        <v>256</v>
      </c>
    </row>
    <row r="69" spans="1:31" ht="75" customHeight="1" x14ac:dyDescent="0.25">
      <c r="A69" s="25">
        <v>238</v>
      </c>
      <c r="B69" s="57" t="s">
        <v>43</v>
      </c>
      <c r="C69" s="57" t="s">
        <v>44</v>
      </c>
      <c r="D69" s="49" t="s">
        <v>108</v>
      </c>
      <c r="E69" s="95" t="s">
        <v>175</v>
      </c>
      <c r="F69" s="39" t="s">
        <v>176</v>
      </c>
      <c r="G69" s="62"/>
      <c r="H69" s="35" t="s">
        <v>177</v>
      </c>
      <c r="I69" s="41"/>
      <c r="J69" s="84"/>
      <c r="K69" s="84"/>
      <c r="L69" s="69">
        <v>1</v>
      </c>
      <c r="M69" s="26">
        <v>0.35</v>
      </c>
      <c r="N69" s="23">
        <f>IFERROR(IF(M69/L69&gt;100%,100%,M69/L69),"-")</f>
        <v>0.35</v>
      </c>
      <c r="O69" s="38"/>
      <c r="P69" s="96"/>
      <c r="Q69" s="96"/>
      <c r="R69" s="96"/>
      <c r="S69" s="98"/>
      <c r="T69" s="96"/>
      <c r="U69" s="93">
        <f>SUM(P69:T69)</f>
        <v>0</v>
      </c>
      <c r="V69" s="96"/>
      <c r="W69" s="96"/>
      <c r="X69" s="96"/>
      <c r="Y69" s="98"/>
      <c r="Z69" s="96"/>
      <c r="AA69" s="93">
        <f>SUM(V69:Z69)</f>
        <v>0</v>
      </c>
      <c r="AB69" s="3" t="str">
        <f>IFERROR(AA69/U69,"-")</f>
        <v>-</v>
      </c>
      <c r="AC69" s="4">
        <v>0</v>
      </c>
      <c r="AD69" s="5" t="s">
        <v>52</v>
      </c>
      <c r="AE69" s="5" t="s">
        <v>256</v>
      </c>
    </row>
    <row r="70" spans="1:31" ht="141.6" customHeight="1" x14ac:dyDescent="0.25">
      <c r="A70" s="25">
        <v>240</v>
      </c>
      <c r="B70" s="56" t="s">
        <v>43</v>
      </c>
      <c r="C70" s="56" t="s">
        <v>44</v>
      </c>
      <c r="D70" s="44" t="s">
        <v>103</v>
      </c>
      <c r="E70" s="95" t="s">
        <v>178</v>
      </c>
      <c r="F70" s="39" t="s">
        <v>179</v>
      </c>
      <c r="G70" s="62"/>
      <c r="H70" s="42" t="s">
        <v>290</v>
      </c>
      <c r="I70" s="41" t="s">
        <v>291</v>
      </c>
      <c r="J70" s="84"/>
      <c r="K70" s="84"/>
      <c r="L70" s="124">
        <v>1</v>
      </c>
      <c r="M70" s="126">
        <v>1</v>
      </c>
      <c r="N70" s="114">
        <f>IFERROR(IF(M70/L70&gt;100%,100%,M70/L70),"-")</f>
        <v>1</v>
      </c>
      <c r="O70" s="38" t="s">
        <v>292</v>
      </c>
      <c r="P70" s="96"/>
      <c r="Q70" s="96"/>
      <c r="R70" s="96"/>
      <c r="S70" s="98"/>
      <c r="T70" s="96">
        <f>219600000+131309718+13179897</f>
        <v>364089615</v>
      </c>
      <c r="U70" s="121">
        <f>SUM(P70:T74)</f>
        <v>1548114666</v>
      </c>
      <c r="V70" s="96"/>
      <c r="W70" s="96"/>
      <c r="X70" s="96"/>
      <c r="Y70" s="98"/>
      <c r="Z70" s="96"/>
      <c r="AA70" s="121">
        <f>SUM(V70:Z74)</f>
        <v>850353332</v>
      </c>
      <c r="AB70" s="115">
        <f>IFERROR(AA70/U70,"-")</f>
        <v>0.54928317047543562</v>
      </c>
      <c r="AC70" s="118">
        <v>0</v>
      </c>
      <c r="AD70" s="109" t="s">
        <v>52</v>
      </c>
      <c r="AE70" s="109" t="s">
        <v>256</v>
      </c>
    </row>
    <row r="71" spans="1:31" s="55" customFormat="1" ht="79.95" customHeight="1" x14ac:dyDescent="0.25">
      <c r="A71" s="25">
        <v>240</v>
      </c>
      <c r="B71" s="56" t="s">
        <v>43</v>
      </c>
      <c r="C71" s="56" t="s">
        <v>44</v>
      </c>
      <c r="D71" s="44" t="s">
        <v>103</v>
      </c>
      <c r="E71" s="95" t="s">
        <v>178</v>
      </c>
      <c r="F71" s="39" t="s">
        <v>179</v>
      </c>
      <c r="G71" s="61">
        <v>20210680010081</v>
      </c>
      <c r="H71" s="45" t="s">
        <v>259</v>
      </c>
      <c r="I71" s="56" t="s">
        <v>260</v>
      </c>
      <c r="J71" s="84">
        <v>44434</v>
      </c>
      <c r="K71" s="84">
        <v>44561</v>
      </c>
      <c r="L71" s="129"/>
      <c r="M71" s="131"/>
      <c r="N71" s="112"/>
      <c r="O71" s="38" t="s">
        <v>271</v>
      </c>
      <c r="P71" s="96"/>
      <c r="Q71" s="96"/>
      <c r="R71" s="96"/>
      <c r="S71" s="98"/>
      <c r="T71" s="96">
        <f>219600000+131309718+13179897</f>
        <v>364089615</v>
      </c>
      <c r="U71" s="122"/>
      <c r="V71" s="96"/>
      <c r="W71" s="96"/>
      <c r="X71" s="96"/>
      <c r="Y71" s="98"/>
      <c r="Z71" s="96"/>
      <c r="AA71" s="122"/>
      <c r="AB71" s="116"/>
      <c r="AC71" s="119"/>
      <c r="AD71" s="173"/>
      <c r="AE71" s="173"/>
    </row>
    <row r="72" spans="1:31" ht="60" customHeight="1" x14ac:dyDescent="0.25">
      <c r="A72" s="25">
        <v>240</v>
      </c>
      <c r="B72" s="56" t="s">
        <v>43</v>
      </c>
      <c r="C72" s="56" t="s">
        <v>44</v>
      </c>
      <c r="D72" s="44" t="s">
        <v>103</v>
      </c>
      <c r="E72" s="95" t="s">
        <v>178</v>
      </c>
      <c r="F72" s="39" t="s">
        <v>179</v>
      </c>
      <c r="G72" s="62"/>
      <c r="H72" s="35" t="s">
        <v>148</v>
      </c>
      <c r="I72" s="41"/>
      <c r="J72" s="84"/>
      <c r="K72" s="84"/>
      <c r="L72" s="129"/>
      <c r="M72" s="131"/>
      <c r="N72" s="112"/>
      <c r="O72" s="38" t="s">
        <v>180</v>
      </c>
      <c r="P72" s="96"/>
      <c r="Q72" s="96"/>
      <c r="R72" s="96"/>
      <c r="S72" s="98"/>
      <c r="T72" s="96">
        <v>1133333</v>
      </c>
      <c r="U72" s="122"/>
      <c r="V72" s="96"/>
      <c r="W72" s="96"/>
      <c r="X72" s="96"/>
      <c r="Y72" s="98"/>
      <c r="Z72" s="96"/>
      <c r="AA72" s="122"/>
      <c r="AB72" s="116"/>
      <c r="AC72" s="119"/>
      <c r="AD72" s="173"/>
      <c r="AE72" s="173"/>
    </row>
    <row r="73" spans="1:31" ht="60" customHeight="1" x14ac:dyDescent="0.25">
      <c r="A73" s="25">
        <v>240</v>
      </c>
      <c r="B73" s="56" t="s">
        <v>43</v>
      </c>
      <c r="C73" s="56" t="s">
        <v>44</v>
      </c>
      <c r="D73" s="44" t="s">
        <v>103</v>
      </c>
      <c r="E73" s="95" t="s">
        <v>178</v>
      </c>
      <c r="F73" s="39" t="s">
        <v>179</v>
      </c>
      <c r="G73" s="87"/>
      <c r="H73" s="88"/>
      <c r="I73" s="89"/>
      <c r="J73" s="27"/>
      <c r="K73" s="27"/>
      <c r="L73" s="129"/>
      <c r="M73" s="131"/>
      <c r="N73" s="112"/>
      <c r="O73" s="38"/>
      <c r="P73" s="96"/>
      <c r="Q73" s="96"/>
      <c r="R73" s="96"/>
      <c r="S73" s="98"/>
      <c r="T73" s="96"/>
      <c r="U73" s="122"/>
      <c r="V73" s="96"/>
      <c r="W73" s="96"/>
      <c r="X73" s="96"/>
      <c r="Y73" s="98"/>
      <c r="Z73" s="96"/>
      <c r="AA73" s="122"/>
      <c r="AB73" s="116"/>
      <c r="AC73" s="119"/>
      <c r="AD73" s="173"/>
      <c r="AE73" s="173"/>
    </row>
    <row r="74" spans="1:31" ht="75" customHeight="1" x14ac:dyDescent="0.25">
      <c r="A74" s="25">
        <v>240</v>
      </c>
      <c r="B74" s="56" t="s">
        <v>43</v>
      </c>
      <c r="C74" s="56" t="s">
        <v>44</v>
      </c>
      <c r="D74" s="44" t="s">
        <v>103</v>
      </c>
      <c r="E74" s="95" t="s">
        <v>178</v>
      </c>
      <c r="F74" s="39" t="s">
        <v>179</v>
      </c>
      <c r="G74" s="61">
        <v>20200680010034</v>
      </c>
      <c r="H74" s="45" t="s">
        <v>181</v>
      </c>
      <c r="I74" s="43" t="s">
        <v>182</v>
      </c>
      <c r="J74" s="84">
        <v>44202</v>
      </c>
      <c r="K74" s="84">
        <v>44561</v>
      </c>
      <c r="L74" s="125"/>
      <c r="M74" s="127"/>
      <c r="N74" s="113"/>
      <c r="O74" s="36" t="s">
        <v>272</v>
      </c>
      <c r="P74" s="96">
        <f>736960751+78661947</f>
        <v>815622698</v>
      </c>
      <c r="Q74" s="96"/>
      <c r="R74" s="96"/>
      <c r="S74" s="98"/>
      <c r="T74" s="96">
        <f>1739249+1440156</f>
        <v>3179405</v>
      </c>
      <c r="U74" s="123"/>
      <c r="V74" s="96">
        <f>635677418+90736666+122199999</f>
        <v>848614083</v>
      </c>
      <c r="W74" s="96"/>
      <c r="X74" s="96"/>
      <c r="Y74" s="98"/>
      <c r="Z74" s="96">
        <v>1739249</v>
      </c>
      <c r="AA74" s="123"/>
      <c r="AB74" s="117"/>
      <c r="AC74" s="120"/>
      <c r="AD74" s="110"/>
      <c r="AE74" s="110"/>
    </row>
    <row r="75" spans="1:31" ht="126" customHeight="1" x14ac:dyDescent="0.25">
      <c r="A75" s="25">
        <v>241</v>
      </c>
      <c r="B75" s="56" t="s">
        <v>43</v>
      </c>
      <c r="C75" s="56" t="s">
        <v>44</v>
      </c>
      <c r="D75" s="44" t="s">
        <v>103</v>
      </c>
      <c r="E75" s="95" t="s">
        <v>185</v>
      </c>
      <c r="F75" s="39" t="s">
        <v>186</v>
      </c>
      <c r="G75" s="61">
        <v>20210680010056</v>
      </c>
      <c r="H75" s="42" t="s">
        <v>136</v>
      </c>
      <c r="I75" s="52" t="s">
        <v>137</v>
      </c>
      <c r="J75" s="84">
        <v>44369</v>
      </c>
      <c r="K75" s="84">
        <v>44561</v>
      </c>
      <c r="L75" s="72">
        <v>1</v>
      </c>
      <c r="M75" s="31">
        <v>0.4</v>
      </c>
      <c r="N75" s="92">
        <f>IFERROR(IF(M75/L75&gt;100%,100%,M75/L75),"-")</f>
        <v>0.4</v>
      </c>
      <c r="O75" s="37" t="s">
        <v>294</v>
      </c>
      <c r="P75" s="96"/>
      <c r="Q75" s="96"/>
      <c r="R75" s="96"/>
      <c r="S75" s="98"/>
      <c r="T75" s="96">
        <f>116189560</f>
        <v>116189560</v>
      </c>
      <c r="U75" s="94">
        <f>SUM(P75:T75)</f>
        <v>116189560</v>
      </c>
      <c r="V75" s="96"/>
      <c r="W75" s="96"/>
      <c r="X75" s="96"/>
      <c r="Y75" s="98"/>
      <c r="Z75" s="100">
        <f>12188407.28+12000000</f>
        <v>24188407.280000001</v>
      </c>
      <c r="AA75" s="94">
        <f>SUM(V75:Z75)</f>
        <v>24188407.280000001</v>
      </c>
      <c r="AB75" s="29">
        <f>IFERROR(AA75/U75,"-")</f>
        <v>0.20818055666963539</v>
      </c>
      <c r="AC75" s="30">
        <v>0</v>
      </c>
      <c r="AD75" s="33" t="s">
        <v>52</v>
      </c>
      <c r="AE75" s="33" t="s">
        <v>256</v>
      </c>
    </row>
    <row r="76" spans="1:31" ht="94.5" customHeight="1" x14ac:dyDescent="0.25">
      <c r="A76" s="25">
        <v>242</v>
      </c>
      <c r="B76" s="56" t="s">
        <v>43</v>
      </c>
      <c r="C76" s="56" t="s">
        <v>44</v>
      </c>
      <c r="D76" s="44" t="s">
        <v>103</v>
      </c>
      <c r="E76" s="95" t="s">
        <v>104</v>
      </c>
      <c r="F76" s="39" t="s">
        <v>105</v>
      </c>
      <c r="G76" s="61">
        <v>20210680010041</v>
      </c>
      <c r="H76" s="45" t="s">
        <v>94</v>
      </c>
      <c r="I76" s="44" t="s">
        <v>244</v>
      </c>
      <c r="J76" s="84"/>
      <c r="K76" s="84"/>
      <c r="L76" s="124">
        <v>1</v>
      </c>
      <c r="M76" s="164">
        <v>0.85</v>
      </c>
      <c r="N76" s="114">
        <f>IFERROR(IF(M76/L76&gt;100%,100%,M76/L76),"-")</f>
        <v>0.85</v>
      </c>
      <c r="O76" s="34" t="s">
        <v>106</v>
      </c>
      <c r="P76" s="96"/>
      <c r="Q76" s="96"/>
      <c r="R76" s="96"/>
      <c r="S76" s="98"/>
      <c r="T76" s="96">
        <v>45000000</v>
      </c>
      <c r="U76" s="121">
        <f>SUM(P76:T77)</f>
        <v>80200000</v>
      </c>
      <c r="V76" s="96"/>
      <c r="W76" s="96"/>
      <c r="X76" s="96"/>
      <c r="Y76" s="98"/>
      <c r="Z76" s="96">
        <v>45000000</v>
      </c>
      <c r="AA76" s="121">
        <f>SUM(V76:Z77)</f>
        <v>70600000</v>
      </c>
      <c r="AB76" s="115">
        <f>IFERROR(AA76/U76,"-")</f>
        <v>0.88029925187032421</v>
      </c>
      <c r="AC76" s="118">
        <v>0</v>
      </c>
      <c r="AD76" s="109" t="s">
        <v>52</v>
      </c>
      <c r="AE76" s="109" t="s">
        <v>256</v>
      </c>
    </row>
    <row r="77" spans="1:31" ht="78.75" customHeight="1" x14ac:dyDescent="0.25">
      <c r="A77" s="25">
        <v>242</v>
      </c>
      <c r="B77" s="56" t="s">
        <v>43</v>
      </c>
      <c r="C77" s="56" t="s">
        <v>44</v>
      </c>
      <c r="D77" s="44" t="s">
        <v>103</v>
      </c>
      <c r="E77" s="95" t="s">
        <v>104</v>
      </c>
      <c r="F77" s="39" t="s">
        <v>105</v>
      </c>
      <c r="G77" s="61">
        <v>20200680010156</v>
      </c>
      <c r="H77" s="45" t="s">
        <v>97</v>
      </c>
      <c r="I77" s="44" t="s">
        <v>98</v>
      </c>
      <c r="J77" s="84">
        <v>44202</v>
      </c>
      <c r="K77" s="84">
        <v>44561</v>
      </c>
      <c r="L77" s="125"/>
      <c r="M77" s="165"/>
      <c r="N77" s="113"/>
      <c r="O77" s="36" t="s">
        <v>107</v>
      </c>
      <c r="P77" s="96"/>
      <c r="Q77" s="96"/>
      <c r="R77" s="96"/>
      <c r="S77" s="98"/>
      <c r="T77" s="96">
        <v>35200000</v>
      </c>
      <c r="U77" s="123"/>
      <c r="V77" s="96"/>
      <c r="W77" s="96"/>
      <c r="X77" s="96"/>
      <c r="Y77" s="98"/>
      <c r="Z77" s="96">
        <v>25600000</v>
      </c>
      <c r="AA77" s="123"/>
      <c r="AB77" s="117"/>
      <c r="AC77" s="120"/>
      <c r="AD77" s="110"/>
      <c r="AE77" s="110"/>
    </row>
    <row r="78" spans="1:31" ht="94.5" customHeight="1" x14ac:dyDescent="0.25">
      <c r="A78" s="25">
        <v>243</v>
      </c>
      <c r="B78" s="56" t="s">
        <v>43</v>
      </c>
      <c r="C78" s="56" t="s">
        <v>44</v>
      </c>
      <c r="D78" s="44" t="s">
        <v>103</v>
      </c>
      <c r="E78" s="95" t="s">
        <v>187</v>
      </c>
      <c r="F78" s="39" t="s">
        <v>188</v>
      </c>
      <c r="G78" s="61">
        <v>20210680010041</v>
      </c>
      <c r="H78" s="42" t="s">
        <v>94</v>
      </c>
      <c r="I78" s="41"/>
      <c r="J78" s="84">
        <v>44330</v>
      </c>
      <c r="K78" s="84">
        <v>44561</v>
      </c>
      <c r="L78" s="85">
        <v>1</v>
      </c>
      <c r="M78" s="86">
        <v>0.85</v>
      </c>
      <c r="N78" s="82">
        <f>IFERROR(IF(M78/L78&gt;100%,100%,M78/L78),"-")</f>
        <v>0.85</v>
      </c>
      <c r="O78" s="34" t="s">
        <v>189</v>
      </c>
      <c r="P78" s="96"/>
      <c r="Q78" s="96"/>
      <c r="R78" s="96"/>
      <c r="S78" s="98"/>
      <c r="T78" s="96">
        <v>30000000</v>
      </c>
      <c r="U78" s="94">
        <f>SUM(P78:T78)</f>
        <v>30000000</v>
      </c>
      <c r="V78" s="96"/>
      <c r="W78" s="96"/>
      <c r="X78" s="96"/>
      <c r="Y78" s="98"/>
      <c r="Z78" s="96">
        <v>30000000</v>
      </c>
      <c r="AA78" s="94">
        <f>SUM(V78:Z78)</f>
        <v>30000000</v>
      </c>
      <c r="AB78" s="81">
        <f>IFERROR(AA78/U78,"-")</f>
        <v>1</v>
      </c>
      <c r="AC78" s="83">
        <v>0</v>
      </c>
      <c r="AD78" s="80" t="s">
        <v>52</v>
      </c>
      <c r="AE78" s="80" t="s">
        <v>256</v>
      </c>
    </row>
    <row r="79" spans="1:31" ht="105" customHeight="1" x14ac:dyDescent="0.25">
      <c r="A79" s="25">
        <v>244</v>
      </c>
      <c r="B79" s="56" t="s">
        <v>43</v>
      </c>
      <c r="C79" s="56" t="s">
        <v>44</v>
      </c>
      <c r="D79" s="44" t="s">
        <v>145</v>
      </c>
      <c r="E79" s="95" t="s">
        <v>146</v>
      </c>
      <c r="F79" s="39" t="s">
        <v>147</v>
      </c>
      <c r="G79" s="87">
        <v>20210680010086</v>
      </c>
      <c r="H79" s="88" t="s">
        <v>275</v>
      </c>
      <c r="I79" s="89" t="s">
        <v>276</v>
      </c>
      <c r="J79" s="27">
        <v>44438</v>
      </c>
      <c r="K79" s="27">
        <v>44561</v>
      </c>
      <c r="L79" s="124">
        <v>1</v>
      </c>
      <c r="M79" s="126">
        <v>1</v>
      </c>
      <c r="N79" s="114">
        <f>IFERROR(IF(M79/L79&gt;100%,100%,M79/L79),"-")</f>
        <v>1</v>
      </c>
      <c r="O79" s="90" t="s">
        <v>280</v>
      </c>
      <c r="P79" s="96"/>
      <c r="Q79" s="96"/>
      <c r="R79" s="96"/>
      <c r="S79" s="98"/>
      <c r="T79" s="96">
        <v>10012145</v>
      </c>
      <c r="U79" s="121">
        <f>SUM(P79:T81)</f>
        <v>43232145</v>
      </c>
      <c r="V79" s="96"/>
      <c r="W79" s="96"/>
      <c r="X79" s="96"/>
      <c r="Y79" s="98"/>
      <c r="Z79" s="96"/>
      <c r="AA79" s="121">
        <f>SUM(V79:Z81)</f>
        <v>24000000</v>
      </c>
      <c r="AB79" s="115">
        <f>IFERROR(AA79/U79,"-")</f>
        <v>0.55514247558153773</v>
      </c>
      <c r="AC79" s="118">
        <v>21880000</v>
      </c>
      <c r="AD79" s="109" t="s">
        <v>52</v>
      </c>
      <c r="AE79" s="109" t="s">
        <v>256</v>
      </c>
    </row>
    <row r="80" spans="1:31" ht="105" customHeight="1" x14ac:dyDescent="0.25">
      <c r="A80" s="25">
        <v>244</v>
      </c>
      <c r="B80" s="56" t="s">
        <v>43</v>
      </c>
      <c r="C80" s="56" t="s">
        <v>44</v>
      </c>
      <c r="D80" s="44" t="s">
        <v>145</v>
      </c>
      <c r="E80" s="95" t="s">
        <v>146</v>
      </c>
      <c r="F80" s="39" t="s">
        <v>147</v>
      </c>
      <c r="G80" s="61"/>
      <c r="H80" s="49" t="s">
        <v>148</v>
      </c>
      <c r="I80" s="39"/>
      <c r="J80" s="84"/>
      <c r="K80" s="84"/>
      <c r="L80" s="129"/>
      <c r="M80" s="131"/>
      <c r="N80" s="112"/>
      <c r="O80" s="38" t="s">
        <v>149</v>
      </c>
      <c r="P80" s="96"/>
      <c r="Q80" s="96"/>
      <c r="R80" s="96"/>
      <c r="S80" s="98"/>
      <c r="T80" s="96">
        <v>220000</v>
      </c>
      <c r="U80" s="122"/>
      <c r="V80" s="96"/>
      <c r="W80" s="96"/>
      <c r="X80" s="96"/>
      <c r="Y80" s="98"/>
      <c r="Z80" s="96"/>
      <c r="AA80" s="122"/>
      <c r="AB80" s="116"/>
      <c r="AC80" s="119"/>
      <c r="AD80" s="173"/>
      <c r="AE80" s="173"/>
    </row>
    <row r="81" spans="1:31" ht="105" customHeight="1" x14ac:dyDescent="0.25">
      <c r="A81" s="25">
        <v>244</v>
      </c>
      <c r="B81" s="56" t="s">
        <v>43</v>
      </c>
      <c r="C81" s="56" t="s">
        <v>44</v>
      </c>
      <c r="D81" s="44" t="s">
        <v>145</v>
      </c>
      <c r="E81" s="95" t="s">
        <v>146</v>
      </c>
      <c r="F81" s="39" t="s">
        <v>147</v>
      </c>
      <c r="G81" s="61">
        <v>20200680010162</v>
      </c>
      <c r="H81" s="45" t="s">
        <v>139</v>
      </c>
      <c r="I81" s="43" t="s">
        <v>140</v>
      </c>
      <c r="J81" s="84">
        <v>44225</v>
      </c>
      <c r="K81" s="84">
        <v>44561</v>
      </c>
      <c r="L81" s="125"/>
      <c r="M81" s="127"/>
      <c r="N81" s="113"/>
      <c r="O81" s="38" t="s">
        <v>150</v>
      </c>
      <c r="P81" s="96"/>
      <c r="Q81" s="96"/>
      <c r="R81" s="96"/>
      <c r="S81" s="98"/>
      <c r="T81" s="96">
        <v>33000000</v>
      </c>
      <c r="U81" s="123"/>
      <c r="V81" s="96"/>
      <c r="W81" s="96"/>
      <c r="X81" s="96"/>
      <c r="Y81" s="98"/>
      <c r="Z81" s="96">
        <v>24000000</v>
      </c>
      <c r="AA81" s="123"/>
      <c r="AB81" s="117"/>
      <c r="AC81" s="120"/>
      <c r="AD81" s="110"/>
      <c r="AE81" s="110"/>
    </row>
    <row r="82" spans="1:31" ht="94.5" customHeight="1" x14ac:dyDescent="0.25">
      <c r="A82" s="25">
        <v>239</v>
      </c>
      <c r="B82" s="56" t="s">
        <v>43</v>
      </c>
      <c r="C82" s="56" t="s">
        <v>44</v>
      </c>
      <c r="D82" s="56" t="s">
        <v>103</v>
      </c>
      <c r="E82" s="95" t="s">
        <v>151</v>
      </c>
      <c r="F82" s="39" t="s">
        <v>152</v>
      </c>
      <c r="G82" s="61">
        <v>20200680010162</v>
      </c>
      <c r="H82" s="45" t="s">
        <v>139</v>
      </c>
      <c r="I82" s="43" t="s">
        <v>140</v>
      </c>
      <c r="J82" s="84">
        <v>44225</v>
      </c>
      <c r="K82" s="84">
        <v>44561</v>
      </c>
      <c r="L82" s="124">
        <v>1</v>
      </c>
      <c r="M82" s="126">
        <v>1</v>
      </c>
      <c r="N82" s="114">
        <f>IFERROR(IF(M82/L82&gt;100%,100%,M82/L82),"-")</f>
        <v>1</v>
      </c>
      <c r="O82" s="38" t="s">
        <v>153</v>
      </c>
      <c r="P82" s="96"/>
      <c r="Q82" s="96"/>
      <c r="R82" s="96"/>
      <c r="S82" s="98"/>
      <c r="T82" s="96">
        <v>98500000</v>
      </c>
      <c r="U82" s="121">
        <f>SUM(P82:T85)</f>
        <v>662927373</v>
      </c>
      <c r="V82" s="96"/>
      <c r="W82" s="96"/>
      <c r="X82" s="96"/>
      <c r="Y82" s="98"/>
      <c r="Z82" s="96"/>
      <c r="AA82" s="121">
        <f>SUM(V82:Z85)</f>
        <v>0</v>
      </c>
      <c r="AB82" s="115">
        <f>IFERROR(AA82/U82,"-")</f>
        <v>0</v>
      </c>
      <c r="AC82" s="118">
        <v>21880000</v>
      </c>
      <c r="AD82" s="109" t="s">
        <v>52</v>
      </c>
      <c r="AE82" s="109" t="s">
        <v>256</v>
      </c>
    </row>
    <row r="83" spans="1:31" ht="94.5" customHeight="1" x14ac:dyDescent="0.25">
      <c r="A83" s="25">
        <v>239</v>
      </c>
      <c r="B83" s="56" t="s">
        <v>43</v>
      </c>
      <c r="C83" s="56" t="s">
        <v>44</v>
      </c>
      <c r="D83" s="56" t="s">
        <v>103</v>
      </c>
      <c r="E83" s="95" t="s">
        <v>151</v>
      </c>
      <c r="F83" s="39" t="s">
        <v>152</v>
      </c>
      <c r="G83" s="61"/>
      <c r="H83" s="44" t="s">
        <v>253</v>
      </c>
      <c r="I83" s="43"/>
      <c r="J83" s="84"/>
      <c r="K83" s="84"/>
      <c r="L83" s="129"/>
      <c r="M83" s="131"/>
      <c r="N83" s="112"/>
      <c r="O83" s="38" t="s">
        <v>254</v>
      </c>
      <c r="P83" s="96">
        <v>185000000</v>
      </c>
      <c r="Q83" s="96"/>
      <c r="R83" s="96"/>
      <c r="S83" s="98"/>
      <c r="T83" s="96"/>
      <c r="U83" s="122"/>
      <c r="V83" s="96"/>
      <c r="W83" s="96"/>
      <c r="X83" s="96"/>
      <c r="Y83" s="98"/>
      <c r="Z83" s="96"/>
      <c r="AA83" s="122"/>
      <c r="AB83" s="116"/>
      <c r="AC83" s="119"/>
      <c r="AD83" s="173"/>
      <c r="AE83" s="173"/>
    </row>
    <row r="84" spans="1:31" ht="60" customHeight="1" x14ac:dyDescent="0.25">
      <c r="A84" s="25">
        <v>239</v>
      </c>
      <c r="B84" s="56" t="s">
        <v>43</v>
      </c>
      <c r="C84" s="56" t="s">
        <v>44</v>
      </c>
      <c r="D84" s="56" t="s">
        <v>103</v>
      </c>
      <c r="E84" s="95" t="s">
        <v>151</v>
      </c>
      <c r="F84" s="39" t="s">
        <v>152</v>
      </c>
      <c r="G84" s="87">
        <v>20210680010086</v>
      </c>
      <c r="H84" s="88" t="s">
        <v>275</v>
      </c>
      <c r="I84" s="89" t="s">
        <v>276</v>
      </c>
      <c r="J84" s="27">
        <v>44438</v>
      </c>
      <c r="K84" s="27">
        <v>44561</v>
      </c>
      <c r="L84" s="129"/>
      <c r="M84" s="131"/>
      <c r="N84" s="112"/>
      <c r="O84" s="90" t="s">
        <v>281</v>
      </c>
      <c r="P84" s="96"/>
      <c r="Q84" s="96"/>
      <c r="R84" s="96"/>
      <c r="S84" s="98"/>
      <c r="T84" s="96">
        <f>351318873+7318500</f>
        <v>358637373</v>
      </c>
      <c r="U84" s="122"/>
      <c r="V84" s="96"/>
      <c r="W84" s="96"/>
      <c r="X84" s="96"/>
      <c r="Y84" s="98"/>
      <c r="Z84" s="96"/>
      <c r="AA84" s="122"/>
      <c r="AB84" s="116"/>
      <c r="AC84" s="119"/>
      <c r="AD84" s="173"/>
      <c r="AE84" s="173"/>
    </row>
    <row r="85" spans="1:31" ht="60" customHeight="1" x14ac:dyDescent="0.25">
      <c r="A85" s="25">
        <v>239</v>
      </c>
      <c r="B85" s="56" t="s">
        <v>43</v>
      </c>
      <c r="C85" s="56" t="s">
        <v>44</v>
      </c>
      <c r="D85" s="56" t="s">
        <v>103</v>
      </c>
      <c r="E85" s="95" t="s">
        <v>151</v>
      </c>
      <c r="F85" s="39" t="s">
        <v>152</v>
      </c>
      <c r="G85" s="62"/>
      <c r="H85" s="35" t="s">
        <v>121</v>
      </c>
      <c r="I85" s="39"/>
      <c r="J85" s="84"/>
      <c r="K85" s="84"/>
      <c r="L85" s="125"/>
      <c r="M85" s="127"/>
      <c r="N85" s="113"/>
      <c r="O85" s="38" t="s">
        <v>154</v>
      </c>
      <c r="P85" s="96"/>
      <c r="Q85" s="96"/>
      <c r="R85" s="96"/>
      <c r="S85" s="98"/>
      <c r="T85" s="96">
        <v>20790000</v>
      </c>
      <c r="U85" s="123"/>
      <c r="V85" s="96"/>
      <c r="W85" s="96"/>
      <c r="X85" s="96"/>
      <c r="Y85" s="98"/>
      <c r="Z85" s="96"/>
      <c r="AA85" s="123"/>
      <c r="AB85" s="117"/>
      <c r="AC85" s="120"/>
      <c r="AD85" s="110"/>
      <c r="AE85" s="110"/>
    </row>
    <row r="86" spans="1:31" ht="105" customHeight="1" x14ac:dyDescent="0.25">
      <c r="A86" s="25">
        <v>245</v>
      </c>
      <c r="B86" s="56" t="s">
        <v>43</v>
      </c>
      <c r="C86" s="56" t="s">
        <v>44</v>
      </c>
      <c r="D86" s="44" t="s">
        <v>145</v>
      </c>
      <c r="E86" s="95" t="s">
        <v>183</v>
      </c>
      <c r="F86" s="39" t="s">
        <v>184</v>
      </c>
      <c r="G86" s="61">
        <v>20200680010034</v>
      </c>
      <c r="H86" s="45" t="s">
        <v>181</v>
      </c>
      <c r="I86" s="43" t="s">
        <v>182</v>
      </c>
      <c r="J86" s="84">
        <v>44202</v>
      </c>
      <c r="K86" s="84">
        <v>44561</v>
      </c>
      <c r="L86" s="75">
        <v>3</v>
      </c>
      <c r="M86" s="76">
        <v>3</v>
      </c>
      <c r="N86" s="74">
        <f t="shared" ref="N86:N92" si="4">IFERROR(IF(M86/L86&gt;100%,100%,M86/L86),"-")</f>
        <v>1</v>
      </c>
      <c r="O86" s="38" t="s">
        <v>252</v>
      </c>
      <c r="P86" s="102">
        <f>431600000-185000000</f>
        <v>246600000</v>
      </c>
      <c r="Q86" s="96"/>
      <c r="R86" s="96"/>
      <c r="S86" s="98"/>
      <c r="T86" s="96"/>
      <c r="U86" s="94">
        <f>SUM(P86:T86)</f>
        <v>246600000</v>
      </c>
      <c r="V86" s="96">
        <v>252000000</v>
      </c>
      <c r="W86" s="96"/>
      <c r="X86" s="96"/>
      <c r="Y86" s="98"/>
      <c r="Z86" s="96"/>
      <c r="AA86" s="94">
        <f>SUM(V86:Z86)</f>
        <v>252000000</v>
      </c>
      <c r="AB86" s="77">
        <f>IFERROR(AA86/U86,"-")</f>
        <v>1.0218978102189782</v>
      </c>
      <c r="AC86" s="78">
        <v>0</v>
      </c>
      <c r="AD86" s="79" t="s">
        <v>52</v>
      </c>
      <c r="AE86" s="79" t="s">
        <v>256</v>
      </c>
    </row>
    <row r="87" spans="1:31" ht="105" customHeight="1" x14ac:dyDescent="0.25">
      <c r="A87" s="25">
        <v>246</v>
      </c>
      <c r="B87" s="57" t="s">
        <v>43</v>
      </c>
      <c r="C87" s="57" t="s">
        <v>44</v>
      </c>
      <c r="D87" s="49" t="s">
        <v>145</v>
      </c>
      <c r="E87" s="95" t="s">
        <v>190</v>
      </c>
      <c r="F87" s="39" t="s">
        <v>191</v>
      </c>
      <c r="G87" s="62"/>
      <c r="H87" s="35" t="s">
        <v>192</v>
      </c>
      <c r="I87" s="41"/>
      <c r="J87" s="84"/>
      <c r="K87" s="84"/>
      <c r="L87" s="69">
        <v>1</v>
      </c>
      <c r="M87" s="26">
        <v>0.35</v>
      </c>
      <c r="N87" s="23">
        <f t="shared" si="4"/>
        <v>0.35</v>
      </c>
      <c r="O87" s="38"/>
      <c r="P87" s="96"/>
      <c r="Q87" s="96"/>
      <c r="R87" s="96"/>
      <c r="S87" s="98"/>
      <c r="T87" s="96"/>
      <c r="U87" s="93">
        <f>SUM(P87:T87)</f>
        <v>0</v>
      </c>
      <c r="V87" s="96"/>
      <c r="W87" s="96"/>
      <c r="X87" s="96"/>
      <c r="Y87" s="98"/>
      <c r="Z87" s="96"/>
      <c r="AA87" s="93">
        <f>SUM(V87:Z87)</f>
        <v>0</v>
      </c>
      <c r="AB87" s="3" t="str">
        <f>IFERROR(AA87/U87,"-")</f>
        <v>-</v>
      </c>
      <c r="AC87" s="4">
        <v>0</v>
      </c>
      <c r="AD87" s="5" t="s">
        <v>52</v>
      </c>
      <c r="AE87" s="5" t="s">
        <v>256</v>
      </c>
    </row>
    <row r="88" spans="1:31" ht="47.25" customHeight="1" x14ac:dyDescent="0.25">
      <c r="A88" s="25">
        <v>262</v>
      </c>
      <c r="B88" s="57" t="s">
        <v>43</v>
      </c>
      <c r="C88" s="57" t="s">
        <v>193</v>
      </c>
      <c r="D88" s="49" t="s">
        <v>194</v>
      </c>
      <c r="E88" s="95" t="s">
        <v>195</v>
      </c>
      <c r="F88" s="39" t="s">
        <v>196</v>
      </c>
      <c r="G88" s="62"/>
      <c r="H88" s="35" t="s">
        <v>197</v>
      </c>
      <c r="I88" s="41"/>
      <c r="J88" s="84"/>
      <c r="K88" s="84"/>
      <c r="L88" s="69">
        <v>1</v>
      </c>
      <c r="M88" s="24">
        <v>1</v>
      </c>
      <c r="N88" s="23">
        <f t="shared" si="4"/>
        <v>1</v>
      </c>
      <c r="O88" s="38"/>
      <c r="P88" s="96"/>
      <c r="Q88" s="96"/>
      <c r="R88" s="96"/>
      <c r="S88" s="98"/>
      <c r="T88" s="96"/>
      <c r="U88" s="93">
        <f>SUM(P88:T88)</f>
        <v>0</v>
      </c>
      <c r="V88" s="96"/>
      <c r="W88" s="96"/>
      <c r="X88" s="96"/>
      <c r="Y88" s="98"/>
      <c r="Z88" s="96"/>
      <c r="AA88" s="93">
        <f>SUM(V88:Z88)</f>
        <v>0</v>
      </c>
      <c r="AB88" s="3" t="str">
        <f>IFERROR(AA88/U88,"-")</f>
        <v>-</v>
      </c>
      <c r="AC88" s="4">
        <v>0</v>
      </c>
      <c r="AD88" s="5" t="s">
        <v>52</v>
      </c>
      <c r="AE88" s="5" t="s">
        <v>256</v>
      </c>
    </row>
    <row r="89" spans="1:31" ht="138" customHeight="1" x14ac:dyDescent="0.25">
      <c r="A89" s="25">
        <v>263</v>
      </c>
      <c r="B89" s="57" t="s">
        <v>43</v>
      </c>
      <c r="C89" s="57" t="s">
        <v>193</v>
      </c>
      <c r="D89" s="49" t="s">
        <v>194</v>
      </c>
      <c r="E89" s="95" t="s">
        <v>198</v>
      </c>
      <c r="F89" s="39" t="s">
        <v>199</v>
      </c>
      <c r="G89" s="62"/>
      <c r="H89" s="42" t="s">
        <v>295</v>
      </c>
      <c r="I89" s="41" t="s">
        <v>296</v>
      </c>
      <c r="J89" s="84"/>
      <c r="K89" s="84"/>
      <c r="L89" s="70">
        <v>1</v>
      </c>
      <c r="M89" s="28">
        <v>0</v>
      </c>
      <c r="N89" s="23">
        <f t="shared" si="4"/>
        <v>0</v>
      </c>
      <c r="O89" s="36" t="s">
        <v>299</v>
      </c>
      <c r="P89" s="96">
        <v>484793739.37</v>
      </c>
      <c r="Q89" s="96"/>
      <c r="R89" s="96"/>
      <c r="S89" s="98"/>
      <c r="T89" s="96"/>
      <c r="U89" s="121">
        <f>SUM(P89:T90)</f>
        <v>2234591998.2600002</v>
      </c>
      <c r="V89" s="96"/>
      <c r="W89" s="96"/>
      <c r="X89" s="96"/>
      <c r="Y89" s="98"/>
      <c r="Z89" s="96"/>
      <c r="AA89" s="121">
        <f>SUM(V89:Z90)</f>
        <v>0</v>
      </c>
      <c r="AB89" s="115">
        <f>IFERROR(AA89/U89,"-")</f>
        <v>0</v>
      </c>
      <c r="AC89" s="118">
        <v>0</v>
      </c>
      <c r="AD89" s="109" t="s">
        <v>52</v>
      </c>
      <c r="AE89" s="109" t="s">
        <v>256</v>
      </c>
    </row>
    <row r="90" spans="1:31" ht="75" customHeight="1" x14ac:dyDescent="0.25">
      <c r="A90" s="25">
        <v>263</v>
      </c>
      <c r="B90" s="57" t="s">
        <v>43</v>
      </c>
      <c r="C90" s="57" t="s">
        <v>193</v>
      </c>
      <c r="D90" s="49" t="s">
        <v>194</v>
      </c>
      <c r="E90" s="95" t="s">
        <v>198</v>
      </c>
      <c r="F90" s="39" t="s">
        <v>199</v>
      </c>
      <c r="G90" s="62"/>
      <c r="H90" s="35" t="s">
        <v>46</v>
      </c>
      <c r="I90" s="41"/>
      <c r="J90" s="84"/>
      <c r="K90" s="84"/>
      <c r="L90" s="70">
        <v>1</v>
      </c>
      <c r="M90" s="28">
        <v>0</v>
      </c>
      <c r="N90" s="23">
        <f t="shared" si="4"/>
        <v>0</v>
      </c>
      <c r="O90" s="36" t="s">
        <v>300</v>
      </c>
      <c r="P90" s="96">
        <v>1749798258.8900003</v>
      </c>
      <c r="Q90" s="96"/>
      <c r="R90" s="96"/>
      <c r="S90" s="98"/>
      <c r="T90" s="96"/>
      <c r="U90" s="123"/>
      <c r="V90" s="96"/>
      <c r="W90" s="96"/>
      <c r="X90" s="96"/>
      <c r="Y90" s="98"/>
      <c r="Z90" s="96"/>
      <c r="AA90" s="123"/>
      <c r="AB90" s="117"/>
      <c r="AC90" s="120"/>
      <c r="AD90" s="110"/>
      <c r="AE90" s="110"/>
    </row>
    <row r="91" spans="1:31" ht="91.2" customHeight="1" x14ac:dyDescent="0.25">
      <c r="A91" s="25">
        <v>264</v>
      </c>
      <c r="B91" s="57" t="s">
        <v>43</v>
      </c>
      <c r="C91" s="57" t="s">
        <v>193</v>
      </c>
      <c r="D91" s="49" t="s">
        <v>194</v>
      </c>
      <c r="E91" s="95" t="s">
        <v>200</v>
      </c>
      <c r="F91" s="39" t="s">
        <v>201</v>
      </c>
      <c r="G91" s="61">
        <v>20210680010127</v>
      </c>
      <c r="H91" s="42" t="s">
        <v>302</v>
      </c>
      <c r="I91" s="41"/>
      <c r="J91" s="84"/>
      <c r="K91" s="84"/>
      <c r="L91" s="69">
        <v>1</v>
      </c>
      <c r="M91" s="24">
        <v>1</v>
      </c>
      <c r="N91" s="23">
        <f t="shared" si="4"/>
        <v>1</v>
      </c>
      <c r="O91" s="38" t="s">
        <v>274</v>
      </c>
      <c r="P91" s="96">
        <v>20000000</v>
      </c>
      <c r="Q91" s="96"/>
      <c r="R91" s="96"/>
      <c r="S91" s="98"/>
      <c r="T91" s="96"/>
      <c r="U91" s="93">
        <f>SUM(P91:T91)</f>
        <v>20000000</v>
      </c>
      <c r="V91" s="96"/>
      <c r="W91" s="96"/>
      <c r="X91" s="96"/>
      <c r="Y91" s="98"/>
      <c r="Z91" s="96"/>
      <c r="AA91" s="93">
        <f>SUM(V91:Z91)</f>
        <v>0</v>
      </c>
      <c r="AB91" s="3">
        <f>IFERROR(AA91/U91,"-")</f>
        <v>0</v>
      </c>
      <c r="AC91" s="4">
        <v>0</v>
      </c>
      <c r="AD91" s="5" t="s">
        <v>52</v>
      </c>
      <c r="AE91" s="5" t="s">
        <v>256</v>
      </c>
    </row>
    <row r="92" spans="1:31" ht="45" customHeight="1" x14ac:dyDescent="0.25">
      <c r="A92" s="25">
        <v>265</v>
      </c>
      <c r="B92" s="56" t="s">
        <v>43</v>
      </c>
      <c r="C92" s="56" t="s">
        <v>193</v>
      </c>
      <c r="D92" s="44" t="s">
        <v>202</v>
      </c>
      <c r="E92" s="95" t="s">
        <v>203</v>
      </c>
      <c r="F92" s="39" t="s">
        <v>204</v>
      </c>
      <c r="G92" s="61"/>
      <c r="H92" s="35" t="s">
        <v>46</v>
      </c>
      <c r="I92" s="43"/>
      <c r="J92" s="71"/>
      <c r="K92" s="71"/>
      <c r="L92" s="124">
        <v>1</v>
      </c>
      <c r="M92" s="126">
        <v>1</v>
      </c>
      <c r="N92" s="114">
        <f t="shared" si="4"/>
        <v>1</v>
      </c>
      <c r="O92" s="36" t="s">
        <v>247</v>
      </c>
      <c r="P92" s="96">
        <v>313000000</v>
      </c>
      <c r="Q92" s="96"/>
      <c r="R92" s="96"/>
      <c r="S92" s="98"/>
      <c r="T92" s="96"/>
      <c r="U92" s="121">
        <f>SUM(P92:T93)</f>
        <v>313000000</v>
      </c>
      <c r="V92" s="96"/>
      <c r="W92" s="96"/>
      <c r="X92" s="96"/>
      <c r="Y92" s="98"/>
      <c r="Z92" s="96"/>
      <c r="AA92" s="121">
        <f>SUM(V92:Z93)</f>
        <v>0</v>
      </c>
      <c r="AB92" s="115">
        <f>IFERROR(AA92/U92,"-")</f>
        <v>0</v>
      </c>
      <c r="AC92" s="118">
        <v>0</v>
      </c>
      <c r="AD92" s="109" t="s">
        <v>52</v>
      </c>
      <c r="AE92" s="109" t="s">
        <v>256</v>
      </c>
    </row>
    <row r="93" spans="1:31" ht="78.75" customHeight="1" x14ac:dyDescent="0.25">
      <c r="A93" s="25">
        <v>265</v>
      </c>
      <c r="B93" s="56" t="s">
        <v>43</v>
      </c>
      <c r="C93" s="56" t="s">
        <v>193</v>
      </c>
      <c r="D93" s="44" t="s">
        <v>202</v>
      </c>
      <c r="E93" s="95" t="s">
        <v>203</v>
      </c>
      <c r="F93" s="39" t="s">
        <v>204</v>
      </c>
      <c r="G93" s="61">
        <v>20200680010052</v>
      </c>
      <c r="H93" s="45" t="s">
        <v>205</v>
      </c>
      <c r="I93" s="43" t="s">
        <v>206</v>
      </c>
      <c r="J93" s="71">
        <v>44211</v>
      </c>
      <c r="K93" s="71">
        <v>44561</v>
      </c>
      <c r="L93" s="125"/>
      <c r="M93" s="127"/>
      <c r="N93" s="113"/>
      <c r="O93" s="36"/>
      <c r="P93" s="96"/>
      <c r="Q93" s="96"/>
      <c r="R93" s="96"/>
      <c r="S93" s="98"/>
      <c r="T93" s="96"/>
      <c r="U93" s="123"/>
      <c r="V93" s="96"/>
      <c r="W93" s="96"/>
      <c r="X93" s="96"/>
      <c r="Y93" s="98"/>
      <c r="Z93" s="96"/>
      <c r="AA93" s="123"/>
      <c r="AB93" s="117"/>
      <c r="AC93" s="120"/>
      <c r="AD93" s="110"/>
      <c r="AE93" s="110"/>
    </row>
    <row r="94" spans="1:31" ht="78.75" customHeight="1" x14ac:dyDescent="0.25">
      <c r="A94" s="25">
        <v>266</v>
      </c>
      <c r="B94" s="57" t="s">
        <v>43</v>
      </c>
      <c r="C94" s="57" t="s">
        <v>193</v>
      </c>
      <c r="D94" s="49" t="s">
        <v>202</v>
      </c>
      <c r="E94" s="95" t="s">
        <v>207</v>
      </c>
      <c r="F94" s="39" t="s">
        <v>208</v>
      </c>
      <c r="G94" s="61">
        <v>20200680010052</v>
      </c>
      <c r="H94" s="45" t="s">
        <v>205</v>
      </c>
      <c r="I94" s="43" t="s">
        <v>206</v>
      </c>
      <c r="J94" s="84">
        <v>44211</v>
      </c>
      <c r="K94" s="84">
        <v>44561</v>
      </c>
      <c r="L94" s="69">
        <v>1</v>
      </c>
      <c r="M94" s="24">
        <v>1</v>
      </c>
      <c r="N94" s="23">
        <f>IFERROR(IF(M94/L94&gt;100%,100%,M94/L94),"-")</f>
        <v>1</v>
      </c>
      <c r="O94" s="37" t="s">
        <v>209</v>
      </c>
      <c r="P94" s="96">
        <v>17000000</v>
      </c>
      <c r="Q94" s="96"/>
      <c r="R94" s="96"/>
      <c r="S94" s="98"/>
      <c r="T94" s="96"/>
      <c r="U94" s="93">
        <f>SUM(P94:T94)</f>
        <v>17000000</v>
      </c>
      <c r="V94" s="96">
        <v>16000000</v>
      </c>
      <c r="W94" s="96"/>
      <c r="X94" s="96"/>
      <c r="Y94" s="98"/>
      <c r="Z94" s="96"/>
      <c r="AA94" s="93">
        <f>SUM(V94:Z94)</f>
        <v>16000000</v>
      </c>
      <c r="AB94" s="3">
        <f>IFERROR(AA94/U94,"-")</f>
        <v>0.94117647058823528</v>
      </c>
      <c r="AC94" s="4">
        <v>0</v>
      </c>
      <c r="AD94" s="5" t="s">
        <v>52</v>
      </c>
      <c r="AE94" s="5" t="s">
        <v>256</v>
      </c>
    </row>
    <row r="95" spans="1:31" ht="78.75" customHeight="1" x14ac:dyDescent="0.25">
      <c r="A95" s="25">
        <v>267</v>
      </c>
      <c r="B95" s="57" t="s">
        <v>43</v>
      </c>
      <c r="C95" s="57" t="s">
        <v>193</v>
      </c>
      <c r="D95" s="49" t="s">
        <v>202</v>
      </c>
      <c r="E95" s="95" t="s">
        <v>210</v>
      </c>
      <c r="F95" s="39" t="s">
        <v>211</v>
      </c>
      <c r="G95" s="61">
        <v>20200680010052</v>
      </c>
      <c r="H95" s="45" t="s">
        <v>205</v>
      </c>
      <c r="I95" s="43" t="s">
        <v>206</v>
      </c>
      <c r="J95" s="84">
        <v>44211</v>
      </c>
      <c r="K95" s="84">
        <v>44561</v>
      </c>
      <c r="L95" s="70">
        <v>1</v>
      </c>
      <c r="M95" s="28">
        <v>1</v>
      </c>
      <c r="N95" s="23">
        <f>IFERROR(IF(M95/L95&gt;100%,100%,M95/L95),"-")</f>
        <v>1</v>
      </c>
      <c r="O95" s="38" t="s">
        <v>212</v>
      </c>
      <c r="P95" s="96">
        <v>280000000</v>
      </c>
      <c r="Q95" s="96"/>
      <c r="R95" s="96"/>
      <c r="S95" s="98"/>
      <c r="T95" s="96"/>
      <c r="U95" s="93">
        <f>SUM(P95:T95)</f>
        <v>280000000</v>
      </c>
      <c r="V95" s="96">
        <f>83014146+24077702</f>
        <v>107091848</v>
      </c>
      <c r="W95" s="96"/>
      <c r="X95" s="96"/>
      <c r="Y95" s="98"/>
      <c r="Z95" s="96"/>
      <c r="AA95" s="93">
        <f>SUM(V95:Z95)</f>
        <v>107091848</v>
      </c>
      <c r="AB95" s="3">
        <f>IFERROR(AA95/U95,"-")</f>
        <v>0.38247088571428572</v>
      </c>
      <c r="AC95" s="4">
        <v>0</v>
      </c>
      <c r="AD95" s="5" t="s">
        <v>52</v>
      </c>
      <c r="AE95" s="5" t="s">
        <v>256</v>
      </c>
    </row>
    <row r="96" spans="1:31" ht="78.75" customHeight="1" x14ac:dyDescent="0.25">
      <c r="A96" s="25">
        <v>268</v>
      </c>
      <c r="B96" s="57" t="s">
        <v>43</v>
      </c>
      <c r="C96" s="57" t="s">
        <v>193</v>
      </c>
      <c r="D96" s="49" t="s">
        <v>202</v>
      </c>
      <c r="E96" s="95" t="s">
        <v>213</v>
      </c>
      <c r="F96" s="39" t="s">
        <v>214</v>
      </c>
      <c r="G96" s="61">
        <v>20200680010052</v>
      </c>
      <c r="H96" s="45" t="s">
        <v>205</v>
      </c>
      <c r="I96" s="43" t="s">
        <v>206</v>
      </c>
      <c r="J96" s="84">
        <v>44211</v>
      </c>
      <c r="K96" s="84">
        <v>44561</v>
      </c>
      <c r="L96" s="70">
        <v>1</v>
      </c>
      <c r="M96" s="28">
        <v>1</v>
      </c>
      <c r="N96" s="23">
        <f>IFERROR(IF(M96/L96&gt;100%,100%,M96/L96),"-")</f>
        <v>1</v>
      </c>
      <c r="O96" s="38" t="s">
        <v>215</v>
      </c>
      <c r="P96" s="96">
        <v>70000000</v>
      </c>
      <c r="Q96" s="96"/>
      <c r="R96" s="96"/>
      <c r="S96" s="98"/>
      <c r="T96" s="96"/>
      <c r="U96" s="93">
        <f>SUM(P96:T96)</f>
        <v>70000000</v>
      </c>
      <c r="V96" s="96">
        <v>70000000</v>
      </c>
      <c r="W96" s="96"/>
      <c r="X96" s="96"/>
      <c r="Y96" s="98"/>
      <c r="Z96" s="96"/>
      <c r="AA96" s="93">
        <f>SUM(V96:Z96)</f>
        <v>70000000</v>
      </c>
      <c r="AB96" s="3">
        <f>IFERROR(AA96/U96,"-")</f>
        <v>1</v>
      </c>
      <c r="AC96" s="4">
        <v>0</v>
      </c>
      <c r="AD96" s="5" t="s">
        <v>52</v>
      </c>
      <c r="AE96" s="5" t="s">
        <v>256</v>
      </c>
    </row>
    <row r="97" spans="1:31" ht="78.75" customHeight="1" x14ac:dyDescent="0.25">
      <c r="A97" s="25">
        <v>269</v>
      </c>
      <c r="B97" s="57" t="s">
        <v>43</v>
      </c>
      <c r="C97" s="57" t="s">
        <v>193</v>
      </c>
      <c r="D97" s="49" t="s">
        <v>202</v>
      </c>
      <c r="E97" s="95" t="s">
        <v>216</v>
      </c>
      <c r="F97" s="39" t="s">
        <v>217</v>
      </c>
      <c r="G97" s="61">
        <v>20200680010052</v>
      </c>
      <c r="H97" s="45" t="s">
        <v>205</v>
      </c>
      <c r="I97" s="43" t="s">
        <v>206</v>
      </c>
      <c r="J97" s="84">
        <v>44211</v>
      </c>
      <c r="K97" s="84">
        <v>44561</v>
      </c>
      <c r="L97" s="70">
        <v>1</v>
      </c>
      <c r="M97" s="28">
        <v>1</v>
      </c>
      <c r="N97" s="23">
        <f>IFERROR(IF(M97/L97&gt;100%,100%,M97/L97),"-")</f>
        <v>1</v>
      </c>
      <c r="O97" s="38" t="s">
        <v>218</v>
      </c>
      <c r="P97" s="96">
        <v>10000000</v>
      </c>
      <c r="Q97" s="96"/>
      <c r="R97" s="96"/>
      <c r="S97" s="98"/>
      <c r="T97" s="96"/>
      <c r="U97" s="93">
        <f>SUM(P97:T97)</f>
        <v>10000000</v>
      </c>
      <c r="V97" s="96">
        <v>2335899</v>
      </c>
      <c r="W97" s="96"/>
      <c r="X97" s="96"/>
      <c r="Y97" s="98"/>
      <c r="Z97" s="96"/>
      <c r="AA97" s="93">
        <f>SUM(V97:Z97)</f>
        <v>2335899</v>
      </c>
      <c r="AB97" s="3">
        <f>IFERROR(AA97/U97,"-")</f>
        <v>0.23358989999999999</v>
      </c>
      <c r="AC97" s="4">
        <v>0</v>
      </c>
      <c r="AD97" s="5" t="s">
        <v>52</v>
      </c>
      <c r="AE97" s="5" t="s">
        <v>256</v>
      </c>
    </row>
    <row r="98" spans="1:31" ht="78.75" customHeight="1" x14ac:dyDescent="0.25">
      <c r="A98" s="25">
        <v>270</v>
      </c>
      <c r="B98" s="56" t="s">
        <v>43</v>
      </c>
      <c r="C98" s="56" t="s">
        <v>193</v>
      </c>
      <c r="D98" s="44" t="s">
        <v>202</v>
      </c>
      <c r="E98" s="95" t="s">
        <v>219</v>
      </c>
      <c r="F98" s="39" t="s">
        <v>220</v>
      </c>
      <c r="G98" s="61">
        <v>20200680010052</v>
      </c>
      <c r="H98" s="45" t="s">
        <v>205</v>
      </c>
      <c r="I98" s="43" t="s">
        <v>206</v>
      </c>
      <c r="J98" s="71">
        <v>44211</v>
      </c>
      <c r="K98" s="71">
        <v>44561</v>
      </c>
      <c r="L98" s="124">
        <v>1</v>
      </c>
      <c r="M98" s="126">
        <v>1</v>
      </c>
      <c r="N98" s="114">
        <f>IFERROR(IF(M98/L98&gt;100%,100%,M98/L98),"-")</f>
        <v>1</v>
      </c>
      <c r="O98" s="36" t="s">
        <v>248</v>
      </c>
      <c r="P98" s="96">
        <v>292100000</v>
      </c>
      <c r="Q98" s="96"/>
      <c r="R98" s="96"/>
      <c r="S98" s="98"/>
      <c r="T98" s="96"/>
      <c r="U98" s="121">
        <f>SUM(P98:T100)</f>
        <v>315633333</v>
      </c>
      <c r="V98" s="96">
        <f>208800000+66410000</f>
        <v>275210000</v>
      </c>
      <c r="W98" s="96"/>
      <c r="X98" s="96"/>
      <c r="Y98" s="98"/>
      <c r="Z98" s="96"/>
      <c r="AA98" s="121">
        <f>SUM(V98:Z100)</f>
        <v>275210000</v>
      </c>
      <c r="AB98" s="115">
        <f>IFERROR(AA98/U98,"-")</f>
        <v>0.87192945492864027</v>
      </c>
      <c r="AC98" s="118">
        <v>0</v>
      </c>
      <c r="AD98" s="109" t="s">
        <v>52</v>
      </c>
      <c r="AE98" s="109" t="s">
        <v>256</v>
      </c>
    </row>
    <row r="99" spans="1:31" ht="45" customHeight="1" x14ac:dyDescent="0.25">
      <c r="A99" s="25">
        <v>270</v>
      </c>
      <c r="B99" s="56" t="s">
        <v>43</v>
      </c>
      <c r="C99" s="56" t="s">
        <v>193</v>
      </c>
      <c r="D99" s="44" t="s">
        <v>202</v>
      </c>
      <c r="E99" s="95" t="s">
        <v>219</v>
      </c>
      <c r="F99" s="39" t="s">
        <v>220</v>
      </c>
      <c r="G99" s="61"/>
      <c r="H99" s="35" t="s">
        <v>46</v>
      </c>
      <c r="I99" s="43"/>
      <c r="J99" s="71"/>
      <c r="K99" s="71"/>
      <c r="L99" s="129"/>
      <c r="M99" s="131"/>
      <c r="N99" s="112"/>
      <c r="O99" s="36"/>
      <c r="P99" s="96">
        <v>17900000</v>
      </c>
      <c r="Q99" s="96"/>
      <c r="R99" s="96"/>
      <c r="S99" s="98"/>
      <c r="T99" s="96"/>
      <c r="U99" s="122"/>
      <c r="V99" s="96"/>
      <c r="W99" s="96"/>
      <c r="X99" s="96"/>
      <c r="Y99" s="98"/>
      <c r="Z99" s="96"/>
      <c r="AA99" s="122"/>
      <c r="AB99" s="116"/>
      <c r="AC99" s="119"/>
      <c r="AD99" s="173"/>
      <c r="AE99" s="173"/>
    </row>
    <row r="100" spans="1:31" ht="45" customHeight="1" x14ac:dyDescent="0.25">
      <c r="A100" s="25">
        <v>270</v>
      </c>
      <c r="B100" s="56" t="s">
        <v>43</v>
      </c>
      <c r="C100" s="56" t="s">
        <v>193</v>
      </c>
      <c r="D100" s="44" t="s">
        <v>202</v>
      </c>
      <c r="E100" s="95" t="s">
        <v>219</v>
      </c>
      <c r="F100" s="39" t="s">
        <v>220</v>
      </c>
      <c r="G100" s="61"/>
      <c r="H100" s="35" t="s">
        <v>148</v>
      </c>
      <c r="I100" s="43"/>
      <c r="J100" s="84"/>
      <c r="K100" s="84"/>
      <c r="L100" s="125"/>
      <c r="M100" s="127"/>
      <c r="N100" s="113"/>
      <c r="O100" s="73" t="s">
        <v>221</v>
      </c>
      <c r="P100" s="96"/>
      <c r="Q100" s="96"/>
      <c r="R100" s="96"/>
      <c r="S100" s="98"/>
      <c r="T100" s="96">
        <f>4533333+1100000</f>
        <v>5633333</v>
      </c>
      <c r="U100" s="123"/>
      <c r="V100" s="96"/>
      <c r="W100" s="96"/>
      <c r="X100" s="96"/>
      <c r="Y100" s="98"/>
      <c r="Z100" s="96"/>
      <c r="AA100" s="123"/>
      <c r="AB100" s="117"/>
      <c r="AC100" s="120"/>
      <c r="AD100" s="110"/>
      <c r="AE100" s="110"/>
    </row>
    <row r="101" spans="1:31" ht="78.75" customHeight="1" x14ac:dyDescent="0.25">
      <c r="A101" s="25">
        <v>271</v>
      </c>
      <c r="B101" s="56" t="s">
        <v>43</v>
      </c>
      <c r="C101" s="56" t="s">
        <v>193</v>
      </c>
      <c r="D101" s="44" t="s">
        <v>202</v>
      </c>
      <c r="E101" s="95" t="s">
        <v>225</v>
      </c>
      <c r="F101" s="39" t="s">
        <v>226</v>
      </c>
      <c r="G101" s="61">
        <v>20200680010052</v>
      </c>
      <c r="H101" s="45" t="s">
        <v>205</v>
      </c>
      <c r="I101" s="43" t="s">
        <v>206</v>
      </c>
      <c r="J101" s="71">
        <v>44211</v>
      </c>
      <c r="K101" s="71">
        <v>44561</v>
      </c>
      <c r="L101" s="167">
        <v>1</v>
      </c>
      <c r="M101" s="170">
        <v>1</v>
      </c>
      <c r="N101" s="114">
        <f>IFERROR(IF(M101/L101&gt;100%,100%,M101/L101),"-")</f>
        <v>1</v>
      </c>
      <c r="O101" s="36" t="s">
        <v>227</v>
      </c>
      <c r="P101" s="96">
        <v>35000000</v>
      </c>
      <c r="Q101" s="96"/>
      <c r="R101" s="96"/>
      <c r="S101" s="98"/>
      <c r="T101" s="96"/>
      <c r="U101" s="121">
        <f>SUM(P101:T102)</f>
        <v>122000000</v>
      </c>
      <c r="V101" s="96">
        <f>13585262+4089708+1800000</f>
        <v>19474970</v>
      </c>
      <c r="W101" s="96"/>
      <c r="X101" s="96"/>
      <c r="Y101" s="98"/>
      <c r="Z101" s="96"/>
      <c r="AA101" s="121">
        <f>SUM(V101:Z102)</f>
        <v>51554970</v>
      </c>
      <c r="AB101" s="115">
        <f>IFERROR(AA101/U101,"-")</f>
        <v>0.42258172131147542</v>
      </c>
      <c r="AC101" s="118">
        <v>0</v>
      </c>
      <c r="AD101" s="109" t="s">
        <v>52</v>
      </c>
      <c r="AE101" s="109" t="s">
        <v>256</v>
      </c>
    </row>
    <row r="102" spans="1:31" ht="63" customHeight="1" x14ac:dyDescent="0.25">
      <c r="A102" s="25">
        <v>271</v>
      </c>
      <c r="B102" s="56" t="s">
        <v>43</v>
      </c>
      <c r="C102" s="56" t="s">
        <v>193</v>
      </c>
      <c r="D102" s="44" t="s">
        <v>202</v>
      </c>
      <c r="E102" s="95" t="s">
        <v>225</v>
      </c>
      <c r="F102" s="39" t="s">
        <v>226</v>
      </c>
      <c r="G102" s="61"/>
      <c r="H102" s="35" t="s">
        <v>46</v>
      </c>
      <c r="I102" s="43"/>
      <c r="J102" s="71"/>
      <c r="K102" s="71"/>
      <c r="L102" s="169"/>
      <c r="M102" s="172"/>
      <c r="N102" s="113"/>
      <c r="O102" s="36"/>
      <c r="P102" s="96">
        <v>87000000</v>
      </c>
      <c r="Q102" s="96"/>
      <c r="R102" s="96"/>
      <c r="S102" s="98"/>
      <c r="T102" s="96"/>
      <c r="U102" s="123"/>
      <c r="V102" s="96">
        <v>32080000</v>
      </c>
      <c r="W102" s="96"/>
      <c r="X102" s="96"/>
      <c r="Y102" s="98"/>
      <c r="Z102" s="96"/>
      <c r="AA102" s="123"/>
      <c r="AB102" s="117"/>
      <c r="AC102" s="120"/>
      <c r="AD102" s="110"/>
      <c r="AE102" s="110"/>
    </row>
    <row r="103" spans="1:31" ht="78.75" customHeight="1" x14ac:dyDescent="0.25">
      <c r="A103" s="25">
        <v>272</v>
      </c>
      <c r="B103" s="56" t="s">
        <v>43</v>
      </c>
      <c r="C103" s="56" t="s">
        <v>193</v>
      </c>
      <c r="D103" s="44" t="s">
        <v>202</v>
      </c>
      <c r="E103" s="95" t="s">
        <v>222</v>
      </c>
      <c r="F103" s="39" t="s">
        <v>223</v>
      </c>
      <c r="G103" s="61">
        <v>20200680010052</v>
      </c>
      <c r="H103" s="45" t="s">
        <v>205</v>
      </c>
      <c r="I103" s="43" t="s">
        <v>206</v>
      </c>
      <c r="J103" s="71">
        <v>44211</v>
      </c>
      <c r="K103" s="71">
        <v>44561</v>
      </c>
      <c r="L103" s="124">
        <v>1</v>
      </c>
      <c r="M103" s="126">
        <v>1</v>
      </c>
      <c r="N103" s="114">
        <f>IFERROR(IF(M103/L103&gt;100%,100%,M103/L103),"-")</f>
        <v>1</v>
      </c>
      <c r="O103" s="36" t="s">
        <v>224</v>
      </c>
      <c r="P103" s="96">
        <v>90000000</v>
      </c>
      <c r="Q103" s="96"/>
      <c r="R103" s="96"/>
      <c r="S103" s="98"/>
      <c r="T103" s="96"/>
      <c r="U103" s="121">
        <f>SUM(P103:T104)</f>
        <v>115000000</v>
      </c>
      <c r="V103" s="96">
        <v>18576966</v>
      </c>
      <c r="W103" s="96"/>
      <c r="X103" s="96"/>
      <c r="Y103" s="98"/>
      <c r="Z103" s="96"/>
      <c r="AA103" s="121">
        <f>SUM(V103:Z104)</f>
        <v>18576966</v>
      </c>
      <c r="AB103" s="115">
        <f>IFERROR(AA103/U103,"-")</f>
        <v>0.16153883478260869</v>
      </c>
      <c r="AC103" s="118">
        <v>0</v>
      </c>
      <c r="AD103" s="109" t="s">
        <v>52</v>
      </c>
      <c r="AE103" s="109" t="s">
        <v>256</v>
      </c>
    </row>
    <row r="104" spans="1:31" ht="78.75" customHeight="1" x14ac:dyDescent="0.25">
      <c r="A104" s="25">
        <v>272</v>
      </c>
      <c r="B104" s="56" t="s">
        <v>43</v>
      </c>
      <c r="C104" s="56" t="s">
        <v>193</v>
      </c>
      <c r="D104" s="44" t="s">
        <v>202</v>
      </c>
      <c r="E104" s="95" t="s">
        <v>222</v>
      </c>
      <c r="F104" s="39" t="s">
        <v>223</v>
      </c>
      <c r="G104" s="61">
        <v>20200680010052</v>
      </c>
      <c r="H104" s="45" t="s">
        <v>205</v>
      </c>
      <c r="I104" s="43" t="s">
        <v>244</v>
      </c>
      <c r="J104" s="71"/>
      <c r="K104" s="71"/>
      <c r="L104" s="125"/>
      <c r="M104" s="127"/>
      <c r="N104" s="113"/>
      <c r="O104" s="36"/>
      <c r="P104" s="96">
        <v>25000000</v>
      </c>
      <c r="Q104" s="96"/>
      <c r="R104" s="96"/>
      <c r="S104" s="98"/>
      <c r="T104" s="96"/>
      <c r="U104" s="123"/>
      <c r="V104" s="98"/>
      <c r="W104" s="96"/>
      <c r="X104" s="96"/>
      <c r="Y104" s="98"/>
      <c r="Z104" s="96"/>
      <c r="AA104" s="123"/>
      <c r="AB104" s="117"/>
      <c r="AC104" s="120"/>
      <c r="AD104" s="110"/>
      <c r="AE104" s="110"/>
    </row>
    <row r="105" spans="1:31" ht="63" customHeight="1" x14ac:dyDescent="0.25">
      <c r="A105" s="25">
        <v>273</v>
      </c>
      <c r="B105" s="57" t="s">
        <v>43</v>
      </c>
      <c r="C105" s="57" t="s">
        <v>193</v>
      </c>
      <c r="D105" s="49" t="s">
        <v>228</v>
      </c>
      <c r="E105" s="95" t="s">
        <v>229</v>
      </c>
      <c r="F105" s="39" t="s">
        <v>230</v>
      </c>
      <c r="G105" s="62"/>
      <c r="H105" s="35" t="s">
        <v>197</v>
      </c>
      <c r="I105" s="43"/>
      <c r="J105" s="84"/>
      <c r="K105" s="84"/>
      <c r="L105" s="69">
        <v>1</v>
      </c>
      <c r="M105" s="26">
        <v>0.7</v>
      </c>
      <c r="N105" s="23">
        <f>IFERROR(IF(M105/L105&gt;100%,100%,M105/L105),"-")</f>
        <v>0.7</v>
      </c>
      <c r="O105" s="38" t="s">
        <v>231</v>
      </c>
      <c r="P105" s="96">
        <v>51431000</v>
      </c>
      <c r="Q105" s="96"/>
      <c r="R105" s="96"/>
      <c r="S105" s="98"/>
      <c r="T105" s="96"/>
      <c r="U105" s="93">
        <f>SUM(P105:T105)</f>
        <v>51431000</v>
      </c>
      <c r="V105" s="96"/>
      <c r="W105" s="96"/>
      <c r="X105" s="96"/>
      <c r="Y105" s="98"/>
      <c r="Z105" s="96"/>
      <c r="AA105" s="93">
        <f>SUM(V105:Z105)</f>
        <v>0</v>
      </c>
      <c r="AB105" s="3">
        <f>IFERROR(AA105/U105,"-")</f>
        <v>0</v>
      </c>
      <c r="AC105" s="4">
        <v>0</v>
      </c>
      <c r="AD105" s="5" t="s">
        <v>52</v>
      </c>
      <c r="AE105" s="5" t="s">
        <v>256</v>
      </c>
    </row>
    <row r="106" spans="1:31" ht="60" customHeight="1" x14ac:dyDescent="0.25">
      <c r="A106" s="25">
        <v>274</v>
      </c>
      <c r="B106" s="57" t="s">
        <v>43</v>
      </c>
      <c r="C106" s="57" t="s">
        <v>193</v>
      </c>
      <c r="D106" s="49" t="s">
        <v>228</v>
      </c>
      <c r="E106" s="95" t="s">
        <v>232</v>
      </c>
      <c r="F106" s="39" t="s">
        <v>233</v>
      </c>
      <c r="G106" s="61">
        <v>20200680010164</v>
      </c>
      <c r="H106" s="42" t="s">
        <v>234</v>
      </c>
      <c r="I106" s="43" t="s">
        <v>235</v>
      </c>
      <c r="J106" s="84">
        <v>44245</v>
      </c>
      <c r="K106" s="84">
        <v>44561</v>
      </c>
      <c r="L106" s="69">
        <v>1</v>
      </c>
      <c r="M106" s="24">
        <v>1</v>
      </c>
      <c r="N106" s="23">
        <f>IFERROR(IF(M106/L106&gt;100%,100%,M106/L106),"-")</f>
        <v>1</v>
      </c>
      <c r="O106" s="38" t="s">
        <v>249</v>
      </c>
      <c r="P106" s="96">
        <v>148569000</v>
      </c>
      <c r="Q106" s="96"/>
      <c r="R106" s="96"/>
      <c r="S106" s="98"/>
      <c r="T106" s="96"/>
      <c r="U106" s="93">
        <f>SUM(P106:T106)</f>
        <v>148569000</v>
      </c>
      <c r="V106" s="96">
        <v>97169856</v>
      </c>
      <c r="W106" s="96"/>
      <c r="X106" s="96"/>
      <c r="Y106" s="98"/>
      <c r="Z106" s="96"/>
      <c r="AA106" s="93">
        <f>SUM(V106:Z106)</f>
        <v>97169856</v>
      </c>
      <c r="AB106" s="3">
        <f>IFERROR(AA106/U106,"-")</f>
        <v>0.65403856793812976</v>
      </c>
      <c r="AC106" s="4">
        <v>0</v>
      </c>
      <c r="AD106" s="5" t="s">
        <v>52</v>
      </c>
      <c r="AE106" s="5" t="s">
        <v>256</v>
      </c>
    </row>
    <row r="107" spans="1:31" ht="81.599999999999994" customHeight="1" x14ac:dyDescent="0.25">
      <c r="A107" s="25">
        <v>275</v>
      </c>
      <c r="B107" s="57" t="s">
        <v>43</v>
      </c>
      <c r="C107" s="57" t="s">
        <v>193</v>
      </c>
      <c r="D107" s="49" t="s">
        <v>236</v>
      </c>
      <c r="E107" s="95" t="s">
        <v>237</v>
      </c>
      <c r="F107" s="39" t="s">
        <v>238</v>
      </c>
      <c r="G107" s="61">
        <v>20210680010041</v>
      </c>
      <c r="H107" s="42" t="s">
        <v>94</v>
      </c>
      <c r="I107" s="43" t="s">
        <v>95</v>
      </c>
      <c r="J107" s="84">
        <v>44330</v>
      </c>
      <c r="K107" s="84">
        <v>44561</v>
      </c>
      <c r="L107" s="69">
        <v>1</v>
      </c>
      <c r="M107" s="26">
        <v>0.85</v>
      </c>
      <c r="N107" s="23">
        <f>IFERROR(IF(M107/L107&gt;100%,100%,M107/L107),"-")</f>
        <v>0.85</v>
      </c>
      <c r="O107" s="38" t="s">
        <v>239</v>
      </c>
      <c r="P107" s="96"/>
      <c r="Q107" s="96"/>
      <c r="R107" s="96"/>
      <c r="S107" s="98"/>
      <c r="T107" s="96">
        <v>15000000</v>
      </c>
      <c r="U107" s="93">
        <f>SUM(P107:T107)</f>
        <v>15000000</v>
      </c>
      <c r="V107" s="96"/>
      <c r="W107" s="96"/>
      <c r="X107" s="96"/>
      <c r="Y107" s="98"/>
      <c r="Z107" s="96">
        <v>15000000</v>
      </c>
      <c r="AA107" s="93">
        <f>SUM(V107:Z107)</f>
        <v>15000000</v>
      </c>
      <c r="AB107" s="3">
        <f>IFERROR(AA107/U107,"-")</f>
        <v>1</v>
      </c>
      <c r="AC107" s="4">
        <v>0</v>
      </c>
      <c r="AD107" s="5" t="s">
        <v>52</v>
      </c>
      <c r="AE107" s="5" t="s">
        <v>256</v>
      </c>
    </row>
    <row r="108" spans="1:31" ht="120" customHeight="1" x14ac:dyDescent="0.25">
      <c r="A108" s="25">
        <v>300</v>
      </c>
      <c r="B108" s="57" t="s">
        <v>38</v>
      </c>
      <c r="C108" s="57" t="s">
        <v>39</v>
      </c>
      <c r="D108" s="49" t="s">
        <v>40</v>
      </c>
      <c r="E108" s="95" t="s">
        <v>50</v>
      </c>
      <c r="F108" s="39" t="s">
        <v>51</v>
      </c>
      <c r="G108" s="61">
        <v>20200680010035</v>
      </c>
      <c r="H108" s="42" t="s">
        <v>240</v>
      </c>
      <c r="I108" s="39" t="s">
        <v>241</v>
      </c>
      <c r="J108" s="84">
        <v>44202</v>
      </c>
      <c r="K108" s="84">
        <v>44561</v>
      </c>
      <c r="L108" s="70">
        <v>1</v>
      </c>
      <c r="M108" s="28">
        <v>1</v>
      </c>
      <c r="N108" s="23">
        <f>IFERROR(IF(M108/L108&gt;100%,100%,M108/L108),"-")</f>
        <v>1</v>
      </c>
      <c r="O108" s="38" t="s">
        <v>242</v>
      </c>
      <c r="P108" s="97">
        <v>881000000</v>
      </c>
      <c r="Q108" s="96"/>
      <c r="R108" s="96"/>
      <c r="S108" s="98"/>
      <c r="T108" s="96"/>
      <c r="U108" s="93">
        <f>SUM(P108:T108)</f>
        <v>881000000</v>
      </c>
      <c r="V108" s="96">
        <f>651900000+127983333+67750000</f>
        <v>847633333</v>
      </c>
      <c r="W108" s="96"/>
      <c r="X108" s="96"/>
      <c r="Y108" s="98"/>
      <c r="Z108" s="96"/>
      <c r="AA108" s="93">
        <f>SUM(V108:Z108)</f>
        <v>847633333</v>
      </c>
      <c r="AB108" s="3">
        <f>IFERROR(AA108/U108,"-")</f>
        <v>0.96212637116912603</v>
      </c>
      <c r="AC108" s="4">
        <v>0</v>
      </c>
      <c r="AD108" s="5" t="s">
        <v>52</v>
      </c>
      <c r="AE108" s="5" t="s">
        <v>256</v>
      </c>
    </row>
    <row r="109" spans="1:31" ht="15" customHeight="1" x14ac:dyDescent="0.25">
      <c r="A109" s="6">
        <f>SUM(--(FREQUENCY(A9:A108,A9:A108)&gt;0))</f>
        <v>43</v>
      </c>
      <c r="B109" s="7"/>
      <c r="C109" s="8"/>
      <c r="D109" s="8"/>
      <c r="E109" s="21"/>
      <c r="F109" s="21"/>
      <c r="G109" s="108"/>
      <c r="H109" s="8"/>
      <c r="I109" s="8"/>
      <c r="J109" s="58"/>
      <c r="K109" s="9"/>
      <c r="L109" s="9"/>
      <c r="M109" s="10" t="s">
        <v>17</v>
      </c>
      <c r="N109" s="9">
        <f>IFERROR(AVERAGE(N9:N108),"-")</f>
        <v>0.80340909090909107</v>
      </c>
      <c r="O109" s="11"/>
      <c r="P109" s="12">
        <f>SUM(P9:P108)</f>
        <v>11924110738.26</v>
      </c>
      <c r="Q109" s="12">
        <f t="shared" ref="Q109:Z109" si="5">SUM(Q9:Q108)</f>
        <v>0</v>
      </c>
      <c r="R109" s="12">
        <f t="shared" si="5"/>
        <v>0</v>
      </c>
      <c r="S109" s="12">
        <f t="shared" si="5"/>
        <v>0</v>
      </c>
      <c r="T109" s="12">
        <f t="shared" si="5"/>
        <v>25196127295</v>
      </c>
      <c r="U109" s="14">
        <f t="shared" si="5"/>
        <v>37120238033.260002</v>
      </c>
      <c r="V109" s="12">
        <f t="shared" si="5"/>
        <v>5255370174</v>
      </c>
      <c r="W109" s="12">
        <f t="shared" si="5"/>
        <v>0</v>
      </c>
      <c r="X109" s="12">
        <f t="shared" si="5"/>
        <v>0</v>
      </c>
      <c r="Y109" s="12">
        <f t="shared" si="5"/>
        <v>0</v>
      </c>
      <c r="Z109" s="12">
        <f t="shared" si="5"/>
        <v>6574371491.1099997</v>
      </c>
      <c r="AA109" s="14">
        <f>SUM(AA9:AA108)</f>
        <v>11829741665.110001</v>
      </c>
      <c r="AB109" s="13">
        <f>IFERROR(AA109/U109,"-")</f>
        <v>0.31868711764484015</v>
      </c>
      <c r="AC109" s="14">
        <f>SUM(AC9:AC108)</f>
        <v>17788666566</v>
      </c>
      <c r="AD109" s="11"/>
      <c r="AE109" s="11"/>
    </row>
    <row r="110" spans="1:31" ht="14.25" customHeight="1" x14ac:dyDescent="0.25">
      <c r="T110"/>
      <c r="U110"/>
      <c r="V110"/>
      <c r="W110"/>
      <c r="X110"/>
      <c r="Y110"/>
      <c r="Z110"/>
      <c r="AA110"/>
    </row>
    <row r="111" spans="1:31" ht="14.25" customHeight="1" x14ac:dyDescent="0.25">
      <c r="T111"/>
      <c r="U111"/>
      <c r="V111"/>
      <c r="W111"/>
      <c r="X111"/>
      <c r="Y111"/>
      <c r="Z111"/>
      <c r="AA111"/>
    </row>
    <row r="112" spans="1:31" x14ac:dyDescent="0.25">
      <c r="T112"/>
      <c r="U112"/>
      <c r="V112"/>
      <c r="W112"/>
      <c r="X112"/>
      <c r="Y112"/>
      <c r="Z112"/>
      <c r="AA112"/>
    </row>
    <row r="113" spans="16:29" x14ac:dyDescent="0.25">
      <c r="T113"/>
      <c r="U113"/>
      <c r="V113"/>
      <c r="W113"/>
      <c r="X113"/>
      <c r="Y113"/>
      <c r="Z113"/>
      <c r="AA113"/>
      <c r="AC113" s="103"/>
    </row>
    <row r="114" spans="16:29" x14ac:dyDescent="0.25">
      <c r="P114" s="103"/>
      <c r="T114"/>
      <c r="U114"/>
      <c r="V114"/>
      <c r="W114"/>
      <c r="X114"/>
      <c r="Y114"/>
      <c r="Z114"/>
      <c r="AA114"/>
    </row>
    <row r="115" spans="16:29" x14ac:dyDescent="0.25">
      <c r="P115" s="104"/>
      <c r="T115"/>
      <c r="U115"/>
      <c r="V115"/>
      <c r="W115"/>
      <c r="X115"/>
      <c r="Y115"/>
      <c r="Z115"/>
      <c r="AA115"/>
    </row>
    <row r="116" spans="16:29" x14ac:dyDescent="0.25">
      <c r="U116"/>
      <c r="V116"/>
    </row>
    <row r="117" spans="16:29" x14ac:dyDescent="0.25">
      <c r="U117"/>
      <c r="V117"/>
    </row>
    <row r="118" spans="16:29" x14ac:dyDescent="0.25">
      <c r="U118"/>
      <c r="V118"/>
    </row>
    <row r="119" spans="16:29" x14ac:dyDescent="0.25">
      <c r="AC119" s="103"/>
    </row>
    <row r="120" spans="16:29" x14ac:dyDescent="0.25">
      <c r="AC120" s="105"/>
    </row>
  </sheetData>
  <mergeCells count="177">
    <mergeCell ref="AE10:AE11"/>
    <mergeCell ref="AD19:AD20"/>
    <mergeCell ref="AE19:AE20"/>
    <mergeCell ref="AD21:AD22"/>
    <mergeCell ref="AE21:AE22"/>
    <mergeCell ref="AA10:AA11"/>
    <mergeCell ref="AA70:AA74"/>
    <mergeCell ref="AD76:AD77"/>
    <mergeCell ref="AA98:AA100"/>
    <mergeCell ref="U92:U93"/>
    <mergeCell ref="AD82:AD85"/>
    <mergeCell ref="AB79:AB81"/>
    <mergeCell ref="U79:U81"/>
    <mergeCell ref="AA89:AA90"/>
    <mergeCell ref="AC92:AC93"/>
    <mergeCell ref="AD92:AD93"/>
    <mergeCell ref="AD10:AD11"/>
    <mergeCell ref="AC29:AC30"/>
    <mergeCell ref="AD29:AD30"/>
    <mergeCell ref="AE29:AE30"/>
    <mergeCell ref="N31:N34"/>
    <mergeCell ref="AD23:AD27"/>
    <mergeCell ref="AE23:AE27"/>
    <mergeCell ref="AE31:AE34"/>
    <mergeCell ref="U37:U61"/>
    <mergeCell ref="AA37:AA61"/>
    <mergeCell ref="AB37:AB61"/>
    <mergeCell ref="AC37:AC61"/>
    <mergeCell ref="AD37:AD61"/>
    <mergeCell ref="AE37:AE61"/>
    <mergeCell ref="AB31:AB34"/>
    <mergeCell ref="U31:U34"/>
    <mergeCell ref="AC31:AC34"/>
    <mergeCell ref="AC23:AC27"/>
    <mergeCell ref="AD35:AD36"/>
    <mergeCell ref="AE35:AE36"/>
    <mergeCell ref="AA23:AA27"/>
    <mergeCell ref="U35:U36"/>
    <mergeCell ref="AA31:AA34"/>
    <mergeCell ref="AC35:AC36"/>
    <mergeCell ref="AD31:AD34"/>
    <mergeCell ref="AC62:AC67"/>
    <mergeCell ref="AC76:AC77"/>
    <mergeCell ref="AA35:AA36"/>
    <mergeCell ref="AB35:AB36"/>
    <mergeCell ref="AE101:AE102"/>
    <mergeCell ref="AA103:AA104"/>
    <mergeCell ref="AB103:AB104"/>
    <mergeCell ref="AC103:AC104"/>
    <mergeCell ref="AC79:AC81"/>
    <mergeCell ref="AA82:AA85"/>
    <mergeCell ref="AB82:AB85"/>
    <mergeCell ref="AC82:AC85"/>
    <mergeCell ref="AD103:AD104"/>
    <mergeCell ref="AB98:AB100"/>
    <mergeCell ref="AC98:AC100"/>
    <mergeCell ref="AA92:AA93"/>
    <mergeCell ref="AB92:AB93"/>
    <mergeCell ref="AB101:AB102"/>
    <mergeCell ref="AC101:AC102"/>
    <mergeCell ref="AE79:AE81"/>
    <mergeCell ref="AE103:AE104"/>
    <mergeCell ref="AE76:AE77"/>
    <mergeCell ref="AD98:AD100"/>
    <mergeCell ref="AE98:AE100"/>
    <mergeCell ref="AD101:AD102"/>
    <mergeCell ref="AA101:AA102"/>
    <mergeCell ref="AD79:AD81"/>
    <mergeCell ref="AE92:AE93"/>
    <mergeCell ref="L103:L104"/>
    <mergeCell ref="M103:M104"/>
    <mergeCell ref="N103:N104"/>
    <mergeCell ref="N82:N85"/>
    <mergeCell ref="U98:U100"/>
    <mergeCell ref="L98:L100"/>
    <mergeCell ref="M98:M100"/>
    <mergeCell ref="N98:N100"/>
    <mergeCell ref="M101:M102"/>
    <mergeCell ref="N101:N102"/>
    <mergeCell ref="U101:U102"/>
    <mergeCell ref="U103:U104"/>
    <mergeCell ref="L101:L102"/>
    <mergeCell ref="U82:U85"/>
    <mergeCell ref="N92:N93"/>
    <mergeCell ref="U89:U90"/>
    <mergeCell ref="AB89:AB90"/>
    <mergeCell ref="AC89:AC90"/>
    <mergeCell ref="L70:L74"/>
    <mergeCell ref="M70:M74"/>
    <mergeCell ref="N70:N74"/>
    <mergeCell ref="N79:N81"/>
    <mergeCell ref="N76:N77"/>
    <mergeCell ref="L92:L93"/>
    <mergeCell ref="M92:M93"/>
    <mergeCell ref="L62:L67"/>
    <mergeCell ref="M62:M67"/>
    <mergeCell ref="L82:L85"/>
    <mergeCell ref="M82:M85"/>
    <mergeCell ref="L79:L81"/>
    <mergeCell ref="M79:M81"/>
    <mergeCell ref="L76:L77"/>
    <mergeCell ref="M76:M77"/>
    <mergeCell ref="AC1:AE1"/>
    <mergeCell ref="AC2:AE2"/>
    <mergeCell ref="AC3:AE3"/>
    <mergeCell ref="AC4:AE4"/>
    <mergeCell ref="AC7:AC8"/>
    <mergeCell ref="AD7:AE7"/>
    <mergeCell ref="L23:L27"/>
    <mergeCell ref="M23:M27"/>
    <mergeCell ref="N23:N27"/>
    <mergeCell ref="AC21:AC22"/>
    <mergeCell ref="U21:U22"/>
    <mergeCell ref="U19:U20"/>
    <mergeCell ref="AB23:AB27"/>
    <mergeCell ref="AA19:AA20"/>
    <mergeCell ref="AB19:AB20"/>
    <mergeCell ref="AA21:AA22"/>
    <mergeCell ref="AB21:AB22"/>
    <mergeCell ref="AC10:AC11"/>
    <mergeCell ref="L10:L11"/>
    <mergeCell ref="M10:M11"/>
    <mergeCell ref="N10:N11"/>
    <mergeCell ref="L7:N7"/>
    <mergeCell ref="U23:U27"/>
    <mergeCell ref="AC19:AC20"/>
    <mergeCell ref="U29:U30"/>
    <mergeCell ref="AA29:AA30"/>
    <mergeCell ref="A1:A4"/>
    <mergeCell ref="A5:C5"/>
    <mergeCell ref="A6:C6"/>
    <mergeCell ref="D5:L5"/>
    <mergeCell ref="D6:L6"/>
    <mergeCell ref="B1:AB4"/>
    <mergeCell ref="AB10:AB11"/>
    <mergeCell ref="B7:F7"/>
    <mergeCell ref="G7:K7"/>
    <mergeCell ref="O7:U7"/>
    <mergeCell ref="V7:AA7"/>
    <mergeCell ref="AB7:AB8"/>
    <mergeCell ref="AB29:AB30"/>
    <mergeCell ref="U10:U11"/>
    <mergeCell ref="L35:L36"/>
    <mergeCell ref="M35:M36"/>
    <mergeCell ref="N35:N36"/>
    <mergeCell ref="L37:L61"/>
    <mergeCell ref="M37:M61"/>
    <mergeCell ref="L21:L22"/>
    <mergeCell ref="M21:M22"/>
    <mergeCell ref="N21:N22"/>
    <mergeCell ref="L19:L20"/>
    <mergeCell ref="M19:M20"/>
    <mergeCell ref="N19:N20"/>
    <mergeCell ref="L31:L34"/>
    <mergeCell ref="M31:M34"/>
    <mergeCell ref="L29:L30"/>
    <mergeCell ref="M29:M30"/>
    <mergeCell ref="N29:N30"/>
    <mergeCell ref="AE89:AE90"/>
    <mergeCell ref="AD89:AD90"/>
    <mergeCell ref="N37:N61"/>
    <mergeCell ref="N62:N67"/>
    <mergeCell ref="AB70:AB74"/>
    <mergeCell ref="AC70:AC74"/>
    <mergeCell ref="U62:U67"/>
    <mergeCell ref="AA62:AA67"/>
    <mergeCell ref="U70:U74"/>
    <mergeCell ref="AA76:AA77"/>
    <mergeCell ref="AB76:AB77"/>
    <mergeCell ref="AB62:AB67"/>
    <mergeCell ref="AD70:AD74"/>
    <mergeCell ref="AE70:AE74"/>
    <mergeCell ref="AD62:AD67"/>
    <mergeCell ref="AE62:AE67"/>
    <mergeCell ref="U76:U77"/>
    <mergeCell ref="AE82:AE85"/>
    <mergeCell ref="AA79:AA81"/>
  </mergeCells>
  <phoneticPr fontId="15" type="noConversion"/>
  <conditionalFormatting sqref="N9:N108">
    <cfRule type="cellIs" dxfId="2" priority="31" operator="between">
      <formula>0.67</formula>
      <formula>1</formula>
    </cfRule>
    <cfRule type="cellIs" dxfId="1" priority="32" operator="between">
      <formula>0.34</formula>
      <formula>0.67</formula>
    </cfRule>
    <cfRule type="cellIs" dxfId="0" priority="33" operator="between">
      <formula>0</formula>
      <formula>0.34</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2021-11-04T00:44:10Z</dcterms:modified>
</cp:coreProperties>
</file>