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C9BDA83D-2D99-43B7-9812-B567FE2B03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Acción'!$F$8:$H$104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2" i="14" l="1"/>
  <c r="N101" i="14"/>
  <c r="N99" i="14"/>
  <c r="N93" i="14"/>
  <c r="N92" i="14"/>
  <c r="N91" i="14"/>
  <c r="N89" i="14"/>
  <c r="N58" i="14"/>
  <c r="N88" i="14"/>
  <c r="N85" i="14"/>
  <c r="N60" i="14"/>
  <c r="N56" i="14"/>
  <c r="N51" i="14"/>
  <c r="N50" i="14"/>
  <c r="N49" i="14"/>
  <c r="N19" i="14"/>
  <c r="N17" i="14"/>
  <c r="N14" i="14"/>
  <c r="N16" i="14"/>
  <c r="N11" i="14"/>
  <c r="N10" i="14"/>
  <c r="N9" i="14"/>
  <c r="V34" i="14"/>
  <c r="P34" i="14"/>
  <c r="P20" i="14"/>
  <c r="AA58" i="14"/>
  <c r="U58" i="14"/>
  <c r="P29" i="14" l="1"/>
  <c r="V95" i="14" l="1"/>
  <c r="V94" i="14"/>
  <c r="V93" i="14"/>
  <c r="AA93" i="14" l="1"/>
  <c r="AA102" i="14"/>
  <c r="V85" i="14" l="1"/>
  <c r="V86" i="14"/>
  <c r="P28" i="14" l="1"/>
  <c r="P25" i="14"/>
  <c r="T18" i="14"/>
  <c r="P41" i="14"/>
  <c r="M23" i="14"/>
  <c r="N23" i="14" s="1"/>
  <c r="N104" i="14" s="1"/>
  <c r="Q98" i="14" l="1"/>
  <c r="P98" i="14"/>
  <c r="P18" i="14"/>
  <c r="P49" i="14" l="1"/>
  <c r="T57" i="14"/>
  <c r="T38" i="14"/>
  <c r="P83" i="14"/>
  <c r="AA85" i="14"/>
  <c r="P86" i="14"/>
  <c r="U102" i="14" l="1"/>
  <c r="U101" i="14"/>
  <c r="U92" i="14"/>
  <c r="U91" i="14"/>
  <c r="U89" i="14"/>
  <c r="U88" i="14"/>
  <c r="U50" i="14"/>
  <c r="U16" i="14"/>
  <c r="U11" i="14"/>
  <c r="U10" i="14"/>
  <c r="U9" i="14"/>
  <c r="P96" i="14"/>
  <c r="P95" i="14"/>
  <c r="U85" i="14"/>
  <c r="V62" i="14"/>
  <c r="P62" i="14"/>
  <c r="A104" i="14"/>
  <c r="AC104" i="14"/>
  <c r="U93" i="14" l="1"/>
  <c r="Q104" i="14"/>
  <c r="R104" i="14"/>
  <c r="S104" i="14"/>
  <c r="W104" i="14"/>
  <c r="X104" i="14"/>
  <c r="Y104" i="14"/>
  <c r="Z104" i="14"/>
  <c r="AA101" i="14"/>
  <c r="AA99" i="14"/>
  <c r="AA92" i="14"/>
  <c r="AA91" i="14"/>
  <c r="AA89" i="14"/>
  <c r="AA88" i="14"/>
  <c r="AA60" i="14"/>
  <c r="AA51" i="14"/>
  <c r="AA50" i="14"/>
  <c r="AA49" i="14"/>
  <c r="AA23" i="14"/>
  <c r="AA19" i="14"/>
  <c r="AA17" i="14"/>
  <c r="AA16" i="14"/>
  <c r="AA14" i="14"/>
  <c r="AA11" i="14"/>
  <c r="AA10" i="14"/>
  <c r="AB10" i="14" s="1"/>
  <c r="AA9" i="14"/>
  <c r="AB16" i="14" l="1"/>
  <c r="AB11" i="14"/>
  <c r="AB9" i="14"/>
  <c r="T100" i="14"/>
  <c r="U99" i="14" s="1"/>
  <c r="P82" i="14"/>
  <c r="P80" i="14"/>
  <c r="P76" i="14"/>
  <c r="P61" i="14"/>
  <c r="AB58" i="14"/>
  <c r="V57" i="14"/>
  <c r="U56" i="14"/>
  <c r="T55" i="14"/>
  <c r="U51" i="14" s="1"/>
  <c r="U49" i="14"/>
  <c r="P48" i="14"/>
  <c r="U17" i="14" l="1"/>
  <c r="AB17" i="14" s="1"/>
  <c r="U60" i="14"/>
  <c r="AB60" i="14" s="1"/>
  <c r="U19" i="14"/>
  <c r="AB19" i="14" s="1"/>
  <c r="U23" i="14"/>
  <c r="U14" i="14"/>
  <c r="AB93" i="14"/>
  <c r="V104" i="14"/>
  <c r="AA56" i="14"/>
  <c r="P104" i="14"/>
  <c r="T104" i="14"/>
  <c r="AB51" i="14"/>
  <c r="AB92" i="14"/>
  <c r="AB89" i="14"/>
  <c r="AB88" i="14"/>
  <c r="AB102" i="14"/>
  <c r="AB85" i="14"/>
  <c r="AB50" i="14"/>
  <c r="AB91" i="14"/>
  <c r="AB49" i="14"/>
  <c r="AB101" i="14"/>
  <c r="AB99" i="14"/>
  <c r="AB14" i="14" l="1"/>
  <c r="U104" i="14"/>
  <c r="AA104" i="14"/>
  <c r="AB56" i="14"/>
  <c r="AB23" i="14"/>
  <c r="AB104" i="14" l="1"/>
</calcChain>
</file>

<file path=xl/sharedStrings.xml><?xml version="1.0" encoding="utf-8"?>
<sst xmlns="http://schemas.openxmlformats.org/spreadsheetml/2006/main" count="790" uniqueCount="260">
  <si>
    <t xml:space="preserve"> PLAN DE ACCIÓN - PLAN DE DESARROLLO MUNICIPAL
SECRETARÍA DE INFRAESTRUCTURA</t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</si>
  <si>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</si>
  <si>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</si>
  <si>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</si>
  <si>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</si>
  <si>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</si>
  <si>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</si>
  <si>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</si>
  <si>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</si>
  <si>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</si>
  <si>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</si>
  <si>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</si>
  <si>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</si>
  <si>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</si>
  <si>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</si>
  <si>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</si>
  <si>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</si>
  <si>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</si>
  <si>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</si>
  <si>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</si>
  <si>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</si>
  <si>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</si>
  <si>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</si>
  <si>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</si>
  <si>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</si>
  <si>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</si>
  <si>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</si>
  <si>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</si>
  <si>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</si>
  <si>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</si>
  <si>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</si>
  <si>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</si>
  <si>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</si>
  <si>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</si>
  <si>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</si>
  <si>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</si>
  <si>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</si>
  <si>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</si>
  <si>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</si>
  <si>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</si>
  <si>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CONSTRUCCIÓN CANALIZACIÓN DE CAUCES: QUEBRADA LA FLORA Y LA IGLESIA PARTE ALTA, E INTERCEPTORES: LA FLORA II Y LA IGLESIA PARTE ALTA - MUNICIPIO DE BUCARAMANGA</t>
  </si>
  <si>
    <t>-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</si>
  <si>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</si>
  <si>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</si>
  <si>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</si>
  <si>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</si>
  <si>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N/A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</si>
  <si>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</si>
  <si>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</si>
  <si>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</si>
  <si>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</si>
  <si>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</si>
  <si>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ACTUALIZACION DE ESTUDIOS Y DISEÑOS FASE I DE LA CONEXIÓN  VIAL ORIENTE - OCCIDENTE A TRAVÉS DEL CORREDOR COMPRENDIDO ENTRE CALLES 54 Y CALLE 56 DEL MUNICIPIO DE BUCARAMANGA</t>
  </si>
  <si>
    <t>2.3.2.02.02.008.2402118.230</t>
  </si>
  <si>
    <t>PENDIENTE POR DEFINIR</t>
  </si>
  <si>
    <t>ESTUDIOS DE SUELOS, GEOLOGÍA Y GEOTECNIA EN DIFERENTES PUNTOS DEL MUNICIPIO DE BUCARAMANGA</t>
  </si>
  <si>
    <t>Realizar el 100% de los estudios y/o diseños requeridos para el desarrollo de obras de infraestructura</t>
  </si>
  <si>
    <t>2.3.2.02.02.008.2402118.201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</si>
  <si>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</si>
  <si>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</si>
  <si>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</si>
  <si>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</si>
  <si>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</si>
  <si>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 xml:space="preserve">2.3.2.02.02.005.4003017.201 </t>
  </si>
  <si>
    <t>2.3.2.02.02.008.4003009.501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</si>
  <si>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</si>
  <si>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</si>
  <si>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</si>
  <si>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</si>
  <si>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CONSTRUCCION DE SISTEMAS RE RECOLECCION Y TRATAMIENTO DE AGUAS RESIDUALES A TRAVES DE POZOS SEPTICOS EN EL AREA RURAL DEL MUNICIPIO DE BUCARAMANGA</t>
  </si>
  <si>
    <t>pasivos exigibles</t>
  </si>
  <si>
    <t>2.3.7.06.02.4599002.615</t>
  </si>
  <si>
    <t>2.3.2.02.02.005.4003044.201 2.3.2.02.02.005.4003044.521 2.3.2.02.02.005.4003044.604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</si>
  <si>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</si>
  <si>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</si>
  <si>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</si>
  <si>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</si>
  <si>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</si>
  <si>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</si>
  <si>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</si>
  <si>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</si>
  <si>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2.3.2.02.02.008.4002026.501 2.3.2.02.02.008.4002026.513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</si>
  <si>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</si>
  <si>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</si>
  <si>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</si>
  <si>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MEJORAMIENTO DEL SENDERO DE LOS CAMINANTES EN LOS CERROS ORIENTALES EN EL MUNICIPIO DE BUCARAMANGA.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</si>
  <si>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</si>
  <si>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</si>
  <si>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</si>
  <si>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</si>
  <si>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</si>
  <si>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2.3.2.02.02.005.4104002.201</t>
  </si>
  <si>
    <t>MEJORAMIENTO DEL CENTRO VIDA AÑOS MARAVILLOSOS CIUDADELA REAL MINAS DEL MUNICIPIO DE BUCARAMANGA</t>
  </si>
  <si>
    <t>2.3.7.06.02.4599002.620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</si>
  <si>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</si>
  <si>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</si>
  <si>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</si>
  <si>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</si>
  <si>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</si>
  <si>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2.3.2.02.02.005.2402127.201</t>
  </si>
  <si>
    <t>ADECUACION DEL TEATRINO DE LA ESCUELA DE ARTES MUNICIPAL ARTES (EMA) EN EL MUNICIPIO DE BUCARAMANGA</t>
  </si>
  <si>
    <t>Habilitar (1) espacio para el desarrollo de programas de formación artística y cultural</t>
  </si>
  <si>
    <t>2.3.2.0202.005.3301038.201</t>
  </si>
  <si>
    <t>POR DEFINIR PROYECTO DE ESPACIO PUBLICO</t>
  </si>
  <si>
    <t>2.3.2.02.02.005.2402127.233
2.3.2.02.02.005.2402127.282 2.3.2.02.02.005.2402127.605</t>
  </si>
  <si>
    <t>MANTENIMIENTO Y ADECUACIÓN DE SALONES COMUNALES MEDIANTE EL EJERCICIO DE PRESUPUESTOS PARTICIPATIVOS EN DIFERENTES SECTORES DEL MUNICIPIO DE BUCARAMANGA</t>
  </si>
  <si>
    <t>2.3.2.02.02.005.4502003.201</t>
  </si>
  <si>
    <t>POR DEFINIR PROYECTOS DE PASIVOS EXIGIBLES</t>
  </si>
  <si>
    <t xml:space="preserve"> 2.3.7.06.02.4599002.620 2.3.7.06.02.4599002.630 2.3.7.06.02.4599002.682</t>
  </si>
  <si>
    <t>ADECUACION DE LOS SALONES COMUNALES EN DIFERENTES SECTORES DEL MUNICIPIO DE BUCARAMANGA</t>
  </si>
  <si>
    <t>Pasivos exigibles</t>
  </si>
  <si>
    <t>2.3.7.06.02.4599002.601</t>
  </si>
  <si>
    <t>ASISTENCIA TECNICA PARA LA EJECUCION DE LAS OBRAS DE ADECUACION DE ANDENES Y ESCALERAS Y PASAMANOS EN DIFERENTES SECTORES DEL MUNICIPIO DE BUCARAMANGA</t>
  </si>
  <si>
    <t>2.3.2.02.02.008.2408004.273</t>
  </si>
  <si>
    <t>ADECUACION Y MEJORAMIENTO DE PARQUES Y ESPACIO PUBLICO DEL MUNICIPIO DE BUCARAMANGA</t>
  </si>
  <si>
    <t>2.3.2.02.02.005.4301012.273</t>
  </si>
  <si>
    <t xml:space="preserve">2.3.2.02.02.005.4301012.273 </t>
  </si>
  <si>
    <t>MANTENIMIENTO DE PARQUES Y ESPACIOS RECREODEPORTIVOS Y ZONAS VERDES EN DIFERENTES COMUNAS DEL MUNICIPIO DE BUCARAMANGA</t>
  </si>
  <si>
    <t xml:space="preserve">2.3.2.02.02.005.4002022.201 </t>
  </si>
  <si>
    <t>2.3.2.02.02.005.4002020.201 2.3.2.02.02.005.4002020.588 2.3.2.02.02.005.4002020.501</t>
  </si>
  <si>
    <t>ADECUACIÓN DE INFRAESTRUCTURA PARA EQUIPAMIENTOS COMUNITARIOS Y ESPACIOS PÚBLICOS ADYACENTES EN EL MUNICIPIO DE BUCARAMANGA</t>
  </si>
  <si>
    <t>Adecuacion de la infraestructura para equipamentos comunitarios y construccion de 3269,14 m2</t>
  </si>
  <si>
    <t>2.3.2.02.02.005.4103027.273</t>
  </si>
  <si>
    <t>2.3.2.02.02.005.4502002.201</t>
  </si>
  <si>
    <t>Pendiente POR ADICIONAR</t>
  </si>
  <si>
    <t>2.3.2.02.02.005.4502002.501</t>
  </si>
  <si>
    <t>POR DEFINIR SALDO</t>
  </si>
  <si>
    <t>PENDIENTE POR ADICIONAR</t>
  </si>
  <si>
    <t xml:space="preserve">
2.3.2.02.02.008.4502002.201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</si>
  <si>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</si>
  <si>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</si>
  <si>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ADECUACIÓN Y MANTENIMIENTO DE LAS PLAZAS DE MERCADO DEL MUNICIPIO DE BUCARAMANGA</t>
  </si>
  <si>
    <t>2.3.2.02.02.005.1709112.201 2.3.2.02.02.005.1709112.273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</si>
  <si>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</si>
  <si>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</si>
  <si>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</si>
  <si>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</si>
  <si>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</si>
  <si>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SERVICIO DE INTERVENTORIA TECNICA, ADMINISTRATIVA, FINANCIERA Y AMBIENTAL PARA LA AMPLIACION DEL CORREDOR VIAL PRIMARIO BUCARAMANGA - FLORIDABLANCA SECTOR PUERTA DEL SOL - PUENTE PROVENZA DEL MUNICIPIO DE BUCARAMANGA.</t>
  </si>
  <si>
    <t>2.3.2.02.02.008.2402107.201</t>
  </si>
  <si>
    <t>2.3.2.02.02.005.2402113.230
2.3.2.02.02.005.2402113.255
2.3.2.02.02.005.2402113.273 2.3.2.02.02.005.2402113.530</t>
  </si>
  <si>
    <t>MANTENIMIENTO Y MEJORAMIENTO DE LA RED VIAL URBANA DEL MUNICIPIO DE BUCARAMANGA, SANTANDER</t>
  </si>
  <si>
    <t>Mejorar y mantener 130.000 metros cuadrados de red vial urbana</t>
  </si>
  <si>
    <t>2.3.2.02.02.005.2402114.273</t>
  </si>
  <si>
    <t>2.3.2.02.02.005.2402114.201
2.3.2.02.02.005.2402114.273</t>
  </si>
  <si>
    <t>Construir 3.000 metros líneales de placa huella en la zona rural.</t>
  </si>
  <si>
    <t>Número de metros lineales de placa huella construídos en la zona rural.</t>
  </si>
  <si>
    <t>CONSTRUCCIÓN DE PLACA HUELLAS EN EL SECTOR RURAL DEL MUNICIPIO MEDIANTE EL EJERCICIO DE PRESUPUESTOS PARTICIPATIVOS DEL MUNICIPIO DE BUCARAMANGA</t>
  </si>
  <si>
    <t>2.3.2.02.02.005.2402042.201</t>
  </si>
  <si>
    <t>MEJORAMIENTO DE LA MALLA VIAL VEREDAL DEL MUNICIPIO DE BUCARAMANGA”</t>
  </si>
  <si>
    <t>Realizar mantenimiento a 2 puente peatonal.</t>
  </si>
  <si>
    <t>Número de puentes peatonales con mantenimiento realizado.</t>
  </si>
  <si>
    <t>2.3.2.02.02.005.2409042.501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</si>
  <si>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</si>
  <si>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</si>
  <si>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</si>
  <si>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</si>
  <si>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</si>
  <si>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</si>
  <si>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2.3.2.02.02.009.2102010.226 2.3.2.02.02.009.2102010.526</t>
  </si>
  <si>
    <t>AMPLIACIÓN DEL ALUMBRADO PÚBLICO EN ZONAS RURALES DEL MUNICIPIO DE BUCARAMANGA</t>
  </si>
  <si>
    <t>Instalar 374 luminarias</t>
  </si>
  <si>
    <t>2.3.2.02.02.009.2102013.226</t>
  </si>
  <si>
    <t>2.3.2.02.02.009.2102013.526</t>
  </si>
  <si>
    <t>ESTUDIO DE VALORACIÓN ESTRATEGICA PARA LA ADMINISTRACIÓN, OPERACIÓN Y MANTENIMIENTO DEL ALUMBRADO PÚBLICO DE BUCARAMANGA</t>
  </si>
  <si>
    <t xml:space="preserve">2.3.2.02.02.008.2106003.226 </t>
  </si>
  <si>
    <t>MODERNIZACIÓN DEL ALUMBRADO PARQUE SANTANDER DEL MUNICIPIO DE BUCARAMANGA</t>
  </si>
  <si>
    <t>Modernización, mantenimento de redes y postes  y modernización de tablero de control.</t>
  </si>
  <si>
    <t xml:space="preserve">2.3.2.02.02.009.2102013.526 </t>
  </si>
  <si>
    <t>MODERNIZACIÓN DEL ALUMBRADO PARQUE SAN PIO DEL MUNICIPIO DE BUCARAMANGA</t>
  </si>
  <si>
    <t>SUMINISTRO DE MATERIALES ELÉCTRICOS EN TECNOLOGÍA LED PARA LA MODERNIZACION DEL ALUMBRADO PÚBLICO DEL MUNICIPIO DE BUCARAMANGA. FASE IV.</t>
  </si>
  <si>
    <t>Suministro de 4.402  LUMINARIAS DE TECNOLOGÍA LED.</t>
  </si>
  <si>
    <t>MODERNIZACIÓN DEL ALUMBRADO PÚBLICO DE PARQUE SARRAPIOS Y PEATONALES CRA 40 DE BUCARAMANGA</t>
  </si>
  <si>
    <t>Modernizacion Led, mantenimiento de redes y postes, y modernización de tableros de control.</t>
  </si>
  <si>
    <t>MODERNIZACIÓN DE LA INFRAESTRUCTURA PERTENECIENTE AL ALUMBRADO PÚBLICO DEL MUNICIPIO BUCARAMANGA</t>
  </si>
  <si>
    <t xml:space="preserve">Modernización de Tableros, Sustitucion de cables de la  CARRERA 15  y  Mantenimiento a los  TRANSFORMADORES de ALUMBRADO PUBLICO del Municipio de  Bucaramanga. </t>
  </si>
  <si>
    <t>31011/2021</t>
  </si>
  <si>
    <t>2.3.2.02.02.009.4599011.253 2.3.2.02.02.009.2102011.526</t>
  </si>
  <si>
    <t>2.3.2.02.02.009.2102011.526</t>
  </si>
  <si>
    <t>MODERNIZACIÓN DEL ALUMBRADO PÚBLICO DE PARQUE LA LOMA DE BUCARAMANGA</t>
  </si>
  <si>
    <t xml:space="preserve">2.3.2.02.02.009.2102012.526 </t>
  </si>
  <si>
    <t xml:space="preserve">VIAS PEATONALES UBICADAS ENTRE LAS CALLES 42 A 54 Y CARRERA 33 A V42 DEL MUNICIPIO DE BUCARAMANGA. </t>
  </si>
  <si>
    <t xml:space="preserve">Construcción  de S/E, redes subterraneas, postes e iluminacioón Led. </t>
  </si>
  <si>
    <t>MODERNIZACIÓN ALUMBRADO PÚBLICO PARQUE MORRORICO</t>
  </si>
  <si>
    <t>2.3.7.06.02.4599002.626</t>
  </si>
  <si>
    <t>MODERNIZACIÓN DEL ALUMBRADO PÚBLICO ENTRE LAS CALLES 34 Y 37 Y ENTRE LAS CARRERAS 10 A LA 12 DEL MUNICIPIO DE BUCARAMANGA.</t>
  </si>
  <si>
    <t>INTERVENTORÍA A LAS OBRAS MODERNIZACIÓN DEL ALUMBRADO PÚBLICO PASARELA DE CALZADO (LA CARRERA 22 ENTRE CALLES 19 Y 20 Y CALLES 19,20,21 Y 22 ENTRE CARRERAS 21 Y 23) DEL MUNICIPIO DE BUCARAMANGA.</t>
  </si>
  <si>
    <t>MODERNIZACIÓN Y EXPANSIÓN DEL ALUMBRADO PÚBLICO PERIMETRAL DEL PARQUE ECOLÓGICO LA FLORA DEL MUNICIPIO DE BUCARAMANGA</t>
  </si>
  <si>
    <t>MODERNIZACIÓN DEL ALUMBRADO PÚBLICO DE LA CALLE DE LOS ESTUDIANTES ENTRE LA CALLE 54 A Y LA DIAGONAL 14 DEL MUNICIPIO DE BUCARAMANGA.</t>
  </si>
  <si>
    <t>2.3.7.06.02.4599002.601 2.3.7.06.02.4599002.682</t>
  </si>
  <si>
    <t xml:space="preserve">INSTALACION DE LUMINARIAS DE ALUMBRADO PUBLICO DE TECNOLOGIA LED PARA EL MUNICIPIO DE BUCARAMANGA - FASE III </t>
  </si>
  <si>
    <t>CONSTRUCCION DEL ALUMBRADO PUBLICO DEL PARQUE LINEAL RIO DE ORO FASE II</t>
  </si>
  <si>
    <t>MODERNIZACIÓN DEL ALUMBRADO PÚBLICO A TECNOLOGÍA LED DE LAS COMUNAS DEL MUNICIPIO DE BUCARAMANGA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</si>
  <si>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</si>
  <si>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</si>
  <si>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</si>
  <si>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funcionamiento administrativo y operativo de la oficina de alumbrado publico para mantener el 100% de las luminarias en funcionamiento</t>
  </si>
  <si>
    <t xml:space="preserve">2.3.2.02.01.003.4599016.226
2.3.2.02.01.002.4599016.226
2.3.2.02.01.004.4599016.226
2.3.2.02.02.006.4599016.226
2.3.2.02.02.006.4599016.253
2.3.2.02.02.007.4599016.253
2.3.2.02.02.008.4599016.253
2.3.2.02.02.008.4599031.226
2.3.2.02.01.004.4599016.526 
2.3.2.02.02.006.4599016.526 
2.3.2.02.02.007.4599016.526 
2.3.2.02.02.008.4599016.526 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</si>
  <si>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</si>
  <si>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</si>
  <si>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2.3.2.02.02.008.4599016.226 2.3.2.02.02.008.4599016.526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</si>
  <si>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</si>
  <si>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</si>
  <si>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FORTALECIMIENTO A LAS CAPACIDADES DE TECNOLOGÍA Y ESTÁNDARES DE CIUDAD INTELIGENTE EN EL MUNICIPIO DE BUCARAMANGA</t>
  </si>
  <si>
    <t xml:space="preserve">2.3.2.02.02.009.4501007.526 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</si>
  <si>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</si>
  <si>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</si>
  <si>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IMPLEMENTACIÓN DE PUNTOS DE GESTIÓN INTELIGENTE Y MEDIDA PARA LA RED DE ALUMBRADO PÚBLICO DEL MUNICIPIO DE BUCARAMANGA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</si>
  <si>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</si>
  <si>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</si>
  <si>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</si>
  <si>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</si>
  <si>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</si>
  <si>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</si>
  <si>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</si>
  <si>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</si>
  <si>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</si>
  <si>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</si>
  <si>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</si>
  <si>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</si>
  <si>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</si>
  <si>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</si>
  <si>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FORTALECIMIENTO INSTITUCIONALDE APOYO PROFESIONAL A LA SECRETARIA DE INFRAESTRUCTURA PARA EL DESARROLLO DE LAS OBRAS DE REACTIVACION ECONOMICA EN EL MUNICIPIO DE BUCARAMANGA</t>
  </si>
  <si>
    <t>2.3.2.02.02.008.4599031.201 2.3.2.02.02.008.4599031.501</t>
  </si>
  <si>
    <t>2.3.2.02.02.008.4599031.501</t>
  </si>
  <si>
    <t>LOS RECURSOS DE PAGO COMPENSADOS POR CUPO DE PARQUEO</t>
  </si>
  <si>
    <t>2.3.2.02.02.005.2402127.232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</si>
  <si>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</si>
  <si>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</si>
  <si>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2.3.2.02.02.009.4003047.201
2.3.2.02.02.009.4003047.215
2.3.2.02.02.009.4003047.268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</si>
  <si>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</si>
  <si>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</si>
  <si>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</si>
  <si>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Realizar 25 intervenciones a colegios públicos de Bucaramanga.</t>
  </si>
  <si>
    <t>Número de intervenciones realizadas a colegios públicos de Bucaramanga.</t>
  </si>
  <si>
    <t>MEJORAMIENTO DE LAS INSTALACIONES DEL INSTITUTO TECNOLOGICO DAMASO ZAPATA FASE I DEL MUNICIPIO DE BUCARAMANGA</t>
  </si>
  <si>
    <t>2.3.2.02.02.005.2201052.273</t>
  </si>
  <si>
    <t>Capacidades Y Oportunidades Para Superar Brechas Sociales</t>
  </si>
  <si>
    <t>Primera Infancia El Centro De La Sociedad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</si>
  <si>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</si>
  <si>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</si>
  <si>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2.3.2.02.02.005.4102005.516</t>
  </si>
  <si>
    <t>Sec. de Infraestructura</t>
  </si>
  <si>
    <t>Vida Cultural Y Bienestar Creativo Sostenible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</si>
  <si>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</si>
  <si>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</si>
  <si>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</si>
  <si>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POR DEFINIR RECURSOS CASA GALAN</t>
  </si>
  <si>
    <t>2.3.2.02.02.005.3301093.273</t>
  </si>
  <si>
    <t>CONSTRUCCIÓN Y MEJORAMIENO DE LA INFRAESTRUCTURA CULTURAL "CASA GALÁN" DEL MUNICIPIO DE BUCARAMANGA, SANTANDER</t>
  </si>
  <si>
    <t>TOTALES</t>
  </si>
  <si>
    <t xml:space="preserve">Instalar 14.513 puntos Inteligentes. </t>
  </si>
  <si>
    <t>PRESTACIÓN DEL SERVICIO INTEGRAL DE PONTENCIACION Y PUESTA EN FUNCIONAMIENTO DE ELEMENTOS GPON EN LA FIBRA ÓPTICA, ASÍ COMO EL FUNCIONAMIENTO Y/O ACTIVACION DE ZONAS WIFI Y PUNTOS DE CONECTIVIDAD.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</si>
  <si>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</si>
  <si>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</si>
  <si>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</si>
  <si>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MANTENIMIENTO DEL PUENTE PEATONAL SOBRE LA QUEBRADA EL MACHO, ENTRE INTERSECCIÓN DE LA CALLE 102 CON CARRERA 30 (B. DIAMANTE 1) Y LA CALLE 96 (SECTOR C.R. MIRADORES DE SAN LORENZO), EN EL MUNIICPIO DE BUCARAMANGA, SANTANDER</t>
  </si>
  <si>
    <t>2.3.7.06.02.4599002.673 
2.3.7.06.02.4599002.601</t>
  </si>
  <si>
    <t xml:space="preserve">2.3.7.06.02.4599002.601
2.3.2.02.02.005.4002020.201 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</si>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</sst>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164" fontId="5" fillId="0" borderId="2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 wrapText="1"/>
    </xf>
    <xf numFmtId="16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166" fontId="5" fillId="3" borderId="2" xfId="0" applyNumberFormat="1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vertical="center" wrapText="1"/>
    </xf>
    <xf numFmtId="166" fontId="5" fillId="3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6" fillId="3" borderId="2" xfId="0" applyNumberFormat="1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8" fillId="3" borderId="2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1" fontId="12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/>
    </xf>
    <xf numFmtId="165" fontId="6" fillId="3" borderId="2" xfId="108" applyNumberFormat="1" applyFont="1" applyFill="1" applyBorder="1" applyAlignment="1">
      <alignment horizontal="right" vertical="center" wrapText="1"/>
    </xf>
    <xf numFmtId="165" fontId="6" fillId="3" borderId="2" xfId="108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wrapText="1"/>
    </xf>
    <xf numFmtId="165" fontId="7" fillId="3" borderId="2" xfId="108" applyNumberFormat="1" applyFont="1" applyFill="1" applyBorder="1" applyAlignment="1">
      <alignment horizontal="right" vertical="center" wrapText="1"/>
    </xf>
    <xf numFmtId="44" fontId="5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12" fillId="3" borderId="2" xfId="0" applyNumberFormat="1" applyFont="1" applyFill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 wrapText="1"/>
    </xf>
    <xf numFmtId="1" fontId="5" fillId="3" borderId="2" xfId="0" applyNumberFormat="1" applyFont="1" applyFill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right" vertical="center"/>
    </xf>
    <xf numFmtId="1" fontId="11" fillId="3" borderId="2" xfId="0" applyNumberFormat="1" applyFont="1" applyFill="1" applyBorder="1" applyAlignment="1">
      <alignment horizontal="right" vertical="center" wrapText="1"/>
    </xf>
    <xf numFmtId="1" fontId="9" fillId="3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center" wrapText="1"/>
    </xf>
    <xf numFmtId="1" fontId="12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6" fontId="12" fillId="0" borderId="0" xfId="0" applyNumberFormat="1" applyFont="1" applyAlignment="1">
      <alignment vertical="center"/>
    </xf>
    <xf numFmtId="9" fontId="5" fillId="0" borderId="0" xfId="107" applyFont="1"/>
    <xf numFmtId="166" fontId="6" fillId="3" borderId="2" xfId="0" applyNumberFormat="1" applyFont="1" applyFill="1" applyBorder="1" applyAlignment="1">
      <alignment horizontal="right" vertical="center" wrapText="1"/>
    </xf>
    <xf numFmtId="44" fontId="6" fillId="3" borderId="2" xfId="108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9" fontId="12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5" fontId="5" fillId="0" borderId="2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165" fontId="8" fillId="2" borderId="4" xfId="108" applyNumberFormat="1" applyFont="1" applyFill="1" applyBorder="1" applyAlignment="1">
      <alignment vertical="center"/>
    </xf>
    <xf numFmtId="9" fontId="8" fillId="2" borderId="4" xfId="107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5" xfId="108" applyNumberFormat="1" applyFont="1" applyFill="1" applyBorder="1" applyAlignment="1">
      <alignment horizontal="center" vertical="center" wrapText="1"/>
    </xf>
    <xf numFmtId="5" fontId="6" fillId="2" borderId="4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68" fontId="9" fillId="2" borderId="4" xfId="0" applyNumberFormat="1" applyFont="1" applyFill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right" vertical="center" wrapText="1"/>
    </xf>
    <xf numFmtId="5" fontId="6" fillId="2" borderId="4" xfId="108" applyNumberFormat="1" applyFont="1" applyFill="1" applyBorder="1" applyAlignment="1">
      <alignment horizontal="right" vertical="center" wrapText="1"/>
    </xf>
    <xf numFmtId="9" fontId="6" fillId="4" borderId="1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/>
    </xf>
    <xf numFmtId="9" fontId="6" fillId="0" borderId="4" xfId="107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5" fontId="6" fillId="2" borderId="5" xfId="108" applyNumberFormat="1" applyFont="1" applyFill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44" fontId="6" fillId="2" borderId="2" xfId="108" applyFont="1" applyFill="1" applyBorder="1" applyAlignment="1">
      <alignment horizontal="right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6" fontId="5" fillId="2" borderId="5" xfId="0" applyNumberFormat="1" applyFont="1" applyFill="1" applyBorder="1" applyAlignment="1">
      <alignment horizontal="right" vertical="center" wrapText="1"/>
    </xf>
    <xf numFmtId="166" fontId="5" fillId="2" borderId="4" xfId="0" applyNumberFormat="1" applyFont="1" applyFill="1" applyBorder="1" applyAlignment="1">
      <alignment horizontal="right" vertical="center" wrapText="1"/>
    </xf>
    <xf numFmtId="167" fontId="6" fillId="2" borderId="2" xfId="108" applyNumberFormat="1" applyFont="1" applyFill="1" applyBorder="1" applyAlignment="1">
      <alignment horizontal="right" vertical="center" wrapText="1"/>
    </xf>
    <xf numFmtId="167" fontId="6" fillId="2" borderId="1" xfId="108" applyNumberFormat="1" applyFont="1" applyFill="1" applyBorder="1" applyAlignment="1">
      <alignment horizontal="right" vertical="center" wrapText="1"/>
    </xf>
    <xf numFmtId="167" fontId="6" fillId="2" borderId="5" xfId="108" applyNumberFormat="1" applyFont="1" applyFill="1" applyBorder="1" applyAlignment="1">
      <alignment horizontal="right" vertical="center" wrapText="1"/>
    </xf>
    <xf numFmtId="167" fontId="6" fillId="2" borderId="4" xfId="108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6" fillId="0" borderId="1" xfId="109" applyNumberFormat="1" applyFont="1" applyBorder="1" applyAlignment="1">
      <alignment horizontal="center" vertical="center" wrapText="1"/>
    </xf>
    <xf numFmtId="2" fontId="6" fillId="0" borderId="5" xfId="109" applyNumberFormat="1" applyFont="1" applyBorder="1" applyAlignment="1">
      <alignment horizontal="center" vertical="center" wrapText="1"/>
    </xf>
    <xf numFmtId="2" fontId="6" fillId="0" borderId="4" xfId="109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4" fontId="5" fillId="0" borderId="9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left" vertical="center"/>
    </xf>
    <xf numFmtId="2" fontId="8" fillId="0" borderId="10" xfId="109" applyNumberFormat="1" applyFont="1" applyBorder="1" applyAlignment="1">
      <alignment horizontal="center" vertical="center" wrapText="1"/>
    </xf>
    <xf numFmtId="2" fontId="8" fillId="0" borderId="12" xfId="109" applyNumberFormat="1" applyFont="1" applyBorder="1" applyAlignment="1">
      <alignment horizontal="center" vertical="center" wrapText="1"/>
    </xf>
    <xf numFmtId="2" fontId="8" fillId="0" borderId="8" xfId="109" applyNumberFormat="1" applyFont="1" applyBorder="1" applyAlignment="1">
      <alignment horizontal="center" vertical="center" wrapText="1"/>
    </xf>
    <xf numFmtId="2" fontId="8" fillId="0" borderId="6" xfId="109" applyNumberFormat="1" applyFont="1" applyBorder="1" applyAlignment="1">
      <alignment horizontal="center" vertical="center" wrapText="1"/>
    </xf>
    <xf numFmtId="2" fontId="8" fillId="0" borderId="0" xfId="109" applyNumberFormat="1" applyFont="1" applyBorder="1" applyAlignment="1">
      <alignment horizontal="center" vertical="center" wrapText="1"/>
    </xf>
    <xf numFmtId="2" fontId="8" fillId="0" borderId="3" xfId="109" applyNumberFormat="1" applyFont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</cellXfs>
  <cellStyles count="110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2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85443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1"/>
  <sheetViews>
    <sheetView tabSelected="1" topLeftCell="A49" zoomScale="40" zoomScaleNormal="40" workbookViewId="0">
      <selection activeCell="AC2" sqref="AC2:AE2"/>
    </sheetView>
  </sheetViews>
  <sheetFormatPr baseColWidth="10" defaultColWidth="11.19921875" defaultRowHeight="15" x14ac:dyDescent="0.25"/>
  <cols>
    <col min="1" max="1" width="9.69921875" style="68" customWidth="1"/>
    <col min="2" max="2" width="26.69921875" style="68" customWidth="1"/>
    <col min="3" max="4" width="21.09765625" style="68" customWidth="1"/>
    <col min="5" max="6" width="50.59765625" style="68" customWidth="1"/>
    <col min="7" max="7" width="24.59765625" style="68" customWidth="1"/>
    <col min="8" max="8" width="52.19921875" style="68" customWidth="1"/>
    <col min="9" max="9" width="53.19921875" style="68" customWidth="1"/>
    <col min="10" max="10" width="11.3984375" style="68" customWidth="1"/>
    <col min="11" max="11" width="16" style="68" customWidth="1"/>
    <col min="12" max="13" width="14.8984375" style="68" customWidth="1"/>
    <col min="14" max="14" width="11.19921875" style="68" bestFit="1" customWidth="1"/>
    <col min="15" max="15" width="31" style="68" customWidth="1"/>
    <col min="16" max="16" width="21" style="68" customWidth="1"/>
    <col min="17" max="19" width="23.5" style="68" customWidth="1"/>
    <col min="20" max="20" width="24" style="68" customWidth="1"/>
    <col min="21" max="21" width="26.09765625" style="68" customWidth="1"/>
    <col min="22" max="22" width="20.69921875" style="68" customWidth="1"/>
    <col min="23" max="25" width="23.5" style="68" customWidth="1"/>
    <col min="26" max="26" width="26" style="68" customWidth="1"/>
    <col min="27" max="27" width="23.5" style="68" customWidth="1"/>
    <col min="28" max="28" width="16.19921875" style="68" customWidth="1"/>
    <col min="29" max="29" width="22.59765625" style="68" customWidth="1"/>
    <col min="30" max="31" width="22" style="68" customWidth="1"/>
    <col min="32" max="16384" width="11.19921875" style="68"/>
  </cols>
  <sheetData>
    <row r="1" spans="1:31" ht="15.6" x14ac:dyDescent="0.25">
      <c r="A1" s="179"/>
      <c r="B1" s="188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194" t="s">
        <v>259</v>
      </c>
      <c r="AD1" s="194"/>
      <c r="AE1" s="194"/>
    </row>
    <row r="2" spans="1:31" ht="15.6" x14ac:dyDescent="0.25">
      <c r="A2" s="180"/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195" t="s">
        <v>253</v>
      </c>
      <c r="AD2" s="195"/>
      <c r="AE2" s="195"/>
    </row>
    <row r="3" spans="1:31" ht="15.6" x14ac:dyDescent="0.25">
      <c r="A3" s="180"/>
      <c r="B3" s="191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195" t="s">
        <v>254</v>
      </c>
      <c r="AD3" s="195"/>
      <c r="AE3" s="195"/>
    </row>
    <row r="4" spans="1:31" ht="15.6" x14ac:dyDescent="0.25">
      <c r="A4" s="181"/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3"/>
      <c r="AC4" s="195" t="s">
        <v>255</v>
      </c>
      <c r="AD4" s="195"/>
      <c r="AE4" s="195"/>
    </row>
    <row r="5" spans="1:31" ht="15.6" x14ac:dyDescent="0.25">
      <c r="A5" s="182" t="s">
        <v>1</v>
      </c>
      <c r="B5" s="183"/>
      <c r="C5" s="184"/>
      <c r="D5" s="185">
        <v>44414</v>
      </c>
      <c r="E5" s="186"/>
      <c r="F5" s="186"/>
      <c r="G5" s="186"/>
      <c r="H5" s="186"/>
      <c r="I5" s="186"/>
      <c r="J5" s="186"/>
      <c r="K5" s="186"/>
      <c r="L5" s="18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7"/>
    </row>
    <row r="6" spans="1:31" ht="15.6" x14ac:dyDescent="0.25">
      <c r="A6" s="182" t="s">
        <v>2</v>
      </c>
      <c r="B6" s="183"/>
      <c r="C6" s="184"/>
      <c r="D6" s="185">
        <v>44408</v>
      </c>
      <c r="E6" s="186"/>
      <c r="F6" s="186"/>
      <c r="G6" s="186"/>
      <c r="H6" s="186"/>
      <c r="I6" s="186"/>
      <c r="J6" s="186"/>
      <c r="K6" s="186"/>
      <c r="L6" s="18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7"/>
    </row>
    <row r="7" spans="1:31" ht="15.6" x14ac:dyDescent="0.25">
      <c r="A7" s="31"/>
      <c r="B7" s="176" t="s">
        <v>3</v>
      </c>
      <c r="C7" s="177"/>
      <c r="D7" s="177"/>
      <c r="E7" s="177"/>
      <c r="F7" s="178"/>
      <c r="G7" s="176" t="s">
        <v>4</v>
      </c>
      <c r="H7" s="177"/>
      <c r="I7" s="177"/>
      <c r="J7" s="177"/>
      <c r="K7" s="178"/>
      <c r="L7" s="176" t="s">
        <v>5</v>
      </c>
      <c r="M7" s="177"/>
      <c r="N7" s="178"/>
      <c r="O7" s="176" t="s">
        <v>6</v>
      </c>
      <c r="P7" s="177"/>
      <c r="Q7" s="177"/>
      <c r="R7" s="177"/>
      <c r="S7" s="177"/>
      <c r="T7" s="177"/>
      <c r="U7" s="178"/>
      <c r="V7" s="176" t="s">
        <v>7</v>
      </c>
      <c r="W7" s="177"/>
      <c r="X7" s="177"/>
      <c r="Y7" s="177"/>
      <c r="Z7" s="177"/>
      <c r="AA7" s="178"/>
      <c r="AB7" s="175" t="s">
        <v>8</v>
      </c>
      <c r="AC7" s="175" t="s">
        <v>9</v>
      </c>
      <c r="AD7" s="175" t="s">
        <v>10</v>
      </c>
      <c r="AE7" s="175"/>
    </row>
    <row r="8" spans="1:31" ht="54.75" customHeight="1" x14ac:dyDescent="0.25">
      <c r="A8" s="89" t="s">
        <v>11</v>
      </c>
      <c r="B8" s="74" t="s">
        <v>12</v>
      </c>
      <c r="C8" s="89" t="s">
        <v>13</v>
      </c>
      <c r="D8" s="89" t="s">
        <v>14</v>
      </c>
      <c r="E8" s="89" t="s">
        <v>15</v>
      </c>
      <c r="F8" s="74" t="s">
        <v>16</v>
      </c>
      <c r="G8" s="74" t="s">
        <v>17</v>
      </c>
      <c r="H8" s="74" t="s">
        <v>18</v>
      </c>
      <c r="I8" s="74" t="s">
        <v>19</v>
      </c>
      <c r="J8" s="74" t="s">
        <v>20</v>
      </c>
      <c r="K8" s="74" t="s">
        <v>21</v>
      </c>
      <c r="L8" s="74" t="s">
        <v>22</v>
      </c>
      <c r="M8" s="74" t="s">
        <v>23</v>
      </c>
      <c r="N8" s="74" t="s">
        <v>24</v>
      </c>
      <c r="O8" s="89" t="s">
        <v>25</v>
      </c>
      <c r="P8" s="74" t="s">
        <v>26</v>
      </c>
      <c r="Q8" s="74" t="s">
        <v>27</v>
      </c>
      <c r="R8" s="74" t="s">
        <v>28</v>
      </c>
      <c r="S8" s="74" t="s">
        <v>29</v>
      </c>
      <c r="T8" s="74" t="s">
        <v>30</v>
      </c>
      <c r="U8" s="90" t="s">
        <v>31</v>
      </c>
      <c r="V8" s="74" t="s">
        <v>26</v>
      </c>
      <c r="W8" s="74" t="s">
        <v>27</v>
      </c>
      <c r="X8" s="74" t="s">
        <v>28</v>
      </c>
      <c r="Y8" s="74" t="s">
        <v>29</v>
      </c>
      <c r="Z8" s="74" t="s">
        <v>30</v>
      </c>
      <c r="AA8" s="74" t="s">
        <v>32</v>
      </c>
      <c r="AB8" s="175"/>
      <c r="AC8" s="175"/>
      <c r="AD8" s="90" t="s">
        <v>33</v>
      </c>
      <c r="AE8" s="90" t="s">
        <v>34</v>
      </c>
    </row>
    <row r="9" spans="1:31" ht="103.2" customHeight="1" x14ac:dyDescent="0.25">
      <c r="A9" s="91">
        <v>160</v>
      </c>
      <c r="B9" s="12" t="s">
        <v>35</v>
      </c>
      <c r="C9" s="12" t="s">
        <v>36</v>
      </c>
      <c r="D9" s="12" t="s">
        <v>37</v>
      </c>
      <c r="E9" s="7" t="s">
        <v>38</v>
      </c>
      <c r="F9" s="4" t="s">
        <v>39</v>
      </c>
      <c r="G9" s="57">
        <v>20210680010062</v>
      </c>
      <c r="H9" s="22" t="s">
        <v>40</v>
      </c>
      <c r="I9" s="31"/>
      <c r="J9" s="2"/>
      <c r="K9" s="2"/>
      <c r="L9" s="80">
        <v>0</v>
      </c>
      <c r="M9" s="81" t="s">
        <v>41</v>
      </c>
      <c r="N9" s="79" t="str">
        <f>IFERROR(IF(M9/L9&gt;100%,100%,M9/L9),"-")</f>
        <v>-</v>
      </c>
      <c r="O9" s="1"/>
      <c r="P9" s="9"/>
      <c r="Q9" s="65"/>
      <c r="R9" s="10"/>
      <c r="S9" s="10"/>
      <c r="T9" s="60"/>
      <c r="U9" s="82">
        <f>SUM(P9:T9)</f>
        <v>0</v>
      </c>
      <c r="V9" s="37"/>
      <c r="W9" s="39"/>
      <c r="X9" s="39"/>
      <c r="Y9" s="39"/>
      <c r="Z9" s="46"/>
      <c r="AA9" s="82">
        <f>SUM(V9:Z9)</f>
        <v>0</v>
      </c>
      <c r="AB9" s="76" t="str">
        <f>IFERROR(AA9/U9,"-")</f>
        <v>-</v>
      </c>
      <c r="AC9" s="92">
        <v>36935174017</v>
      </c>
      <c r="AD9" s="75" t="s">
        <v>42</v>
      </c>
      <c r="AE9" s="75" t="s">
        <v>43</v>
      </c>
    </row>
    <row r="10" spans="1:31" ht="68.25" customHeight="1" x14ac:dyDescent="0.25">
      <c r="A10" s="91">
        <v>161</v>
      </c>
      <c r="B10" s="12" t="s">
        <v>35</v>
      </c>
      <c r="C10" s="12" t="s">
        <v>36</v>
      </c>
      <c r="D10" s="12" t="s">
        <v>37</v>
      </c>
      <c r="E10" s="7" t="s">
        <v>44</v>
      </c>
      <c r="F10" s="27" t="s">
        <v>45</v>
      </c>
      <c r="G10" s="47"/>
      <c r="H10" s="11" t="s">
        <v>46</v>
      </c>
      <c r="I10" s="11"/>
      <c r="J10" s="2"/>
      <c r="K10" s="2"/>
      <c r="L10" s="80">
        <v>0</v>
      </c>
      <c r="M10" s="81" t="s">
        <v>41</v>
      </c>
      <c r="N10" s="79" t="str">
        <f>IFERROR(IF(M10/L10&gt;100%,100%,M10/L10),"-")</f>
        <v>-</v>
      </c>
      <c r="O10" s="1"/>
      <c r="P10" s="9"/>
      <c r="Q10" s="65"/>
      <c r="R10" s="10"/>
      <c r="S10" s="10"/>
      <c r="T10" s="60"/>
      <c r="U10" s="82">
        <f>SUM(P10:T10)</f>
        <v>0</v>
      </c>
      <c r="V10" s="37"/>
      <c r="W10" s="39"/>
      <c r="X10" s="39"/>
      <c r="Y10" s="39"/>
      <c r="Z10" s="46"/>
      <c r="AA10" s="82">
        <f>SUM(V10:Z10)</f>
        <v>0</v>
      </c>
      <c r="AB10" s="76" t="str">
        <f>IFERROR(AA10/U10,"-")</f>
        <v>-</v>
      </c>
      <c r="AC10" s="77"/>
      <c r="AD10" s="75" t="s">
        <v>42</v>
      </c>
      <c r="AE10" s="75" t="s">
        <v>43</v>
      </c>
    </row>
    <row r="11" spans="1:31" ht="105" x14ac:dyDescent="0.25">
      <c r="A11" s="91">
        <v>191</v>
      </c>
      <c r="B11" s="12" t="s">
        <v>47</v>
      </c>
      <c r="C11" s="12" t="s">
        <v>48</v>
      </c>
      <c r="D11" s="12" t="s">
        <v>49</v>
      </c>
      <c r="E11" s="85" t="s">
        <v>50</v>
      </c>
      <c r="F11" s="12" t="s">
        <v>51</v>
      </c>
      <c r="G11" s="57">
        <v>20210680010026</v>
      </c>
      <c r="H11" s="58" t="s">
        <v>52</v>
      </c>
      <c r="I11" s="11"/>
      <c r="J11" s="2"/>
      <c r="K11" s="2"/>
      <c r="L11" s="163">
        <v>1</v>
      </c>
      <c r="M11" s="164">
        <v>1</v>
      </c>
      <c r="N11" s="161">
        <f>IFERROR(IF(M11/L11&gt;100%,100%,M11/L11),"-")</f>
        <v>1</v>
      </c>
      <c r="O11" s="21" t="s">
        <v>53</v>
      </c>
      <c r="P11" s="37">
        <v>1114130436</v>
      </c>
      <c r="Q11" s="39"/>
      <c r="R11" s="39"/>
      <c r="S11" s="39"/>
      <c r="T11" s="60"/>
      <c r="U11" s="165">
        <f>SUM(P11:T13)</f>
        <v>1269408297</v>
      </c>
      <c r="V11" s="37"/>
      <c r="W11" s="39"/>
      <c r="X11" s="39"/>
      <c r="Y11" s="39"/>
      <c r="Z11" s="46"/>
      <c r="AA11" s="140">
        <f>SUM(V11:Z13)</f>
        <v>69408297</v>
      </c>
      <c r="AB11" s="153">
        <f>IFERROR(AA11/U11,"-")</f>
        <v>5.467767712250899E-2</v>
      </c>
      <c r="AC11" s="154"/>
      <c r="AD11" s="152" t="s">
        <v>42</v>
      </c>
      <c r="AE11" s="152" t="s">
        <v>43</v>
      </c>
    </row>
    <row r="12" spans="1:31" ht="94.2" customHeight="1" x14ac:dyDescent="0.25">
      <c r="A12" s="91">
        <v>191</v>
      </c>
      <c r="B12" s="12" t="s">
        <v>47</v>
      </c>
      <c r="C12" s="12" t="s">
        <v>48</v>
      </c>
      <c r="D12" s="12" t="s">
        <v>49</v>
      </c>
      <c r="E12" s="85" t="s">
        <v>50</v>
      </c>
      <c r="F12" s="12" t="s">
        <v>51</v>
      </c>
      <c r="G12" s="57"/>
      <c r="H12" s="5" t="s">
        <v>54</v>
      </c>
      <c r="I12" s="11"/>
      <c r="J12" s="2"/>
      <c r="K12" s="2"/>
      <c r="L12" s="163"/>
      <c r="M12" s="164"/>
      <c r="N12" s="161"/>
      <c r="O12" s="21" t="s">
        <v>53</v>
      </c>
      <c r="P12" s="37">
        <v>85869564</v>
      </c>
      <c r="Q12" s="39"/>
      <c r="R12" s="39"/>
      <c r="S12" s="39"/>
      <c r="T12" s="60"/>
      <c r="U12" s="165"/>
      <c r="V12" s="37"/>
      <c r="W12" s="39"/>
      <c r="X12" s="39"/>
      <c r="Y12" s="39"/>
      <c r="Z12" s="40"/>
      <c r="AA12" s="155"/>
      <c r="AB12" s="153"/>
      <c r="AC12" s="154"/>
      <c r="AD12" s="152"/>
      <c r="AE12" s="152"/>
    </row>
    <row r="13" spans="1:31" ht="105" x14ac:dyDescent="0.25">
      <c r="A13" s="91">
        <v>191</v>
      </c>
      <c r="B13" s="12" t="s">
        <v>47</v>
      </c>
      <c r="C13" s="12" t="s">
        <v>48</v>
      </c>
      <c r="D13" s="12" t="s">
        <v>49</v>
      </c>
      <c r="E13" s="85" t="s">
        <v>50</v>
      </c>
      <c r="F13" s="12" t="s">
        <v>51</v>
      </c>
      <c r="G13" s="48">
        <v>20200680010180</v>
      </c>
      <c r="H13" s="22" t="s">
        <v>55</v>
      </c>
      <c r="I13" s="5" t="s">
        <v>56</v>
      </c>
      <c r="J13" s="2">
        <v>44243</v>
      </c>
      <c r="K13" s="2">
        <v>44271</v>
      </c>
      <c r="L13" s="163"/>
      <c r="M13" s="164"/>
      <c r="N13" s="161"/>
      <c r="O13" s="21" t="s">
        <v>57</v>
      </c>
      <c r="P13" s="37">
        <v>69408297</v>
      </c>
      <c r="Q13" s="39"/>
      <c r="R13" s="39"/>
      <c r="S13" s="39"/>
      <c r="T13" s="60"/>
      <c r="U13" s="165"/>
      <c r="V13" s="37">
        <v>69408297</v>
      </c>
      <c r="W13" s="39"/>
      <c r="X13" s="39"/>
      <c r="Y13" s="39"/>
      <c r="Z13" s="40"/>
      <c r="AA13" s="141"/>
      <c r="AB13" s="153"/>
      <c r="AC13" s="154"/>
      <c r="AD13" s="152"/>
      <c r="AE13" s="152"/>
    </row>
    <row r="14" spans="1:31" ht="105" x14ac:dyDescent="0.25">
      <c r="A14" s="91">
        <v>208</v>
      </c>
      <c r="B14" s="12" t="s">
        <v>47</v>
      </c>
      <c r="C14" s="12" t="s">
        <v>58</v>
      </c>
      <c r="D14" s="12" t="s">
        <v>59</v>
      </c>
      <c r="E14" s="85" t="s">
        <v>60</v>
      </c>
      <c r="F14" s="4" t="s">
        <v>61</v>
      </c>
      <c r="G14" s="46"/>
      <c r="H14" s="3" t="s">
        <v>62</v>
      </c>
      <c r="I14" s="31"/>
      <c r="J14" s="2"/>
      <c r="K14" s="2"/>
      <c r="L14" s="166">
        <v>1</v>
      </c>
      <c r="M14" s="160">
        <v>0</v>
      </c>
      <c r="N14" s="161">
        <f>IFERROR(IF(M14/L14&gt;100%,100%,M14/L14),"-")</f>
        <v>0</v>
      </c>
      <c r="O14" s="21" t="s">
        <v>63</v>
      </c>
      <c r="P14" s="37">
        <v>217000000</v>
      </c>
      <c r="Q14" s="39"/>
      <c r="R14" s="39"/>
      <c r="S14" s="39"/>
      <c r="T14" s="60"/>
      <c r="U14" s="165">
        <f>SUM(P14:T15)</f>
        <v>250300000</v>
      </c>
      <c r="V14" s="37"/>
      <c r="W14" s="39"/>
      <c r="X14" s="39"/>
      <c r="Y14" s="39"/>
      <c r="Z14" s="40"/>
      <c r="AA14" s="140">
        <f>SUM(V14:Z15)</f>
        <v>0</v>
      </c>
      <c r="AB14" s="126">
        <f>IFERROR(AA14/U14,"-")</f>
        <v>0</v>
      </c>
      <c r="AC14" s="129"/>
      <c r="AD14" s="111" t="s">
        <v>42</v>
      </c>
      <c r="AE14" s="111" t="s">
        <v>43</v>
      </c>
    </row>
    <row r="15" spans="1:31" ht="105" x14ac:dyDescent="0.25">
      <c r="A15" s="91">
        <v>208</v>
      </c>
      <c r="B15" s="12" t="s">
        <v>47</v>
      </c>
      <c r="C15" s="12" t="s">
        <v>58</v>
      </c>
      <c r="D15" s="12" t="s">
        <v>59</v>
      </c>
      <c r="E15" s="85" t="s">
        <v>60</v>
      </c>
      <c r="F15" s="4" t="s">
        <v>61</v>
      </c>
      <c r="G15" s="46"/>
      <c r="H15" s="5" t="s">
        <v>54</v>
      </c>
      <c r="I15" s="31"/>
      <c r="J15" s="2"/>
      <c r="K15" s="2"/>
      <c r="L15" s="166"/>
      <c r="M15" s="160"/>
      <c r="N15" s="161"/>
      <c r="O15" s="21" t="s">
        <v>64</v>
      </c>
      <c r="P15" s="37">
        <v>33300000</v>
      </c>
      <c r="Q15" s="39"/>
      <c r="R15" s="39"/>
      <c r="S15" s="39"/>
      <c r="T15" s="60"/>
      <c r="U15" s="165"/>
      <c r="V15" s="37"/>
      <c r="W15" s="39"/>
      <c r="X15" s="39"/>
      <c r="Y15" s="39"/>
      <c r="Z15" s="40"/>
      <c r="AA15" s="141"/>
      <c r="AB15" s="128"/>
      <c r="AC15" s="131"/>
      <c r="AD15" s="113"/>
      <c r="AE15" s="113"/>
    </row>
    <row r="16" spans="1:31" ht="105" x14ac:dyDescent="0.25">
      <c r="A16" s="91">
        <v>209</v>
      </c>
      <c r="B16" s="12" t="s">
        <v>47</v>
      </c>
      <c r="C16" s="12" t="s">
        <v>58</v>
      </c>
      <c r="D16" s="12" t="s">
        <v>59</v>
      </c>
      <c r="E16" s="7" t="s">
        <v>65</v>
      </c>
      <c r="F16" s="4" t="s">
        <v>66</v>
      </c>
      <c r="G16" s="46"/>
      <c r="H16" s="31" t="s">
        <v>46</v>
      </c>
      <c r="I16" s="31"/>
      <c r="J16" s="2"/>
      <c r="K16" s="2"/>
      <c r="L16" s="80">
        <v>0</v>
      </c>
      <c r="M16" s="81"/>
      <c r="N16" s="79" t="str">
        <f>IFERROR(IF(M16/L16&gt;100%,100%,M16/L16),"-")</f>
        <v>-</v>
      </c>
      <c r="O16" s="21"/>
      <c r="P16" s="37"/>
      <c r="Q16" s="39"/>
      <c r="R16" s="39"/>
      <c r="S16" s="39"/>
      <c r="T16" s="60"/>
      <c r="U16" s="82">
        <f>SUM(P16:T16)</f>
        <v>0</v>
      </c>
      <c r="V16" s="37"/>
      <c r="W16" s="39"/>
      <c r="X16" s="39"/>
      <c r="Y16" s="39"/>
      <c r="Z16" s="40"/>
      <c r="AA16" s="82">
        <f>SUM(V16:Z16)</f>
        <v>0</v>
      </c>
      <c r="AB16" s="76" t="str">
        <f>IFERROR(AA16/U16,"-")</f>
        <v>-</v>
      </c>
      <c r="AC16" s="77"/>
      <c r="AD16" s="75" t="s">
        <v>42</v>
      </c>
      <c r="AE16" s="75" t="s">
        <v>43</v>
      </c>
    </row>
    <row r="17" spans="1:31" ht="90" customHeight="1" x14ac:dyDescent="0.25">
      <c r="A17" s="91">
        <v>210</v>
      </c>
      <c r="B17" s="12" t="s">
        <v>47</v>
      </c>
      <c r="C17" s="12" t="s">
        <v>58</v>
      </c>
      <c r="D17" s="12" t="s">
        <v>59</v>
      </c>
      <c r="E17" s="85" t="s">
        <v>67</v>
      </c>
      <c r="F17" s="12" t="s">
        <v>68</v>
      </c>
      <c r="G17" s="59">
        <v>20210680010049</v>
      </c>
      <c r="H17" s="58" t="s">
        <v>69</v>
      </c>
      <c r="I17" s="31" t="s">
        <v>70</v>
      </c>
      <c r="J17" s="2"/>
      <c r="K17" s="2"/>
      <c r="L17" s="136">
        <v>50</v>
      </c>
      <c r="M17" s="138">
        <v>0.1</v>
      </c>
      <c r="N17" s="120">
        <f>IFERROR(IF(M17/L17&gt;100%,100%,M17/L17),"-")</f>
        <v>2E-3</v>
      </c>
      <c r="O17" s="21" t="s">
        <v>71</v>
      </c>
      <c r="P17" s="37"/>
      <c r="Q17" s="37">
        <v>427067817.00999999</v>
      </c>
      <c r="R17" s="39"/>
      <c r="S17" s="39"/>
      <c r="T17" s="60"/>
      <c r="U17" s="140">
        <f>SUM(P17:T18)</f>
        <v>1788020474.9699998</v>
      </c>
      <c r="V17" s="37"/>
      <c r="W17" s="37">
        <v>427067817</v>
      </c>
      <c r="X17" s="39"/>
      <c r="Y17" s="39"/>
      <c r="Z17" s="40"/>
      <c r="AA17" s="140">
        <f>SUM(V17:Z18)</f>
        <v>427067817</v>
      </c>
      <c r="AB17" s="126">
        <f>IFERROR(AA17/U17,"-")</f>
        <v>0.23884951150079281</v>
      </c>
      <c r="AC17" s="129"/>
      <c r="AD17" s="111" t="s">
        <v>42</v>
      </c>
      <c r="AE17" s="111" t="s">
        <v>43</v>
      </c>
    </row>
    <row r="18" spans="1:31" ht="91.95" customHeight="1" x14ac:dyDescent="0.25">
      <c r="A18" s="91">
        <v>210</v>
      </c>
      <c r="B18" s="12" t="s">
        <v>47</v>
      </c>
      <c r="C18" s="12" t="s">
        <v>58</v>
      </c>
      <c r="D18" s="12" t="s">
        <v>59</v>
      </c>
      <c r="E18" s="85" t="s">
        <v>67</v>
      </c>
      <c r="F18" s="12" t="s">
        <v>68</v>
      </c>
      <c r="G18" s="60"/>
      <c r="H18" s="5" t="s">
        <v>54</v>
      </c>
      <c r="I18" s="31"/>
      <c r="J18" s="2"/>
      <c r="K18" s="2"/>
      <c r="L18" s="137"/>
      <c r="M18" s="139"/>
      <c r="N18" s="122"/>
      <c r="O18" s="21" t="s">
        <v>72</v>
      </c>
      <c r="P18" s="37">
        <f>22204778+1040743</f>
        <v>23245521</v>
      </c>
      <c r="Q18" s="37">
        <v>186255799.66</v>
      </c>
      <c r="R18" s="39"/>
      <c r="S18" s="39"/>
      <c r="T18" s="37">
        <f>700000000+451451337.3</f>
        <v>1151451337.3</v>
      </c>
      <c r="U18" s="141"/>
      <c r="V18" s="37"/>
      <c r="W18" s="39"/>
      <c r="X18" s="39"/>
      <c r="Y18" s="39"/>
      <c r="Z18" s="40"/>
      <c r="AA18" s="141"/>
      <c r="AB18" s="128"/>
      <c r="AC18" s="131"/>
      <c r="AD18" s="113"/>
      <c r="AE18" s="113"/>
    </row>
    <row r="19" spans="1:31" ht="60" x14ac:dyDescent="0.25">
      <c r="A19" s="91">
        <v>214</v>
      </c>
      <c r="B19" s="12" t="s">
        <v>73</v>
      </c>
      <c r="C19" s="12" t="s">
        <v>74</v>
      </c>
      <c r="D19" s="12" t="s">
        <v>75</v>
      </c>
      <c r="E19" s="85" t="s">
        <v>76</v>
      </c>
      <c r="F19" s="12" t="s">
        <v>77</v>
      </c>
      <c r="G19" s="59">
        <v>20210680010015</v>
      </c>
      <c r="H19" s="58" t="s">
        <v>78</v>
      </c>
      <c r="I19" s="5" t="s">
        <v>79</v>
      </c>
      <c r="J19" s="2"/>
      <c r="K19" s="2"/>
      <c r="L19" s="163">
        <v>1</v>
      </c>
      <c r="M19" s="164">
        <v>1</v>
      </c>
      <c r="N19" s="161">
        <f>IFERROR(IF(M19/L19&gt;100%,100%,M19/L19),"-")</f>
        <v>1</v>
      </c>
      <c r="O19" s="21" t="s">
        <v>80</v>
      </c>
      <c r="P19" s="37">
        <v>1750619788.21</v>
      </c>
      <c r="Q19" s="37"/>
      <c r="R19" s="37"/>
      <c r="S19" s="37"/>
      <c r="T19" s="40"/>
      <c r="U19" s="165">
        <f>SUM(P19:T22)</f>
        <v>5277665062.8499994</v>
      </c>
      <c r="V19" s="37">
        <v>1434700926</v>
      </c>
      <c r="W19" s="37"/>
      <c r="X19" s="37"/>
      <c r="Y19" s="37"/>
      <c r="Z19" s="40"/>
      <c r="AA19" s="140">
        <f>SUM(V19:Z22)</f>
        <v>1551682790</v>
      </c>
      <c r="AB19" s="126">
        <f>IFERROR(AA19:AA22/U19,"-")</f>
        <v>0.29400933396142298</v>
      </c>
      <c r="AC19" s="129"/>
      <c r="AD19" s="111" t="s">
        <v>42</v>
      </c>
      <c r="AE19" s="111" t="s">
        <v>43</v>
      </c>
    </row>
    <row r="20" spans="1:31" ht="60" x14ac:dyDescent="0.25">
      <c r="A20" s="91">
        <v>214</v>
      </c>
      <c r="B20" s="12" t="s">
        <v>73</v>
      </c>
      <c r="C20" s="12" t="s">
        <v>74</v>
      </c>
      <c r="D20" s="12" t="s">
        <v>75</v>
      </c>
      <c r="E20" s="85" t="s">
        <v>76</v>
      </c>
      <c r="F20" s="12" t="s">
        <v>77</v>
      </c>
      <c r="G20" s="48"/>
      <c r="H20" s="5" t="s">
        <v>54</v>
      </c>
      <c r="I20" s="5"/>
      <c r="J20" s="2"/>
      <c r="K20" s="2"/>
      <c r="L20" s="163"/>
      <c r="M20" s="164"/>
      <c r="N20" s="161"/>
      <c r="O20" s="21" t="s">
        <v>81</v>
      </c>
      <c r="P20" s="37">
        <f>2643783857.68-3636589.36000013</f>
        <v>2640147268.3199997</v>
      </c>
      <c r="Q20" s="37">
        <v>769916142.32000005</v>
      </c>
      <c r="R20" s="37"/>
      <c r="S20" s="37"/>
      <c r="T20" s="40"/>
      <c r="U20" s="165"/>
      <c r="V20" s="37"/>
      <c r="W20" s="37"/>
      <c r="X20" s="37"/>
      <c r="Y20" s="37"/>
      <c r="Z20" s="40"/>
      <c r="AA20" s="155"/>
      <c r="AB20" s="127"/>
      <c r="AC20" s="130"/>
      <c r="AD20" s="112"/>
      <c r="AE20" s="112"/>
    </row>
    <row r="21" spans="1:31" ht="88.95" customHeight="1" x14ac:dyDescent="0.25">
      <c r="A21" s="91">
        <v>214</v>
      </c>
      <c r="B21" s="12" t="s">
        <v>73</v>
      </c>
      <c r="C21" s="12" t="s">
        <v>74</v>
      </c>
      <c r="D21" s="12" t="s">
        <v>75</v>
      </c>
      <c r="E21" s="85" t="s">
        <v>76</v>
      </c>
      <c r="F21" s="12" t="s">
        <v>77</v>
      </c>
      <c r="G21" s="48">
        <v>20200680010059</v>
      </c>
      <c r="H21" s="22" t="s">
        <v>82</v>
      </c>
      <c r="I21" s="5" t="s">
        <v>83</v>
      </c>
      <c r="J21" s="2"/>
      <c r="K21" s="2"/>
      <c r="L21" s="163"/>
      <c r="M21" s="164"/>
      <c r="N21" s="161"/>
      <c r="O21" s="21" t="s">
        <v>84</v>
      </c>
      <c r="P21" s="37">
        <v>80261243</v>
      </c>
      <c r="Q21" s="37"/>
      <c r="R21" s="37"/>
      <c r="S21" s="37"/>
      <c r="T21" s="40"/>
      <c r="U21" s="165"/>
      <c r="V21" s="37">
        <v>80261243</v>
      </c>
      <c r="W21" s="37"/>
      <c r="X21" s="37"/>
      <c r="Y21" s="37"/>
      <c r="Z21" s="40"/>
      <c r="AA21" s="155"/>
      <c r="AB21" s="127"/>
      <c r="AC21" s="130"/>
      <c r="AD21" s="112"/>
      <c r="AE21" s="112"/>
    </row>
    <row r="22" spans="1:31" ht="88.95" customHeight="1" x14ac:dyDescent="0.25">
      <c r="A22" s="91">
        <v>214</v>
      </c>
      <c r="B22" s="12" t="s">
        <v>73</v>
      </c>
      <c r="C22" s="12" t="s">
        <v>74</v>
      </c>
      <c r="D22" s="12" t="s">
        <v>75</v>
      </c>
      <c r="E22" s="85" t="s">
        <v>76</v>
      </c>
      <c r="F22" s="12" t="s">
        <v>77</v>
      </c>
      <c r="G22" s="48">
        <v>20210680010033</v>
      </c>
      <c r="H22" s="22" t="s">
        <v>85</v>
      </c>
      <c r="I22" s="5"/>
      <c r="J22" s="2"/>
      <c r="K22" s="2"/>
      <c r="L22" s="163"/>
      <c r="M22" s="164"/>
      <c r="N22" s="161"/>
      <c r="O22" s="21" t="s">
        <v>84</v>
      </c>
      <c r="P22" s="37">
        <v>36720621</v>
      </c>
      <c r="Q22" s="37"/>
      <c r="R22" s="37"/>
      <c r="S22" s="37"/>
      <c r="T22" s="40"/>
      <c r="U22" s="165"/>
      <c r="V22" s="37">
        <v>36720621</v>
      </c>
      <c r="W22" s="37"/>
      <c r="X22" s="37"/>
      <c r="Y22" s="37"/>
      <c r="Z22" s="40"/>
      <c r="AA22" s="141"/>
      <c r="AB22" s="128"/>
      <c r="AC22" s="131"/>
      <c r="AD22" s="113"/>
      <c r="AE22" s="113"/>
    </row>
    <row r="23" spans="1:31" ht="88.95" customHeight="1" x14ac:dyDescent="0.25">
      <c r="A23" s="91">
        <v>215</v>
      </c>
      <c r="B23" s="12" t="s">
        <v>73</v>
      </c>
      <c r="C23" s="12" t="s">
        <v>74</v>
      </c>
      <c r="D23" s="12" t="s">
        <v>86</v>
      </c>
      <c r="E23" s="85" t="s">
        <v>87</v>
      </c>
      <c r="F23" s="14" t="s">
        <v>88</v>
      </c>
      <c r="G23" s="48">
        <v>20200680010083</v>
      </c>
      <c r="H23" s="22" t="s">
        <v>89</v>
      </c>
      <c r="I23" s="5" t="s">
        <v>90</v>
      </c>
      <c r="J23" s="2"/>
      <c r="K23" s="20"/>
      <c r="L23" s="166">
        <v>40000</v>
      </c>
      <c r="M23" s="160">
        <f>2672+1601+17885.74</f>
        <v>22158.74</v>
      </c>
      <c r="N23" s="161">
        <f>IFERROR(IF(M23/L23&gt;100%,100%,M23/L23),"-")</f>
        <v>0.55396850000000009</v>
      </c>
      <c r="O23" s="23" t="s">
        <v>91</v>
      </c>
      <c r="P23" s="25">
        <v>440674539</v>
      </c>
      <c r="Q23" s="25">
        <v>88687399.159999996</v>
      </c>
      <c r="R23" s="25"/>
      <c r="S23" s="25"/>
      <c r="T23" s="40"/>
      <c r="U23" s="167">
        <f>SUM(P23:T48)</f>
        <v>49427075822.820007</v>
      </c>
      <c r="V23" s="25">
        <v>440674539</v>
      </c>
      <c r="W23" s="25">
        <v>88687399</v>
      </c>
      <c r="X23" s="25"/>
      <c r="Y23" s="25"/>
      <c r="Z23" s="40"/>
      <c r="AA23" s="168">
        <f>SUM(V23:Z48)</f>
        <v>20288697566.630001</v>
      </c>
      <c r="AB23" s="126">
        <f>IFERROR(AA23/U23,"-")</f>
        <v>0.41047739986396087</v>
      </c>
      <c r="AC23" s="156"/>
      <c r="AD23" s="111" t="s">
        <v>42</v>
      </c>
      <c r="AE23" s="111" t="s">
        <v>43</v>
      </c>
    </row>
    <row r="24" spans="1:31" ht="88.95" customHeight="1" x14ac:dyDescent="0.25">
      <c r="A24" s="91">
        <v>215</v>
      </c>
      <c r="B24" s="12" t="s">
        <v>73</v>
      </c>
      <c r="C24" s="12" t="s">
        <v>74</v>
      </c>
      <c r="D24" s="12" t="s">
        <v>86</v>
      </c>
      <c r="E24" s="85" t="s">
        <v>87</v>
      </c>
      <c r="F24" s="14" t="s">
        <v>88</v>
      </c>
      <c r="G24" s="48">
        <v>20200680010166</v>
      </c>
      <c r="H24" s="22" t="s">
        <v>92</v>
      </c>
      <c r="I24" s="5" t="s">
        <v>70</v>
      </c>
      <c r="J24" s="2"/>
      <c r="K24" s="20"/>
      <c r="L24" s="166"/>
      <c r="M24" s="160"/>
      <c r="N24" s="161"/>
      <c r="O24" s="23" t="s">
        <v>93</v>
      </c>
      <c r="P24" s="25">
        <v>255374883.63</v>
      </c>
      <c r="Q24" s="25"/>
      <c r="R24" s="25"/>
      <c r="S24" s="25"/>
      <c r="T24" s="40"/>
      <c r="U24" s="167"/>
      <c r="V24" s="25">
        <v>255374883.63</v>
      </c>
      <c r="W24" s="25"/>
      <c r="X24" s="25"/>
      <c r="Y24" s="25"/>
      <c r="Z24" s="40"/>
      <c r="AA24" s="169"/>
      <c r="AB24" s="127"/>
      <c r="AC24" s="157"/>
      <c r="AD24" s="112"/>
      <c r="AE24" s="112"/>
    </row>
    <row r="25" spans="1:31" ht="106.95" customHeight="1" x14ac:dyDescent="0.25">
      <c r="A25" s="91">
        <v>215</v>
      </c>
      <c r="B25" s="12" t="s">
        <v>73</v>
      </c>
      <c r="C25" s="12" t="s">
        <v>74</v>
      </c>
      <c r="D25" s="12" t="s">
        <v>86</v>
      </c>
      <c r="E25" s="85" t="s">
        <v>87</v>
      </c>
      <c r="F25" s="14" t="s">
        <v>88</v>
      </c>
      <c r="G25" s="48">
        <v>20200680010089</v>
      </c>
      <c r="H25" s="22" t="s">
        <v>94</v>
      </c>
      <c r="I25" s="5" t="s">
        <v>95</v>
      </c>
      <c r="J25" s="2"/>
      <c r="K25" s="20"/>
      <c r="L25" s="166"/>
      <c r="M25" s="160"/>
      <c r="N25" s="161"/>
      <c r="O25" s="23" t="s">
        <v>96</v>
      </c>
      <c r="P25" s="25">
        <f>828585546</f>
        <v>828585546</v>
      </c>
      <c r="Q25" s="25"/>
      <c r="R25" s="25"/>
      <c r="S25" s="25"/>
      <c r="T25" s="40"/>
      <c r="U25" s="167"/>
      <c r="V25" s="25">
        <v>828287647.5</v>
      </c>
      <c r="W25" s="25"/>
      <c r="X25" s="25"/>
      <c r="Y25" s="25"/>
      <c r="Z25" s="40"/>
      <c r="AA25" s="169"/>
      <c r="AB25" s="127"/>
      <c r="AC25" s="157"/>
      <c r="AD25" s="112"/>
      <c r="AE25" s="112"/>
    </row>
    <row r="26" spans="1:31" ht="105.6" customHeight="1" x14ac:dyDescent="0.25">
      <c r="A26" s="91">
        <v>215</v>
      </c>
      <c r="B26" s="12" t="s">
        <v>73</v>
      </c>
      <c r="C26" s="12" t="s">
        <v>74</v>
      </c>
      <c r="D26" s="12" t="s">
        <v>86</v>
      </c>
      <c r="E26" s="85" t="s">
        <v>87</v>
      </c>
      <c r="F26" s="14" t="s">
        <v>88</v>
      </c>
      <c r="G26" s="48">
        <v>20200680010093</v>
      </c>
      <c r="H26" s="22" t="s">
        <v>97</v>
      </c>
      <c r="I26" s="5" t="s">
        <v>98</v>
      </c>
      <c r="J26" s="2"/>
      <c r="K26" s="20"/>
      <c r="L26" s="166"/>
      <c r="M26" s="160"/>
      <c r="N26" s="161"/>
      <c r="O26" s="23" t="s">
        <v>99</v>
      </c>
      <c r="P26" s="71">
        <v>1899489739</v>
      </c>
      <c r="Q26" s="25"/>
      <c r="R26" s="25"/>
      <c r="S26" s="25"/>
      <c r="T26" s="40"/>
      <c r="U26" s="167"/>
      <c r="V26" s="25">
        <v>829015863.20000005</v>
      </c>
      <c r="W26" s="25"/>
      <c r="X26" s="25"/>
      <c r="Y26" s="25"/>
      <c r="Z26" s="40"/>
      <c r="AA26" s="169"/>
      <c r="AB26" s="127"/>
      <c r="AC26" s="157"/>
      <c r="AD26" s="112"/>
      <c r="AE26" s="112"/>
    </row>
    <row r="27" spans="1:31" ht="75.599999999999994" customHeight="1" x14ac:dyDescent="0.25">
      <c r="A27" s="91">
        <v>215</v>
      </c>
      <c r="B27" s="12" t="s">
        <v>73</v>
      </c>
      <c r="C27" s="12" t="s">
        <v>74</v>
      </c>
      <c r="D27" s="12" t="s">
        <v>86</v>
      </c>
      <c r="E27" s="85" t="s">
        <v>87</v>
      </c>
      <c r="F27" s="14" t="s">
        <v>88</v>
      </c>
      <c r="G27" s="48">
        <v>20210680010013</v>
      </c>
      <c r="H27" s="22" t="s">
        <v>100</v>
      </c>
      <c r="I27" s="5" t="s">
        <v>101</v>
      </c>
      <c r="J27" s="2"/>
      <c r="K27" s="20"/>
      <c r="L27" s="166"/>
      <c r="M27" s="160"/>
      <c r="N27" s="161"/>
      <c r="O27" s="23" t="s">
        <v>102</v>
      </c>
      <c r="P27" s="25">
        <v>94976390.849999994</v>
      </c>
      <c r="Q27" s="25"/>
      <c r="R27" s="25"/>
      <c r="S27" s="25"/>
      <c r="T27" s="40"/>
      <c r="U27" s="167"/>
      <c r="V27" s="25">
        <v>94976390.849999994</v>
      </c>
      <c r="W27" s="25"/>
      <c r="X27" s="25"/>
      <c r="Y27" s="25"/>
      <c r="Z27" s="40"/>
      <c r="AA27" s="169"/>
      <c r="AB27" s="127"/>
      <c r="AC27" s="157"/>
      <c r="AD27" s="112"/>
      <c r="AE27" s="112"/>
    </row>
    <row r="28" spans="1:31" ht="46.8" x14ac:dyDescent="0.25">
      <c r="A28" s="91">
        <v>215</v>
      </c>
      <c r="B28" s="12" t="s">
        <v>73</v>
      </c>
      <c r="C28" s="12" t="s">
        <v>74</v>
      </c>
      <c r="D28" s="12" t="s">
        <v>86</v>
      </c>
      <c r="E28" s="85" t="s">
        <v>87</v>
      </c>
      <c r="F28" s="14" t="s">
        <v>88</v>
      </c>
      <c r="G28" s="49"/>
      <c r="H28" s="5" t="s">
        <v>54</v>
      </c>
      <c r="I28" s="5"/>
      <c r="J28" s="2"/>
      <c r="K28" s="20"/>
      <c r="L28" s="166"/>
      <c r="M28" s="160"/>
      <c r="N28" s="161"/>
      <c r="O28" s="23" t="s">
        <v>102</v>
      </c>
      <c r="P28" s="25">
        <f>23609</f>
        <v>23609</v>
      </c>
      <c r="Q28" s="25"/>
      <c r="R28" s="25"/>
      <c r="S28" s="25"/>
      <c r="T28" s="40"/>
      <c r="U28" s="167"/>
      <c r="V28" s="25"/>
      <c r="W28" s="25"/>
      <c r="X28" s="25"/>
      <c r="Y28" s="25"/>
      <c r="Z28" s="40"/>
      <c r="AA28" s="169"/>
      <c r="AB28" s="127"/>
      <c r="AC28" s="157"/>
      <c r="AD28" s="112"/>
      <c r="AE28" s="112"/>
    </row>
    <row r="29" spans="1:31" ht="54.6" customHeight="1" x14ac:dyDescent="0.25">
      <c r="A29" s="91">
        <v>215</v>
      </c>
      <c r="B29" s="12" t="s">
        <v>73</v>
      </c>
      <c r="C29" s="12" t="s">
        <v>74</v>
      </c>
      <c r="D29" s="12" t="s">
        <v>86</v>
      </c>
      <c r="E29" s="85" t="s">
        <v>87</v>
      </c>
      <c r="F29" s="14" t="s">
        <v>88</v>
      </c>
      <c r="G29" s="49"/>
      <c r="H29" s="3" t="s">
        <v>103</v>
      </c>
      <c r="I29" s="5"/>
      <c r="J29" s="2"/>
      <c r="K29" s="20"/>
      <c r="L29" s="166"/>
      <c r="M29" s="160"/>
      <c r="N29" s="161"/>
      <c r="O29" s="24" t="s">
        <v>104</v>
      </c>
      <c r="P29" s="71">
        <f>5056729227.53-1031761338</f>
        <v>4024967889.5299997</v>
      </c>
      <c r="Q29" s="25"/>
      <c r="R29" s="25"/>
      <c r="S29" s="25"/>
      <c r="T29" s="40"/>
      <c r="U29" s="167"/>
      <c r="V29" s="25">
        <v>1070473875.92</v>
      </c>
      <c r="W29" s="25"/>
      <c r="X29" s="25"/>
      <c r="Y29" s="25"/>
      <c r="Z29" s="40"/>
      <c r="AA29" s="169"/>
      <c r="AB29" s="127"/>
      <c r="AC29" s="157"/>
      <c r="AD29" s="112"/>
      <c r="AE29" s="112"/>
    </row>
    <row r="30" spans="1:31" ht="85.95" customHeight="1" x14ac:dyDescent="0.25">
      <c r="A30" s="91">
        <v>215</v>
      </c>
      <c r="B30" s="12" t="s">
        <v>73</v>
      </c>
      <c r="C30" s="12" t="s">
        <v>74</v>
      </c>
      <c r="D30" s="12" t="s">
        <v>86</v>
      </c>
      <c r="E30" s="85" t="s">
        <v>87</v>
      </c>
      <c r="F30" s="14" t="s">
        <v>88</v>
      </c>
      <c r="G30" s="49"/>
      <c r="H30" s="63" t="s">
        <v>105</v>
      </c>
      <c r="I30" s="5"/>
      <c r="J30" s="2"/>
      <c r="K30" s="20"/>
      <c r="L30" s="166"/>
      <c r="M30" s="160"/>
      <c r="N30" s="161"/>
      <c r="O30" s="23" t="s">
        <v>106</v>
      </c>
      <c r="P30" s="25">
        <v>530557116</v>
      </c>
      <c r="Q30" s="25"/>
      <c r="R30" s="25"/>
      <c r="S30" s="25"/>
      <c r="T30" s="40"/>
      <c r="U30" s="167"/>
      <c r="V30" s="25"/>
      <c r="W30" s="25"/>
      <c r="X30" s="25"/>
      <c r="Y30" s="25"/>
      <c r="Z30" s="40"/>
      <c r="AA30" s="169"/>
      <c r="AB30" s="127"/>
      <c r="AC30" s="157"/>
      <c r="AD30" s="112"/>
      <c r="AE30" s="112"/>
    </row>
    <row r="31" spans="1:31" ht="46.8" x14ac:dyDescent="0.25">
      <c r="A31" s="91">
        <v>215</v>
      </c>
      <c r="B31" s="12" t="s">
        <v>73</v>
      </c>
      <c r="C31" s="12" t="s">
        <v>74</v>
      </c>
      <c r="D31" s="12" t="s">
        <v>86</v>
      </c>
      <c r="E31" s="85" t="s">
        <v>87</v>
      </c>
      <c r="F31" s="14" t="s">
        <v>88</v>
      </c>
      <c r="G31" s="50"/>
      <c r="H31" s="5" t="s">
        <v>107</v>
      </c>
      <c r="I31" s="5"/>
      <c r="J31" s="2"/>
      <c r="K31" s="20"/>
      <c r="L31" s="166"/>
      <c r="M31" s="160"/>
      <c r="N31" s="161"/>
      <c r="O31" s="23" t="s">
        <v>108</v>
      </c>
      <c r="P31" s="25">
        <v>4178415134.6100001</v>
      </c>
      <c r="Q31" s="25"/>
      <c r="R31" s="25"/>
      <c r="S31" s="25"/>
      <c r="T31" s="40"/>
      <c r="U31" s="167"/>
      <c r="V31" s="25"/>
      <c r="W31" s="25"/>
      <c r="X31" s="25"/>
      <c r="Y31" s="25"/>
      <c r="Z31" s="40"/>
      <c r="AA31" s="169"/>
      <c r="AB31" s="127"/>
      <c r="AC31" s="157"/>
      <c r="AD31" s="112"/>
      <c r="AE31" s="112"/>
    </row>
    <row r="32" spans="1:31" ht="46.8" x14ac:dyDescent="0.25">
      <c r="A32" s="91">
        <v>215</v>
      </c>
      <c r="B32" s="12" t="s">
        <v>73</v>
      </c>
      <c r="C32" s="12" t="s">
        <v>74</v>
      </c>
      <c r="D32" s="12" t="s">
        <v>86</v>
      </c>
      <c r="E32" s="85" t="s">
        <v>87</v>
      </c>
      <c r="F32" s="14" t="s">
        <v>88</v>
      </c>
      <c r="G32" s="50">
        <v>20210680010025</v>
      </c>
      <c r="H32" s="26" t="s">
        <v>109</v>
      </c>
      <c r="I32" s="5" t="s">
        <v>110</v>
      </c>
      <c r="J32" s="2"/>
      <c r="K32" s="20"/>
      <c r="L32" s="166"/>
      <c r="M32" s="160"/>
      <c r="N32" s="161"/>
      <c r="O32" s="23" t="s">
        <v>111</v>
      </c>
      <c r="P32" s="25">
        <v>1331933803.03</v>
      </c>
      <c r="Q32" s="25"/>
      <c r="R32" s="25"/>
      <c r="S32" s="25"/>
      <c r="T32" s="40"/>
      <c r="U32" s="167"/>
      <c r="V32" s="25">
        <v>1321681111.9000001</v>
      </c>
      <c r="W32" s="25"/>
      <c r="X32" s="25"/>
      <c r="Y32" s="25"/>
      <c r="Z32" s="40"/>
      <c r="AA32" s="169"/>
      <c r="AB32" s="127"/>
      <c r="AC32" s="157"/>
      <c r="AD32" s="112"/>
      <c r="AE32" s="112"/>
    </row>
    <row r="33" spans="1:31" ht="74.400000000000006" customHeight="1" x14ac:dyDescent="0.25">
      <c r="A33" s="91">
        <v>215</v>
      </c>
      <c r="B33" s="12" t="s">
        <v>73</v>
      </c>
      <c r="C33" s="12" t="s">
        <v>74</v>
      </c>
      <c r="D33" s="12" t="s">
        <v>86</v>
      </c>
      <c r="E33" s="85" t="s">
        <v>87</v>
      </c>
      <c r="F33" s="14" t="s">
        <v>88</v>
      </c>
      <c r="G33" s="48">
        <v>20210680010013</v>
      </c>
      <c r="H33" s="22" t="s">
        <v>100</v>
      </c>
      <c r="I33" s="5" t="s">
        <v>110</v>
      </c>
      <c r="J33" s="2"/>
      <c r="K33" s="20"/>
      <c r="L33" s="166"/>
      <c r="M33" s="160"/>
      <c r="N33" s="161"/>
      <c r="O33" s="23" t="s">
        <v>111</v>
      </c>
      <c r="P33" s="25">
        <v>792492405.84000003</v>
      </c>
      <c r="Q33" s="25"/>
      <c r="R33" s="25"/>
      <c r="S33" s="25"/>
      <c r="T33" s="40"/>
      <c r="U33" s="167"/>
      <c r="V33" s="25">
        <v>792492406</v>
      </c>
      <c r="W33" s="25"/>
      <c r="X33" s="25"/>
      <c r="Y33" s="25"/>
      <c r="Z33" s="40"/>
      <c r="AA33" s="169"/>
      <c r="AB33" s="127"/>
      <c r="AC33" s="157"/>
      <c r="AD33" s="112"/>
      <c r="AE33" s="112"/>
    </row>
    <row r="34" spans="1:31" ht="56.4" customHeight="1" x14ac:dyDescent="0.25">
      <c r="A34" s="91">
        <v>215</v>
      </c>
      <c r="B34" s="12" t="s">
        <v>73</v>
      </c>
      <c r="C34" s="12" t="s">
        <v>74</v>
      </c>
      <c r="D34" s="12" t="s">
        <v>86</v>
      </c>
      <c r="E34" s="85" t="s">
        <v>87</v>
      </c>
      <c r="F34" s="14" t="s">
        <v>88</v>
      </c>
      <c r="G34" s="50">
        <v>20210680010033</v>
      </c>
      <c r="H34" s="26" t="s">
        <v>85</v>
      </c>
      <c r="I34" s="5" t="s">
        <v>110</v>
      </c>
      <c r="J34" s="2"/>
      <c r="K34" s="20"/>
      <c r="L34" s="166"/>
      <c r="M34" s="160"/>
      <c r="N34" s="161"/>
      <c r="O34" s="23" t="s">
        <v>258</v>
      </c>
      <c r="P34" s="25">
        <f>1553614893.82+133285804.41</f>
        <v>1686900698.23</v>
      </c>
      <c r="Q34" s="25"/>
      <c r="R34" s="25"/>
      <c r="S34" s="25"/>
      <c r="T34" s="40"/>
      <c r="U34" s="167"/>
      <c r="V34" s="25">
        <f>1473858244.68+133285804.41</f>
        <v>1607144049.0900002</v>
      </c>
      <c r="W34" s="25"/>
      <c r="X34" s="25"/>
      <c r="Y34" s="25"/>
      <c r="Z34" s="40"/>
      <c r="AA34" s="169"/>
      <c r="AB34" s="127"/>
      <c r="AC34" s="157"/>
      <c r="AD34" s="112"/>
      <c r="AE34" s="112"/>
    </row>
    <row r="35" spans="1:31" ht="88.8" customHeight="1" x14ac:dyDescent="0.25">
      <c r="A35" s="91">
        <v>215</v>
      </c>
      <c r="B35" s="12" t="s">
        <v>73</v>
      </c>
      <c r="C35" s="12" t="s">
        <v>74</v>
      </c>
      <c r="D35" s="12" t="s">
        <v>86</v>
      </c>
      <c r="E35" s="85" t="s">
        <v>87</v>
      </c>
      <c r="F35" s="14" t="s">
        <v>88</v>
      </c>
      <c r="G35" s="50">
        <v>20200680010080</v>
      </c>
      <c r="H35" s="26" t="s">
        <v>112</v>
      </c>
      <c r="I35" s="5" t="s">
        <v>110</v>
      </c>
      <c r="J35" s="2"/>
      <c r="K35" s="20"/>
      <c r="L35" s="166"/>
      <c r="M35" s="160"/>
      <c r="N35" s="161"/>
      <c r="O35" s="23" t="s">
        <v>111</v>
      </c>
      <c r="P35" s="25">
        <v>139581312.99000001</v>
      </c>
      <c r="Q35" s="25"/>
      <c r="R35" s="25"/>
      <c r="S35" s="25"/>
      <c r="T35" s="40"/>
      <c r="U35" s="167"/>
      <c r="V35" s="25">
        <v>134117784.39</v>
      </c>
      <c r="W35" s="25"/>
      <c r="X35" s="25"/>
      <c r="Y35" s="25"/>
      <c r="Z35" s="40"/>
      <c r="AA35" s="169"/>
      <c r="AB35" s="127"/>
      <c r="AC35" s="157"/>
      <c r="AD35" s="112"/>
      <c r="AE35" s="112"/>
    </row>
    <row r="36" spans="1:31" ht="54.6" customHeight="1" x14ac:dyDescent="0.25">
      <c r="A36" s="91">
        <v>215</v>
      </c>
      <c r="B36" s="12" t="s">
        <v>73</v>
      </c>
      <c r="C36" s="12" t="s">
        <v>74</v>
      </c>
      <c r="D36" s="12" t="s">
        <v>86</v>
      </c>
      <c r="E36" s="85" t="s">
        <v>87</v>
      </c>
      <c r="F36" s="14" t="s">
        <v>88</v>
      </c>
      <c r="G36" s="62"/>
      <c r="H36" s="5" t="s">
        <v>54</v>
      </c>
      <c r="I36" s="5"/>
      <c r="J36" s="2"/>
      <c r="K36" s="20"/>
      <c r="L36" s="166"/>
      <c r="M36" s="160"/>
      <c r="N36" s="161"/>
      <c r="O36" s="23" t="s">
        <v>113</v>
      </c>
      <c r="P36" s="25"/>
      <c r="Q36" s="25"/>
      <c r="R36" s="25"/>
      <c r="S36" s="25"/>
      <c r="T36" s="25">
        <v>1555449996</v>
      </c>
      <c r="U36" s="167"/>
      <c r="V36" s="25"/>
      <c r="W36" s="25"/>
      <c r="X36" s="25"/>
      <c r="Y36" s="25"/>
      <c r="Z36" s="40"/>
      <c r="AA36" s="169"/>
      <c r="AB36" s="127"/>
      <c r="AC36" s="157"/>
      <c r="AD36" s="112"/>
      <c r="AE36" s="112"/>
    </row>
    <row r="37" spans="1:31" ht="58.8" customHeight="1" x14ac:dyDescent="0.25">
      <c r="A37" s="91">
        <v>215</v>
      </c>
      <c r="B37" s="12" t="s">
        <v>73</v>
      </c>
      <c r="C37" s="12" t="s">
        <v>74</v>
      </c>
      <c r="D37" s="12" t="s">
        <v>86</v>
      </c>
      <c r="E37" s="85" t="s">
        <v>87</v>
      </c>
      <c r="F37" s="14" t="s">
        <v>88</v>
      </c>
      <c r="G37" s="59">
        <v>20210680010024</v>
      </c>
      <c r="H37" s="58" t="s">
        <v>114</v>
      </c>
      <c r="I37" s="5"/>
      <c r="J37" s="2"/>
      <c r="K37" s="20"/>
      <c r="L37" s="166"/>
      <c r="M37" s="160"/>
      <c r="N37" s="161"/>
      <c r="O37" s="23" t="s">
        <v>115</v>
      </c>
      <c r="P37" s="25"/>
      <c r="Q37" s="25"/>
      <c r="R37" s="25"/>
      <c r="S37" s="25"/>
      <c r="T37" s="25">
        <v>17240869934</v>
      </c>
      <c r="U37" s="167"/>
      <c r="V37" s="25">
        <v>12229632833</v>
      </c>
      <c r="W37" s="25"/>
      <c r="X37" s="25"/>
      <c r="Y37" s="25"/>
      <c r="Z37" s="40"/>
      <c r="AA37" s="169"/>
      <c r="AB37" s="127"/>
      <c r="AC37" s="157"/>
      <c r="AD37" s="112"/>
      <c r="AE37" s="112"/>
    </row>
    <row r="38" spans="1:31" ht="52.2" customHeight="1" x14ac:dyDescent="0.25">
      <c r="A38" s="91">
        <v>215</v>
      </c>
      <c r="B38" s="12" t="s">
        <v>73</v>
      </c>
      <c r="C38" s="12" t="s">
        <v>74</v>
      </c>
      <c r="D38" s="12" t="s">
        <v>86</v>
      </c>
      <c r="E38" s="85" t="s">
        <v>87</v>
      </c>
      <c r="F38" s="14" t="s">
        <v>88</v>
      </c>
      <c r="G38" s="59"/>
      <c r="H38" s="5" t="s">
        <v>54</v>
      </c>
      <c r="I38" s="5"/>
      <c r="J38" s="2"/>
      <c r="K38" s="20"/>
      <c r="L38" s="166"/>
      <c r="M38" s="160"/>
      <c r="N38" s="161"/>
      <c r="O38" s="23" t="s">
        <v>116</v>
      </c>
      <c r="P38" s="25"/>
      <c r="Q38" s="25"/>
      <c r="R38" s="25"/>
      <c r="S38" s="25"/>
      <c r="T38" s="25">
        <f>563789262+8428553475</f>
        <v>8992342737</v>
      </c>
      <c r="U38" s="167"/>
      <c r="V38" s="25"/>
      <c r="W38" s="25"/>
      <c r="X38" s="25"/>
      <c r="Y38" s="25"/>
      <c r="Z38" s="40"/>
      <c r="AA38" s="169"/>
      <c r="AB38" s="127"/>
      <c r="AC38" s="157"/>
      <c r="AD38" s="112"/>
      <c r="AE38" s="112"/>
    </row>
    <row r="39" spans="1:31" ht="62.4" x14ac:dyDescent="0.25">
      <c r="A39" s="91">
        <v>215</v>
      </c>
      <c r="B39" s="12" t="s">
        <v>73</v>
      </c>
      <c r="C39" s="12" t="s">
        <v>74</v>
      </c>
      <c r="D39" s="12" t="s">
        <v>86</v>
      </c>
      <c r="E39" s="85" t="s">
        <v>87</v>
      </c>
      <c r="F39" s="14" t="s">
        <v>88</v>
      </c>
      <c r="G39" s="59">
        <v>20210680010037</v>
      </c>
      <c r="H39" s="58" t="s">
        <v>117</v>
      </c>
      <c r="I39" s="5"/>
      <c r="J39" s="2"/>
      <c r="K39" s="20"/>
      <c r="L39" s="166"/>
      <c r="M39" s="160"/>
      <c r="N39" s="161"/>
      <c r="O39" s="23" t="s">
        <v>118</v>
      </c>
      <c r="P39" s="25">
        <v>609911449.04999995</v>
      </c>
      <c r="Q39" s="25"/>
      <c r="R39" s="25"/>
      <c r="S39" s="25"/>
      <c r="T39" s="40"/>
      <c r="U39" s="167"/>
      <c r="V39" s="25">
        <v>14000000</v>
      </c>
      <c r="W39" s="25"/>
      <c r="X39" s="25"/>
      <c r="Y39" s="25"/>
      <c r="Z39" s="40"/>
      <c r="AA39" s="169"/>
      <c r="AB39" s="127"/>
      <c r="AC39" s="157"/>
      <c r="AD39" s="112"/>
      <c r="AE39" s="112"/>
    </row>
    <row r="40" spans="1:31" ht="46.8" x14ac:dyDescent="0.25">
      <c r="A40" s="91">
        <v>215</v>
      </c>
      <c r="B40" s="12" t="s">
        <v>73</v>
      </c>
      <c r="C40" s="12" t="s">
        <v>74</v>
      </c>
      <c r="D40" s="12" t="s">
        <v>86</v>
      </c>
      <c r="E40" s="85" t="s">
        <v>87</v>
      </c>
      <c r="F40" s="14" t="s">
        <v>88</v>
      </c>
      <c r="G40" s="59"/>
      <c r="H40" s="5" t="s">
        <v>54</v>
      </c>
      <c r="I40" s="5"/>
      <c r="J40" s="2"/>
      <c r="K40" s="20"/>
      <c r="L40" s="166"/>
      <c r="M40" s="160"/>
      <c r="N40" s="161"/>
      <c r="O40" s="23" t="s">
        <v>118</v>
      </c>
      <c r="P40" s="25">
        <v>88550.95</v>
      </c>
      <c r="Q40" s="25"/>
      <c r="R40" s="25"/>
      <c r="S40" s="25"/>
      <c r="T40" s="40"/>
      <c r="U40" s="167"/>
      <c r="V40" s="25"/>
      <c r="W40" s="25"/>
      <c r="X40" s="25"/>
      <c r="Y40" s="25"/>
      <c r="Z40" s="40"/>
      <c r="AA40" s="169"/>
      <c r="AB40" s="127"/>
      <c r="AC40" s="157"/>
      <c r="AD40" s="112"/>
      <c r="AE40" s="112"/>
    </row>
    <row r="41" spans="1:31" ht="52.2" customHeight="1" x14ac:dyDescent="0.25">
      <c r="A41" s="91">
        <v>215</v>
      </c>
      <c r="B41" s="12" t="s">
        <v>73</v>
      </c>
      <c r="C41" s="12" t="s">
        <v>74</v>
      </c>
      <c r="D41" s="12" t="s">
        <v>86</v>
      </c>
      <c r="E41" s="85" t="s">
        <v>87</v>
      </c>
      <c r="F41" s="14" t="s">
        <v>88</v>
      </c>
      <c r="G41" s="59"/>
      <c r="H41" s="5" t="s">
        <v>54</v>
      </c>
      <c r="I41" s="5"/>
      <c r="J41" s="2"/>
      <c r="K41" s="20"/>
      <c r="L41" s="166"/>
      <c r="M41" s="160"/>
      <c r="N41" s="161"/>
      <c r="O41" s="23" t="s">
        <v>119</v>
      </c>
      <c r="P41" s="25">
        <f>120000000+478121018.8</f>
        <v>598121018.79999995</v>
      </c>
      <c r="Q41" s="25"/>
      <c r="R41" s="25"/>
      <c r="S41" s="25"/>
      <c r="T41" s="40"/>
      <c r="U41" s="167"/>
      <c r="V41" s="25"/>
      <c r="W41" s="25"/>
      <c r="X41" s="25"/>
      <c r="Y41" s="25"/>
      <c r="Z41" s="40"/>
      <c r="AA41" s="169"/>
      <c r="AB41" s="127"/>
      <c r="AC41" s="157"/>
      <c r="AD41" s="112"/>
      <c r="AE41" s="112"/>
    </row>
    <row r="42" spans="1:31" ht="81.75" customHeight="1" x14ac:dyDescent="0.25">
      <c r="A42" s="91">
        <v>215</v>
      </c>
      <c r="B42" s="12" t="s">
        <v>73</v>
      </c>
      <c r="C42" s="12" t="s">
        <v>74</v>
      </c>
      <c r="D42" s="12" t="s">
        <v>86</v>
      </c>
      <c r="E42" s="85" t="s">
        <v>87</v>
      </c>
      <c r="F42" s="14" t="s">
        <v>88</v>
      </c>
      <c r="G42" s="59">
        <v>20210680010011</v>
      </c>
      <c r="H42" s="58" t="s">
        <v>120</v>
      </c>
      <c r="I42" s="5" t="s">
        <v>121</v>
      </c>
      <c r="J42" s="2"/>
      <c r="K42" s="20"/>
      <c r="L42" s="166"/>
      <c r="M42" s="160"/>
      <c r="N42" s="161"/>
      <c r="O42" s="23" t="s">
        <v>122</v>
      </c>
      <c r="P42" s="25"/>
      <c r="Q42" s="25"/>
      <c r="R42" s="25"/>
      <c r="S42" s="46"/>
      <c r="T42" s="25">
        <v>3726948730</v>
      </c>
      <c r="U42" s="167"/>
      <c r="V42" s="25">
        <v>444860990</v>
      </c>
      <c r="W42" s="25"/>
      <c r="X42" s="25"/>
      <c r="Y42" s="25"/>
      <c r="Z42" s="40"/>
      <c r="AA42" s="169"/>
      <c r="AB42" s="127"/>
      <c r="AC42" s="157"/>
      <c r="AD42" s="112"/>
      <c r="AE42" s="112"/>
    </row>
    <row r="43" spans="1:31" ht="46.8" x14ac:dyDescent="0.25">
      <c r="A43" s="91">
        <v>215</v>
      </c>
      <c r="B43" s="12" t="s">
        <v>73</v>
      </c>
      <c r="C43" s="12" t="s">
        <v>74</v>
      </c>
      <c r="D43" s="12" t="s">
        <v>86</v>
      </c>
      <c r="E43" s="85" t="s">
        <v>87</v>
      </c>
      <c r="F43" s="14" t="s">
        <v>88</v>
      </c>
      <c r="G43" s="59"/>
      <c r="H43" s="5" t="s">
        <v>54</v>
      </c>
      <c r="I43" s="5"/>
      <c r="J43" s="2"/>
      <c r="K43" s="20"/>
      <c r="L43" s="166"/>
      <c r="M43" s="160"/>
      <c r="N43" s="161"/>
      <c r="O43" s="23" t="s">
        <v>122</v>
      </c>
      <c r="P43" s="25"/>
      <c r="Q43" s="25"/>
      <c r="R43" s="25"/>
      <c r="S43" s="46"/>
      <c r="T43" s="25">
        <v>248371795</v>
      </c>
      <c r="U43" s="167"/>
      <c r="V43" s="25"/>
      <c r="W43" s="25"/>
      <c r="X43" s="25"/>
      <c r="Y43" s="25"/>
      <c r="Z43" s="40"/>
      <c r="AA43" s="169"/>
      <c r="AB43" s="127"/>
      <c r="AC43" s="157"/>
      <c r="AD43" s="112"/>
      <c r="AE43" s="112"/>
    </row>
    <row r="44" spans="1:31" ht="46.8" x14ac:dyDescent="0.25">
      <c r="A44" s="91">
        <v>215</v>
      </c>
      <c r="B44" s="12" t="s">
        <v>73</v>
      </c>
      <c r="C44" s="12" t="s">
        <v>74</v>
      </c>
      <c r="D44" s="12" t="s">
        <v>86</v>
      </c>
      <c r="E44" s="85" t="s">
        <v>87</v>
      </c>
      <c r="F44" s="14" t="s">
        <v>88</v>
      </c>
      <c r="G44" s="59">
        <v>20210680010025</v>
      </c>
      <c r="H44" s="58" t="s">
        <v>109</v>
      </c>
      <c r="I44" s="5"/>
      <c r="J44" s="2"/>
      <c r="K44" s="20"/>
      <c r="L44" s="166"/>
      <c r="M44" s="160"/>
      <c r="N44" s="161"/>
      <c r="O44" s="23" t="s">
        <v>123</v>
      </c>
      <c r="P44" s="25">
        <v>88432200.069999993</v>
      </c>
      <c r="Q44" s="25"/>
      <c r="R44" s="25"/>
      <c r="S44" s="46"/>
      <c r="T44" s="25"/>
      <c r="U44" s="167"/>
      <c r="V44" s="25">
        <v>88432200</v>
      </c>
      <c r="W44" s="25"/>
      <c r="X44" s="25"/>
      <c r="Y44" s="25"/>
      <c r="Z44" s="40"/>
      <c r="AA44" s="169"/>
      <c r="AB44" s="127"/>
      <c r="AC44" s="157"/>
      <c r="AD44" s="112"/>
      <c r="AE44" s="112"/>
    </row>
    <row r="45" spans="1:31" ht="46.8" x14ac:dyDescent="0.25">
      <c r="A45" s="91">
        <v>215</v>
      </c>
      <c r="B45" s="12" t="s">
        <v>73</v>
      </c>
      <c r="C45" s="12" t="s">
        <v>74</v>
      </c>
      <c r="D45" s="12" t="s">
        <v>86</v>
      </c>
      <c r="E45" s="85" t="s">
        <v>87</v>
      </c>
      <c r="F45" s="14"/>
      <c r="G45" s="59"/>
      <c r="H45" s="63" t="s">
        <v>124</v>
      </c>
      <c r="I45" s="5"/>
      <c r="J45" s="2"/>
      <c r="K45" s="20"/>
      <c r="L45" s="166"/>
      <c r="M45" s="160"/>
      <c r="N45" s="161"/>
      <c r="O45" s="23" t="s">
        <v>125</v>
      </c>
      <c r="P45" s="25">
        <v>25000000</v>
      </c>
      <c r="Q45" s="25"/>
      <c r="R45" s="25"/>
      <c r="S45" s="46"/>
      <c r="T45" s="25"/>
      <c r="U45" s="167"/>
      <c r="V45" s="25"/>
      <c r="W45" s="25"/>
      <c r="X45" s="25"/>
      <c r="Y45" s="25"/>
      <c r="Z45" s="40"/>
      <c r="AA45" s="169"/>
      <c r="AB45" s="127"/>
      <c r="AC45" s="157"/>
      <c r="AD45" s="112"/>
      <c r="AE45" s="112"/>
    </row>
    <row r="46" spans="1:31" ht="46.8" x14ac:dyDescent="0.25">
      <c r="A46" s="91">
        <v>215</v>
      </c>
      <c r="B46" s="12" t="s">
        <v>73</v>
      </c>
      <c r="C46" s="12" t="s">
        <v>74</v>
      </c>
      <c r="D46" s="12" t="s">
        <v>86</v>
      </c>
      <c r="E46" s="85" t="s">
        <v>87</v>
      </c>
      <c r="F46" s="14" t="s">
        <v>88</v>
      </c>
      <c r="G46" s="62"/>
      <c r="H46" s="63" t="s">
        <v>126</v>
      </c>
      <c r="I46" s="5"/>
      <c r="J46" s="2"/>
      <c r="K46" s="20"/>
      <c r="L46" s="166"/>
      <c r="M46" s="160"/>
      <c r="N46" s="161"/>
      <c r="O46" s="23" t="s">
        <v>123</v>
      </c>
      <c r="P46" s="25">
        <v>33351.93</v>
      </c>
      <c r="Q46" s="25"/>
      <c r="R46" s="25"/>
      <c r="S46" s="46"/>
      <c r="T46" s="25"/>
      <c r="U46" s="167"/>
      <c r="V46" s="25"/>
      <c r="W46" s="25"/>
      <c r="X46" s="25"/>
      <c r="Y46" s="25"/>
      <c r="Z46" s="40"/>
      <c r="AA46" s="169"/>
      <c r="AB46" s="127"/>
      <c r="AC46" s="157"/>
      <c r="AD46" s="112"/>
      <c r="AE46" s="112"/>
    </row>
    <row r="47" spans="1:31" ht="58.8" customHeight="1" x14ac:dyDescent="0.25">
      <c r="A47" s="91">
        <v>215</v>
      </c>
      <c r="B47" s="12" t="s">
        <v>73</v>
      </c>
      <c r="C47" s="12" t="s">
        <v>74</v>
      </c>
      <c r="D47" s="12" t="s">
        <v>86</v>
      </c>
      <c r="E47" s="85" t="s">
        <v>87</v>
      </c>
      <c r="F47" s="14" t="s">
        <v>88</v>
      </c>
      <c r="G47" s="59">
        <v>20210680010025</v>
      </c>
      <c r="H47" s="58" t="s">
        <v>109</v>
      </c>
      <c r="I47" s="5" t="s">
        <v>127</v>
      </c>
      <c r="J47" s="2"/>
      <c r="K47" s="20"/>
      <c r="L47" s="166"/>
      <c r="M47" s="160"/>
      <c r="N47" s="161"/>
      <c r="O47" s="23" t="s">
        <v>123</v>
      </c>
      <c r="P47" s="25">
        <v>12325921.15</v>
      </c>
      <c r="Q47" s="25"/>
      <c r="R47" s="25"/>
      <c r="S47" s="46"/>
      <c r="T47" s="25"/>
      <c r="U47" s="167"/>
      <c r="V47" s="25">
        <v>12325921.15</v>
      </c>
      <c r="W47" s="25"/>
      <c r="X47" s="25"/>
      <c r="Y47" s="25"/>
      <c r="Z47" s="40"/>
      <c r="AA47" s="169"/>
      <c r="AB47" s="127"/>
      <c r="AC47" s="157"/>
      <c r="AD47" s="112"/>
      <c r="AE47" s="112"/>
    </row>
    <row r="48" spans="1:31" ht="66" customHeight="1" x14ac:dyDescent="0.25">
      <c r="A48" s="91">
        <v>215</v>
      </c>
      <c r="B48" s="12" t="s">
        <v>73</v>
      </c>
      <c r="C48" s="12" t="s">
        <v>74</v>
      </c>
      <c r="D48" s="12" t="s">
        <v>86</v>
      </c>
      <c r="E48" s="85" t="s">
        <v>87</v>
      </c>
      <c r="F48" s="14" t="s">
        <v>88</v>
      </c>
      <c r="G48" s="59">
        <v>20210680010025</v>
      </c>
      <c r="H48" s="58" t="s">
        <v>109</v>
      </c>
      <c r="I48" s="5"/>
      <c r="J48" s="2"/>
      <c r="K48" s="20"/>
      <c r="L48" s="166"/>
      <c r="M48" s="160"/>
      <c r="N48" s="161"/>
      <c r="O48" s="23" t="s">
        <v>128</v>
      </c>
      <c r="P48" s="25">
        <f>36519672</f>
        <v>36519672</v>
      </c>
      <c r="Q48" s="25"/>
      <c r="R48" s="25"/>
      <c r="S48" s="46"/>
      <c r="T48" s="25"/>
      <c r="U48" s="167"/>
      <c r="V48" s="25">
        <v>36519672</v>
      </c>
      <c r="W48" s="25"/>
      <c r="X48" s="25"/>
      <c r="Y48" s="25"/>
      <c r="Z48" s="40"/>
      <c r="AA48" s="170"/>
      <c r="AB48" s="128"/>
      <c r="AC48" s="158"/>
      <c r="AD48" s="113"/>
      <c r="AE48" s="113"/>
    </row>
    <row r="49" spans="1:31" ht="82.5" customHeight="1" x14ac:dyDescent="0.25">
      <c r="A49" s="91">
        <v>216</v>
      </c>
      <c r="B49" s="12" t="s">
        <v>73</v>
      </c>
      <c r="C49" s="12" t="s">
        <v>74</v>
      </c>
      <c r="D49" s="12" t="s">
        <v>86</v>
      </c>
      <c r="E49" s="7" t="s">
        <v>129</v>
      </c>
      <c r="F49" s="4" t="s">
        <v>130</v>
      </c>
      <c r="G49" s="60"/>
      <c r="H49" s="63" t="s">
        <v>131</v>
      </c>
      <c r="I49" s="31"/>
      <c r="J49" s="2"/>
      <c r="K49" s="2"/>
      <c r="L49" s="83">
        <v>2</v>
      </c>
      <c r="M49" s="78">
        <v>0</v>
      </c>
      <c r="N49" s="79">
        <f>IFERROR(IF(M49/L49&gt;100%,100%,M49/L49),"-")</f>
        <v>0</v>
      </c>
      <c r="O49" s="21" t="s">
        <v>132</v>
      </c>
      <c r="P49" s="37">
        <f>530557116</f>
        <v>530557116</v>
      </c>
      <c r="Q49" s="39"/>
      <c r="R49" s="39"/>
      <c r="S49" s="46"/>
      <c r="T49" s="25">
        <v>11666787329</v>
      </c>
      <c r="U49" s="82">
        <f>SUM(P49:T49)</f>
        <v>12197344445</v>
      </c>
      <c r="V49" s="37"/>
      <c r="W49" s="39"/>
      <c r="X49" s="39"/>
      <c r="Y49" s="39"/>
      <c r="Z49" s="40"/>
      <c r="AA49" s="82">
        <f>SUM(V49:Z49)</f>
        <v>0</v>
      </c>
      <c r="AB49" s="76">
        <f>IFERROR(AA49/U49,"-")</f>
        <v>0</v>
      </c>
      <c r="AC49" s="77"/>
      <c r="AD49" s="75" t="s">
        <v>42</v>
      </c>
      <c r="AE49" s="75" t="s">
        <v>43</v>
      </c>
    </row>
    <row r="50" spans="1:31" ht="96" customHeight="1" x14ac:dyDescent="0.25">
      <c r="A50" s="91">
        <v>219</v>
      </c>
      <c r="B50" s="12" t="s">
        <v>73</v>
      </c>
      <c r="C50" s="12" t="s">
        <v>74</v>
      </c>
      <c r="D50" s="12" t="s">
        <v>133</v>
      </c>
      <c r="E50" s="7" t="s">
        <v>134</v>
      </c>
      <c r="F50" s="4" t="s">
        <v>135</v>
      </c>
      <c r="G50" s="60"/>
      <c r="H50" s="61" t="s">
        <v>46</v>
      </c>
      <c r="I50" s="31"/>
      <c r="J50" s="2"/>
      <c r="K50" s="2"/>
      <c r="L50" s="83">
        <v>0</v>
      </c>
      <c r="M50" s="78" t="s">
        <v>41</v>
      </c>
      <c r="N50" s="79" t="str">
        <f>IFERROR(IF(M50/L50&gt;100%,100%,M50/L50),"-")</f>
        <v>-</v>
      </c>
      <c r="O50" s="21"/>
      <c r="P50" s="37"/>
      <c r="Q50" s="39"/>
      <c r="R50" s="39"/>
      <c r="S50" s="46"/>
      <c r="T50" s="39"/>
      <c r="U50" s="82">
        <f>SUM(P50:T50)</f>
        <v>0</v>
      </c>
      <c r="V50" s="37"/>
      <c r="W50" s="39"/>
      <c r="X50" s="39"/>
      <c r="Y50" s="39"/>
      <c r="Z50" s="40"/>
      <c r="AA50" s="82">
        <f>SUM(V50:Z50)</f>
        <v>0</v>
      </c>
      <c r="AB50" s="76" t="str">
        <f>IFERROR(AA50/U50,"-")</f>
        <v>-</v>
      </c>
      <c r="AC50" s="77"/>
      <c r="AD50" s="75" t="s">
        <v>42</v>
      </c>
      <c r="AE50" s="75" t="s">
        <v>43</v>
      </c>
    </row>
    <row r="51" spans="1:31" ht="121.2" customHeight="1" x14ac:dyDescent="0.25">
      <c r="A51" s="91">
        <v>220</v>
      </c>
      <c r="B51" s="12" t="s">
        <v>73</v>
      </c>
      <c r="C51" s="12" t="s">
        <v>74</v>
      </c>
      <c r="D51" s="12" t="s">
        <v>133</v>
      </c>
      <c r="E51" s="85" t="s">
        <v>136</v>
      </c>
      <c r="F51" s="12" t="s">
        <v>137</v>
      </c>
      <c r="G51" s="59">
        <v>20210680010029</v>
      </c>
      <c r="H51" s="58" t="s">
        <v>138</v>
      </c>
      <c r="I51" s="31"/>
      <c r="J51" s="2"/>
      <c r="K51" s="2"/>
      <c r="L51" s="166">
        <v>24500</v>
      </c>
      <c r="M51" s="160">
        <v>130000</v>
      </c>
      <c r="N51" s="161">
        <f>IFERROR(IF(M51/L51&gt;100%,100%,M51/L51),"-")</f>
        <v>1</v>
      </c>
      <c r="O51" s="21" t="s">
        <v>139</v>
      </c>
      <c r="P51" s="37">
        <v>481911706</v>
      </c>
      <c r="Q51" s="39"/>
      <c r="R51" s="39"/>
      <c r="S51" s="46"/>
      <c r="T51" s="39"/>
      <c r="U51" s="165">
        <f>SUM(P51:T55)</f>
        <v>42893865114.559998</v>
      </c>
      <c r="V51" s="37">
        <v>481911706</v>
      </c>
      <c r="W51" s="39"/>
      <c r="X51" s="39"/>
      <c r="Y51" s="39"/>
      <c r="Z51" s="40"/>
      <c r="AA51" s="140">
        <f>SUM(V51:Z55)</f>
        <v>19831159957</v>
      </c>
      <c r="AB51" s="126">
        <f>IFERROR(AA51/U51,"-")</f>
        <v>0.46233091618196148</v>
      </c>
      <c r="AC51" s="129"/>
      <c r="AD51" s="111" t="s">
        <v>42</v>
      </c>
      <c r="AE51" s="111" t="s">
        <v>43</v>
      </c>
    </row>
    <row r="52" spans="1:31" ht="130.80000000000001" customHeight="1" x14ac:dyDescent="0.25">
      <c r="A52" s="91">
        <v>220</v>
      </c>
      <c r="B52" s="12" t="s">
        <v>73</v>
      </c>
      <c r="C52" s="12" t="s">
        <v>74</v>
      </c>
      <c r="D52" s="12" t="s">
        <v>133</v>
      </c>
      <c r="E52" s="85" t="s">
        <v>136</v>
      </c>
      <c r="F52" s="12" t="s">
        <v>137</v>
      </c>
      <c r="G52" s="59">
        <v>20210680010029</v>
      </c>
      <c r="H52" s="58" t="s">
        <v>138</v>
      </c>
      <c r="I52" s="31" t="s">
        <v>110</v>
      </c>
      <c r="J52" s="2"/>
      <c r="K52" s="2"/>
      <c r="L52" s="166"/>
      <c r="M52" s="160"/>
      <c r="N52" s="161"/>
      <c r="O52" s="21" t="s">
        <v>111</v>
      </c>
      <c r="P52" s="37">
        <v>92323917</v>
      </c>
      <c r="Q52" s="39"/>
      <c r="R52" s="39"/>
      <c r="S52" s="46"/>
      <c r="T52" s="39"/>
      <c r="U52" s="165"/>
      <c r="V52" s="37">
        <v>92323917</v>
      </c>
      <c r="W52" s="39"/>
      <c r="X52" s="39"/>
      <c r="Y52" s="39"/>
      <c r="Z52" s="40"/>
      <c r="AA52" s="155"/>
      <c r="AB52" s="127"/>
      <c r="AC52" s="130"/>
      <c r="AD52" s="112"/>
      <c r="AE52" s="112"/>
    </row>
    <row r="53" spans="1:31" ht="75.599999999999994" customHeight="1" x14ac:dyDescent="0.25">
      <c r="A53" s="91">
        <v>220</v>
      </c>
      <c r="B53" s="12" t="s">
        <v>73</v>
      </c>
      <c r="C53" s="12" t="s">
        <v>74</v>
      </c>
      <c r="D53" s="12" t="s">
        <v>133</v>
      </c>
      <c r="E53" s="85" t="s">
        <v>136</v>
      </c>
      <c r="F53" s="12" t="s">
        <v>137</v>
      </c>
      <c r="G53" s="60"/>
      <c r="H53" s="5" t="s">
        <v>54</v>
      </c>
      <c r="I53" s="31"/>
      <c r="J53" s="2"/>
      <c r="K53" s="2"/>
      <c r="L53" s="166"/>
      <c r="M53" s="160"/>
      <c r="N53" s="161"/>
      <c r="O53" s="21" t="s">
        <v>140</v>
      </c>
      <c r="P53" s="37">
        <v>3631235458.3099999</v>
      </c>
      <c r="Q53" s="39"/>
      <c r="R53" s="39"/>
      <c r="S53" s="46"/>
      <c r="T53" s="41">
        <v>2841000462</v>
      </c>
      <c r="U53" s="165"/>
      <c r="V53" s="37"/>
      <c r="W53" s="39"/>
      <c r="X53" s="39"/>
      <c r="Y53" s="39"/>
      <c r="Z53" s="40"/>
      <c r="AA53" s="155"/>
      <c r="AB53" s="127"/>
      <c r="AC53" s="130"/>
      <c r="AD53" s="112"/>
      <c r="AE53" s="112"/>
    </row>
    <row r="54" spans="1:31" ht="57.6" customHeight="1" x14ac:dyDescent="0.25">
      <c r="A54" s="91">
        <v>220</v>
      </c>
      <c r="B54" s="12" t="s">
        <v>73</v>
      </c>
      <c r="C54" s="12" t="s">
        <v>74</v>
      </c>
      <c r="D54" s="12" t="s">
        <v>133</v>
      </c>
      <c r="E54" s="85" t="s">
        <v>136</v>
      </c>
      <c r="F54" s="12" t="s">
        <v>137</v>
      </c>
      <c r="G54" s="59">
        <v>20210680010004</v>
      </c>
      <c r="H54" s="58" t="s">
        <v>141</v>
      </c>
      <c r="I54" s="5" t="s">
        <v>142</v>
      </c>
      <c r="J54" s="2"/>
      <c r="K54" s="2"/>
      <c r="L54" s="166"/>
      <c r="M54" s="160"/>
      <c r="N54" s="161"/>
      <c r="O54" s="21" t="s">
        <v>143</v>
      </c>
      <c r="P54" s="37"/>
      <c r="Q54" s="39"/>
      <c r="R54" s="39"/>
      <c r="S54" s="46"/>
      <c r="T54" s="41">
        <v>20296361142</v>
      </c>
      <c r="U54" s="165"/>
      <c r="V54" s="37"/>
      <c r="W54" s="39"/>
      <c r="X54" s="39"/>
      <c r="Y54" s="40"/>
      <c r="Z54" s="72">
        <v>19256924334</v>
      </c>
      <c r="AA54" s="155"/>
      <c r="AB54" s="127"/>
      <c r="AC54" s="130"/>
      <c r="AD54" s="112"/>
      <c r="AE54" s="112"/>
    </row>
    <row r="55" spans="1:31" ht="45" x14ac:dyDescent="0.25">
      <c r="A55" s="91">
        <v>220</v>
      </c>
      <c r="B55" s="12" t="s">
        <v>73</v>
      </c>
      <c r="C55" s="12" t="s">
        <v>74</v>
      </c>
      <c r="D55" s="12" t="s">
        <v>133</v>
      </c>
      <c r="E55" s="85" t="s">
        <v>136</v>
      </c>
      <c r="F55" s="12" t="s">
        <v>137</v>
      </c>
      <c r="G55" s="59"/>
      <c r="H55" s="5" t="s">
        <v>54</v>
      </c>
      <c r="I55" s="1"/>
      <c r="J55" s="2"/>
      <c r="K55" s="2"/>
      <c r="L55" s="166"/>
      <c r="M55" s="160"/>
      <c r="N55" s="161"/>
      <c r="O55" s="21" t="s">
        <v>144</v>
      </c>
      <c r="P55" s="37">
        <v>1451029356.25</v>
      </c>
      <c r="Q55" s="39"/>
      <c r="R55" s="39"/>
      <c r="S55" s="46"/>
      <c r="T55" s="41">
        <f>3073+14100000000</f>
        <v>14100003073</v>
      </c>
      <c r="U55" s="165"/>
      <c r="V55" s="37"/>
      <c r="W55" s="39"/>
      <c r="X55" s="39"/>
      <c r="Y55" s="40"/>
      <c r="Z55" s="39"/>
      <c r="AA55" s="141"/>
      <c r="AB55" s="128"/>
      <c r="AC55" s="131"/>
      <c r="AD55" s="113"/>
      <c r="AE55" s="113"/>
    </row>
    <row r="56" spans="1:31" ht="68.400000000000006" customHeight="1" x14ac:dyDescent="0.25">
      <c r="A56" s="91">
        <v>221</v>
      </c>
      <c r="B56" s="12" t="s">
        <v>73</v>
      </c>
      <c r="C56" s="12" t="s">
        <v>74</v>
      </c>
      <c r="D56" s="12" t="s">
        <v>133</v>
      </c>
      <c r="E56" s="109" t="s">
        <v>145</v>
      </c>
      <c r="F56" s="12" t="s">
        <v>146</v>
      </c>
      <c r="G56" s="47"/>
      <c r="H56" s="3" t="s">
        <v>147</v>
      </c>
      <c r="I56" s="11"/>
      <c r="J56" s="2"/>
      <c r="K56" s="2"/>
      <c r="L56" s="166">
        <v>1500</v>
      </c>
      <c r="M56" s="160">
        <v>0.1</v>
      </c>
      <c r="N56" s="161">
        <f>IFERROR(IF(M56/L56&gt;100%,100%,M56/L56),"-")</f>
        <v>6.666666666666667E-5</v>
      </c>
      <c r="O56" s="28" t="s">
        <v>148</v>
      </c>
      <c r="P56" s="37">
        <v>1798494156</v>
      </c>
      <c r="Q56" s="39"/>
      <c r="R56" s="39"/>
      <c r="S56" s="46"/>
      <c r="T56" s="39"/>
      <c r="U56" s="165">
        <f>SUM(P56:T57)</f>
        <v>1938312017.1699998</v>
      </c>
      <c r="V56" s="37">
        <v>5134940.1100000003</v>
      </c>
      <c r="W56" s="39"/>
      <c r="X56" s="39"/>
      <c r="Y56" s="40"/>
      <c r="Z56" s="39"/>
      <c r="AA56" s="140">
        <f>SUM(V56:Z57)</f>
        <v>144952324.06999999</v>
      </c>
      <c r="AB56" s="153">
        <f>IFERROR(AA56/U56,"-")</f>
        <v>7.4782760869240864E-2</v>
      </c>
      <c r="AC56" s="154"/>
      <c r="AD56" s="152" t="s">
        <v>42</v>
      </c>
      <c r="AE56" s="152" t="s">
        <v>43</v>
      </c>
    </row>
    <row r="57" spans="1:31" ht="59.4" customHeight="1" x14ac:dyDescent="0.25">
      <c r="A57" s="91">
        <v>221</v>
      </c>
      <c r="B57" s="12" t="s">
        <v>73</v>
      </c>
      <c r="C57" s="12" t="s">
        <v>74</v>
      </c>
      <c r="D57" s="12" t="s">
        <v>133</v>
      </c>
      <c r="E57" s="110"/>
      <c r="F57" s="12" t="s">
        <v>146</v>
      </c>
      <c r="G57" s="51">
        <v>20200680010169</v>
      </c>
      <c r="H57" s="22" t="s">
        <v>149</v>
      </c>
      <c r="I57" s="11" t="s">
        <v>110</v>
      </c>
      <c r="J57" s="2"/>
      <c r="K57" s="2"/>
      <c r="L57" s="166"/>
      <c r="M57" s="160"/>
      <c r="N57" s="161"/>
      <c r="O57" s="28" t="s">
        <v>257</v>
      </c>
      <c r="P57" s="37">
        <v>17421256.32</v>
      </c>
      <c r="Q57" s="39"/>
      <c r="R57" s="39"/>
      <c r="S57" s="46"/>
      <c r="T57" s="41">
        <f>122396604.85</f>
        <v>122396604.84999999</v>
      </c>
      <c r="U57" s="165"/>
      <c r="V57" s="37">
        <f>17420779.11+122396604.85</f>
        <v>139817383.95999998</v>
      </c>
      <c r="W57" s="39"/>
      <c r="X57" s="39"/>
      <c r="Y57" s="40"/>
      <c r="Z57" s="39"/>
      <c r="AA57" s="141"/>
      <c r="AB57" s="153"/>
      <c r="AC57" s="154"/>
      <c r="AD57" s="152"/>
      <c r="AE57" s="152"/>
    </row>
    <row r="58" spans="1:31" ht="122.4" customHeight="1" x14ac:dyDescent="0.25">
      <c r="A58" s="91">
        <v>222</v>
      </c>
      <c r="B58" s="12" t="s">
        <v>73</v>
      </c>
      <c r="C58" s="12" t="s">
        <v>74</v>
      </c>
      <c r="D58" s="12" t="s">
        <v>133</v>
      </c>
      <c r="E58" s="7" t="s">
        <v>150</v>
      </c>
      <c r="F58" s="4" t="s">
        <v>151</v>
      </c>
      <c r="G58" s="51">
        <v>20210680010066</v>
      </c>
      <c r="H58" s="26" t="s">
        <v>256</v>
      </c>
      <c r="I58" s="11"/>
      <c r="J58" s="2"/>
      <c r="K58" s="2"/>
      <c r="L58" s="134">
        <v>1</v>
      </c>
      <c r="M58" s="132">
        <v>0</v>
      </c>
      <c r="N58" s="120">
        <f>IFERROR(IF(M58/L58&gt;100%,100%,M58/L58),"-")</f>
        <v>0</v>
      </c>
      <c r="O58" s="21" t="s">
        <v>152</v>
      </c>
      <c r="P58" s="37">
        <v>76590161</v>
      </c>
      <c r="Q58" s="37"/>
      <c r="R58" s="39"/>
      <c r="S58" s="46"/>
      <c r="T58" s="39"/>
      <c r="U58" s="123">
        <f>SUM(P58:T59)</f>
        <v>125329833</v>
      </c>
      <c r="V58" s="37"/>
      <c r="W58" s="39"/>
      <c r="X58" s="39"/>
      <c r="Y58" s="40"/>
      <c r="Z58" s="39"/>
      <c r="AA58" s="123">
        <f>SUM(V58:Z59)</f>
        <v>0</v>
      </c>
      <c r="AB58" s="126">
        <f>IFERROR(AA58/U58,"-")</f>
        <v>0</v>
      </c>
      <c r="AC58" s="129"/>
      <c r="AD58" s="111" t="s">
        <v>42</v>
      </c>
      <c r="AE58" s="111" t="s">
        <v>43</v>
      </c>
    </row>
    <row r="59" spans="1:31" ht="63.6" customHeight="1" x14ac:dyDescent="0.25">
      <c r="A59" s="91">
        <v>222</v>
      </c>
      <c r="B59" s="12" t="s">
        <v>73</v>
      </c>
      <c r="C59" s="12" t="s">
        <v>74</v>
      </c>
      <c r="D59" s="12" t="s">
        <v>133</v>
      </c>
      <c r="E59" s="7" t="s">
        <v>150</v>
      </c>
      <c r="F59" s="4" t="s">
        <v>151</v>
      </c>
      <c r="G59" s="51"/>
      <c r="H59" s="5" t="s">
        <v>54</v>
      </c>
      <c r="I59" s="11"/>
      <c r="J59" s="2"/>
      <c r="K59" s="2"/>
      <c r="L59" s="135"/>
      <c r="M59" s="133"/>
      <c r="N59" s="122"/>
      <c r="O59" s="21" t="s">
        <v>152</v>
      </c>
      <c r="P59" s="37">
        <v>48739672</v>
      </c>
      <c r="Q59" s="39"/>
      <c r="R59" s="39"/>
      <c r="S59" s="46"/>
      <c r="T59" s="39"/>
      <c r="U59" s="125"/>
      <c r="V59" s="37"/>
      <c r="W59" s="39"/>
      <c r="X59" s="39"/>
      <c r="Y59" s="40"/>
      <c r="Z59" s="39"/>
      <c r="AA59" s="125"/>
      <c r="AB59" s="128"/>
      <c r="AC59" s="131"/>
      <c r="AD59" s="113"/>
      <c r="AE59" s="113"/>
    </row>
    <row r="60" spans="1:31" ht="104.4" customHeight="1" x14ac:dyDescent="0.25">
      <c r="A60" s="91">
        <v>223</v>
      </c>
      <c r="B60" s="12" t="s">
        <v>73</v>
      </c>
      <c r="C60" s="12" t="s">
        <v>74</v>
      </c>
      <c r="D60" s="29" t="s">
        <v>153</v>
      </c>
      <c r="E60" s="17" t="s">
        <v>154</v>
      </c>
      <c r="F60" s="14" t="s">
        <v>155</v>
      </c>
      <c r="G60" s="48">
        <v>20200680010113</v>
      </c>
      <c r="H60" s="22" t="s">
        <v>156</v>
      </c>
      <c r="I60" s="5" t="s">
        <v>157</v>
      </c>
      <c r="J60" s="2">
        <v>44306</v>
      </c>
      <c r="K60" s="2">
        <v>44530</v>
      </c>
      <c r="L60" s="166">
        <v>1</v>
      </c>
      <c r="M60" s="160">
        <v>1</v>
      </c>
      <c r="N60" s="161">
        <f>IFERROR(IF(M60/L60&gt;100%,100%,M60/L60),"-")</f>
        <v>1</v>
      </c>
      <c r="O60" s="21" t="s">
        <v>158</v>
      </c>
      <c r="P60" s="37">
        <v>1876850815.48</v>
      </c>
      <c r="Q60" s="37"/>
      <c r="R60" s="37"/>
      <c r="S60" s="46"/>
      <c r="T60" s="37"/>
      <c r="U60" s="171">
        <f>SUM(P60:T84)</f>
        <v>25021304923.040001</v>
      </c>
      <c r="V60" s="37">
        <v>1827225023</v>
      </c>
      <c r="W60" s="37"/>
      <c r="X60" s="37"/>
      <c r="Y60" s="40"/>
      <c r="Z60" s="37"/>
      <c r="AA60" s="172">
        <f>SUM(V60:Z84)</f>
        <v>5403199632</v>
      </c>
      <c r="AB60" s="126">
        <f>IFERROR(AA60/U60,"-")</f>
        <v>0.21594395850332535</v>
      </c>
      <c r="AC60" s="129"/>
      <c r="AD60" s="111" t="s">
        <v>42</v>
      </c>
      <c r="AE60" s="111" t="s">
        <v>43</v>
      </c>
    </row>
    <row r="61" spans="1:31" ht="50.4" customHeight="1" x14ac:dyDescent="0.25">
      <c r="A61" s="91">
        <v>223</v>
      </c>
      <c r="B61" s="12" t="s">
        <v>73</v>
      </c>
      <c r="C61" s="12" t="s">
        <v>74</v>
      </c>
      <c r="D61" s="29" t="s">
        <v>153</v>
      </c>
      <c r="E61" s="17" t="s">
        <v>154</v>
      </c>
      <c r="F61" s="14" t="s">
        <v>155</v>
      </c>
      <c r="G61" s="49"/>
      <c r="H61" s="3" t="s">
        <v>127</v>
      </c>
      <c r="I61" s="5"/>
      <c r="J61" s="2"/>
      <c r="K61" s="2"/>
      <c r="L61" s="166"/>
      <c r="M61" s="160"/>
      <c r="N61" s="161"/>
      <c r="O61" s="21" t="s">
        <v>159</v>
      </c>
      <c r="P61" s="37">
        <f>19283285.3799999+100000000</f>
        <v>119283285.37999991</v>
      </c>
      <c r="Q61" s="37"/>
      <c r="R61" s="37"/>
      <c r="S61" s="46"/>
      <c r="T61" s="37"/>
      <c r="U61" s="171"/>
      <c r="V61" s="37"/>
      <c r="W61" s="37"/>
      <c r="X61" s="37"/>
      <c r="Y61" s="40"/>
      <c r="Z61" s="37"/>
      <c r="AA61" s="173"/>
      <c r="AB61" s="127"/>
      <c r="AC61" s="130"/>
      <c r="AD61" s="112"/>
      <c r="AE61" s="112"/>
    </row>
    <row r="62" spans="1:31" ht="61.2" customHeight="1" x14ac:dyDescent="0.25">
      <c r="A62" s="91">
        <v>223</v>
      </c>
      <c r="B62" s="12" t="s">
        <v>73</v>
      </c>
      <c r="C62" s="12" t="s">
        <v>74</v>
      </c>
      <c r="D62" s="29" t="s">
        <v>153</v>
      </c>
      <c r="E62" s="17" t="s">
        <v>154</v>
      </c>
      <c r="F62" s="14" t="s">
        <v>155</v>
      </c>
      <c r="G62" s="48">
        <v>20200680010067</v>
      </c>
      <c r="H62" s="22" t="s">
        <v>160</v>
      </c>
      <c r="I62" s="5" t="s">
        <v>161</v>
      </c>
      <c r="J62" s="30">
        <v>44237</v>
      </c>
      <c r="K62" s="30">
        <v>44356</v>
      </c>
      <c r="L62" s="166"/>
      <c r="M62" s="160"/>
      <c r="N62" s="161"/>
      <c r="O62" s="21" t="s">
        <v>162</v>
      </c>
      <c r="P62" s="37">
        <f>527557672.8+399999941.93</f>
        <v>927557614.73000002</v>
      </c>
      <c r="Q62" s="37"/>
      <c r="R62" s="37"/>
      <c r="S62" s="46"/>
      <c r="T62" s="37"/>
      <c r="U62" s="171"/>
      <c r="V62" s="37">
        <f>527557672.8+399999941.93</f>
        <v>927557614.73000002</v>
      </c>
      <c r="W62" s="37"/>
      <c r="X62" s="37"/>
      <c r="Y62" s="40"/>
      <c r="Z62" s="37"/>
      <c r="AA62" s="173"/>
      <c r="AB62" s="127"/>
      <c r="AC62" s="130"/>
      <c r="AD62" s="112"/>
      <c r="AE62" s="112"/>
    </row>
    <row r="63" spans="1:31" ht="46.8" x14ac:dyDescent="0.25">
      <c r="A63" s="91">
        <v>223</v>
      </c>
      <c r="B63" s="12" t="s">
        <v>73</v>
      </c>
      <c r="C63" s="12" t="s">
        <v>74</v>
      </c>
      <c r="D63" s="29" t="s">
        <v>153</v>
      </c>
      <c r="E63" s="17" t="s">
        <v>154</v>
      </c>
      <c r="F63" s="14" t="s">
        <v>155</v>
      </c>
      <c r="G63" s="49"/>
      <c r="H63" s="5" t="s">
        <v>54</v>
      </c>
      <c r="I63" s="5"/>
      <c r="J63" s="2"/>
      <c r="K63" s="2"/>
      <c r="L63" s="166"/>
      <c r="M63" s="160"/>
      <c r="N63" s="161"/>
      <c r="O63" s="21" t="s">
        <v>163</v>
      </c>
      <c r="P63" s="37">
        <v>58.069999992847443</v>
      </c>
      <c r="Q63" s="37"/>
      <c r="R63" s="37"/>
      <c r="S63" s="46"/>
      <c r="T63" s="37"/>
      <c r="U63" s="171"/>
      <c r="V63" s="37"/>
      <c r="W63" s="37"/>
      <c r="X63" s="37"/>
      <c r="Y63" s="40"/>
      <c r="Z63" s="37"/>
      <c r="AA63" s="173"/>
      <c r="AB63" s="127"/>
      <c r="AC63" s="130"/>
      <c r="AD63" s="112"/>
      <c r="AE63" s="112"/>
    </row>
    <row r="64" spans="1:31" ht="73.2" customHeight="1" x14ac:dyDescent="0.25">
      <c r="A64" s="91">
        <v>223</v>
      </c>
      <c r="B64" s="12" t="s">
        <v>73</v>
      </c>
      <c r="C64" s="12" t="s">
        <v>74</v>
      </c>
      <c r="D64" s="29" t="s">
        <v>153</v>
      </c>
      <c r="E64" s="17" t="s">
        <v>154</v>
      </c>
      <c r="F64" s="14" t="s">
        <v>155</v>
      </c>
      <c r="G64" s="48">
        <v>20210680010036</v>
      </c>
      <c r="H64" s="22" t="s">
        <v>164</v>
      </c>
      <c r="I64" s="5"/>
      <c r="J64" s="2"/>
      <c r="K64" s="2"/>
      <c r="L64" s="166"/>
      <c r="M64" s="160"/>
      <c r="N64" s="161"/>
      <c r="O64" s="21" t="s">
        <v>165</v>
      </c>
      <c r="P64" s="37">
        <v>76000000</v>
      </c>
      <c r="Q64" s="37"/>
      <c r="R64" s="37"/>
      <c r="S64" s="46"/>
      <c r="T64" s="37"/>
      <c r="U64" s="171"/>
      <c r="V64" s="37"/>
      <c r="W64" s="37"/>
      <c r="X64" s="37"/>
      <c r="Y64" s="40"/>
      <c r="Z64" s="37"/>
      <c r="AA64" s="173"/>
      <c r="AB64" s="127"/>
      <c r="AC64" s="130"/>
      <c r="AD64" s="112"/>
      <c r="AE64" s="112"/>
    </row>
    <row r="65" spans="1:31" ht="52.8" customHeight="1" x14ac:dyDescent="0.25">
      <c r="A65" s="91">
        <v>223</v>
      </c>
      <c r="B65" s="12" t="s">
        <v>73</v>
      </c>
      <c r="C65" s="12" t="s">
        <v>74</v>
      </c>
      <c r="D65" s="29" t="s">
        <v>153</v>
      </c>
      <c r="E65" s="17" t="s">
        <v>154</v>
      </c>
      <c r="F65" s="14" t="s">
        <v>155</v>
      </c>
      <c r="G65" s="48">
        <v>20200680010127</v>
      </c>
      <c r="H65" s="22" t="s">
        <v>166</v>
      </c>
      <c r="I65" s="5" t="s">
        <v>167</v>
      </c>
      <c r="J65" s="2"/>
      <c r="K65" s="2"/>
      <c r="L65" s="166"/>
      <c r="M65" s="160"/>
      <c r="N65" s="161"/>
      <c r="O65" s="21" t="s">
        <v>168</v>
      </c>
      <c r="P65" s="37">
        <v>443439323</v>
      </c>
      <c r="Q65" s="37"/>
      <c r="R65" s="37"/>
      <c r="S65" s="46"/>
      <c r="T65" s="37"/>
      <c r="U65" s="171"/>
      <c r="V65" s="37"/>
      <c r="W65" s="37"/>
      <c r="X65" s="37"/>
      <c r="Y65" s="40"/>
      <c r="Z65" s="37"/>
      <c r="AA65" s="173"/>
      <c r="AB65" s="127"/>
      <c r="AC65" s="130"/>
      <c r="AD65" s="112"/>
      <c r="AE65" s="112"/>
    </row>
    <row r="66" spans="1:31" ht="46.8" x14ac:dyDescent="0.25">
      <c r="A66" s="91">
        <v>223</v>
      </c>
      <c r="B66" s="12" t="s">
        <v>73</v>
      </c>
      <c r="C66" s="12" t="s">
        <v>74</v>
      </c>
      <c r="D66" s="29" t="s">
        <v>153</v>
      </c>
      <c r="E66" s="17" t="s">
        <v>154</v>
      </c>
      <c r="F66" s="14" t="s">
        <v>155</v>
      </c>
      <c r="G66" s="48">
        <v>20210680010051</v>
      </c>
      <c r="H66" s="22" t="s">
        <v>169</v>
      </c>
      <c r="I66" s="5" t="s">
        <v>167</v>
      </c>
      <c r="J66" s="2"/>
      <c r="K66" s="2"/>
      <c r="L66" s="166"/>
      <c r="M66" s="160"/>
      <c r="N66" s="161"/>
      <c r="O66" s="21" t="s">
        <v>168</v>
      </c>
      <c r="P66" s="37">
        <v>1254447707.1400001</v>
      </c>
      <c r="Q66" s="37"/>
      <c r="R66" s="37"/>
      <c r="S66" s="46"/>
      <c r="T66" s="37"/>
      <c r="U66" s="171"/>
      <c r="V66" s="37"/>
      <c r="W66" s="37"/>
      <c r="X66" s="37"/>
      <c r="Y66" s="40"/>
      <c r="Z66" s="37"/>
      <c r="AA66" s="173"/>
      <c r="AB66" s="127"/>
      <c r="AC66" s="130"/>
      <c r="AD66" s="112"/>
      <c r="AE66" s="112"/>
    </row>
    <row r="67" spans="1:31" ht="46.8" x14ac:dyDescent="0.25">
      <c r="A67" s="91">
        <v>223</v>
      </c>
      <c r="B67" s="12" t="s">
        <v>73</v>
      </c>
      <c r="C67" s="12" t="s">
        <v>74</v>
      </c>
      <c r="D67" s="29" t="s">
        <v>153</v>
      </c>
      <c r="E67" s="17" t="s">
        <v>154</v>
      </c>
      <c r="F67" s="14" t="s">
        <v>155</v>
      </c>
      <c r="G67" s="48"/>
      <c r="H67" s="5" t="s">
        <v>54</v>
      </c>
      <c r="I67" s="5"/>
      <c r="J67" s="2"/>
      <c r="K67" s="2"/>
      <c r="L67" s="166"/>
      <c r="M67" s="160"/>
      <c r="N67" s="161"/>
      <c r="O67" s="21" t="s">
        <v>168</v>
      </c>
      <c r="P67" s="37">
        <v>721766841.85999966</v>
      </c>
      <c r="Q67" s="37"/>
      <c r="R67" s="37"/>
      <c r="S67" s="46"/>
      <c r="T67" s="37"/>
      <c r="U67" s="171"/>
      <c r="V67" s="37"/>
      <c r="W67" s="37"/>
      <c r="X67" s="37"/>
      <c r="Y67" s="40"/>
      <c r="Z67" s="37"/>
      <c r="AA67" s="173"/>
      <c r="AB67" s="127"/>
      <c r="AC67" s="130"/>
      <c r="AD67" s="112"/>
      <c r="AE67" s="112"/>
    </row>
    <row r="68" spans="1:31" ht="79.2" customHeight="1" x14ac:dyDescent="0.25">
      <c r="A68" s="91">
        <v>223</v>
      </c>
      <c r="B68" s="12" t="s">
        <v>73</v>
      </c>
      <c r="C68" s="12" t="s">
        <v>74</v>
      </c>
      <c r="D68" s="29" t="s">
        <v>153</v>
      </c>
      <c r="E68" s="17" t="s">
        <v>154</v>
      </c>
      <c r="F68" s="14" t="s">
        <v>155</v>
      </c>
      <c r="G68" s="48">
        <v>20210680010050</v>
      </c>
      <c r="H68" s="22" t="s">
        <v>170</v>
      </c>
      <c r="I68" s="5" t="s">
        <v>171</v>
      </c>
      <c r="J68" s="2"/>
      <c r="K68" s="2"/>
      <c r="L68" s="166"/>
      <c r="M68" s="160"/>
      <c r="N68" s="161"/>
      <c r="O68" s="21" t="s">
        <v>168</v>
      </c>
      <c r="P68" s="37">
        <v>7586496128</v>
      </c>
      <c r="Q68" s="37"/>
      <c r="R68" s="37"/>
      <c r="S68" s="46"/>
      <c r="T68" s="37"/>
      <c r="U68" s="171"/>
      <c r="V68" s="37"/>
      <c r="W68" s="37"/>
      <c r="X68" s="37"/>
      <c r="Y68" s="40"/>
      <c r="Z68" s="37"/>
      <c r="AA68" s="173"/>
      <c r="AB68" s="127"/>
      <c r="AC68" s="130"/>
      <c r="AD68" s="112"/>
      <c r="AE68" s="112"/>
    </row>
    <row r="69" spans="1:31" ht="55.2" customHeight="1" x14ac:dyDescent="0.25">
      <c r="A69" s="91">
        <v>223</v>
      </c>
      <c r="B69" s="12" t="s">
        <v>73</v>
      </c>
      <c r="C69" s="12" t="s">
        <v>74</v>
      </c>
      <c r="D69" s="29" t="s">
        <v>153</v>
      </c>
      <c r="E69" s="17" t="s">
        <v>154</v>
      </c>
      <c r="F69" s="14" t="s">
        <v>155</v>
      </c>
      <c r="G69" s="52"/>
      <c r="H69" s="13" t="s">
        <v>172</v>
      </c>
      <c r="I69" s="5" t="s">
        <v>173</v>
      </c>
      <c r="J69" s="2"/>
      <c r="K69" s="2"/>
      <c r="L69" s="166"/>
      <c r="M69" s="160"/>
      <c r="N69" s="161"/>
      <c r="O69" s="28" t="s">
        <v>163</v>
      </c>
      <c r="P69" s="37">
        <v>1665545000</v>
      </c>
      <c r="Q69" s="37"/>
      <c r="R69" s="37"/>
      <c r="S69" s="46"/>
      <c r="T69" s="37"/>
      <c r="U69" s="171"/>
      <c r="V69" s="37"/>
      <c r="W69" s="37"/>
      <c r="X69" s="37"/>
      <c r="Y69" s="40"/>
      <c r="Z69" s="37"/>
      <c r="AA69" s="173"/>
      <c r="AB69" s="127"/>
      <c r="AC69" s="130"/>
      <c r="AD69" s="112"/>
      <c r="AE69" s="112"/>
    </row>
    <row r="70" spans="1:31" ht="72.75" customHeight="1" x14ac:dyDescent="0.25">
      <c r="A70" s="91">
        <v>223</v>
      </c>
      <c r="B70" s="12" t="s">
        <v>73</v>
      </c>
      <c r="C70" s="12" t="s">
        <v>74</v>
      </c>
      <c r="D70" s="29" t="s">
        <v>153</v>
      </c>
      <c r="E70" s="17" t="s">
        <v>154</v>
      </c>
      <c r="F70" s="14" t="s">
        <v>155</v>
      </c>
      <c r="G70" s="53">
        <v>20200680010126</v>
      </c>
      <c r="H70" s="32" t="s">
        <v>174</v>
      </c>
      <c r="I70" s="29" t="s">
        <v>175</v>
      </c>
      <c r="J70" s="30">
        <v>44378</v>
      </c>
      <c r="K70" s="30" t="s">
        <v>176</v>
      </c>
      <c r="L70" s="166"/>
      <c r="M70" s="160"/>
      <c r="N70" s="161"/>
      <c r="O70" s="21" t="s">
        <v>177</v>
      </c>
      <c r="P70" s="37">
        <v>3064940114</v>
      </c>
      <c r="Q70" s="37"/>
      <c r="R70" s="37"/>
      <c r="S70" s="46"/>
      <c r="T70" s="37"/>
      <c r="U70" s="171"/>
      <c r="V70" s="37"/>
      <c r="W70" s="37"/>
      <c r="X70" s="37"/>
      <c r="Y70" s="40"/>
      <c r="Z70" s="37"/>
      <c r="AA70" s="173"/>
      <c r="AB70" s="127"/>
      <c r="AC70" s="130"/>
      <c r="AD70" s="112"/>
      <c r="AE70" s="112"/>
    </row>
    <row r="71" spans="1:31" ht="46.8" x14ac:dyDescent="0.25">
      <c r="A71" s="91">
        <v>223</v>
      </c>
      <c r="B71" s="12" t="s">
        <v>73</v>
      </c>
      <c r="C71" s="12" t="s">
        <v>74</v>
      </c>
      <c r="D71" s="29" t="s">
        <v>153</v>
      </c>
      <c r="E71" s="17" t="s">
        <v>154</v>
      </c>
      <c r="F71" s="14" t="s">
        <v>155</v>
      </c>
      <c r="G71" s="52"/>
      <c r="H71" s="5" t="s">
        <v>54</v>
      </c>
      <c r="I71" s="5"/>
      <c r="J71" s="2"/>
      <c r="K71" s="2"/>
      <c r="L71" s="166"/>
      <c r="M71" s="160"/>
      <c r="N71" s="161"/>
      <c r="O71" s="28" t="s">
        <v>178</v>
      </c>
      <c r="P71" s="37">
        <v>267528717</v>
      </c>
      <c r="Q71" s="37"/>
      <c r="R71" s="37"/>
      <c r="S71" s="46"/>
      <c r="T71" s="37"/>
      <c r="U71" s="171"/>
      <c r="V71" s="37"/>
      <c r="W71" s="37"/>
      <c r="X71" s="37"/>
      <c r="Y71" s="40"/>
      <c r="Z71" s="37"/>
      <c r="AA71" s="173"/>
      <c r="AB71" s="127"/>
      <c r="AC71" s="130"/>
      <c r="AD71" s="112"/>
      <c r="AE71" s="112"/>
    </row>
    <row r="72" spans="1:31" ht="46.8" x14ac:dyDescent="0.25">
      <c r="A72" s="91">
        <v>223</v>
      </c>
      <c r="B72" s="12" t="s">
        <v>73</v>
      </c>
      <c r="C72" s="12" t="s">
        <v>74</v>
      </c>
      <c r="D72" s="29" t="s">
        <v>153</v>
      </c>
      <c r="E72" s="17" t="s">
        <v>154</v>
      </c>
      <c r="F72" s="14" t="s">
        <v>155</v>
      </c>
      <c r="G72" s="52"/>
      <c r="H72" s="13" t="s">
        <v>179</v>
      </c>
      <c r="I72" s="5" t="s">
        <v>173</v>
      </c>
      <c r="J72" s="2"/>
      <c r="K72" s="2"/>
      <c r="L72" s="166"/>
      <c r="M72" s="160"/>
      <c r="N72" s="161"/>
      <c r="O72" s="28" t="s">
        <v>180</v>
      </c>
      <c r="P72" s="37">
        <v>1648640000</v>
      </c>
      <c r="Q72" s="37"/>
      <c r="R72" s="37"/>
      <c r="S72" s="46"/>
      <c r="T72" s="37"/>
      <c r="U72" s="171"/>
      <c r="V72" s="37"/>
      <c r="W72" s="37"/>
      <c r="X72" s="37"/>
      <c r="Y72" s="40"/>
      <c r="Z72" s="37"/>
      <c r="AA72" s="173"/>
      <c r="AB72" s="127"/>
      <c r="AC72" s="130"/>
      <c r="AD72" s="112"/>
      <c r="AE72" s="112"/>
    </row>
    <row r="73" spans="1:31" ht="62.4" customHeight="1" x14ac:dyDescent="0.25">
      <c r="A73" s="91">
        <v>223</v>
      </c>
      <c r="B73" s="12" t="s">
        <v>73</v>
      </c>
      <c r="C73" s="12" t="s">
        <v>74</v>
      </c>
      <c r="D73" s="29" t="s">
        <v>153</v>
      </c>
      <c r="E73" s="17" t="s">
        <v>154</v>
      </c>
      <c r="F73" s="14" t="s">
        <v>155</v>
      </c>
      <c r="G73" s="52"/>
      <c r="H73" s="5" t="s">
        <v>181</v>
      </c>
      <c r="I73" s="5" t="s">
        <v>182</v>
      </c>
      <c r="J73" s="2"/>
      <c r="K73" s="2"/>
      <c r="L73" s="166"/>
      <c r="M73" s="160"/>
      <c r="N73" s="161"/>
      <c r="O73" s="28" t="s">
        <v>180</v>
      </c>
      <c r="P73" s="37">
        <v>1000000000</v>
      </c>
      <c r="Q73" s="37"/>
      <c r="R73" s="37"/>
      <c r="S73" s="46"/>
      <c r="T73" s="37"/>
      <c r="U73" s="171"/>
      <c r="V73" s="37"/>
      <c r="W73" s="37"/>
      <c r="X73" s="37"/>
      <c r="Y73" s="40"/>
      <c r="Z73" s="37"/>
      <c r="AA73" s="173"/>
      <c r="AB73" s="127"/>
      <c r="AC73" s="130"/>
      <c r="AD73" s="112"/>
      <c r="AE73" s="112"/>
    </row>
    <row r="74" spans="1:31" ht="46.8" x14ac:dyDescent="0.25">
      <c r="A74" s="91">
        <v>223</v>
      </c>
      <c r="B74" s="12" t="s">
        <v>73</v>
      </c>
      <c r="C74" s="12" t="s">
        <v>74</v>
      </c>
      <c r="D74" s="29" t="s">
        <v>153</v>
      </c>
      <c r="E74" s="17" t="s">
        <v>154</v>
      </c>
      <c r="F74" s="14" t="s">
        <v>155</v>
      </c>
      <c r="G74" s="38">
        <v>20200680010167</v>
      </c>
      <c r="H74" s="56" t="s">
        <v>183</v>
      </c>
      <c r="I74" s="5"/>
      <c r="J74" s="2"/>
      <c r="K74" s="2"/>
      <c r="L74" s="166"/>
      <c r="M74" s="160"/>
      <c r="N74" s="161"/>
      <c r="O74" s="28" t="s">
        <v>184</v>
      </c>
      <c r="P74" s="37">
        <v>114236490.40000001</v>
      </c>
      <c r="Q74" s="37"/>
      <c r="R74" s="37"/>
      <c r="S74" s="46"/>
      <c r="T74" s="37"/>
      <c r="U74" s="171"/>
      <c r="V74" s="37">
        <v>114236490.45</v>
      </c>
      <c r="W74" s="37"/>
      <c r="X74" s="37"/>
      <c r="Y74" s="40"/>
      <c r="Z74" s="37"/>
      <c r="AA74" s="173"/>
      <c r="AB74" s="127"/>
      <c r="AC74" s="130"/>
      <c r="AD74" s="112"/>
      <c r="AE74" s="112"/>
    </row>
    <row r="75" spans="1:31" ht="46.8" x14ac:dyDescent="0.25">
      <c r="A75" s="91">
        <v>223</v>
      </c>
      <c r="B75" s="12" t="s">
        <v>73</v>
      </c>
      <c r="C75" s="12" t="s">
        <v>74</v>
      </c>
      <c r="D75" s="29" t="s">
        <v>153</v>
      </c>
      <c r="E75" s="17" t="s">
        <v>154</v>
      </c>
      <c r="F75" s="14" t="s">
        <v>155</v>
      </c>
      <c r="G75" s="38">
        <v>20200680010167</v>
      </c>
      <c r="H75" s="56" t="s">
        <v>183</v>
      </c>
      <c r="I75" s="5"/>
      <c r="J75" s="2"/>
      <c r="K75" s="2"/>
      <c r="L75" s="166"/>
      <c r="M75" s="160"/>
      <c r="N75" s="161"/>
      <c r="O75" s="28" t="s">
        <v>111</v>
      </c>
      <c r="P75" s="37">
        <v>63861922.840000004</v>
      </c>
      <c r="Q75" s="37"/>
      <c r="R75" s="37"/>
      <c r="S75" s="46"/>
      <c r="T75" s="37"/>
      <c r="U75" s="171"/>
      <c r="V75" s="37">
        <v>63861925</v>
      </c>
      <c r="W75" s="37"/>
      <c r="X75" s="37"/>
      <c r="Y75" s="40"/>
      <c r="Z75" s="37"/>
      <c r="AA75" s="173"/>
      <c r="AB75" s="127"/>
      <c r="AC75" s="130"/>
      <c r="AD75" s="112"/>
      <c r="AE75" s="112"/>
    </row>
    <row r="76" spans="1:31" ht="70.8" customHeight="1" x14ac:dyDescent="0.25">
      <c r="A76" s="91">
        <v>223</v>
      </c>
      <c r="B76" s="12" t="s">
        <v>73</v>
      </c>
      <c r="C76" s="12" t="s">
        <v>74</v>
      </c>
      <c r="D76" s="29" t="s">
        <v>153</v>
      </c>
      <c r="E76" s="17" t="s">
        <v>154</v>
      </c>
      <c r="F76" s="14" t="s">
        <v>155</v>
      </c>
      <c r="G76" s="50">
        <v>20200680010029</v>
      </c>
      <c r="H76" s="26" t="s">
        <v>185</v>
      </c>
      <c r="I76" s="5"/>
      <c r="J76" s="2"/>
      <c r="K76" s="2"/>
      <c r="L76" s="166"/>
      <c r="M76" s="160"/>
      <c r="N76" s="161"/>
      <c r="O76" s="28" t="s">
        <v>184</v>
      </c>
      <c r="P76" s="37">
        <f>549583669.81</f>
        <v>549583669.80999994</v>
      </c>
      <c r="Q76" s="37"/>
      <c r="R76" s="37"/>
      <c r="S76" s="46"/>
      <c r="T76" s="37"/>
      <c r="U76" s="171"/>
      <c r="V76" s="37">
        <v>540636437.01999998</v>
      </c>
      <c r="W76" s="37"/>
      <c r="X76" s="37"/>
      <c r="Y76" s="40"/>
      <c r="Z76" s="37"/>
      <c r="AA76" s="173"/>
      <c r="AB76" s="127"/>
      <c r="AC76" s="130"/>
      <c r="AD76" s="112"/>
      <c r="AE76" s="112"/>
    </row>
    <row r="77" spans="1:31" ht="111.6" customHeight="1" x14ac:dyDescent="0.25">
      <c r="A77" s="91">
        <v>223</v>
      </c>
      <c r="B77" s="12" t="s">
        <v>73</v>
      </c>
      <c r="C77" s="12" t="s">
        <v>74</v>
      </c>
      <c r="D77" s="29" t="s">
        <v>153</v>
      </c>
      <c r="E77" s="17" t="s">
        <v>154</v>
      </c>
      <c r="F77" s="14" t="s">
        <v>155</v>
      </c>
      <c r="G77" s="50">
        <v>20200680010029</v>
      </c>
      <c r="H77" s="26" t="s">
        <v>186</v>
      </c>
      <c r="I77" s="5"/>
      <c r="J77" s="2"/>
      <c r="K77" s="2"/>
      <c r="L77" s="166"/>
      <c r="M77" s="160"/>
      <c r="N77" s="161"/>
      <c r="O77" s="28" t="s">
        <v>184</v>
      </c>
      <c r="P77" s="37">
        <v>11397677</v>
      </c>
      <c r="Q77" s="37"/>
      <c r="R77" s="37"/>
      <c r="S77" s="46"/>
      <c r="T77" s="37"/>
      <c r="U77" s="171"/>
      <c r="V77" s="37">
        <v>11397677</v>
      </c>
      <c r="W77" s="37"/>
      <c r="X77" s="37"/>
      <c r="Y77" s="40"/>
      <c r="Z77" s="37"/>
      <c r="AA77" s="173"/>
      <c r="AB77" s="127"/>
      <c r="AC77" s="130"/>
      <c r="AD77" s="112"/>
      <c r="AE77" s="112"/>
    </row>
    <row r="78" spans="1:31" ht="76.8" customHeight="1" x14ac:dyDescent="0.25">
      <c r="A78" s="91">
        <v>223</v>
      </c>
      <c r="B78" s="12" t="s">
        <v>73</v>
      </c>
      <c r="C78" s="12" t="s">
        <v>74</v>
      </c>
      <c r="D78" s="29" t="s">
        <v>153</v>
      </c>
      <c r="E78" s="17" t="s">
        <v>154</v>
      </c>
      <c r="F78" s="14" t="s">
        <v>155</v>
      </c>
      <c r="G78" s="50">
        <v>20200680010051</v>
      </c>
      <c r="H78" s="26" t="s">
        <v>187</v>
      </c>
      <c r="I78" s="5"/>
      <c r="J78" s="2">
        <v>44334</v>
      </c>
      <c r="K78" s="2">
        <v>44561</v>
      </c>
      <c r="L78" s="166"/>
      <c r="M78" s="160"/>
      <c r="N78" s="161"/>
      <c r="O78" s="28" t="s">
        <v>184</v>
      </c>
      <c r="P78" s="37">
        <v>227581714.81999999</v>
      </c>
      <c r="Q78" s="37"/>
      <c r="R78" s="37"/>
      <c r="S78" s="46"/>
      <c r="T78" s="37"/>
      <c r="U78" s="171"/>
      <c r="V78" s="37">
        <v>227581714.81999999</v>
      </c>
      <c r="W78" s="37"/>
      <c r="X78" s="37"/>
      <c r="Y78" s="40"/>
      <c r="Z78" s="37"/>
      <c r="AA78" s="173"/>
      <c r="AB78" s="127"/>
      <c r="AC78" s="130"/>
      <c r="AD78" s="112"/>
      <c r="AE78" s="112"/>
    </row>
    <row r="79" spans="1:31" ht="76.8" customHeight="1" x14ac:dyDescent="0.25">
      <c r="A79" s="91">
        <v>223</v>
      </c>
      <c r="B79" s="12" t="s">
        <v>73</v>
      </c>
      <c r="C79" s="12" t="s">
        <v>74</v>
      </c>
      <c r="D79" s="29" t="s">
        <v>153</v>
      </c>
      <c r="E79" s="17" t="s">
        <v>154</v>
      </c>
      <c r="F79" s="14" t="s">
        <v>155</v>
      </c>
      <c r="G79" s="50">
        <v>20200680010051</v>
      </c>
      <c r="H79" s="26" t="s">
        <v>187</v>
      </c>
      <c r="I79" s="5" t="s">
        <v>127</v>
      </c>
      <c r="J79" s="2"/>
      <c r="K79" s="2"/>
      <c r="L79" s="166"/>
      <c r="M79" s="160"/>
      <c r="N79" s="161"/>
      <c r="O79" s="28" t="s">
        <v>184</v>
      </c>
      <c r="P79" s="37">
        <v>240342435.58999997</v>
      </c>
      <c r="Q79" s="37"/>
      <c r="R79" s="37"/>
      <c r="S79" s="46"/>
      <c r="T79" s="37"/>
      <c r="U79" s="171"/>
      <c r="V79" s="37"/>
      <c r="W79" s="37"/>
      <c r="X79" s="37"/>
      <c r="Y79" s="40"/>
      <c r="Z79" s="37"/>
      <c r="AA79" s="173"/>
      <c r="AB79" s="127"/>
      <c r="AC79" s="130"/>
      <c r="AD79" s="112"/>
      <c r="AE79" s="112"/>
    </row>
    <row r="80" spans="1:31" ht="81.599999999999994" customHeight="1" x14ac:dyDescent="0.25">
      <c r="A80" s="91">
        <v>223</v>
      </c>
      <c r="B80" s="12" t="s">
        <v>73</v>
      </c>
      <c r="C80" s="12" t="s">
        <v>74</v>
      </c>
      <c r="D80" s="29" t="s">
        <v>153</v>
      </c>
      <c r="E80" s="17" t="s">
        <v>154</v>
      </c>
      <c r="F80" s="14" t="s">
        <v>155</v>
      </c>
      <c r="G80" s="50">
        <v>20200680010105</v>
      </c>
      <c r="H80" s="26" t="s">
        <v>188</v>
      </c>
      <c r="I80" s="5"/>
      <c r="J80" s="2"/>
      <c r="K80" s="2"/>
      <c r="L80" s="166"/>
      <c r="M80" s="160"/>
      <c r="N80" s="161"/>
      <c r="O80" s="28" t="s">
        <v>189</v>
      </c>
      <c r="P80" s="37">
        <f>197507450.99+232210009.36</f>
        <v>429717460.35000002</v>
      </c>
      <c r="Q80" s="37"/>
      <c r="R80" s="37"/>
      <c r="S80" s="46"/>
      <c r="T80" s="37"/>
      <c r="U80" s="171"/>
      <c r="V80" s="37">
        <v>424022853.41000003</v>
      </c>
      <c r="W80" s="37"/>
      <c r="X80" s="37"/>
      <c r="Y80" s="40"/>
      <c r="Z80" s="37"/>
      <c r="AA80" s="173"/>
      <c r="AB80" s="127"/>
      <c r="AC80" s="130"/>
      <c r="AD80" s="112"/>
      <c r="AE80" s="112"/>
    </row>
    <row r="81" spans="1:31" ht="81.599999999999994" customHeight="1" x14ac:dyDescent="0.25">
      <c r="A81" s="91">
        <v>223</v>
      </c>
      <c r="B81" s="12" t="s">
        <v>73</v>
      </c>
      <c r="C81" s="12" t="s">
        <v>74</v>
      </c>
      <c r="D81" s="29" t="s">
        <v>153</v>
      </c>
      <c r="E81" s="17" t="s">
        <v>154</v>
      </c>
      <c r="F81" s="14" t="s">
        <v>155</v>
      </c>
      <c r="G81" s="50">
        <v>20200680010128</v>
      </c>
      <c r="H81" s="26" t="s">
        <v>190</v>
      </c>
      <c r="I81" s="5"/>
      <c r="J81" s="2"/>
      <c r="K81" s="2"/>
      <c r="L81" s="166"/>
      <c r="M81" s="160"/>
      <c r="N81" s="161"/>
      <c r="O81" s="28" t="s">
        <v>184</v>
      </c>
      <c r="P81" s="37">
        <v>1229325732</v>
      </c>
      <c r="Q81" s="37"/>
      <c r="R81" s="37"/>
      <c r="S81" s="46"/>
      <c r="T81" s="37"/>
      <c r="U81" s="171"/>
      <c r="V81" s="37">
        <v>1046859465</v>
      </c>
      <c r="W81" s="37"/>
      <c r="X81" s="37"/>
      <c r="Y81" s="40"/>
      <c r="Z81" s="37"/>
      <c r="AA81" s="173"/>
      <c r="AB81" s="127"/>
      <c r="AC81" s="130"/>
      <c r="AD81" s="112"/>
      <c r="AE81" s="112"/>
    </row>
    <row r="82" spans="1:31" ht="55.2" customHeight="1" x14ac:dyDescent="0.25">
      <c r="A82" s="91">
        <v>223</v>
      </c>
      <c r="B82" s="12" t="s">
        <v>73</v>
      </c>
      <c r="C82" s="12" t="s">
        <v>74</v>
      </c>
      <c r="D82" s="29" t="s">
        <v>153</v>
      </c>
      <c r="E82" s="17" t="s">
        <v>154</v>
      </c>
      <c r="F82" s="14" t="s">
        <v>155</v>
      </c>
      <c r="G82" s="50">
        <v>20200680010029</v>
      </c>
      <c r="H82" s="26" t="s">
        <v>191</v>
      </c>
      <c r="I82" s="5"/>
      <c r="J82" s="2"/>
      <c r="K82" s="2"/>
      <c r="L82" s="166"/>
      <c r="M82" s="160"/>
      <c r="N82" s="161"/>
      <c r="O82" s="28" t="s">
        <v>184</v>
      </c>
      <c r="P82" s="37">
        <f>66785190.7+26457310.87</f>
        <v>93242501.570000008</v>
      </c>
      <c r="Q82" s="37"/>
      <c r="R82" s="37"/>
      <c r="S82" s="46"/>
      <c r="T82" s="37"/>
      <c r="U82" s="171"/>
      <c r="V82" s="37">
        <v>93242501.570000008</v>
      </c>
      <c r="W82" s="37"/>
      <c r="X82" s="37"/>
      <c r="Y82" s="40"/>
      <c r="Z82" s="37"/>
      <c r="AA82" s="173"/>
      <c r="AB82" s="127"/>
      <c r="AC82" s="130"/>
      <c r="AD82" s="112"/>
      <c r="AE82" s="112"/>
    </row>
    <row r="83" spans="1:31" ht="57.6" customHeight="1" x14ac:dyDescent="0.25">
      <c r="A83" s="91">
        <v>223</v>
      </c>
      <c r="B83" s="12" t="s">
        <v>73</v>
      </c>
      <c r="C83" s="12" t="s">
        <v>74</v>
      </c>
      <c r="D83" s="29" t="s">
        <v>153</v>
      </c>
      <c r="E83" s="17" t="s">
        <v>154</v>
      </c>
      <c r="F83" s="14" t="s">
        <v>155</v>
      </c>
      <c r="G83" s="50"/>
      <c r="H83" s="5" t="s">
        <v>54</v>
      </c>
      <c r="I83" s="5"/>
      <c r="J83" s="2"/>
      <c r="K83" s="2"/>
      <c r="L83" s="166"/>
      <c r="M83" s="160"/>
      <c r="N83" s="161"/>
      <c r="O83" s="28" t="s">
        <v>184</v>
      </c>
      <c r="P83" s="37">
        <f>126577930+236082268.83</f>
        <v>362660198.83000004</v>
      </c>
      <c r="Q83" s="37"/>
      <c r="R83" s="37"/>
      <c r="S83" s="46"/>
      <c r="T83" s="37"/>
      <c r="U83" s="171"/>
      <c r="V83" s="37"/>
      <c r="W83" s="37"/>
      <c r="X83" s="37"/>
      <c r="Y83" s="40"/>
      <c r="Z83" s="37"/>
      <c r="AA83" s="173"/>
      <c r="AB83" s="127"/>
      <c r="AC83" s="130"/>
      <c r="AD83" s="112"/>
      <c r="AE83" s="112"/>
    </row>
    <row r="84" spans="1:31" ht="81.599999999999994" customHeight="1" x14ac:dyDescent="0.25">
      <c r="A84" s="91">
        <v>223</v>
      </c>
      <c r="B84" s="12" t="s">
        <v>73</v>
      </c>
      <c r="C84" s="12" t="s">
        <v>74</v>
      </c>
      <c r="D84" s="29" t="s">
        <v>153</v>
      </c>
      <c r="E84" s="17" t="s">
        <v>154</v>
      </c>
      <c r="F84" s="14" t="s">
        <v>155</v>
      </c>
      <c r="G84" s="50">
        <v>20200680010128</v>
      </c>
      <c r="H84" s="26" t="s">
        <v>192</v>
      </c>
      <c r="I84" s="5"/>
      <c r="J84" s="2">
        <v>44334</v>
      </c>
      <c r="K84" s="2">
        <v>44561</v>
      </c>
      <c r="L84" s="166"/>
      <c r="M84" s="160"/>
      <c r="N84" s="161"/>
      <c r="O84" s="28" t="s">
        <v>184</v>
      </c>
      <c r="P84" s="37">
        <v>1046859515.17</v>
      </c>
      <c r="Q84" s="37"/>
      <c r="R84" s="37"/>
      <c r="S84" s="46"/>
      <c r="T84" s="37"/>
      <c r="U84" s="171"/>
      <c r="V84" s="37">
        <v>126577930</v>
      </c>
      <c r="W84" s="37"/>
      <c r="X84" s="37"/>
      <c r="Y84" s="40"/>
      <c r="Z84" s="37"/>
      <c r="AA84" s="174"/>
      <c r="AB84" s="128"/>
      <c r="AC84" s="131"/>
      <c r="AD84" s="113"/>
      <c r="AE84" s="113"/>
    </row>
    <row r="85" spans="1:31" ht="194.4" customHeight="1" x14ac:dyDescent="0.25">
      <c r="A85" s="91">
        <v>224</v>
      </c>
      <c r="B85" s="12" t="s">
        <v>73</v>
      </c>
      <c r="C85" s="12" t="s">
        <v>74</v>
      </c>
      <c r="D85" s="29" t="s">
        <v>153</v>
      </c>
      <c r="E85" s="17" t="s">
        <v>193</v>
      </c>
      <c r="F85" s="14" t="s">
        <v>194</v>
      </c>
      <c r="G85" s="48">
        <v>20200680010029</v>
      </c>
      <c r="H85" s="22" t="s">
        <v>195</v>
      </c>
      <c r="I85" s="64" t="s">
        <v>196</v>
      </c>
      <c r="J85" s="2">
        <v>44197</v>
      </c>
      <c r="K85" s="2">
        <v>44561</v>
      </c>
      <c r="L85" s="114">
        <v>1</v>
      </c>
      <c r="M85" s="117">
        <v>1</v>
      </c>
      <c r="N85" s="120">
        <f>IFERROR(IF(M85/L85&gt;100%,100%,M85/L85),"-")</f>
        <v>1</v>
      </c>
      <c r="O85" s="28" t="s">
        <v>197</v>
      </c>
      <c r="P85" s="37">
        <v>19566670524.990002</v>
      </c>
      <c r="Q85" s="37"/>
      <c r="R85" s="37"/>
      <c r="S85" s="46"/>
      <c r="T85" s="37"/>
      <c r="U85" s="123">
        <f>SUM(P85:T87)</f>
        <v>25141220809.060001</v>
      </c>
      <c r="V85" s="37">
        <f>7174680169.02+903889980.34</f>
        <v>8078570149.3600006</v>
      </c>
      <c r="W85" s="37"/>
      <c r="X85" s="37"/>
      <c r="Y85" s="40"/>
      <c r="Z85" s="37"/>
      <c r="AA85" s="123">
        <f>SUM(V85:Z87)</f>
        <v>10668685577.38937</v>
      </c>
      <c r="AB85" s="126">
        <f>IFERROR(AA85/U85,"-")</f>
        <v>0.42435033916669451</v>
      </c>
      <c r="AC85" s="129"/>
      <c r="AD85" s="111" t="s">
        <v>42</v>
      </c>
      <c r="AE85" s="111" t="s">
        <v>43</v>
      </c>
    </row>
    <row r="86" spans="1:31" ht="61.2" customHeight="1" x14ac:dyDescent="0.25">
      <c r="A86" s="91">
        <v>224</v>
      </c>
      <c r="B86" s="12" t="s">
        <v>73</v>
      </c>
      <c r="C86" s="12" t="s">
        <v>74</v>
      </c>
      <c r="D86" s="29" t="s">
        <v>153</v>
      </c>
      <c r="E86" s="17" t="s">
        <v>193</v>
      </c>
      <c r="F86" s="14" t="s">
        <v>194</v>
      </c>
      <c r="G86" s="48">
        <v>20200680010114</v>
      </c>
      <c r="H86" s="33" t="s">
        <v>198</v>
      </c>
      <c r="I86" s="16" t="s">
        <v>199</v>
      </c>
      <c r="J86" s="34">
        <v>44336</v>
      </c>
      <c r="K86" s="34">
        <v>44545</v>
      </c>
      <c r="L86" s="115"/>
      <c r="M86" s="118"/>
      <c r="N86" s="121"/>
      <c r="O86" s="21" t="s">
        <v>200</v>
      </c>
      <c r="P86" s="37">
        <f>4221454300</f>
        <v>4221454300</v>
      </c>
      <c r="Q86" s="37"/>
      <c r="R86" s="37"/>
      <c r="S86" s="46"/>
      <c r="T86" s="37"/>
      <c r="U86" s="124"/>
      <c r="V86" s="37">
        <f>897096529.629369+1693018898.4</f>
        <v>2590115428.0293694</v>
      </c>
      <c r="W86" s="37"/>
      <c r="X86" s="37"/>
      <c r="Y86" s="40"/>
      <c r="Z86" s="37"/>
      <c r="AA86" s="124"/>
      <c r="AB86" s="127"/>
      <c r="AC86" s="130"/>
      <c r="AD86" s="112"/>
      <c r="AE86" s="112"/>
    </row>
    <row r="87" spans="1:31" ht="61.2" customHeight="1" x14ac:dyDescent="0.25">
      <c r="A87" s="91">
        <v>224</v>
      </c>
      <c r="B87" s="12" t="s">
        <v>73</v>
      </c>
      <c r="C87" s="12" t="s">
        <v>74</v>
      </c>
      <c r="D87" s="29" t="s">
        <v>153</v>
      </c>
      <c r="E87" s="17" t="s">
        <v>193</v>
      </c>
      <c r="F87" s="14" t="s">
        <v>194</v>
      </c>
      <c r="G87" s="48">
        <v>20200680010114</v>
      </c>
      <c r="H87" s="33" t="s">
        <v>198</v>
      </c>
      <c r="I87" s="3" t="s">
        <v>127</v>
      </c>
      <c r="J87" s="34"/>
      <c r="K87" s="34"/>
      <c r="L87" s="116"/>
      <c r="M87" s="119"/>
      <c r="N87" s="122"/>
      <c r="O87" s="21" t="s">
        <v>200</v>
      </c>
      <c r="P87" s="37">
        <v>1353095984.0699997</v>
      </c>
      <c r="Q87" s="37"/>
      <c r="R87" s="37"/>
      <c r="S87" s="46"/>
      <c r="T87" s="37"/>
      <c r="U87" s="125"/>
      <c r="V87" s="37"/>
      <c r="W87" s="37"/>
      <c r="X87" s="37"/>
      <c r="Y87" s="40"/>
      <c r="Z87" s="37"/>
      <c r="AA87" s="125"/>
      <c r="AB87" s="128"/>
      <c r="AC87" s="131"/>
      <c r="AD87" s="113"/>
      <c r="AE87" s="113"/>
    </row>
    <row r="88" spans="1:31" ht="91.2" customHeight="1" x14ac:dyDescent="0.25">
      <c r="A88" s="91">
        <v>225</v>
      </c>
      <c r="B88" s="4" t="s">
        <v>73</v>
      </c>
      <c r="C88" s="35" t="s">
        <v>74</v>
      </c>
      <c r="D88" s="73" t="s">
        <v>153</v>
      </c>
      <c r="E88" s="7" t="s">
        <v>201</v>
      </c>
      <c r="F88" s="27" t="s">
        <v>202</v>
      </c>
      <c r="G88" s="48">
        <v>20210680010048</v>
      </c>
      <c r="H88" s="33" t="s">
        <v>203</v>
      </c>
      <c r="I88" s="5" t="s">
        <v>252</v>
      </c>
      <c r="J88" s="2"/>
      <c r="K88" s="2"/>
      <c r="L88" s="80">
        <v>0.5</v>
      </c>
      <c r="M88" s="81">
        <v>0.5</v>
      </c>
      <c r="N88" s="79">
        <f>IFERROR(IF(M88/L88&gt;100%,100%,M88/L88),"-")</f>
        <v>1</v>
      </c>
      <c r="O88" s="21" t="s">
        <v>204</v>
      </c>
      <c r="P88" s="37">
        <v>2000000000</v>
      </c>
      <c r="Q88" s="37"/>
      <c r="R88" s="37"/>
      <c r="S88" s="46"/>
      <c r="T88" s="37"/>
      <c r="U88" s="82">
        <f>SUM(P88:T88)</f>
        <v>2000000000</v>
      </c>
      <c r="V88" s="37">
        <v>11562421</v>
      </c>
      <c r="W88" s="37"/>
      <c r="X88" s="37"/>
      <c r="Y88" s="40"/>
      <c r="Z88" s="37"/>
      <c r="AA88" s="82">
        <f>SUM(V88:Z88)</f>
        <v>11562421</v>
      </c>
      <c r="AB88" s="76">
        <f>IFERROR(AA88/U88,"-")</f>
        <v>5.7812104999999999E-3</v>
      </c>
      <c r="AC88" s="77"/>
      <c r="AD88" s="75" t="s">
        <v>42</v>
      </c>
      <c r="AE88" s="75" t="s">
        <v>43</v>
      </c>
    </row>
    <row r="89" spans="1:31" ht="88.95" customHeight="1" x14ac:dyDescent="0.25">
      <c r="A89" s="91">
        <v>226</v>
      </c>
      <c r="B89" s="4" t="s">
        <v>73</v>
      </c>
      <c r="C89" s="35" t="s">
        <v>74</v>
      </c>
      <c r="D89" s="73" t="s">
        <v>153</v>
      </c>
      <c r="E89" s="17" t="s">
        <v>205</v>
      </c>
      <c r="F89" s="27" t="s">
        <v>206</v>
      </c>
      <c r="G89" s="54">
        <v>20200680010119</v>
      </c>
      <c r="H89" s="18" t="s">
        <v>207</v>
      </c>
      <c r="I89" s="3" t="s">
        <v>127</v>
      </c>
      <c r="J89" s="2"/>
      <c r="K89" s="2"/>
      <c r="L89" s="134">
        <v>10000</v>
      </c>
      <c r="M89" s="132">
        <v>14530</v>
      </c>
      <c r="N89" s="120">
        <f>IFERROR(IF(M89/L89&gt;100%,100%,M89/L89),"-")</f>
        <v>1</v>
      </c>
      <c r="O89" s="21" t="s">
        <v>204</v>
      </c>
      <c r="P89" s="37">
        <v>3510214757.5799999</v>
      </c>
      <c r="Q89" s="37"/>
      <c r="R89" s="37"/>
      <c r="S89" s="46"/>
      <c r="T89" s="37"/>
      <c r="U89" s="140">
        <f>SUM(P89:T90)</f>
        <v>19307126695.139999</v>
      </c>
      <c r="V89" s="37"/>
      <c r="W89" s="37"/>
      <c r="X89" s="37"/>
      <c r="Y89" s="40"/>
      <c r="Z89" s="37"/>
      <c r="AA89" s="140">
        <f>SUM(V89:Z90)</f>
        <v>14766414723.66</v>
      </c>
      <c r="AB89" s="126">
        <f>IFERROR(AA89/U89,"-")</f>
        <v>0.76481679313665096</v>
      </c>
      <c r="AC89" s="129"/>
      <c r="AD89" s="111" t="s">
        <v>42</v>
      </c>
      <c r="AE89" s="111" t="s">
        <v>43</v>
      </c>
    </row>
    <row r="90" spans="1:31" ht="87.6" customHeight="1" x14ac:dyDescent="0.25">
      <c r="A90" s="91">
        <v>226</v>
      </c>
      <c r="B90" s="4" t="s">
        <v>73</v>
      </c>
      <c r="C90" s="35" t="s">
        <v>74</v>
      </c>
      <c r="D90" s="73" t="s">
        <v>153</v>
      </c>
      <c r="E90" s="17" t="s">
        <v>205</v>
      </c>
      <c r="F90" s="27" t="s">
        <v>206</v>
      </c>
      <c r="G90" s="54">
        <v>20200680010119</v>
      </c>
      <c r="H90" s="18" t="s">
        <v>207</v>
      </c>
      <c r="I90" s="63" t="s">
        <v>251</v>
      </c>
      <c r="J90" s="84">
        <v>44348</v>
      </c>
      <c r="K90" s="84">
        <v>44561</v>
      </c>
      <c r="L90" s="135"/>
      <c r="M90" s="133"/>
      <c r="N90" s="122"/>
      <c r="O90" s="21" t="s">
        <v>208</v>
      </c>
      <c r="P90" s="37">
        <v>15796911937.559999</v>
      </c>
      <c r="Q90" s="37"/>
      <c r="R90" s="37"/>
      <c r="S90" s="46"/>
      <c r="T90" s="9"/>
      <c r="U90" s="141"/>
      <c r="V90" s="37">
        <v>14766414723.66</v>
      </c>
      <c r="W90" s="37"/>
      <c r="X90" s="37"/>
      <c r="Y90" s="40"/>
      <c r="Z90" s="37"/>
      <c r="AA90" s="141"/>
      <c r="AB90" s="128"/>
      <c r="AC90" s="131"/>
      <c r="AD90" s="113"/>
      <c r="AE90" s="113"/>
    </row>
    <row r="91" spans="1:31" ht="102" customHeight="1" x14ac:dyDescent="0.25">
      <c r="A91" s="91">
        <v>227</v>
      </c>
      <c r="B91" s="12" t="s">
        <v>73</v>
      </c>
      <c r="C91" s="12" t="s">
        <v>74</v>
      </c>
      <c r="D91" s="29" t="s">
        <v>153</v>
      </c>
      <c r="E91" s="7" t="s">
        <v>209</v>
      </c>
      <c r="F91" s="27" t="s">
        <v>210</v>
      </c>
      <c r="G91" s="54">
        <v>20200680010119</v>
      </c>
      <c r="H91" s="18" t="s">
        <v>207</v>
      </c>
      <c r="I91" s="3" t="s">
        <v>127</v>
      </c>
      <c r="J91" s="2">
        <v>44348</v>
      </c>
      <c r="K91" s="2">
        <v>44561</v>
      </c>
      <c r="L91" s="83">
        <v>1</v>
      </c>
      <c r="M91" s="78">
        <v>0</v>
      </c>
      <c r="N91" s="79">
        <f>IFERROR(IF(M91/L91&gt;100%,100%,M91/L91),"-")</f>
        <v>0</v>
      </c>
      <c r="O91" s="21" t="s">
        <v>204</v>
      </c>
      <c r="P91" s="37">
        <v>2000000000</v>
      </c>
      <c r="Q91" s="37"/>
      <c r="R91" s="37"/>
      <c r="S91" s="46"/>
      <c r="T91" s="9"/>
      <c r="U91" s="82">
        <f>SUM(P91:T91)</f>
        <v>2000000000</v>
      </c>
      <c r="V91" s="37"/>
      <c r="W91" s="37"/>
      <c r="X91" s="37"/>
      <c r="Y91" s="40"/>
      <c r="Z91" s="37"/>
      <c r="AA91" s="82">
        <f>SUM(V91:Z91)</f>
        <v>0</v>
      </c>
      <c r="AB91" s="76">
        <f>IFERROR(AA91/U91,"-")</f>
        <v>0</v>
      </c>
      <c r="AC91" s="77"/>
      <c r="AD91" s="75" t="s">
        <v>42</v>
      </c>
      <c r="AE91" s="75" t="s">
        <v>43</v>
      </c>
    </row>
    <row r="92" spans="1:31" ht="102" customHeight="1" x14ac:dyDescent="0.25">
      <c r="A92" s="91">
        <v>228</v>
      </c>
      <c r="B92" s="12" t="s">
        <v>73</v>
      </c>
      <c r="C92" s="12" t="s">
        <v>74</v>
      </c>
      <c r="D92" s="29" t="s">
        <v>153</v>
      </c>
      <c r="E92" s="7" t="s">
        <v>211</v>
      </c>
      <c r="F92" s="27" t="s">
        <v>212</v>
      </c>
      <c r="G92" s="55"/>
      <c r="H92" s="5" t="s">
        <v>54</v>
      </c>
      <c r="I92" s="36"/>
      <c r="J92" s="2"/>
      <c r="K92" s="2"/>
      <c r="L92" s="80">
        <v>0.3</v>
      </c>
      <c r="M92" s="81">
        <v>0</v>
      </c>
      <c r="N92" s="79">
        <f>IFERROR(IF(M92/L92&gt;100%,100%,M92/L92),"-")</f>
        <v>0</v>
      </c>
      <c r="O92" s="21"/>
      <c r="P92" s="37"/>
      <c r="Q92" s="37"/>
      <c r="R92" s="37"/>
      <c r="S92" s="46"/>
      <c r="T92" s="9"/>
      <c r="U92" s="82">
        <f>SUM(P92:T92)</f>
        <v>0</v>
      </c>
      <c r="V92" s="37"/>
      <c r="W92" s="37"/>
      <c r="X92" s="37"/>
      <c r="Y92" s="40"/>
      <c r="Z92" s="37"/>
      <c r="AA92" s="82">
        <f>SUM(V92:Z92)</f>
        <v>0</v>
      </c>
      <c r="AB92" s="76" t="str">
        <f>IFERROR(AA92/U92,"-")</f>
        <v>-</v>
      </c>
      <c r="AC92" s="77"/>
      <c r="AD92" s="75" t="s">
        <v>42</v>
      </c>
      <c r="AE92" s="75" t="s">
        <v>43</v>
      </c>
    </row>
    <row r="93" spans="1:31" ht="75" x14ac:dyDescent="0.25">
      <c r="A93" s="91">
        <v>300</v>
      </c>
      <c r="B93" s="8" t="s">
        <v>213</v>
      </c>
      <c r="C93" s="8" t="s">
        <v>214</v>
      </c>
      <c r="D93" s="16" t="s">
        <v>215</v>
      </c>
      <c r="E93" s="86" t="s">
        <v>216</v>
      </c>
      <c r="F93" s="15" t="s">
        <v>217</v>
      </c>
      <c r="G93" s="48">
        <v>20200680010031</v>
      </c>
      <c r="H93" s="22" t="s">
        <v>218</v>
      </c>
      <c r="I93" s="5" t="s">
        <v>216</v>
      </c>
      <c r="J93" s="2">
        <v>44208</v>
      </c>
      <c r="K93" s="2">
        <v>44450</v>
      </c>
      <c r="L93" s="163">
        <v>1</v>
      </c>
      <c r="M93" s="164">
        <v>1</v>
      </c>
      <c r="N93" s="161">
        <f>IFERROR(IF(M93/L93&gt;100%,100%,M93/L93),"-")</f>
        <v>1</v>
      </c>
      <c r="O93" s="21" t="s">
        <v>219</v>
      </c>
      <c r="P93" s="37">
        <v>1410505863</v>
      </c>
      <c r="Q93" s="37"/>
      <c r="R93" s="37"/>
      <c r="S93" s="46"/>
      <c r="T93" s="9"/>
      <c r="U93" s="165">
        <f>SUM(P93:T98)</f>
        <v>12983033669.529999</v>
      </c>
      <c r="V93" s="37">
        <f>1361416667+3300000</f>
        <v>1364716667</v>
      </c>
      <c r="W93" s="37"/>
      <c r="X93" s="37"/>
      <c r="Y93" s="40"/>
      <c r="Z93" s="37"/>
      <c r="AA93" s="140">
        <f>SUM(V93:Z98)</f>
        <v>8579476409</v>
      </c>
      <c r="AB93" s="126">
        <f>IFERROR(AA93/U93,"-")</f>
        <v>0.6608221643247566</v>
      </c>
      <c r="AC93" s="129"/>
      <c r="AD93" s="111" t="s">
        <v>42</v>
      </c>
      <c r="AE93" s="111" t="s">
        <v>43</v>
      </c>
    </row>
    <row r="94" spans="1:31" ht="75" x14ac:dyDescent="0.25">
      <c r="A94" s="91">
        <v>300</v>
      </c>
      <c r="B94" s="8" t="s">
        <v>213</v>
      </c>
      <c r="C94" s="8" t="s">
        <v>214</v>
      </c>
      <c r="D94" s="16" t="s">
        <v>215</v>
      </c>
      <c r="E94" s="86" t="s">
        <v>216</v>
      </c>
      <c r="F94" s="15" t="s">
        <v>217</v>
      </c>
      <c r="G94" s="59">
        <v>20200680010098</v>
      </c>
      <c r="H94" s="58" t="s">
        <v>220</v>
      </c>
      <c r="I94" s="5" t="s">
        <v>221</v>
      </c>
      <c r="J94" s="2">
        <v>44208</v>
      </c>
      <c r="K94" s="2">
        <v>44450</v>
      </c>
      <c r="L94" s="163"/>
      <c r="M94" s="164"/>
      <c r="N94" s="161"/>
      <c r="O94" s="21" t="s">
        <v>219</v>
      </c>
      <c r="P94" s="37">
        <v>2163305863</v>
      </c>
      <c r="Q94" s="37"/>
      <c r="R94" s="37"/>
      <c r="S94" s="46"/>
      <c r="T94" s="9"/>
      <c r="U94" s="165"/>
      <c r="V94" s="37">
        <f>2136239196</f>
        <v>2136239196</v>
      </c>
      <c r="W94" s="37"/>
      <c r="X94" s="37"/>
      <c r="Y94" s="40"/>
      <c r="Z94" s="37"/>
      <c r="AA94" s="155"/>
      <c r="AB94" s="127"/>
      <c r="AC94" s="130"/>
      <c r="AD94" s="112"/>
      <c r="AE94" s="112"/>
    </row>
    <row r="95" spans="1:31" ht="106.8" customHeight="1" x14ac:dyDescent="0.25">
      <c r="A95" s="91">
        <v>300</v>
      </c>
      <c r="B95" s="8" t="s">
        <v>213</v>
      </c>
      <c r="C95" s="8" t="s">
        <v>214</v>
      </c>
      <c r="D95" s="16" t="s">
        <v>215</v>
      </c>
      <c r="E95" s="86" t="s">
        <v>216</v>
      </c>
      <c r="F95" s="15" t="s">
        <v>217</v>
      </c>
      <c r="G95" s="59">
        <v>20210680010031</v>
      </c>
      <c r="H95" s="58" t="s">
        <v>222</v>
      </c>
      <c r="I95" s="5"/>
      <c r="J95" s="2"/>
      <c r="K95" s="2"/>
      <c r="L95" s="163"/>
      <c r="M95" s="164"/>
      <c r="N95" s="161"/>
      <c r="O95" s="21" t="s">
        <v>223</v>
      </c>
      <c r="P95" s="37">
        <f>600000000+768000000+500000</f>
        <v>1368500000</v>
      </c>
      <c r="Q95" s="37"/>
      <c r="R95" s="37"/>
      <c r="S95" s="46"/>
      <c r="T95" s="9"/>
      <c r="U95" s="165"/>
      <c r="V95" s="37">
        <f>508377470+267250000+123750000+69600048</f>
        <v>968977518</v>
      </c>
      <c r="W95" s="37"/>
      <c r="X95" s="37"/>
      <c r="Y95" s="40"/>
      <c r="Z95" s="37"/>
      <c r="AA95" s="155"/>
      <c r="AB95" s="127"/>
      <c r="AC95" s="130"/>
      <c r="AD95" s="112"/>
      <c r="AE95" s="112"/>
    </row>
    <row r="96" spans="1:31" ht="75" x14ac:dyDescent="0.25">
      <c r="A96" s="91">
        <v>300</v>
      </c>
      <c r="B96" s="8" t="s">
        <v>213</v>
      </c>
      <c r="C96" s="8" t="s">
        <v>214</v>
      </c>
      <c r="D96" s="16" t="s">
        <v>215</v>
      </c>
      <c r="E96" s="86" t="s">
        <v>216</v>
      </c>
      <c r="F96" s="15" t="s">
        <v>217</v>
      </c>
      <c r="G96" s="59"/>
      <c r="H96" s="5" t="s">
        <v>54</v>
      </c>
      <c r="I96" s="5"/>
      <c r="J96" s="2"/>
      <c r="K96" s="2"/>
      <c r="L96" s="163"/>
      <c r="M96" s="164"/>
      <c r="N96" s="161"/>
      <c r="O96" s="21" t="s">
        <v>224</v>
      </c>
      <c r="P96" s="37">
        <f>232000000-500000</f>
        <v>231500000</v>
      </c>
      <c r="Q96" s="37"/>
      <c r="R96" s="37"/>
      <c r="S96" s="46"/>
      <c r="T96" s="9"/>
      <c r="U96" s="165"/>
      <c r="V96" s="37"/>
      <c r="W96" s="37"/>
      <c r="X96" s="37"/>
      <c r="Y96" s="40"/>
      <c r="Z96" s="37"/>
      <c r="AA96" s="155"/>
      <c r="AB96" s="127"/>
      <c r="AC96" s="130"/>
      <c r="AD96" s="112"/>
      <c r="AE96" s="112"/>
    </row>
    <row r="97" spans="1:31" ht="75" x14ac:dyDescent="0.25">
      <c r="A97" s="91">
        <v>300</v>
      </c>
      <c r="B97" s="8" t="s">
        <v>213</v>
      </c>
      <c r="C97" s="8" t="s">
        <v>214</v>
      </c>
      <c r="D97" s="16" t="s">
        <v>215</v>
      </c>
      <c r="E97" s="86" t="s">
        <v>216</v>
      </c>
      <c r="F97" s="15" t="s">
        <v>217</v>
      </c>
      <c r="G97" s="49"/>
      <c r="H97" s="3" t="s">
        <v>225</v>
      </c>
      <c r="I97" s="5"/>
      <c r="J97" s="2"/>
      <c r="K97" s="2"/>
      <c r="L97" s="163"/>
      <c r="M97" s="164"/>
      <c r="N97" s="161"/>
      <c r="O97" s="21" t="s">
        <v>226</v>
      </c>
      <c r="P97" s="37">
        <v>208691582</v>
      </c>
      <c r="Q97" s="37"/>
      <c r="R97" s="37"/>
      <c r="S97" s="46"/>
      <c r="T97" s="9"/>
      <c r="U97" s="165"/>
      <c r="V97" s="37"/>
      <c r="W97" s="37"/>
      <c r="X97" s="37"/>
      <c r="Y97" s="40"/>
      <c r="Z97" s="37"/>
      <c r="AA97" s="155"/>
      <c r="AB97" s="127"/>
      <c r="AC97" s="130"/>
      <c r="AD97" s="112"/>
      <c r="AE97" s="112"/>
    </row>
    <row r="98" spans="1:31" ht="75" x14ac:dyDescent="0.25">
      <c r="A98" s="91">
        <v>300</v>
      </c>
      <c r="B98" s="8" t="s">
        <v>213</v>
      </c>
      <c r="C98" s="8" t="s">
        <v>214</v>
      </c>
      <c r="D98" s="16" t="s">
        <v>215</v>
      </c>
      <c r="E98" s="86" t="s">
        <v>216</v>
      </c>
      <c r="F98" s="15" t="s">
        <v>217</v>
      </c>
      <c r="G98" s="48">
        <v>20210680010018</v>
      </c>
      <c r="H98" s="22" t="s">
        <v>227</v>
      </c>
      <c r="I98" s="5" t="s">
        <v>228</v>
      </c>
      <c r="J98" s="2"/>
      <c r="K98" s="2"/>
      <c r="L98" s="163"/>
      <c r="M98" s="164"/>
      <c r="N98" s="161"/>
      <c r="O98" s="21" t="s">
        <v>229</v>
      </c>
      <c r="P98" s="37">
        <f>331060322+269826314</f>
        <v>600886636</v>
      </c>
      <c r="Q98" s="37">
        <f>7269470039.53-269826314</f>
        <v>6999643725.5299997</v>
      </c>
      <c r="R98" s="37"/>
      <c r="S98" s="46"/>
      <c r="T98" s="9"/>
      <c r="U98" s="165"/>
      <c r="V98" s="37"/>
      <c r="W98" s="37">
        <v>4109543028</v>
      </c>
      <c r="X98" s="37"/>
      <c r="Y98" s="40"/>
      <c r="Z98" s="37"/>
      <c r="AA98" s="141"/>
      <c r="AB98" s="128"/>
      <c r="AC98" s="131"/>
      <c r="AD98" s="113"/>
      <c r="AE98" s="113"/>
    </row>
    <row r="99" spans="1:31" ht="69.599999999999994" customHeight="1" x14ac:dyDescent="0.25">
      <c r="A99" s="91">
        <v>12</v>
      </c>
      <c r="B99" s="8" t="s">
        <v>230</v>
      </c>
      <c r="C99" s="8" t="s">
        <v>231</v>
      </c>
      <c r="D99" s="8" t="s">
        <v>232</v>
      </c>
      <c r="E99" s="87" t="s">
        <v>233</v>
      </c>
      <c r="F99" s="15" t="s">
        <v>234</v>
      </c>
      <c r="G99" s="48">
        <v>20210680010021</v>
      </c>
      <c r="H99" s="22" t="s">
        <v>235</v>
      </c>
      <c r="I99" s="31"/>
      <c r="J99" s="31"/>
      <c r="K99" s="31"/>
      <c r="L99" s="159">
        <v>1</v>
      </c>
      <c r="M99" s="160">
        <v>1</v>
      </c>
      <c r="N99" s="161">
        <f>IFERROR(IF(M99/L99&gt;100%,100%,M99/L99),"-")</f>
        <v>1</v>
      </c>
      <c r="O99" s="21" t="s">
        <v>236</v>
      </c>
      <c r="P99" s="45"/>
      <c r="Q99" s="40"/>
      <c r="R99" s="40"/>
      <c r="S99" s="46"/>
      <c r="T99" s="37">
        <v>11035245074</v>
      </c>
      <c r="U99" s="162">
        <f>SUM(P99:T100)</f>
        <v>50000000000</v>
      </c>
      <c r="V99" s="41"/>
      <c r="W99" s="42"/>
      <c r="X99" s="42"/>
      <c r="Y99" s="40"/>
      <c r="Z99" s="42">
        <v>10699323813</v>
      </c>
      <c r="AA99" s="148">
        <f>SUM(V99:Z100)</f>
        <v>10699323813</v>
      </c>
      <c r="AB99" s="126">
        <f>IFERROR(AA99/U99,"-")</f>
        <v>0.21398647626</v>
      </c>
      <c r="AC99" s="129"/>
      <c r="AD99" s="111" t="s">
        <v>42</v>
      </c>
      <c r="AE99" s="111" t="s">
        <v>43</v>
      </c>
    </row>
    <row r="100" spans="1:31" ht="60" x14ac:dyDescent="0.25">
      <c r="A100" s="91">
        <v>12</v>
      </c>
      <c r="B100" s="8" t="s">
        <v>230</v>
      </c>
      <c r="C100" s="8" t="s">
        <v>231</v>
      </c>
      <c r="D100" s="8" t="s">
        <v>232</v>
      </c>
      <c r="E100" s="87" t="s">
        <v>233</v>
      </c>
      <c r="F100" s="15" t="s">
        <v>234</v>
      </c>
      <c r="G100" s="48"/>
      <c r="H100" s="5" t="s">
        <v>54</v>
      </c>
      <c r="I100" s="31"/>
      <c r="J100" s="6"/>
      <c r="K100" s="6"/>
      <c r="L100" s="159"/>
      <c r="M100" s="160"/>
      <c r="N100" s="161"/>
      <c r="O100" s="21" t="s">
        <v>236</v>
      </c>
      <c r="P100" s="40"/>
      <c r="Q100" s="40"/>
      <c r="R100" s="40"/>
      <c r="S100" s="46"/>
      <c r="T100" s="37">
        <f>11422892+38953332034</f>
        <v>38964754926</v>
      </c>
      <c r="U100" s="162"/>
      <c r="V100" s="41"/>
      <c r="W100" s="42"/>
      <c r="X100" s="42"/>
      <c r="Y100" s="40"/>
      <c r="Z100" s="42"/>
      <c r="AA100" s="149"/>
      <c r="AB100" s="128"/>
      <c r="AC100" s="131"/>
      <c r="AD100" s="113"/>
      <c r="AE100" s="113"/>
    </row>
    <row r="101" spans="1:31" ht="60" x14ac:dyDescent="0.25">
      <c r="A101" s="93">
        <v>70</v>
      </c>
      <c r="B101" s="3" t="s">
        <v>230</v>
      </c>
      <c r="C101" s="3" t="s">
        <v>237</v>
      </c>
      <c r="D101" s="3" t="s">
        <v>238</v>
      </c>
      <c r="E101" s="7" t="s">
        <v>239</v>
      </c>
      <c r="F101" s="4" t="s">
        <v>240</v>
      </c>
      <c r="G101" s="19"/>
      <c r="H101" s="5" t="s">
        <v>54</v>
      </c>
      <c r="I101" s="1"/>
      <c r="J101" s="2"/>
      <c r="K101" s="2"/>
      <c r="L101" s="83">
        <v>1</v>
      </c>
      <c r="M101" s="78">
        <v>0</v>
      </c>
      <c r="N101" s="79">
        <f>IFERROR(IF(M101/L101&gt;100%,100%,M101/L101),"-")</f>
        <v>0</v>
      </c>
      <c r="O101" s="21" t="s">
        <v>241</v>
      </c>
      <c r="P101" s="37"/>
      <c r="Q101" s="37">
        <v>266733201.66</v>
      </c>
      <c r="R101" s="39"/>
      <c r="S101" s="94"/>
      <c r="T101" s="39"/>
      <c r="U101" s="82">
        <f>SUM(P101:T101)</f>
        <v>266733201.66</v>
      </c>
      <c r="V101" s="37"/>
      <c r="W101" s="43"/>
      <c r="X101" s="43"/>
      <c r="Y101" s="40"/>
      <c r="Z101" s="43"/>
      <c r="AA101" s="82">
        <f>SUM(V101:Z101)</f>
        <v>0</v>
      </c>
      <c r="AB101" s="76">
        <f>IFERROR(AA101/U101,"-")</f>
        <v>0</v>
      </c>
      <c r="AC101" s="77"/>
      <c r="AD101" s="75" t="s">
        <v>242</v>
      </c>
      <c r="AE101" s="75" t="s">
        <v>43</v>
      </c>
    </row>
    <row r="102" spans="1:31" ht="85.2" customHeight="1" x14ac:dyDescent="0.25">
      <c r="A102" s="93">
        <v>147</v>
      </c>
      <c r="B102" s="4" t="s">
        <v>230</v>
      </c>
      <c r="C102" s="4" t="s">
        <v>243</v>
      </c>
      <c r="D102" s="12" t="s">
        <v>244</v>
      </c>
      <c r="E102" s="88" t="s">
        <v>245</v>
      </c>
      <c r="F102" s="107" t="s">
        <v>246</v>
      </c>
      <c r="G102" s="19"/>
      <c r="H102" s="12" t="s">
        <v>247</v>
      </c>
      <c r="I102" s="1"/>
      <c r="J102" s="2"/>
      <c r="K102" s="2"/>
      <c r="L102" s="146">
        <v>1</v>
      </c>
      <c r="M102" s="144">
        <v>0</v>
      </c>
      <c r="N102" s="142">
        <f>IFERROR(IF(M102/L102&gt;100%,100%,M102/L102),"-")</f>
        <v>0</v>
      </c>
      <c r="O102" s="23" t="s">
        <v>248</v>
      </c>
      <c r="P102" s="37"/>
      <c r="Q102" s="37"/>
      <c r="R102" s="39"/>
      <c r="S102" s="46"/>
      <c r="T102" s="37">
        <v>97314088.140000001</v>
      </c>
      <c r="U102" s="140">
        <f>SUM(P102:T103)</f>
        <v>1331864802</v>
      </c>
      <c r="V102" s="37"/>
      <c r="W102" s="43"/>
      <c r="X102" s="43"/>
      <c r="Y102" s="40"/>
      <c r="Z102" s="43"/>
      <c r="AA102" s="140">
        <f>SUM(V102:Z103)</f>
        <v>0</v>
      </c>
      <c r="AB102" s="150" t="str">
        <f>IFERROR(AA102/U103,"-")</f>
        <v>-</v>
      </c>
      <c r="AC102" s="129"/>
      <c r="AD102" s="111" t="s">
        <v>242</v>
      </c>
      <c r="AE102" s="111" t="s">
        <v>43</v>
      </c>
    </row>
    <row r="103" spans="1:31" ht="84.6" customHeight="1" x14ac:dyDescent="0.25">
      <c r="A103" s="93">
        <v>147</v>
      </c>
      <c r="B103" s="4" t="s">
        <v>230</v>
      </c>
      <c r="C103" s="4" t="s">
        <v>243</v>
      </c>
      <c r="D103" s="12" t="s">
        <v>244</v>
      </c>
      <c r="E103" s="88" t="s">
        <v>245</v>
      </c>
      <c r="F103" s="108"/>
      <c r="G103" s="50">
        <v>20210680010028</v>
      </c>
      <c r="H103" s="26" t="s">
        <v>249</v>
      </c>
      <c r="I103" s="1"/>
      <c r="J103" s="2"/>
      <c r="K103" s="2"/>
      <c r="L103" s="147"/>
      <c r="M103" s="145"/>
      <c r="N103" s="143"/>
      <c r="O103" s="23" t="s">
        <v>248</v>
      </c>
      <c r="P103" s="25"/>
      <c r="Q103" s="41"/>
      <c r="R103" s="41"/>
      <c r="S103" s="46"/>
      <c r="T103" s="25">
        <v>1234550713.8599999</v>
      </c>
      <c r="U103" s="141"/>
      <c r="V103" s="41"/>
      <c r="W103" s="44"/>
      <c r="X103" s="44"/>
      <c r="Y103" s="40"/>
      <c r="Z103" s="44"/>
      <c r="AA103" s="141"/>
      <c r="AB103" s="151"/>
      <c r="AC103" s="131"/>
      <c r="AD103" s="113"/>
      <c r="AE103" s="113"/>
    </row>
    <row r="104" spans="1:31" ht="15.6" x14ac:dyDescent="0.25">
      <c r="A104" s="93">
        <f>SUM(--(FREQUENCY(A9:A103,A9:A103)&gt;0))</f>
        <v>23</v>
      </c>
      <c r="B104" s="95"/>
      <c r="C104" s="96"/>
      <c r="D104" s="96"/>
      <c r="E104" s="96"/>
      <c r="F104" s="96"/>
      <c r="G104" s="96"/>
      <c r="H104" s="96"/>
      <c r="I104" s="96"/>
      <c r="J104" s="97"/>
      <c r="K104" s="98"/>
      <c r="L104" s="98"/>
      <c r="M104" s="99" t="s">
        <v>250</v>
      </c>
      <c r="N104" s="98">
        <f>IFERROR(AVERAGE(N9:N103),"-")</f>
        <v>0.50294921929824554</v>
      </c>
      <c r="O104" s="97"/>
      <c r="P104" s="100">
        <f>SUM(P9:P103)</f>
        <v>111206453140.30998</v>
      </c>
      <c r="Q104" s="100">
        <f t="shared" ref="Q104:AA104" si="0">SUM(Q9:Q103)</f>
        <v>8738304085.3400002</v>
      </c>
      <c r="R104" s="100">
        <f t="shared" si="0"/>
        <v>0</v>
      </c>
      <c r="S104" s="100">
        <f t="shared" si="0"/>
        <v>0</v>
      </c>
      <c r="T104" s="100">
        <f t="shared" si="0"/>
        <v>133273847942.15001</v>
      </c>
      <c r="U104" s="101">
        <f>SUM(U9:U103)</f>
        <v>253218605167.79999</v>
      </c>
      <c r="V104" s="100">
        <f t="shared" si="0"/>
        <v>57860084936.749374</v>
      </c>
      <c r="W104" s="100">
        <f t="shared" si="0"/>
        <v>4625298244</v>
      </c>
      <c r="X104" s="100">
        <f t="shared" si="0"/>
        <v>0</v>
      </c>
      <c r="Y104" s="100">
        <f t="shared" si="0"/>
        <v>0</v>
      </c>
      <c r="Z104" s="100">
        <f t="shared" si="0"/>
        <v>29956248147</v>
      </c>
      <c r="AA104" s="101">
        <f t="shared" si="0"/>
        <v>92441631327.749374</v>
      </c>
      <c r="AB104" s="102">
        <f>IFERROR(AA104/U104,"-")</f>
        <v>0.36506650554563802</v>
      </c>
      <c r="AC104" s="101">
        <f>SUM(AC9:AC103)</f>
        <v>36935174017</v>
      </c>
      <c r="AD104" s="97"/>
      <c r="AE104" s="97"/>
    </row>
    <row r="106" spans="1:31" ht="15.6" x14ac:dyDescent="0.25">
      <c r="P106" s="103"/>
      <c r="T106" s="104"/>
      <c r="U106" s="69"/>
      <c r="AA106" s="69"/>
      <c r="AB106" s="70"/>
    </row>
    <row r="107" spans="1:31" ht="15.6" x14ac:dyDescent="0.25">
      <c r="P107" s="103"/>
      <c r="AA107" s="69"/>
    </row>
    <row r="108" spans="1:31" x14ac:dyDescent="0.25">
      <c r="P108" s="105"/>
      <c r="V108" s="105"/>
      <c r="AA108" s="103"/>
    </row>
    <row r="109" spans="1:31" ht="15.6" x14ac:dyDescent="0.25">
      <c r="U109" s="69"/>
      <c r="AA109" s="69"/>
    </row>
    <row r="111" spans="1:31" x14ac:dyDescent="0.25">
      <c r="U111" s="103"/>
      <c r="AA111" s="106"/>
    </row>
  </sheetData>
  <autoFilter ref="F8:H104" xr:uid="{00000000-0001-0000-0000-000000000000}"/>
  <mergeCells count="146">
    <mergeCell ref="AC7:AC8"/>
    <mergeCell ref="AD7:AE7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L11:L13"/>
    <mergeCell ref="M11:M13"/>
    <mergeCell ref="N11:N13"/>
    <mergeCell ref="U11:U13"/>
    <mergeCell ref="L60:L84"/>
    <mergeCell ref="M60:M84"/>
    <mergeCell ref="N60:N84"/>
    <mergeCell ref="U60:U84"/>
    <mergeCell ref="AA60:AA84"/>
    <mergeCell ref="L51:L55"/>
    <mergeCell ref="M51:M55"/>
    <mergeCell ref="N51:N55"/>
    <mergeCell ref="U51:U55"/>
    <mergeCell ref="AA51:AA55"/>
    <mergeCell ref="L56:L57"/>
    <mergeCell ref="M56:M57"/>
    <mergeCell ref="N56:N57"/>
    <mergeCell ref="U56:U57"/>
    <mergeCell ref="L19:L22"/>
    <mergeCell ref="M19:M22"/>
    <mergeCell ref="N19:N22"/>
    <mergeCell ref="U19:U22"/>
    <mergeCell ref="N14:N15"/>
    <mergeCell ref="M14:M15"/>
    <mergeCell ref="L14:L15"/>
    <mergeCell ref="U14:U15"/>
    <mergeCell ref="AA14:AA15"/>
    <mergeCell ref="N89:N90"/>
    <mergeCell ref="M89:M90"/>
    <mergeCell ref="L89:L90"/>
    <mergeCell ref="U89:U90"/>
    <mergeCell ref="AA89:AA90"/>
    <mergeCell ref="AB89:AB90"/>
    <mergeCell ref="AC89:AC90"/>
    <mergeCell ref="L23:L48"/>
    <mergeCell ref="M23:M48"/>
    <mergeCell ref="N23:N48"/>
    <mergeCell ref="U23:U48"/>
    <mergeCell ref="AA23:AA48"/>
    <mergeCell ref="AB60:AB84"/>
    <mergeCell ref="AC60:AC84"/>
    <mergeCell ref="AB51:AB55"/>
    <mergeCell ref="AC51:AC55"/>
    <mergeCell ref="AA93:AA98"/>
    <mergeCell ref="AB93:AB98"/>
    <mergeCell ref="AC93:AC98"/>
    <mergeCell ref="L99:L100"/>
    <mergeCell ref="M99:M100"/>
    <mergeCell ref="N99:N100"/>
    <mergeCell ref="U99:U100"/>
    <mergeCell ref="AB99:AB100"/>
    <mergeCell ref="AC99:AC100"/>
    <mergeCell ref="L93:L98"/>
    <mergeCell ref="M93:M98"/>
    <mergeCell ref="N93:N98"/>
    <mergeCell ref="U93:U98"/>
    <mergeCell ref="AE11:AE13"/>
    <mergeCell ref="AD11:AD13"/>
    <mergeCell ref="AB14:AB15"/>
    <mergeCell ref="AC14:AC15"/>
    <mergeCell ref="AD14:AD15"/>
    <mergeCell ref="AE14:AE15"/>
    <mergeCell ref="AA56:AA57"/>
    <mergeCell ref="AB56:AB57"/>
    <mergeCell ref="AC56:AC57"/>
    <mergeCell ref="AD56:AD57"/>
    <mergeCell ref="AE56:AE57"/>
    <mergeCell ref="AA19:AA22"/>
    <mergeCell ref="AB19:AB22"/>
    <mergeCell ref="AC19:AC22"/>
    <mergeCell ref="AA11:AA13"/>
    <mergeCell ref="AB11:AB13"/>
    <mergeCell ref="AC11:AC13"/>
    <mergeCell ref="AB23:AB48"/>
    <mergeCell ref="AC23:AC48"/>
    <mergeCell ref="AB17:AB18"/>
    <mergeCell ref="AC17:AC18"/>
    <mergeCell ref="AD17:AD18"/>
    <mergeCell ref="AE17:AE18"/>
    <mergeCell ref="AD19:AD22"/>
    <mergeCell ref="AE19:AE22"/>
    <mergeCell ref="N17:N18"/>
    <mergeCell ref="L17:L18"/>
    <mergeCell ref="M17:M18"/>
    <mergeCell ref="U17:U18"/>
    <mergeCell ref="AA17:AA18"/>
    <mergeCell ref="AD23:AD48"/>
    <mergeCell ref="AE23:AE48"/>
    <mergeCell ref="N102:N103"/>
    <mergeCell ref="M102:M103"/>
    <mergeCell ref="L102:L103"/>
    <mergeCell ref="AD89:AD90"/>
    <mergeCell ref="AE89:AE90"/>
    <mergeCell ref="AD93:AD98"/>
    <mergeCell ref="AE93:AE98"/>
    <mergeCell ref="U102:U103"/>
    <mergeCell ref="AA102:AA103"/>
    <mergeCell ref="AA99:AA100"/>
    <mergeCell ref="AD99:AD100"/>
    <mergeCell ref="AE99:AE100"/>
    <mergeCell ref="AB102:AB103"/>
    <mergeCell ref="AC102:AC103"/>
    <mergeCell ref="AE102:AE103"/>
    <mergeCell ref="AD102:AD103"/>
    <mergeCell ref="F102:F103"/>
    <mergeCell ref="E56:E57"/>
    <mergeCell ref="AD51:AD55"/>
    <mergeCell ref="AE51:AE55"/>
    <mergeCell ref="AD60:AD84"/>
    <mergeCell ref="AE60:AE84"/>
    <mergeCell ref="L85:L87"/>
    <mergeCell ref="M85:M87"/>
    <mergeCell ref="N85:N87"/>
    <mergeCell ref="U85:U87"/>
    <mergeCell ref="AA85:AA87"/>
    <mergeCell ref="AB85:AB87"/>
    <mergeCell ref="AC85:AC87"/>
    <mergeCell ref="AD85:AD87"/>
    <mergeCell ref="AE85:AE87"/>
    <mergeCell ref="N58:N59"/>
    <mergeCell ref="M58:M59"/>
    <mergeCell ref="L58:L59"/>
    <mergeCell ref="U58:U59"/>
    <mergeCell ref="AA58:AA59"/>
    <mergeCell ref="AB58:AB59"/>
    <mergeCell ref="AC58:AC59"/>
    <mergeCell ref="AD58:AD59"/>
    <mergeCell ref="AE58:AE59"/>
  </mergeCells>
  <phoneticPr fontId="13" type="noConversion"/>
  <conditionalFormatting sqref="N23:N24 N14 N9:N12 N56 N49:N52 N58 N19:N20 N16:N17 N91:N93 N85 N88:N89 N60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61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99 N101">
    <cfRule type="cellIs" dxfId="5" priority="4" operator="between">
      <formula>0.67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102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orientation="portrait" r:id="rId1"/>
  <ignoredErrors>
    <ignoredError sqref="AB10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CD13F-065B-422F-A567-6DD2013FAB7F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ac37a0c-0a8f-4d7e-a10a-8470f4d2869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2021-11-03T20:47:30Z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