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1 - Plan de Acción\09 - Septiembre\Publicados\"/>
    </mc:Choice>
  </mc:AlternateContent>
  <xr:revisionPtr revIDLastSave="0" documentId="13_ncr:1_{4664B819-6DE4-48A0-8D06-ACCBB4DDE43A}" xr6:coauthVersionLast="47" xr6:coauthVersionMax="47" xr10:uidLastSave="{00000000-0000-0000-0000-000000000000}"/>
  <bookViews>
    <workbookView xWindow="-108" yWindow="-108" windowWidth="23256" windowHeight="12456" xr2:uid="{00000000-000D-0000-FFFF-FFFF00000000}"/>
  </bookViews>
  <sheets>
    <sheet name="Plan de Acción" sheetId="14" r:id="rId1"/>
  </sheets>
  <definedNames>
    <definedName name="_xlnm._FilterDatabase" localSheetId="0" hidden="1">'Plan de Acción'!$A$8:$AE$64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A24" i="14" l="1"/>
  <c r="U22" i="14"/>
  <c r="AA22" i="14"/>
  <c r="AA15" i="14"/>
  <c r="U12" i="14"/>
  <c r="AA12" i="14"/>
  <c r="AA10" i="14"/>
  <c r="AA9" i="14"/>
  <c r="U9" i="14"/>
  <c r="AA20" i="14"/>
  <c r="A64" i="14"/>
  <c r="W13" i="14" l="1"/>
  <c r="Q13" i="14"/>
  <c r="P41" i="14" l="1"/>
  <c r="P36" i="14" l="1"/>
  <c r="Q10" i="14" l="1"/>
  <c r="V53" i="14" l="1"/>
  <c r="U52" i="14"/>
  <c r="U51" i="14"/>
  <c r="U48" i="14"/>
  <c r="U47" i="14"/>
  <c r="U42" i="14"/>
  <c r="U26" i="14"/>
  <c r="U25" i="14"/>
  <c r="U20" i="14"/>
  <c r="Q45" i="14"/>
  <c r="P24" i="14"/>
  <c r="U24" i="14" s="1"/>
  <c r="Q34" i="14" l="1"/>
  <c r="AA13" i="14"/>
  <c r="U13" i="14"/>
  <c r="AA62" i="14" l="1"/>
  <c r="P39" i="14"/>
  <c r="Q37" i="14" l="1"/>
  <c r="Q41" i="14"/>
  <c r="U36" i="14" l="1"/>
  <c r="AA48" i="14"/>
  <c r="AA57" i="14" l="1"/>
  <c r="AA53" i="14"/>
  <c r="AA52" i="14"/>
  <c r="AA51" i="14"/>
  <c r="AA50" i="14"/>
  <c r="AA47" i="14"/>
  <c r="AA46" i="14"/>
  <c r="AA44" i="14"/>
  <c r="AA43" i="14"/>
  <c r="AA42" i="14"/>
  <c r="AA36" i="14"/>
  <c r="AA35" i="14"/>
  <c r="AA32" i="14"/>
  <c r="AA26" i="14"/>
  <c r="AA25" i="14"/>
  <c r="AC64" i="14"/>
  <c r="R64" i="14"/>
  <c r="S64" i="14"/>
  <c r="T64" i="14"/>
  <c r="X64" i="14"/>
  <c r="Y64" i="14"/>
  <c r="Z64" i="14"/>
  <c r="U62" i="14"/>
  <c r="U57" i="14"/>
  <c r="U50" i="14"/>
  <c r="U46" i="14"/>
  <c r="U43" i="14"/>
  <c r="U35" i="14"/>
  <c r="N62" i="14"/>
  <c r="P61" i="14"/>
  <c r="W60" i="14"/>
  <c r="W64" i="14" s="1"/>
  <c r="V60" i="14"/>
  <c r="Q60" i="14"/>
  <c r="V59" i="14"/>
  <c r="P59" i="14"/>
  <c r="N58" i="14"/>
  <c r="N57" i="14"/>
  <c r="V55" i="14"/>
  <c r="AA55" i="14" s="1"/>
  <c r="P55" i="14"/>
  <c r="U55" i="14" s="1"/>
  <c r="N55" i="14"/>
  <c r="P54" i="14"/>
  <c r="U53" i="14" s="1"/>
  <c r="N53" i="14"/>
  <c r="N52" i="14"/>
  <c r="N51" i="14"/>
  <c r="N50" i="14"/>
  <c r="N48" i="14"/>
  <c r="N47" i="14"/>
  <c r="N46" i="14"/>
  <c r="P45" i="14"/>
  <c r="U44" i="14" s="1"/>
  <c r="N44" i="14"/>
  <c r="N43" i="14"/>
  <c r="N42" i="14"/>
  <c r="N36" i="14"/>
  <c r="N35" i="14"/>
  <c r="Q32" i="14"/>
  <c r="U32" i="14" s="1"/>
  <c r="N32" i="14"/>
  <c r="Q31" i="14"/>
  <c r="V30" i="14"/>
  <c r="P30" i="14"/>
  <c r="V29" i="14"/>
  <c r="P29" i="14"/>
  <c r="N27" i="14"/>
  <c r="N26" i="14"/>
  <c r="N25" i="14"/>
  <c r="N24" i="14"/>
  <c r="N22" i="14"/>
  <c r="N20" i="14"/>
  <c r="Q15" i="14"/>
  <c r="U15" i="14" s="1"/>
  <c r="N15" i="14"/>
  <c r="N13" i="14"/>
  <c r="N12" i="14"/>
  <c r="Q11" i="14"/>
  <c r="U10" i="14" s="1"/>
  <c r="N10" i="14"/>
  <c r="N9" i="14"/>
  <c r="N64" i="14" s="1"/>
  <c r="U27" i="14" l="1"/>
  <c r="U58" i="14"/>
  <c r="AA27" i="14"/>
  <c r="AB32" i="14"/>
  <c r="AA58" i="14"/>
  <c r="Q64" i="14"/>
  <c r="AB36" i="14"/>
  <c r="AB46" i="14"/>
  <c r="P64" i="14"/>
  <c r="V64" i="14"/>
  <c r="AB10" i="14"/>
  <c r="AB12" i="14"/>
  <c r="AB22" i="14"/>
  <c r="AB50" i="14"/>
  <c r="AB25" i="14"/>
  <c r="AB35" i="14"/>
  <c r="AB48" i="14"/>
  <c r="AB57" i="14"/>
  <c r="AB53" i="14"/>
  <c r="AB43" i="14"/>
  <c r="AB24" i="14"/>
  <c r="AB47" i="14"/>
  <c r="AB51" i="14"/>
  <c r="AB15" i="14"/>
  <c r="AB26" i="14"/>
  <c r="AB44" i="14"/>
  <c r="AB55" i="14"/>
  <c r="AB42" i="14"/>
  <c r="AB20" i="14"/>
  <c r="AB13" i="14"/>
  <c r="AB52" i="14"/>
  <c r="AB62" i="14"/>
  <c r="AB9" i="14"/>
  <c r="AB27" i="14" l="1"/>
  <c r="AA64" i="14"/>
  <c r="AB58" i="14"/>
  <c r="U64" i="14"/>
  <c r="AB64" i="14" l="1"/>
</calcChain>
</file>

<file path=xl/sharedStrings.xml><?xml version="1.0" encoding="utf-8"?>
<sst xmlns="http://schemas.openxmlformats.org/spreadsheetml/2006/main" count="531" uniqueCount="216">
  <si>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</si>
  <si>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</si>
  <si>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</si>
  <si>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</si>
  <si>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</si>
  <si>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</si>
  <si>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</si>
  <si>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</si>
  <si>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</si>
  <si>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</si>
  <si>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</si>
  <si>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</si>
  <si>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</si>
  <si>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</si>
  <si>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</si>
  <si>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</si>
  <si>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</si>
  <si>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</si>
  <si>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</si>
  <si>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</si>
  <si>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</si>
  <si>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</si>
  <si>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</si>
  <si>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</si>
  <si>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</si>
  <si>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</si>
  <si>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</si>
  <si>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</si>
  <si>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</si>
  <si>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</si>
  <si>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</si>
  <si>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</si>
  <si>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</si>
  <si>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</si>
  <si>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</si>
  <si>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</si>
  <si>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</si>
  <si>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</si>
  <si>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</si>
  <si>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</si>
  <si>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</si>
  <si>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</si>
  <si>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</si>
  <si>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</si>
  <si>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N/A</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</si>
  <si>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</si>
  <si>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</si>
  <si>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</si>
  <si>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</si>
  <si>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Pendiente Por Definir</t>
  </si>
  <si>
    <t>2.3.2.02.02.006.2201079.201
2.3.2.02.02.006.2201079.217
2.3.2.02.02.006.2201079.214
2.3.2.02.02.006.2201079.266</t>
  </si>
  <si>
    <t xml:space="preserve">FORTALECIMIENTO DEL PROGRAMA DE ALIMENTACIÓN ESCOLAR-PAE EN EL MUNICIPIO DE BUCARAMANGA  </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</si>
  <si>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</si>
  <si>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
2.3.2.02.02.006.2201079.517
2.3.2.02.02.006.2201079.514
2.3.2.02.02.006.2201079.595</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</si>
  <si>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</si>
  <si>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</si>
  <si>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 xml:space="preserve">2.3.2.02.02.006.2201079.217
</t>
  </si>
  <si>
    <t>Mantener 3.335 jovenes y adultos con modelos flexibles.</t>
  </si>
  <si>
    <t>Número de jóvenes y adultos mantenidos con modelos flexibles.</t>
  </si>
  <si>
    <r>
      <t xml:space="preserve">•Brindar el servicio educativo a través de modelos educativos flexibles en las IEO del municipio
</t>
    </r>
    <r>
      <rPr>
        <sz val="12"/>
        <rFont val="Arial"/>
        <family val="2"/>
      </rPr>
      <t>(Avance de Actividades con Gestión de la  Secretaría de Educación)</t>
    </r>
  </si>
  <si>
    <t>Entregar dotación de material didáctico y/o mobiliario escolar a 35 establecimientos educativos oficiales.</t>
  </si>
  <si>
    <t>Número de establecimientos educativos oficiales dotados con material didáctico y/o mobiliario escolar.</t>
  </si>
  <si>
    <t>FORTALECIMIENTO EN LA OPERATIVIDAD DE LAS INSTITUCIONES EDUCATIVAS OFICIALES CON RECURSOS DE CALIDAD GRATUIDAD EDUCATIVA EN EL MUNICIPIO DE BUCARAMANGA</t>
  </si>
  <si>
    <t>•Garantizar el  acceso y permanencia de los estudiantes de las IEO  en el sistema educativo por medio de la gestion  de los recursos de Calidad Gratuidad Educativa.</t>
  </si>
  <si>
    <t>2.3.2.02.02.009.2201061.207</t>
  </si>
  <si>
    <t>CONSTRUCCIÓN, REMODELACION, REPOTENCIACION Y/O ADECUACIÓN DE INFRAESTRUCTURA EDUCATIVA (II)</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</si>
  <si>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</si>
  <si>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</si>
  <si>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</si>
  <si>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•Disponer de apoyos pedagógicos para fortalecer la permanencia y formación de los estudiantes con discapacidad y/o talentos excepcionales matriculados en el sistema escolar de Bucaramanga</t>
  </si>
  <si>
    <t xml:space="preserve">2.3.2.02.02.009.4599031.201
2.3.2.02.02.009.2203018.205
</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</si>
  <si>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</si>
  <si>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</si>
  <si>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2.3.2.02.02.009.2203018.205
2.3.2.02.02.009.2203018.277</t>
  </si>
  <si>
    <t>Mantener en funcionamiento 4 ludotecas.</t>
  </si>
  <si>
    <t>Número de Ludotecas mantenidas en funcionamiento.</t>
  </si>
  <si>
    <t>FORTALECIMIENTO DE LAS LUDOTECAS PARA EL DESARROLLO INTEGRAL DE LA NIÑEZ EN EL MUNICIPIO DE BUCARAMANGA</t>
  </si>
  <si>
    <t>Mantener en funcionamiento 4 ludotecas :
• Centro Cultural del Oriente 
•Kennedy – Centro Vida Norte
•Estación del Ferrocarril Café Madrid 
•Parque Metropolitano Bosque Encantado (La Ceiba)</t>
  </si>
  <si>
    <t>2.3.2.02.02.005.2202050.201
2.3.2.02.02.005.2202051.201</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</si>
  <si>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</si>
  <si>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</si>
  <si>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</si>
  <si>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•Prestar el servicio de transporte escolar terrestre a los niños, niñas, adolescentes y jóvenes  de bajos recursos de las IEO del municipio</t>
  </si>
  <si>
    <t>2.3.2.02.02.006.2201029.201</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</si>
  <si>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</si>
  <si>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</si>
  <si>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</si>
  <si>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•Disponer de la prestación oportuna del servicio educativo a escolares en el municipio (sistema de administración y/o concesiones)</t>
  </si>
  <si>
    <t xml:space="preserve">2.3.2.02.02.009.2201071.201
2.3.2.02.02.009.2201071.205
</t>
  </si>
  <si>
    <t>Realizar mantenimiento a 40 establecimientos educativos oficiales.</t>
  </si>
  <si>
    <t>Número de establecimientos educativos oficiales con reparaciones locativas realizadas.</t>
  </si>
  <si>
    <t>ACTUALIZACIÓN PARA EL PAGO DE VIGENCIAS EXPIRADAS DE LA SECRETARÍA DE EDUCACIÓN DEL MUNICIPIO DE BUCARAMANGA</t>
  </si>
  <si>
    <t xml:space="preserve">•Realizar pago vigencias expiradas del contrato 313 de 2019
•Realizar pago de vigencias expiradas del adicional No 2 en valor y plazo del contrato 242 de 2018 </t>
  </si>
  <si>
    <t>2.3.7.06.02.4599002.601</t>
  </si>
  <si>
    <t>COMPROMISO PARA EL PAGO DE VIGENCIAS EXPIRADAS DE LA SECRETARÍA DE EDUCACIÓN DEL MUNICIPIO DE   BUCARAMANGA</t>
  </si>
  <si>
    <t>•Realizar pago vigencias expiradas del contrato 291 de 2018
•Realizar pago de vigencias expiradas del adicional No 4 en valor y plazo del contrato 242 de 2018
•Realizar pago de vigencias expiradas del adicional en valor y plazo No 5 del contrato 252 de 2018</t>
  </si>
  <si>
    <t>2.3.2.02.02.005.2201052.594</t>
  </si>
  <si>
    <t xml:space="preserve">2.3.2.02.02.009.2201061.207
2.3.7.06.02.4599002.601
</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</si>
  <si>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</si>
  <si>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</si>
  <si>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</si>
  <si>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2.3.2.02.02.005.2201052.201
2.3.2.02.02.005.2201052.506
2.3.2.02.02.005.2201052.594
2.3.2.02.02.005.2201052.213</t>
  </si>
  <si>
    <t>2.3.2.02.02.005.2201052.213</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</si>
  <si>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</si>
  <si>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</si>
  <si>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</si>
  <si>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 xml:space="preserve">•Desarrollar estrategias pedagógicas que permitan planear, desarrollar y evaluar el currículo en el establecimiento Educativo, para la  mejora de  la calidad del proceso de enseñanza y el desarrollo integral de los estudiantes.  </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</si>
  <si>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</si>
  <si>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</si>
  <si>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</si>
  <si>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</si>
  <si>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ADMINISTRACIÓN DE LA PLANTA DE PERSONAL DOCENTE. DIRECTIVO DOCENTE. ADMINISTRATIVA DE LAS INSTITUCIONES EDUCATIVAS OFICIALES Y SECRETARÍA DE EDUCACIÓN DEL MUNICIPIO DE BUCARAMANGA</t>
  </si>
  <si>
    <t>•Fortalecer las 47 instituciones educativas oficiales con planta de personal docente. directivo docente y administrativa.</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</si>
  <si>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</si>
  <si>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</si>
  <si>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ADECUACIÓN DE BATERÍAS SANITARIAS Y ADQUISICIÓN DE SEÑALÉTICA PARA EL REGRESO A LA PRESENCIALIDAD DE LOS ESTUDIANTES DE LAS INSTITUCIONES EDUCATIVAS OFICIALES DEL MUNICIPIO DE BUCARAMANGA</t>
  </si>
  <si>
    <t>•Suministrar elementos de señalética necesaria para la marcación de la desinfección de manos, distanciamiento físico, flecha y pendones de las 4 instituciones educativas de la zona rural y la adecuación de baterías sanitarias en 39 IEO a través del suministro de elementos y mano de obra.</t>
  </si>
  <si>
    <t>2.3.2.02.02.009.2201069.293</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</si>
  <si>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</si>
  <si>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</si>
  <si>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</si>
  <si>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 xml:space="preserve">2.3.2.02.02.009.2201060.206
2.3.2.02.02.009.2201060.201
</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</si>
  <si>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</si>
  <si>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</si>
  <si>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</si>
  <si>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</si>
  <si>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•Fortalecer y desarrollar conocimientos, habilidades, aptitudes y actitudes de los docentes de las IEO mediante la formación en evaluación por competencias para el mejoramiento de sus estrategias pedagógicas.</t>
  </si>
  <si>
    <t>2.3.2.02.02.009.2201074.506</t>
  </si>
  <si>
    <t>Pendiente por definir</t>
  </si>
  <si>
    <t>2.3.2.02.02.009.4599031.583 
2.3.2.02.02.009.4599031.283</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</si>
  <si>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</si>
  <si>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</si>
  <si>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 xml:space="preserve">•Desarrollar estrategias pedagógicas que permitan planear, desarrollar y evaluar el currículo en los  establecimientos Educativos Rurales, para la  mejora de  la calidad del proceso de enseñanza y el desarrollo integral de los estudiantes.  </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</si>
  <si>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</si>
  <si>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</si>
  <si>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</si>
  <si>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 xml:space="preserve">• Disponer de los servicios de capacitación y seguimiento a las experiencias educativas de las instituciones educativas participantes del foro educativo municipal.
</t>
  </si>
  <si>
    <t>2.3.2.02.02.009.2201074.206</t>
  </si>
  <si>
    <t>Mantener el 100% de los macroprocesos de la Secretaría de Educación.</t>
  </si>
  <si>
    <t>Porcentaje de macroprocesos de la Secretaría de Educación mantenidos.</t>
  </si>
  <si>
    <t>MEJORAMIENTO DE LOS MACROPROCESOS DE LA SECRETARÍA DE EDUCACIÓN DEL MUNICIPIO DE BUCARAMANGA</t>
  </si>
  <si>
    <t>• Mantener y fortalecer el 100% de los Macroprocesos de la Secretaría de Educación</t>
  </si>
  <si>
    <t>2.3.2.02.02.008.4599031.201</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</si>
  <si>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</si>
  <si>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</si>
  <si>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</si>
  <si>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•Desarrollar programas de bienestar laboral (formación integral e incentivos) que fomenten la excelencia en el desempeño del personal directivo docente, docente y administrativo de las IEO</t>
  </si>
  <si>
    <t>2.3.2.02.02.009.2201049.201</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</si>
  <si>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</si>
  <si>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</si>
  <si>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</si>
  <si>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•Disponer de la cobertura del servicio de riesgos laborales  para los estudiantes de grado 10 y 11  que se encuentran en práctica académica de las IE del municipio.</t>
  </si>
  <si>
    <t>2.3.2.02.02.009.2201043.201</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</si>
  <si>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</si>
  <si>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</si>
  <si>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</si>
  <si>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</si>
  <si>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</si>
  <si>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</si>
  <si>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•Otorgar nuevos subsidios con enfoque diferencial para  el  acceso  a  la educaciónsuperior  del  nivel técnico, tecnológico y  profesional.</t>
  </si>
  <si>
    <t xml:space="preserve">2.3.2.02.02.009.2202009.224
2.3.2.02.02.009.2202009.201 
2.3.2.02.02.009.2202009.290
2.3.2.02.02.009.2202009.523
</t>
  </si>
  <si>
    <t>2.3.2.02.02.009.2202009.523
2.3.2.02.02.009.2202009.290</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</si>
  <si>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</si>
  <si>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</si>
  <si>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 xml:space="preserve">20200680010099
</t>
  </si>
  <si>
    <t>•Mantener el 100% de los subsidios para el acceso a la educación superior del nivel técnico. profesional. tecnológico y profesional.</t>
  </si>
  <si>
    <t>2.3.2.02.02.009.2202009.224
2.3.2.02.02.009.2202009.201
2.3.2.02.02.009.2202009.290
2.3.7.06.02.4599002.623</t>
  </si>
  <si>
    <t>APOYO PARA EL ACCESO Y PERMANENCIA EN UN PROGRAMA DE PREGRADO PARA EL MEJOR ESTUDIANTE EN LAS PRUEBAS SABER 11 Y EGRESADO DE LAS IEO DEL MUNICIPIO DE BUCARAMANGA</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</si>
  <si>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</si>
  <si>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2.3.2.02.02.009.2202009.201</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</si>
  <si>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</si>
  <si>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</si>
  <si>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BENEFICIAR 1.000 PERSONAS A TRAVÉS DE UN PROGRAMA DE EDUCACIÓN VIRTUAL POS SECUNDARIA QUE PROPORCIONE CONOCIMIENTOS, COMPETENCIAS Y HABILIDADES PARA EL EMPLEO Y EL EMPRENDIMIENTO DE ACUERDO AL PERFIL PRODUCTIVO DE LA REGIÓN (II)</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</si>
  <si>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</si>
  <si>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</si>
  <si>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</si>
  <si>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</si>
  <si>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</si>
  <si>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 Disponer de la dotación de equipos tecnológicos (incluidas licencias y programas preinstalados) para las sedes educativas oficiales del municipio.</t>
  </si>
  <si>
    <t xml:space="preserve">2.3.2.02.01.004.2201070.289 
2.3.2.02.01.004.2201070.201 </t>
  </si>
  <si>
    <t>•Realizar pago de vigencias expiradas del contrato 360 de 2019</t>
  </si>
  <si>
    <t>2.3.7.06.02.4599002.688
2.3.7.06.02.4599002.601</t>
  </si>
  <si>
    <t>2.3.2.02.02.005.2201052.593
2.3.2.02.02.005.2201052.594</t>
  </si>
  <si>
    <t>2.3.2.02.01.004.2201070.201</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</si>
  <si>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</si>
  <si>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</si>
  <si>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</si>
  <si>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•Contar con el servicio de conectividad a internet en las Instituciones Educativas Oficiales del municipio</t>
  </si>
  <si>
    <t>2.3.2.02.02.008.2201050.205</t>
  </si>
  <si>
    <t xml:space="preserve"> PLAN DE ACCIÓN - PLAN DE DESARROLLO MUNICIPAL
SECRETARÍA DE EDUCACIÓN</t>
  </si>
  <si>
    <t>•Desarrollar programas especiales de refuerzo para el aprendizaje de una segunda lengua en los estudiantes de las IEO.</t>
  </si>
  <si>
    <t>•Disponer del servicio de Capacitación a docentes en el manejo de una segunda lengua, para la mejora de sus competencias lingüísticas.</t>
  </si>
  <si>
    <t>2.3.2.02.02.009.2201077.205
2.3.2.02.02.009.2201030.206</t>
  </si>
  <si>
    <t>2.3.2.02.01.004.2201070.201
2.3.2.02.02.005.2201069.506
2.3.2.02.02.009.2201061.207
2.3.2.02.02.005.2201069.265</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</si>
  <si>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2.3.1.01.03.001.02.2201071.205
2.3.1.01.03.001.03.2201071.205
2.3.1.01.03.009.2201071.205
2.3.1.01.01.001.02.2201071.205
2.3.1.01.01.001.04.2201071.205
2.3.1.01.01.001.05.2201071.205
2.3.2.02.01.002.2201071.205
2.3.2.02.02.009.2201071.205
2.3.2.02.02.006.2201071.205
2.3.1.01.01.001.01.2201071.505
2.3.1.01.01.001.01.2201071.277</t>
  </si>
  <si>
    <t>2.3.2.02.02.007.2201071.201 
2.3.2.02.02.008.2201071.201
2.3.2.02.02.006.2201071.206
2.3.2.02.02.006.2201071.213
2.3.2.02.02.008.2201071.213
2.3.2.02.02.008.2201071.293
2.3.2.02.02.009.2201069.293
2.3.2.02.02.008.2201071.501</t>
  </si>
  <si>
    <t>2.3.2.02.02.009.2201061.293 
2.3.2.02.02.009.2201069.293</t>
  </si>
  <si>
    <t>FORTALECIMIENTO DE LOS MODELOS EDUCATIVOS FLEXIBLES EN LAS INSTITUCIONES EDUCATIVAS OFICIALES DEL MUNICIPIO DE BUCARAMANGA</t>
  </si>
  <si>
    <t>2.3.2.02.02.009.2201030.206</t>
  </si>
  <si>
    <t>DOTACIÓN DE MATERIAL DIDÁCTICO Y PEDAGÓGICO PARA LA INCLUSIÓN DE LA POBLACIÓN CON DISCAPACIDAD DE LAS INSTITUCIONES EDUCATIVAS OFICIALES DEL MUNICIPIO DE BUCARAMANGA</t>
  </si>
  <si>
    <t>31/12/201</t>
  </si>
  <si>
    <t>•Dotar de materiales didácticos pertinentes que impacten de manera considerable la implementación de la propuesta pedagógica DUA.</t>
  </si>
  <si>
    <t>2.3.2.02.02.005.2201069.289
2.3.2.02.02.005.2201069.213</t>
  </si>
  <si>
    <t>2.3.2.02.02.009.4599031.201</t>
  </si>
  <si>
    <t>2.3.2.02.02.009.2203018.205</t>
  </si>
  <si>
    <t>FORTALECIMIENTO DEL PROCESO DE EVALUACIÓN POR COMPETENCIAS EN LAS INSTITUCIONES EDUCATIVAS OFICIALES DEL MUNICIPIO DE BUCARAMANGA</t>
  </si>
  <si>
    <t xml:space="preserve">2.3.2.02.02.009.2202050.201
2.3.2.02.02.009.2202016.201
</t>
  </si>
  <si>
    <t>DESARROLLO DE ACCIONES PARA LA IDENTIFICACIÓN Y PREVENCIÓN DE CASOS DE NIÑOS, NIÑAS Y ADOLESCENTES VINCULADOS A DELITOS Y CONTRAVENCIONES DENTRO Y FUERA DE LAS INSTITUCIONES EDUCATIVAS DEL MUNICIPIO DE BUCARAMANGA.</t>
  </si>
  <si>
    <t>2.3.2.02.02.009.4501046.201</t>
  </si>
  <si>
    <t>2.3.2.02.02.009.2201052.293
2.3.2.02.02.009.2201069.293
2.3.2.02.02.009.2201069.592
2.3.2.02.02.009.2201061.207
2.3.1.01.01.001.01.2201071.205</t>
  </si>
  <si>
    <t>2.3.2.02.02.009.2201077.205</t>
  </si>
  <si>
    <t xml:space="preserve">•Brindar el servicio educativo a través de modelos educativos flexibles en las IEO del municipio 
•Realizar la dotación de material pedagógico
</t>
  </si>
  <si>
    <t xml:space="preserve">2.3.2.02.02.005.2201052.289
2.3.2.02.02.005.2201052.206
</t>
  </si>
  <si>
    <t xml:space="preserve">Realizar una caracterización del Clima Escolar en las IEO del municipio: 
•Identificar los riesgos asociados a casos de intolerancia social dentro y fuera de las instituciones educativas oficiales del Municipio de Bucaramanga 
•Realizar un Modelo de Investigación Acción Participativa -IAP para el diagnóstico de conflictividades escolares fuera de las instituciones educativas </t>
  </si>
  <si>
    <t>2.3.2.02.02.005.2201052.289
2.3.2.02.02.005.2201052.206</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</si>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</sst>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 numFmtId="168" formatCode="_-&quot;$&quot;\ * #,##0.00_-;\-&quot;$&quot;\ * #,##0.00_-;_-&quot;$&quot;\ * &quot;-&quot;_-;_-@_-"/>
  </numFmts>
  <fonts count="14"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name val="Arial"/>
      <family val="2"/>
    </font>
    <font>
      <sz val="12"/>
      <color indexed="8"/>
      <name val="Arial"/>
      <family val="2"/>
    </font>
    <font>
      <b/>
      <sz val="12"/>
      <color theme="1"/>
      <name val="Arial"/>
      <family val="2"/>
    </font>
    <font>
      <sz val="12"/>
      <color rgb="FF00B0F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cellStyleXfs>
  <cellXfs count="167">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9" fontId="9" fillId="0" borderId="2" xfId="107" applyFont="1" applyFill="1" applyBorder="1" applyAlignment="1">
      <alignment horizontal="center" vertical="center" wrapText="1"/>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64" fontId="8" fillId="0" borderId="2" xfId="0" applyNumberFormat="1" applyFont="1" applyBorder="1" applyAlignment="1">
      <alignment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165" fontId="7" fillId="2" borderId="4" xfId="108" applyNumberFormat="1" applyFont="1" applyFill="1" applyBorder="1" applyAlignment="1">
      <alignment vertical="center"/>
    </xf>
    <xf numFmtId="0" fontId="7" fillId="2" borderId="1" xfId="0" applyFont="1" applyFill="1" applyBorder="1" applyAlignment="1">
      <alignment horizontal="center" vertical="center" wrapText="1"/>
    </xf>
    <xf numFmtId="164" fontId="8" fillId="0" borderId="2" xfId="0" applyNumberFormat="1" applyFont="1" applyBorder="1" applyAlignment="1">
      <alignment horizontal="left" vertical="center" wrapText="1"/>
    </xf>
    <xf numFmtId="3" fontId="11"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1" fillId="0" borderId="2" xfId="0" applyNumberFormat="1" applyFont="1" applyBorder="1" applyAlignment="1">
      <alignment horizontal="center" vertical="center" wrapText="1"/>
    </xf>
    <xf numFmtId="1" fontId="9" fillId="0" borderId="2" xfId="110" applyNumberFormat="1" applyFont="1" applyFill="1" applyBorder="1" applyAlignment="1">
      <alignment horizontal="center" vertical="center" wrapText="1"/>
    </xf>
    <xf numFmtId="0" fontId="9" fillId="0" borderId="2" xfId="0" applyFont="1" applyBorder="1" applyAlignment="1">
      <alignment horizontal="center" vertical="center" wrapText="1"/>
    </xf>
    <xf numFmtId="1" fontId="8" fillId="2" borderId="2" xfId="0" applyNumberFormat="1" applyFont="1" applyFill="1" applyBorder="1" applyAlignment="1">
      <alignment horizontal="center"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xf>
    <xf numFmtId="1" fontId="9" fillId="2" borderId="2" xfId="0" applyNumberFormat="1" applyFont="1" applyFill="1" applyBorder="1" applyAlignment="1">
      <alignment horizontal="center" vertical="center"/>
    </xf>
    <xf numFmtId="0" fontId="10" fillId="0" borderId="2" xfId="0" applyFont="1" applyBorder="1" applyAlignment="1">
      <alignment horizontal="justify" vertical="center" wrapText="1"/>
    </xf>
    <xf numFmtId="164" fontId="9" fillId="0" borderId="2" xfId="0" applyNumberFormat="1" applyFont="1" applyBorder="1" applyAlignment="1">
      <alignment horizontal="left" vertical="center" wrapText="1"/>
    </xf>
    <xf numFmtId="164" fontId="9" fillId="0" borderId="2" xfId="0" applyNumberFormat="1" applyFont="1" applyBorder="1" applyAlignment="1">
      <alignment horizontal="justify" vertical="center" wrapText="1"/>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left" wrapText="1"/>
    </xf>
    <xf numFmtId="0" fontId="12"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1" fontId="10" fillId="0" borderId="2" xfId="11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9" fillId="0" borderId="2" xfId="0" applyFont="1" applyBorder="1" applyAlignment="1">
      <alignment horizontal="left" vertical="center" wrapText="1"/>
    </xf>
    <xf numFmtId="1" fontId="8" fillId="0" borderId="2" xfId="110" applyNumberFormat="1" applyFont="1" applyFill="1" applyBorder="1" applyAlignment="1">
      <alignment horizontal="center" vertical="center" wrapText="1"/>
    </xf>
    <xf numFmtId="1" fontId="12" fillId="0" borderId="2" xfId="11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 fontId="9" fillId="0" borderId="2" xfId="110" applyNumberFormat="1" applyFont="1" applyFill="1" applyBorder="1" applyAlignment="1">
      <alignment horizontal="left" vertical="center" wrapText="1"/>
    </xf>
    <xf numFmtId="0" fontId="12" fillId="0" borderId="2" xfId="0" applyFont="1" applyBorder="1" applyAlignment="1">
      <alignment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2" fillId="2" borderId="2" xfId="0" applyNumberFormat="1" applyFont="1" applyFill="1" applyBorder="1" applyAlignment="1">
      <alignment horizontal="justify" vertical="center" wrapText="1"/>
    </xf>
    <xf numFmtId="0" fontId="6" fillId="2" borderId="4" xfId="0" applyFont="1" applyFill="1" applyBorder="1" applyAlignment="1">
      <alignment wrapText="1"/>
    </xf>
    <xf numFmtId="0" fontId="0" fillId="0" borderId="0" xfId="0" applyFont="1" applyAlignment="1">
      <alignment wrapText="1"/>
    </xf>
    <xf numFmtId="0" fontId="4" fillId="0" borderId="2" xfId="0" applyFont="1" applyBorder="1" applyAlignment="1">
      <alignment horizontal="center" vertical="center"/>
    </xf>
    <xf numFmtId="0" fontId="0" fillId="0" borderId="0" xfId="0" applyFont="1" applyAlignment="1"/>
    <xf numFmtId="0" fontId="9" fillId="0" borderId="2" xfId="0" applyFont="1" applyBorder="1" applyAlignment="1">
      <alignment horizontal="justify" vertical="center"/>
    </xf>
    <xf numFmtId="0" fontId="11" fillId="0" borderId="2" xfId="0" applyFont="1" applyBorder="1" applyAlignment="1">
      <alignment horizontal="justify" vertical="center"/>
    </xf>
    <xf numFmtId="0" fontId="6" fillId="2" borderId="4" xfId="0" applyFont="1" applyFill="1" applyBorder="1" applyAlignment="1"/>
    <xf numFmtId="0" fontId="9" fillId="0" borderId="1" xfId="0" applyFont="1" applyBorder="1" applyAlignment="1">
      <alignment vertical="center" wrapText="1"/>
    </xf>
    <xf numFmtId="166" fontId="8" fillId="0" borderId="2" xfId="0" applyNumberFormat="1" applyFont="1" applyBorder="1" applyAlignment="1">
      <alignment horizontal="right" vertical="center" wrapText="1"/>
    </xf>
    <xf numFmtId="166" fontId="9" fillId="0" borderId="2" xfId="111" applyNumberFormat="1" applyFont="1" applyFill="1" applyBorder="1" applyAlignment="1">
      <alignment horizontal="right" vertical="center" wrapText="1"/>
    </xf>
    <xf numFmtId="166" fontId="9" fillId="0" borderId="2" xfId="0" applyNumberFormat="1" applyFont="1" applyBorder="1" applyAlignment="1">
      <alignment horizontal="right" vertical="center"/>
    </xf>
    <xf numFmtId="167" fontId="0" fillId="0" borderId="0" xfId="110" applyNumberFormat="1" applyFont="1"/>
    <xf numFmtId="5" fontId="0" fillId="0" borderId="0" xfId="0" applyNumberFormat="1" applyFont="1"/>
    <xf numFmtId="43" fontId="0" fillId="0" borderId="0" xfId="0" applyNumberFormat="1" applyFont="1"/>
    <xf numFmtId="167" fontId="0" fillId="0" borderId="0" xfId="0" applyNumberFormat="1" applyFont="1"/>
    <xf numFmtId="9" fontId="7" fillId="2" borderId="4" xfId="107" applyNumberFormat="1" applyFont="1" applyFill="1" applyBorder="1" applyAlignment="1">
      <alignment horizontal="center" vertical="center" wrapText="1"/>
    </xf>
    <xf numFmtId="164" fontId="8" fillId="0" borderId="2" xfId="0" applyNumberFormat="1"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0" fillId="0" borderId="0" xfId="0" applyAlignment="1">
      <alignment horizontal="center"/>
    </xf>
    <xf numFmtId="0" fontId="6" fillId="2" borderId="4" xfId="0" applyFont="1" applyFill="1" applyBorder="1" applyAlignment="1">
      <alignment horizontal="center"/>
    </xf>
    <xf numFmtId="9" fontId="8" fillId="0" borderId="1"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9" fontId="9" fillId="0" borderId="1"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164" fontId="8" fillId="0" borderId="4" xfId="0" applyNumberFormat="1" applyFont="1" applyBorder="1" applyAlignment="1">
      <alignment vertical="center" wrapText="1"/>
    </xf>
    <xf numFmtId="9" fontId="0" fillId="0" borderId="0" xfId="0" applyNumberFormat="1" applyFont="1"/>
    <xf numFmtId="10" fontId="0" fillId="0" borderId="0" xfId="107" applyNumberFormat="1" applyFont="1"/>
    <xf numFmtId="168" fontId="0" fillId="0" borderId="0" xfId="111" applyNumberFormat="1" applyFont="1" applyAlignment="1">
      <alignment horizontal="center"/>
    </xf>
    <xf numFmtId="44" fontId="0" fillId="0" borderId="0" xfId="0" applyNumberFormat="1" applyAlignment="1">
      <alignment horizontal="center"/>
    </xf>
    <xf numFmtId="9" fontId="9" fillId="2" borderId="2"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xf>
    <xf numFmtId="2" fontId="9" fillId="2" borderId="2" xfId="0" applyNumberFormat="1" applyFont="1" applyFill="1" applyBorder="1" applyAlignment="1">
      <alignment horizontal="center" vertical="center"/>
    </xf>
    <xf numFmtId="0" fontId="7" fillId="2" borderId="5" xfId="0" applyFont="1" applyFill="1" applyBorder="1" applyAlignment="1">
      <alignment horizontal="center" vertical="center"/>
    </xf>
    <xf numFmtId="165" fontId="7" fillId="2" borderId="4" xfId="108" applyNumberFormat="1" applyFont="1" applyFill="1" applyBorder="1" applyAlignment="1">
      <alignment horizontal="center" vertical="center"/>
    </xf>
    <xf numFmtId="166" fontId="9" fillId="2" borderId="2" xfId="108" applyNumberFormat="1" applyFont="1" applyFill="1" applyBorder="1" applyAlignment="1">
      <alignment horizontal="right" vertical="center" wrapText="1"/>
    </xf>
    <xf numFmtId="166" fontId="9" fillId="2" borderId="1" xfId="108" applyNumberFormat="1" applyFont="1" applyFill="1" applyBorder="1" applyAlignment="1">
      <alignment horizontal="right" vertical="center" wrapText="1"/>
    </xf>
    <xf numFmtId="166" fontId="9" fillId="0" borderId="2" xfId="108" applyNumberFormat="1" applyFont="1" applyFill="1" applyBorder="1" applyAlignment="1">
      <alignment horizontal="right" vertical="center" wrapText="1"/>
    </xf>
    <xf numFmtId="166" fontId="0" fillId="0" borderId="2" xfId="0" applyNumberFormat="1" applyFont="1" applyBorder="1" applyAlignment="1">
      <alignment horizontal="right"/>
    </xf>
    <xf numFmtId="166" fontId="9" fillId="0" borderId="2" xfId="108" applyNumberFormat="1" applyFont="1" applyFill="1" applyBorder="1" applyAlignment="1">
      <alignment horizontal="right" vertical="center"/>
    </xf>
    <xf numFmtId="166" fontId="8" fillId="0" borderId="2" xfId="108" applyNumberFormat="1" applyFont="1" applyFill="1" applyBorder="1" applyAlignment="1">
      <alignment horizontal="right" vertical="center" wrapText="1"/>
    </xf>
    <xf numFmtId="9" fontId="8" fillId="0" borderId="1" xfId="0" applyNumberFormat="1" applyFont="1" applyBorder="1" applyAlignment="1">
      <alignment horizontal="center" vertical="center"/>
    </xf>
    <xf numFmtId="9" fontId="8" fillId="0" borderId="8" xfId="0" applyNumberFormat="1" applyFont="1" applyBorder="1" applyAlignment="1">
      <alignment horizontal="center" vertical="center"/>
    </xf>
    <xf numFmtId="166" fontId="9" fillId="2" borderId="1" xfId="108" applyNumberFormat="1" applyFont="1" applyFill="1" applyBorder="1" applyAlignment="1">
      <alignment horizontal="right" vertical="center" wrapText="1"/>
    </xf>
    <xf numFmtId="166" fontId="9" fillId="2" borderId="8" xfId="108" applyNumberFormat="1" applyFont="1" applyFill="1" applyBorder="1" applyAlignment="1">
      <alignment horizontal="right" vertical="center" wrapText="1"/>
    </xf>
    <xf numFmtId="9" fontId="9" fillId="0" borderId="1" xfId="107" applyFont="1" applyFill="1" applyBorder="1" applyAlignment="1">
      <alignment horizontal="center" vertical="center" wrapText="1"/>
    </xf>
    <xf numFmtId="9" fontId="9" fillId="0" borderId="8" xfId="107"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9" fillId="2" borderId="1"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9" fontId="8" fillId="0" borderId="4" xfId="0" applyNumberFormat="1" applyFont="1" applyBorder="1" applyAlignment="1">
      <alignment horizontal="center" vertical="center"/>
    </xf>
    <xf numFmtId="166" fontId="9" fillId="2" borderId="4" xfId="108" applyNumberFormat="1" applyFont="1" applyFill="1" applyBorder="1" applyAlignment="1">
      <alignment horizontal="right" vertical="center" wrapText="1"/>
    </xf>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9" fontId="11" fillId="0" borderId="8" xfId="0" applyNumberFormat="1" applyFont="1" applyBorder="1" applyAlignment="1">
      <alignment horizontal="center" vertical="center" wrapText="1"/>
    </xf>
    <xf numFmtId="9" fontId="9" fillId="2" borderId="8" xfId="0" applyNumberFormat="1" applyFont="1" applyFill="1" applyBorder="1" applyAlignment="1">
      <alignment horizontal="center" vertical="center"/>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5" fontId="9" fillId="0" borderId="8" xfId="108" applyNumberFormat="1" applyFont="1" applyFill="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9" fontId="9" fillId="0" borderId="4" xfId="107" applyFont="1" applyFill="1" applyBorder="1" applyAlignment="1">
      <alignment horizontal="center" vertical="center" wrapText="1"/>
    </xf>
    <xf numFmtId="3" fontId="11" fillId="0" borderId="8" xfId="0" applyNumberFormat="1" applyFont="1" applyBorder="1" applyAlignment="1">
      <alignment horizontal="center" vertical="center" wrapText="1"/>
    </xf>
    <xf numFmtId="1" fontId="13" fillId="2" borderId="1" xfId="0" applyNumberFormat="1" applyFont="1" applyFill="1" applyBorder="1" applyAlignment="1">
      <alignment horizontal="center" vertical="center"/>
    </xf>
    <xf numFmtId="1" fontId="13" fillId="2" borderId="8" xfId="0" applyNumberFormat="1" applyFont="1" applyFill="1" applyBorder="1" applyAlignment="1">
      <alignment horizontal="center" vertical="center"/>
    </xf>
    <xf numFmtId="1" fontId="9" fillId="2" borderId="8" xfId="0" applyNumberFormat="1" applyFont="1" applyFill="1" applyBorder="1" applyAlignment="1">
      <alignment horizontal="center" vertical="center"/>
    </xf>
    <xf numFmtId="1" fontId="13" fillId="2" borderId="4" xfId="0" applyNumberFormat="1" applyFont="1" applyFill="1" applyBorder="1" applyAlignment="1">
      <alignment horizontal="center" vertical="center"/>
    </xf>
    <xf numFmtId="2" fontId="6" fillId="0" borderId="1"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14" fontId="0" fillId="0" borderId="7" xfId="0" applyNumberFormat="1" applyFont="1" applyFill="1" applyBorder="1" applyAlignment="1">
      <alignment horizontal="center" vertical="top"/>
    </xf>
    <xf numFmtId="14" fontId="0" fillId="0" borderId="13" xfId="0" applyNumberFormat="1" applyFont="1" applyFill="1" applyBorder="1" applyAlignment="1">
      <alignment horizontal="center" vertical="top"/>
    </xf>
    <xf numFmtId="14" fontId="0" fillId="0" borderId="6"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12"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3" fontId="9"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cellXfs>
  <cellStyles count="1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Normal" xfId="0" builtinId="0"/>
    <cellStyle name="Normal 2" xfId="109" xr:uid="{00000000-0005-0000-0000-00006E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324850</xdr:colOff>
      <xdr:row>3</xdr:row>
      <xdr:rowOff>134972</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3"/>
  <sheetViews>
    <sheetView tabSelected="1" zoomScale="56" zoomScaleNormal="56" workbookViewId="0">
      <selection activeCell="Z12" sqref="Z12"/>
    </sheetView>
  </sheetViews>
  <sheetFormatPr baseColWidth="10" defaultColWidth="11.19921875" defaultRowHeight="13.8" x14ac:dyDescent="0.25"/>
  <cols>
    <col min="1" max="1" width="9.69921875" style="1" customWidth="1"/>
    <col min="2" max="2" width="26.69921875" style="1" customWidth="1"/>
    <col min="3" max="4" width="22.69921875" style="1" customWidth="1"/>
    <col min="5" max="5" width="58.5" style="56" customWidth="1"/>
    <col min="6" max="6" width="50.59765625" style="58" customWidth="1"/>
    <col min="7" max="7" width="26.09765625" style="77" customWidth="1"/>
    <col min="8" max="8" width="50.3984375" style="1" customWidth="1"/>
    <col min="9" max="9" width="53.19921875" style="1" customWidth="1"/>
    <col min="10" max="10" width="15.8984375" style="1" customWidth="1"/>
    <col min="11" max="11" width="16" style="1" customWidth="1"/>
    <col min="12" max="13" width="14.8984375" style="1" customWidth="1"/>
    <col min="14" max="14" width="11.19921875" style="1" bestFit="1" customWidth="1"/>
    <col min="15" max="15" width="35.69921875" style="1" customWidth="1"/>
    <col min="16" max="17" width="23.5" style="1" customWidth="1"/>
    <col min="18" max="20" width="14.5" style="1" customWidth="1"/>
    <col min="21" max="21" width="29.09765625" style="77" customWidth="1"/>
    <col min="22" max="23" width="23.5" style="1" customWidth="1"/>
    <col min="24" max="24" width="14.5" style="1" customWidth="1"/>
    <col min="25" max="25" width="17.69921875" style="1" customWidth="1"/>
    <col min="26" max="26" width="14.5" style="1" customWidth="1"/>
    <col min="27" max="27" width="27.3984375" style="77" customWidth="1"/>
    <col min="28" max="28" width="16.19921875" style="1" customWidth="1"/>
    <col min="29" max="29" width="21.19921875" style="1" customWidth="1"/>
    <col min="30" max="31" width="22" style="1" customWidth="1"/>
    <col min="32" max="16384" width="11.19921875" style="1"/>
  </cols>
  <sheetData>
    <row r="1" spans="1:31" x14ac:dyDescent="0.25">
      <c r="A1" s="137"/>
      <c r="B1" s="146" t="s">
        <v>189</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8"/>
      <c r="AC1" s="164" t="s">
        <v>215</v>
      </c>
      <c r="AD1" s="164"/>
      <c r="AE1" s="164"/>
    </row>
    <row r="2" spans="1:31" x14ac:dyDescent="0.25">
      <c r="A2" s="138"/>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1"/>
      <c r="AC2" s="165" t="s">
        <v>37</v>
      </c>
      <c r="AD2" s="165"/>
      <c r="AE2" s="165"/>
    </row>
    <row r="3" spans="1:31" x14ac:dyDescent="0.25">
      <c r="A3" s="138"/>
      <c r="B3" s="149"/>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1"/>
      <c r="AC3" s="165" t="s">
        <v>34</v>
      </c>
      <c r="AD3" s="165"/>
      <c r="AE3" s="165"/>
    </row>
    <row r="4" spans="1:31" x14ac:dyDescent="0.25">
      <c r="A4" s="139"/>
      <c r="B4" s="149"/>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1"/>
      <c r="AC4" s="165" t="s">
        <v>33</v>
      </c>
      <c r="AD4" s="165"/>
      <c r="AE4" s="165"/>
    </row>
    <row r="5" spans="1:31" x14ac:dyDescent="0.25">
      <c r="A5" s="140" t="s">
        <v>31</v>
      </c>
      <c r="B5" s="141"/>
      <c r="C5" s="142"/>
      <c r="D5" s="143"/>
      <c r="E5" s="144"/>
      <c r="F5" s="144"/>
      <c r="G5" s="144"/>
      <c r="H5" s="144"/>
      <c r="I5" s="144"/>
      <c r="J5" s="144"/>
      <c r="K5" s="144"/>
      <c r="L5" s="145"/>
      <c r="M5" s="2"/>
      <c r="N5" s="2"/>
      <c r="O5" s="2"/>
      <c r="P5" s="2"/>
      <c r="Q5" s="2"/>
      <c r="R5" s="2"/>
      <c r="S5" s="2"/>
      <c r="T5" s="2"/>
      <c r="U5" s="76"/>
      <c r="V5" s="2"/>
      <c r="W5" s="2"/>
      <c r="X5" s="2"/>
      <c r="Y5" s="2"/>
      <c r="Z5" s="2"/>
      <c r="AA5" s="76"/>
      <c r="AB5" s="2"/>
      <c r="AC5" s="2"/>
      <c r="AD5" s="2"/>
      <c r="AE5" s="3"/>
    </row>
    <row r="6" spans="1:31" x14ac:dyDescent="0.25">
      <c r="A6" s="140" t="s">
        <v>32</v>
      </c>
      <c r="B6" s="141"/>
      <c r="C6" s="142"/>
      <c r="D6" s="143">
        <v>44469</v>
      </c>
      <c r="E6" s="144"/>
      <c r="F6" s="144"/>
      <c r="G6" s="144"/>
      <c r="H6" s="144"/>
      <c r="I6" s="144"/>
      <c r="J6" s="144"/>
      <c r="K6" s="144"/>
      <c r="L6" s="145"/>
      <c r="M6" s="2"/>
      <c r="N6" s="2"/>
      <c r="O6" s="2"/>
      <c r="P6" s="2"/>
      <c r="Q6" s="2"/>
      <c r="R6" s="2"/>
      <c r="S6" s="2"/>
      <c r="T6" s="2"/>
      <c r="U6" s="76"/>
      <c r="V6" s="2"/>
      <c r="W6" s="2"/>
      <c r="X6" s="2"/>
      <c r="Y6" s="2"/>
      <c r="Z6" s="2"/>
      <c r="AA6" s="76"/>
      <c r="AB6" s="2"/>
      <c r="AC6" s="2"/>
      <c r="AD6" s="4"/>
      <c r="AE6" s="5"/>
    </row>
    <row r="7" spans="1:31" x14ac:dyDescent="0.25">
      <c r="A7" s="6"/>
      <c r="B7" s="155" t="s">
        <v>10</v>
      </c>
      <c r="C7" s="156"/>
      <c r="D7" s="156"/>
      <c r="E7" s="156"/>
      <c r="F7" s="157"/>
      <c r="G7" s="155" t="s">
        <v>11</v>
      </c>
      <c r="H7" s="156"/>
      <c r="I7" s="156"/>
      <c r="J7" s="156"/>
      <c r="K7" s="157"/>
      <c r="L7" s="155" t="s">
        <v>26</v>
      </c>
      <c r="M7" s="156"/>
      <c r="N7" s="157"/>
      <c r="O7" s="155" t="s">
        <v>24</v>
      </c>
      <c r="P7" s="156"/>
      <c r="Q7" s="156"/>
      <c r="R7" s="156"/>
      <c r="S7" s="156"/>
      <c r="T7" s="156"/>
      <c r="U7" s="157"/>
      <c r="V7" s="155" t="s">
        <v>18</v>
      </c>
      <c r="W7" s="156"/>
      <c r="X7" s="156"/>
      <c r="Y7" s="156"/>
      <c r="Z7" s="156"/>
      <c r="AA7" s="157"/>
      <c r="AB7" s="158" t="s">
        <v>19</v>
      </c>
      <c r="AC7" s="166" t="s">
        <v>27</v>
      </c>
      <c r="AD7" s="166" t="s">
        <v>25</v>
      </c>
      <c r="AE7" s="166"/>
    </row>
    <row r="8" spans="1:31" ht="41.4" x14ac:dyDescent="0.25">
      <c r="A8" s="7" t="s">
        <v>30</v>
      </c>
      <c r="B8" s="26" t="s">
        <v>1</v>
      </c>
      <c r="C8" s="7" t="s">
        <v>6</v>
      </c>
      <c r="D8" s="7" t="s">
        <v>2</v>
      </c>
      <c r="E8" s="26" t="s">
        <v>7</v>
      </c>
      <c r="F8" s="7" t="s">
        <v>20</v>
      </c>
      <c r="G8" s="75" t="s">
        <v>15</v>
      </c>
      <c r="H8" s="26" t="s">
        <v>3</v>
      </c>
      <c r="I8" s="26" t="s">
        <v>16</v>
      </c>
      <c r="J8" s="26" t="s">
        <v>22</v>
      </c>
      <c r="K8" s="26" t="s">
        <v>23</v>
      </c>
      <c r="L8" s="26" t="s">
        <v>4</v>
      </c>
      <c r="M8" s="26" t="s">
        <v>5</v>
      </c>
      <c r="N8" s="26" t="s">
        <v>0</v>
      </c>
      <c r="O8" s="7" t="s">
        <v>9</v>
      </c>
      <c r="P8" s="26" t="s">
        <v>36</v>
      </c>
      <c r="Q8" s="26" t="s">
        <v>8</v>
      </c>
      <c r="R8" s="26" t="s">
        <v>28</v>
      </c>
      <c r="S8" s="26" t="s">
        <v>35</v>
      </c>
      <c r="T8" s="26" t="s">
        <v>12</v>
      </c>
      <c r="U8" s="74" t="s">
        <v>21</v>
      </c>
      <c r="V8" s="26" t="s">
        <v>36</v>
      </c>
      <c r="W8" s="26" t="s">
        <v>8</v>
      </c>
      <c r="X8" s="26" t="s">
        <v>28</v>
      </c>
      <c r="Y8" s="26" t="s">
        <v>35</v>
      </c>
      <c r="Z8" s="26" t="s">
        <v>12</v>
      </c>
      <c r="AA8" s="74" t="s">
        <v>29</v>
      </c>
      <c r="AB8" s="159"/>
      <c r="AC8" s="158"/>
      <c r="AD8" s="18" t="s">
        <v>13</v>
      </c>
      <c r="AE8" s="18" t="s">
        <v>14</v>
      </c>
    </row>
    <row r="9" spans="1:31" customFormat="1" ht="60" x14ac:dyDescent="0.25">
      <c r="A9" s="57">
        <v>1</v>
      </c>
      <c r="B9" s="13" t="s">
        <v>38</v>
      </c>
      <c r="C9" s="13" t="s">
        <v>40</v>
      </c>
      <c r="D9" s="13" t="s">
        <v>41</v>
      </c>
      <c r="E9" s="54" t="s">
        <v>42</v>
      </c>
      <c r="F9" s="59" t="s">
        <v>43</v>
      </c>
      <c r="G9" s="31" t="s">
        <v>44</v>
      </c>
      <c r="H9" s="32" t="s">
        <v>44</v>
      </c>
      <c r="I9" s="12" t="s">
        <v>44</v>
      </c>
      <c r="J9" s="12" t="s">
        <v>44</v>
      </c>
      <c r="K9" s="12" t="s">
        <v>44</v>
      </c>
      <c r="L9" s="28">
        <v>0</v>
      </c>
      <c r="M9" s="33">
        <v>0</v>
      </c>
      <c r="N9" s="29" t="str">
        <f>IFERROR(IF(M9/L9&gt;100%,100%,M9/L9),"-")</f>
        <v>-</v>
      </c>
      <c r="O9" s="12"/>
      <c r="P9" s="100"/>
      <c r="Q9" s="63"/>
      <c r="R9" s="63"/>
      <c r="S9" s="63"/>
      <c r="T9" s="101"/>
      <c r="U9" s="98">
        <f>SUM(P9:T9)</f>
        <v>0</v>
      </c>
      <c r="V9" s="100"/>
      <c r="W9" s="100"/>
      <c r="X9" s="100"/>
      <c r="Y9" s="100"/>
      <c r="Z9" s="101"/>
      <c r="AA9" s="98">
        <f>SUM(V9:Z9)</f>
        <v>0</v>
      </c>
      <c r="AB9" s="8" t="str">
        <f>IFERROR(AA9/U9,"-")</f>
        <v>-</v>
      </c>
      <c r="AC9" s="10"/>
      <c r="AD9" s="11" t="s">
        <v>45</v>
      </c>
      <c r="AE9" s="11" t="s">
        <v>46</v>
      </c>
    </row>
    <row r="10" spans="1:31" customFormat="1" ht="63.75" customHeight="1" x14ac:dyDescent="0.25">
      <c r="A10" s="57">
        <v>2</v>
      </c>
      <c r="B10" s="17" t="s">
        <v>38</v>
      </c>
      <c r="C10" s="17" t="s">
        <v>40</v>
      </c>
      <c r="D10" s="17" t="s">
        <v>41</v>
      </c>
      <c r="E10" s="54" t="s">
        <v>47</v>
      </c>
      <c r="F10" s="59" t="s">
        <v>48</v>
      </c>
      <c r="G10" s="31"/>
      <c r="H10" s="46" t="s">
        <v>49</v>
      </c>
      <c r="I10" s="12"/>
      <c r="J10" s="160">
        <v>44210</v>
      </c>
      <c r="K10" s="160">
        <v>44561</v>
      </c>
      <c r="L10" s="120">
        <v>32276</v>
      </c>
      <c r="M10" s="162">
        <v>34854</v>
      </c>
      <c r="N10" s="104">
        <f>IFERROR(IF(M10/L10&gt;100%,100%,M10/L10),"-")</f>
        <v>1</v>
      </c>
      <c r="O10" s="27" t="s">
        <v>50</v>
      </c>
      <c r="P10" s="64">
        <v>201691041.459999</v>
      </c>
      <c r="Q10" s="63">
        <f>82902030.24+94431074</f>
        <v>177333104.24000001</v>
      </c>
      <c r="R10" s="63"/>
      <c r="S10" s="63"/>
      <c r="T10" s="101"/>
      <c r="U10" s="106">
        <f>SUM(P10:T11)</f>
        <v>20664593894.299999</v>
      </c>
      <c r="V10" s="100"/>
      <c r="W10" s="100"/>
      <c r="X10" s="100"/>
      <c r="Y10" s="100"/>
      <c r="Z10" s="101"/>
      <c r="AA10" s="106">
        <f>SUM(V10:Z11)</f>
        <v>19816799686.93</v>
      </c>
      <c r="AB10" s="108">
        <f>IFERROR(AA10/U10,"-")</f>
        <v>0.95897358488115025</v>
      </c>
      <c r="AC10" s="126"/>
      <c r="AD10" s="110" t="s">
        <v>45</v>
      </c>
      <c r="AE10" s="112" t="s">
        <v>46</v>
      </c>
    </row>
    <row r="11" spans="1:31" customFormat="1" ht="163.19999999999999" customHeight="1" x14ac:dyDescent="0.25">
      <c r="A11" s="57">
        <v>2</v>
      </c>
      <c r="B11" s="17" t="s">
        <v>38</v>
      </c>
      <c r="C11" s="17" t="s">
        <v>40</v>
      </c>
      <c r="D11" s="17" t="s">
        <v>41</v>
      </c>
      <c r="E11" s="54" t="s">
        <v>47</v>
      </c>
      <c r="F11" s="59" t="s">
        <v>48</v>
      </c>
      <c r="G11" s="44">
        <v>20200680010064</v>
      </c>
      <c r="H11" s="42" t="s">
        <v>51</v>
      </c>
      <c r="I11" s="16" t="s">
        <v>52</v>
      </c>
      <c r="J11" s="161"/>
      <c r="K11" s="161"/>
      <c r="L11" s="121"/>
      <c r="M11" s="163"/>
      <c r="N11" s="118"/>
      <c r="O11" s="16" t="s">
        <v>53</v>
      </c>
      <c r="P11" s="64">
        <v>9381689778.5400009</v>
      </c>
      <c r="Q11" s="64">
        <f>1162116468.6+934080451+64817304+8000000000+17631990+437225610.46+288008146</f>
        <v>10903879970.059999</v>
      </c>
      <c r="R11" s="64"/>
      <c r="S11" s="64"/>
      <c r="T11" s="101"/>
      <c r="U11" s="119"/>
      <c r="V11" s="64">
        <v>8879936814.1299992</v>
      </c>
      <c r="W11" s="64">
        <v>10936862872.800001</v>
      </c>
      <c r="X11" s="100"/>
      <c r="Y11" s="100"/>
      <c r="Z11" s="101"/>
      <c r="AA11" s="119"/>
      <c r="AB11" s="131"/>
      <c r="AC11" s="127"/>
      <c r="AD11" s="129"/>
      <c r="AE11" s="130"/>
    </row>
    <row r="12" spans="1:31" customFormat="1" ht="159.6" customHeight="1" x14ac:dyDescent="0.25">
      <c r="A12" s="57">
        <v>3</v>
      </c>
      <c r="B12" s="13" t="s">
        <v>38</v>
      </c>
      <c r="C12" s="13" t="s">
        <v>40</v>
      </c>
      <c r="D12" s="13" t="s">
        <v>41</v>
      </c>
      <c r="E12" s="54" t="s">
        <v>54</v>
      </c>
      <c r="F12" s="59" t="s">
        <v>55</v>
      </c>
      <c r="G12" s="44">
        <v>20200680010064</v>
      </c>
      <c r="H12" s="42" t="s">
        <v>51</v>
      </c>
      <c r="I12" s="16" t="s">
        <v>52</v>
      </c>
      <c r="J12" s="12">
        <v>44210</v>
      </c>
      <c r="K12" s="12">
        <v>44561</v>
      </c>
      <c r="L12" s="30">
        <v>1</v>
      </c>
      <c r="M12" s="91">
        <v>1</v>
      </c>
      <c r="N12" s="29">
        <f>IFERROR(IF(M12/L12&gt;100%,100%,M12/L12),"-")</f>
        <v>1</v>
      </c>
      <c r="O12" s="34" t="s">
        <v>56</v>
      </c>
      <c r="P12" s="100"/>
      <c r="Q12" s="64">
        <v>783626041.39999998</v>
      </c>
      <c r="R12" s="64"/>
      <c r="S12" s="64"/>
      <c r="T12" s="101"/>
      <c r="U12" s="98">
        <f>SUM(P12:T12)</f>
        <v>783626041.39999998</v>
      </c>
      <c r="V12" s="100"/>
      <c r="W12" s="64">
        <v>783626041.39999998</v>
      </c>
      <c r="X12" s="100"/>
      <c r="Y12" s="100"/>
      <c r="Z12" s="101"/>
      <c r="AA12" s="98">
        <f>SUM(V12:Z12)</f>
        <v>783626041.39999998</v>
      </c>
      <c r="AB12" s="8">
        <f>IFERROR(AA12/U12,"-")</f>
        <v>1</v>
      </c>
      <c r="AC12" s="10"/>
      <c r="AD12" s="35" t="s">
        <v>45</v>
      </c>
      <c r="AE12" s="11" t="s">
        <v>46</v>
      </c>
    </row>
    <row r="13" spans="1:31" customFormat="1" ht="81.75" customHeight="1" x14ac:dyDescent="0.25">
      <c r="A13" s="57">
        <v>4</v>
      </c>
      <c r="B13" s="13" t="s">
        <v>38</v>
      </c>
      <c r="C13" s="13" t="s">
        <v>40</v>
      </c>
      <c r="D13" s="13" t="s">
        <v>41</v>
      </c>
      <c r="E13" s="54" t="s">
        <v>57</v>
      </c>
      <c r="F13" s="60" t="s">
        <v>58</v>
      </c>
      <c r="G13" s="44">
        <v>20210680010073</v>
      </c>
      <c r="H13" s="42" t="s">
        <v>197</v>
      </c>
      <c r="I13" s="9" t="s">
        <v>59</v>
      </c>
      <c r="J13" s="12">
        <v>44426</v>
      </c>
      <c r="K13" s="12">
        <v>44561</v>
      </c>
      <c r="L13" s="120">
        <v>3335</v>
      </c>
      <c r="M13" s="122">
        <v>3421</v>
      </c>
      <c r="N13" s="104">
        <f>IFERROR(IF(M13/L13&gt;100%,100%,M13/L13),"-")</f>
        <v>1</v>
      </c>
      <c r="O13" s="38" t="s">
        <v>192</v>
      </c>
      <c r="P13" s="100"/>
      <c r="Q13" s="100">
        <f>89410888</f>
        <v>89410888</v>
      </c>
      <c r="R13" s="100"/>
      <c r="S13" s="100"/>
      <c r="T13" s="101"/>
      <c r="U13" s="106">
        <f>SUM(P13:T14)</f>
        <v>89571452</v>
      </c>
      <c r="V13" s="100"/>
      <c r="W13" s="100">
        <f>89410888</f>
        <v>89410888</v>
      </c>
      <c r="X13" s="100"/>
      <c r="Y13" s="100"/>
      <c r="Z13" s="101"/>
      <c r="AA13" s="106">
        <f>SUM(V13:Z14)</f>
        <v>89410888</v>
      </c>
      <c r="AB13" s="108">
        <f>IFERROR(AA13/U13,"-")</f>
        <v>0.99820741992660789</v>
      </c>
      <c r="AC13" s="126"/>
      <c r="AD13" s="110" t="s">
        <v>45</v>
      </c>
      <c r="AE13" s="112" t="s">
        <v>46</v>
      </c>
    </row>
    <row r="14" spans="1:31" customFormat="1" ht="60" x14ac:dyDescent="0.25">
      <c r="A14" s="57">
        <v>4</v>
      </c>
      <c r="B14" s="13" t="s">
        <v>38</v>
      </c>
      <c r="C14" s="13" t="s">
        <v>40</v>
      </c>
      <c r="D14" s="13" t="s">
        <v>41</v>
      </c>
      <c r="E14" s="54" t="s">
        <v>57</v>
      </c>
      <c r="F14" s="60" t="s">
        <v>58</v>
      </c>
      <c r="G14" s="44"/>
      <c r="H14" s="46" t="s">
        <v>49</v>
      </c>
      <c r="I14" s="9"/>
      <c r="J14" s="12"/>
      <c r="K14" s="12"/>
      <c r="L14" s="121"/>
      <c r="M14" s="123"/>
      <c r="N14" s="118"/>
      <c r="O14" s="38" t="s">
        <v>198</v>
      </c>
      <c r="P14" s="100"/>
      <c r="Q14" s="100">
        <v>160564</v>
      </c>
      <c r="R14" s="100"/>
      <c r="S14" s="100"/>
      <c r="T14" s="101"/>
      <c r="U14" s="119"/>
      <c r="V14" s="100"/>
      <c r="W14" s="100"/>
      <c r="X14" s="100"/>
      <c r="Y14" s="100"/>
      <c r="Z14" s="101"/>
      <c r="AA14" s="119"/>
      <c r="AB14" s="131"/>
      <c r="AC14" s="127"/>
      <c r="AD14" s="129"/>
      <c r="AE14" s="130"/>
    </row>
    <row r="15" spans="1:31" customFormat="1" ht="69.75" customHeight="1" x14ac:dyDescent="0.25">
      <c r="A15" s="57">
        <v>5</v>
      </c>
      <c r="B15" s="17" t="s">
        <v>38</v>
      </c>
      <c r="C15" s="17" t="s">
        <v>40</v>
      </c>
      <c r="D15" s="17" t="s">
        <v>41</v>
      </c>
      <c r="E15" s="54" t="s">
        <v>60</v>
      </c>
      <c r="F15" s="60" t="s">
        <v>61</v>
      </c>
      <c r="G15" s="47"/>
      <c r="H15" s="46" t="s">
        <v>49</v>
      </c>
      <c r="I15" s="9"/>
      <c r="J15" s="16"/>
      <c r="K15" s="16"/>
      <c r="L15" s="120">
        <v>10</v>
      </c>
      <c r="M15" s="122">
        <v>7</v>
      </c>
      <c r="N15" s="104">
        <f>IFERROR(IF(M15/L15&gt;100%,100%,M15/L15),"-")</f>
        <v>0.7</v>
      </c>
      <c r="O15" s="38" t="s">
        <v>193</v>
      </c>
      <c r="P15" s="100">
        <v>137163.53000000119</v>
      </c>
      <c r="Q15" s="100">
        <f>500000000+439102519.333333+229393430</f>
        <v>1168495949.333333</v>
      </c>
      <c r="R15" s="100"/>
      <c r="S15" s="100"/>
      <c r="T15" s="101"/>
      <c r="U15" s="106">
        <f>SUM(P15:T19)</f>
        <v>4310220029.0936832</v>
      </c>
      <c r="V15" s="100"/>
      <c r="W15" s="100"/>
      <c r="X15" s="100"/>
      <c r="Y15" s="100"/>
      <c r="Z15" s="101"/>
      <c r="AA15" s="106">
        <f>SUM(V15:Z19)</f>
        <v>2005765709.8903501</v>
      </c>
      <c r="AB15" s="108">
        <f>IFERROR(AA15/U15,"-")</f>
        <v>0.46535111812194552</v>
      </c>
      <c r="AC15" s="126"/>
      <c r="AD15" s="110" t="s">
        <v>45</v>
      </c>
      <c r="AE15" s="112" t="s">
        <v>46</v>
      </c>
    </row>
    <row r="16" spans="1:31" customFormat="1" ht="69.75" customHeight="1" x14ac:dyDescent="0.25">
      <c r="A16" s="57">
        <v>5</v>
      </c>
      <c r="B16" s="17" t="s">
        <v>38</v>
      </c>
      <c r="C16" s="17" t="s">
        <v>40</v>
      </c>
      <c r="D16" s="17" t="s">
        <v>41</v>
      </c>
      <c r="E16" s="54" t="s">
        <v>60</v>
      </c>
      <c r="F16" s="60" t="s">
        <v>61</v>
      </c>
      <c r="G16" s="44">
        <v>20210680010073</v>
      </c>
      <c r="H16" s="42" t="s">
        <v>197</v>
      </c>
      <c r="I16" s="9" t="s">
        <v>211</v>
      </c>
      <c r="J16" s="12">
        <v>44426</v>
      </c>
      <c r="K16" s="12">
        <v>44561</v>
      </c>
      <c r="L16" s="132"/>
      <c r="M16" s="135"/>
      <c r="N16" s="105"/>
      <c r="O16" s="38" t="s">
        <v>210</v>
      </c>
      <c r="P16" s="100"/>
      <c r="Q16" s="100">
        <v>97570864</v>
      </c>
      <c r="R16" s="100"/>
      <c r="S16" s="100"/>
      <c r="T16" s="101"/>
      <c r="U16" s="107"/>
      <c r="V16" s="100"/>
      <c r="W16" s="100">
        <v>97570864</v>
      </c>
      <c r="X16" s="100"/>
      <c r="Y16" s="100"/>
      <c r="Z16" s="101"/>
      <c r="AA16" s="107"/>
      <c r="AB16" s="109"/>
      <c r="AC16" s="128"/>
      <c r="AD16" s="111"/>
      <c r="AE16" s="113"/>
    </row>
    <row r="17" spans="1:31" customFormat="1" ht="102" customHeight="1" x14ac:dyDescent="0.25">
      <c r="A17" s="57">
        <v>5</v>
      </c>
      <c r="B17" s="17" t="s">
        <v>38</v>
      </c>
      <c r="C17" s="17" t="s">
        <v>40</v>
      </c>
      <c r="D17" s="17" t="s">
        <v>41</v>
      </c>
      <c r="E17" s="54" t="s">
        <v>60</v>
      </c>
      <c r="F17" s="60" t="s">
        <v>61</v>
      </c>
      <c r="G17" s="48">
        <v>20210680010032</v>
      </c>
      <c r="H17" s="37" t="s">
        <v>62</v>
      </c>
      <c r="I17" s="9" t="s">
        <v>63</v>
      </c>
      <c r="J17" s="12">
        <v>44278</v>
      </c>
      <c r="K17" s="12">
        <v>44561</v>
      </c>
      <c r="L17" s="132"/>
      <c r="M17" s="135"/>
      <c r="N17" s="105"/>
      <c r="O17" s="38" t="s">
        <v>64</v>
      </c>
      <c r="P17" s="100"/>
      <c r="Q17" s="100">
        <v>1839538026.72035</v>
      </c>
      <c r="R17" s="100"/>
      <c r="S17" s="100"/>
      <c r="T17" s="101"/>
      <c r="U17" s="107"/>
      <c r="V17" s="100"/>
      <c r="W17" s="100">
        <v>1839538026.72035</v>
      </c>
      <c r="X17" s="100"/>
      <c r="Y17" s="100"/>
      <c r="Z17" s="101"/>
      <c r="AA17" s="107"/>
      <c r="AB17" s="109"/>
      <c r="AC17" s="128"/>
      <c r="AD17" s="111"/>
      <c r="AE17" s="113"/>
    </row>
    <row r="18" spans="1:31" customFormat="1" ht="135" customHeight="1" x14ac:dyDescent="0.25">
      <c r="A18" s="57">
        <v>5</v>
      </c>
      <c r="B18" s="17" t="s">
        <v>38</v>
      </c>
      <c r="C18" s="17" t="s">
        <v>40</v>
      </c>
      <c r="D18" s="17" t="s">
        <v>41</v>
      </c>
      <c r="E18" s="54" t="s">
        <v>60</v>
      </c>
      <c r="F18" s="60" t="s">
        <v>61</v>
      </c>
      <c r="G18" s="48">
        <v>20210680010084</v>
      </c>
      <c r="H18" s="37" t="s">
        <v>199</v>
      </c>
      <c r="I18" s="9" t="s">
        <v>201</v>
      </c>
      <c r="J18" s="12">
        <v>44435</v>
      </c>
      <c r="K18" s="12" t="s">
        <v>200</v>
      </c>
      <c r="L18" s="132"/>
      <c r="M18" s="135"/>
      <c r="N18" s="105"/>
      <c r="O18" s="38" t="s">
        <v>183</v>
      </c>
      <c r="P18" s="100">
        <v>68656819.170000002</v>
      </c>
      <c r="Q18" s="100"/>
      <c r="R18" s="100"/>
      <c r="S18" s="100"/>
      <c r="T18" s="101"/>
      <c r="U18" s="107"/>
      <c r="V18" s="100">
        <v>68656819.170000002</v>
      </c>
      <c r="W18" s="100"/>
      <c r="X18" s="100"/>
      <c r="Y18" s="100"/>
      <c r="Z18" s="101"/>
      <c r="AA18" s="107"/>
      <c r="AB18" s="109"/>
      <c r="AC18" s="128"/>
      <c r="AD18" s="111"/>
      <c r="AE18" s="113"/>
    </row>
    <row r="19" spans="1:31" customFormat="1" ht="60" x14ac:dyDescent="0.25">
      <c r="A19" s="57">
        <v>5</v>
      </c>
      <c r="B19" s="17" t="s">
        <v>38</v>
      </c>
      <c r="C19" s="17" t="s">
        <v>40</v>
      </c>
      <c r="D19" s="17" t="s">
        <v>41</v>
      </c>
      <c r="E19" s="54" t="s">
        <v>60</v>
      </c>
      <c r="F19" s="60" t="s">
        <v>61</v>
      </c>
      <c r="G19" s="47"/>
      <c r="H19" s="14" t="s">
        <v>65</v>
      </c>
      <c r="I19" s="12"/>
      <c r="J19" s="16"/>
      <c r="K19" s="16"/>
      <c r="L19" s="121"/>
      <c r="M19" s="123"/>
      <c r="N19" s="118"/>
      <c r="O19" s="38" t="s">
        <v>202</v>
      </c>
      <c r="P19" s="100">
        <v>1040144569.34</v>
      </c>
      <c r="Q19" s="65">
        <v>95676637</v>
      </c>
      <c r="R19" s="65"/>
      <c r="S19" s="65"/>
      <c r="T19" s="101"/>
      <c r="U19" s="119"/>
      <c r="V19" s="100"/>
      <c r="W19" s="100"/>
      <c r="X19" s="100"/>
      <c r="Y19" s="100"/>
      <c r="Z19" s="101"/>
      <c r="AA19" s="119"/>
      <c r="AB19" s="131"/>
      <c r="AC19" s="127"/>
      <c r="AD19" s="129"/>
      <c r="AE19" s="130"/>
    </row>
    <row r="20" spans="1:31" customFormat="1" ht="75" x14ac:dyDescent="0.25">
      <c r="A20" s="57">
        <v>6</v>
      </c>
      <c r="B20" s="13" t="s">
        <v>38</v>
      </c>
      <c r="C20" s="13" t="s">
        <v>40</v>
      </c>
      <c r="D20" s="13" t="s">
        <v>41</v>
      </c>
      <c r="E20" s="54" t="s">
        <v>66</v>
      </c>
      <c r="F20" s="60" t="s">
        <v>67</v>
      </c>
      <c r="G20" s="48">
        <v>20200680010026</v>
      </c>
      <c r="H20" s="51" t="s">
        <v>68</v>
      </c>
      <c r="I20" s="62" t="s">
        <v>69</v>
      </c>
      <c r="J20" s="12">
        <v>44210</v>
      </c>
      <c r="K20" s="12">
        <v>44561</v>
      </c>
      <c r="L20" s="114">
        <v>1</v>
      </c>
      <c r="M20" s="116">
        <v>1</v>
      </c>
      <c r="N20" s="104">
        <f>IFERROR(IF(M20/L20&gt;100%,100%,M20/L20),"-")</f>
        <v>1</v>
      </c>
      <c r="O20" s="38" t="s">
        <v>70</v>
      </c>
      <c r="P20" s="102">
        <v>248479140.81</v>
      </c>
      <c r="Q20" s="65">
        <v>33880859.189999998</v>
      </c>
      <c r="R20" s="100"/>
      <c r="S20" s="100"/>
      <c r="T20" s="101"/>
      <c r="U20" s="106">
        <f>SUM(P20:T21)</f>
        <v>283165087.49000001</v>
      </c>
      <c r="V20" s="65">
        <v>249284228.30000001</v>
      </c>
      <c r="W20" s="65">
        <v>27010771.699999999</v>
      </c>
      <c r="X20" s="100"/>
      <c r="Y20" s="100"/>
      <c r="Z20" s="101"/>
      <c r="AA20" s="106">
        <f>SUM(V20:Z21)</f>
        <v>276295000</v>
      </c>
      <c r="AB20" s="108">
        <f>IFERROR(AA20/U20,"-")</f>
        <v>0.97573822553162515</v>
      </c>
      <c r="AC20" s="126"/>
      <c r="AD20" s="110" t="s">
        <v>45</v>
      </c>
      <c r="AE20" s="112" t="s">
        <v>46</v>
      </c>
    </row>
    <row r="21" spans="1:31" customFormat="1" ht="75" x14ac:dyDescent="0.25">
      <c r="A21" s="57">
        <v>6</v>
      </c>
      <c r="B21" s="13"/>
      <c r="C21" s="13"/>
      <c r="D21" s="13" t="s">
        <v>41</v>
      </c>
      <c r="E21" s="54" t="s">
        <v>66</v>
      </c>
      <c r="F21" s="60" t="s">
        <v>67</v>
      </c>
      <c r="G21" s="48"/>
      <c r="H21" s="46" t="s">
        <v>49</v>
      </c>
      <c r="I21" s="62"/>
      <c r="J21" s="12"/>
      <c r="K21" s="12"/>
      <c r="L21" s="115"/>
      <c r="M21" s="117"/>
      <c r="N21" s="118"/>
      <c r="O21" s="38" t="s">
        <v>203</v>
      </c>
      <c r="P21" s="102">
        <v>805087.49000000954</v>
      </c>
      <c r="Q21" s="65"/>
      <c r="R21" s="100"/>
      <c r="S21" s="100"/>
      <c r="T21" s="101"/>
      <c r="U21" s="119"/>
      <c r="V21" s="100"/>
      <c r="W21" s="65"/>
      <c r="X21" s="100"/>
      <c r="Y21" s="100"/>
      <c r="Z21" s="101"/>
      <c r="AA21" s="119"/>
      <c r="AB21" s="131"/>
      <c r="AC21" s="127"/>
      <c r="AD21" s="129"/>
      <c r="AE21" s="130"/>
    </row>
    <row r="22" spans="1:31" customFormat="1" ht="127.2" customHeight="1" x14ac:dyDescent="0.25">
      <c r="A22" s="57">
        <v>7</v>
      </c>
      <c r="B22" s="17" t="s">
        <v>38</v>
      </c>
      <c r="C22" s="17" t="s">
        <v>40</v>
      </c>
      <c r="D22" s="17" t="s">
        <v>41</v>
      </c>
      <c r="E22" s="54" t="s">
        <v>71</v>
      </c>
      <c r="F22" s="60" t="s">
        <v>72</v>
      </c>
      <c r="G22" s="48">
        <v>20200680010026</v>
      </c>
      <c r="H22" s="51" t="s">
        <v>68</v>
      </c>
      <c r="I22" s="62" t="s">
        <v>69</v>
      </c>
      <c r="J22" s="12">
        <v>44210</v>
      </c>
      <c r="K22" s="12">
        <v>44561</v>
      </c>
      <c r="L22" s="114">
        <v>1</v>
      </c>
      <c r="M22" s="116">
        <v>1</v>
      </c>
      <c r="N22" s="104">
        <f>IFERROR(IF(M22/L22&gt;100%,100%,M22/L22),"-")</f>
        <v>1</v>
      </c>
      <c r="O22" s="38" t="s">
        <v>73</v>
      </c>
      <c r="P22" s="65"/>
      <c r="Q22" s="65">
        <v>813400000</v>
      </c>
      <c r="R22" s="100"/>
      <c r="S22" s="100"/>
      <c r="T22" s="101"/>
      <c r="U22" s="106">
        <f>SUM(P22:T23)</f>
        <v>815795745.80999994</v>
      </c>
      <c r="V22" s="100"/>
      <c r="W22" s="100">
        <v>736725002.66000009</v>
      </c>
      <c r="X22" s="100"/>
      <c r="Y22" s="100"/>
      <c r="Z22" s="101"/>
      <c r="AA22" s="106">
        <f>SUM(V22:Z23)</f>
        <v>736725002.66000009</v>
      </c>
      <c r="AB22" s="108">
        <f>IFERROR(AA22/U22,"-")</f>
        <v>0.90307531810981578</v>
      </c>
      <c r="AC22" s="126"/>
      <c r="AD22" s="110" t="s">
        <v>45</v>
      </c>
      <c r="AE22" s="112" t="s">
        <v>46</v>
      </c>
    </row>
    <row r="23" spans="1:31" customFormat="1" ht="132" customHeight="1" x14ac:dyDescent="0.25">
      <c r="A23" s="57">
        <v>7</v>
      </c>
      <c r="B23" s="17"/>
      <c r="C23" s="17"/>
      <c r="D23" s="17" t="s">
        <v>41</v>
      </c>
      <c r="E23" s="54" t="s">
        <v>71</v>
      </c>
      <c r="F23" s="60" t="s">
        <v>72</v>
      </c>
      <c r="G23" s="48"/>
      <c r="H23" s="46" t="s">
        <v>49</v>
      </c>
      <c r="I23" s="62"/>
      <c r="J23" s="86"/>
      <c r="K23" s="86"/>
      <c r="L23" s="115"/>
      <c r="M23" s="117"/>
      <c r="N23" s="118"/>
      <c r="O23" s="38" t="s">
        <v>204</v>
      </c>
      <c r="P23" s="65"/>
      <c r="Q23" s="65">
        <v>2395745.8099999428</v>
      </c>
      <c r="R23" s="100"/>
      <c r="S23" s="100"/>
      <c r="T23" s="101"/>
      <c r="U23" s="119"/>
      <c r="V23" s="100"/>
      <c r="W23" s="100"/>
      <c r="X23" s="100"/>
      <c r="Y23" s="100"/>
      <c r="Z23" s="101"/>
      <c r="AA23" s="119"/>
      <c r="AB23" s="131"/>
      <c r="AC23" s="127"/>
      <c r="AD23" s="129"/>
      <c r="AE23" s="130"/>
    </row>
    <row r="24" spans="1:31" customFormat="1" ht="83.4" customHeight="1" x14ac:dyDescent="0.25">
      <c r="A24" s="57">
        <v>8</v>
      </c>
      <c r="B24" s="17" t="s">
        <v>38</v>
      </c>
      <c r="C24" s="17" t="s">
        <v>40</v>
      </c>
      <c r="D24" s="17" t="s">
        <v>41</v>
      </c>
      <c r="E24" s="54" t="s">
        <v>74</v>
      </c>
      <c r="F24" s="60" t="s">
        <v>75</v>
      </c>
      <c r="G24" s="44">
        <v>20200680010135</v>
      </c>
      <c r="H24" s="37" t="s">
        <v>76</v>
      </c>
      <c r="I24" s="15" t="s">
        <v>77</v>
      </c>
      <c r="J24" s="12">
        <v>44218</v>
      </c>
      <c r="K24" s="12">
        <v>44561</v>
      </c>
      <c r="L24" s="81">
        <v>4</v>
      </c>
      <c r="M24" s="92">
        <v>4</v>
      </c>
      <c r="N24" s="80">
        <f>IFERROR(IF(M24/L24&gt;100%,100%,M24/L24),"-")</f>
        <v>1</v>
      </c>
      <c r="O24" s="39" t="s">
        <v>78</v>
      </c>
      <c r="P24" s="100">
        <f>100124000+209880000</f>
        <v>310004000</v>
      </c>
      <c r="Q24" s="65"/>
      <c r="R24" s="65"/>
      <c r="S24" s="65"/>
      <c r="T24" s="101"/>
      <c r="U24" s="99">
        <f>SUM(P24:T24)</f>
        <v>310004000</v>
      </c>
      <c r="V24" s="100">
        <v>212924000</v>
      </c>
      <c r="W24" s="65"/>
      <c r="X24" s="65"/>
      <c r="Y24" s="65"/>
      <c r="Z24" s="101"/>
      <c r="AA24" s="99">
        <f>SUM(V24:Z24)</f>
        <v>212924000</v>
      </c>
      <c r="AB24" s="84">
        <f>IFERROR(AA24/U24,"-")</f>
        <v>0.68684275041612364</v>
      </c>
      <c r="AC24" s="85"/>
      <c r="AD24" s="82" t="s">
        <v>45</v>
      </c>
      <c r="AE24" s="83" t="s">
        <v>46</v>
      </c>
    </row>
    <row r="25" spans="1:31" customFormat="1" ht="84.75" customHeight="1" x14ac:dyDescent="0.25">
      <c r="A25" s="57">
        <v>9</v>
      </c>
      <c r="B25" s="17" t="s">
        <v>38</v>
      </c>
      <c r="C25" s="17" t="s">
        <v>40</v>
      </c>
      <c r="D25" s="17" t="s">
        <v>41</v>
      </c>
      <c r="E25" s="54" t="s">
        <v>79</v>
      </c>
      <c r="F25" s="60" t="s">
        <v>80</v>
      </c>
      <c r="G25" s="44">
        <v>20200680010092</v>
      </c>
      <c r="H25" s="37" t="s">
        <v>81</v>
      </c>
      <c r="I25" s="9" t="s">
        <v>82</v>
      </c>
      <c r="J25" s="12">
        <v>44208</v>
      </c>
      <c r="K25" s="12">
        <v>44561</v>
      </c>
      <c r="L25" s="81">
        <v>2664</v>
      </c>
      <c r="M25" s="93">
        <v>2458</v>
      </c>
      <c r="N25" s="80">
        <f>IFERROR(IF(M25/L25&gt;100%,100%,M25/L25),"-")</f>
        <v>0.92267267267267272</v>
      </c>
      <c r="O25" s="38" t="s">
        <v>83</v>
      </c>
      <c r="P25" s="100">
        <v>3321331218</v>
      </c>
      <c r="Q25" s="65"/>
      <c r="R25" s="65"/>
      <c r="S25" s="65"/>
      <c r="T25" s="101"/>
      <c r="U25" s="99">
        <f>SUM(P25:T25)</f>
        <v>3321331218</v>
      </c>
      <c r="V25" s="100">
        <v>3321331218</v>
      </c>
      <c r="W25" s="65"/>
      <c r="X25" s="65"/>
      <c r="Y25" s="65"/>
      <c r="Z25" s="101"/>
      <c r="AA25" s="99">
        <f>SUM(V25:Z25)</f>
        <v>3321331218</v>
      </c>
      <c r="AB25" s="84">
        <f>IFERROR(AA25/U25,"-")</f>
        <v>1</v>
      </c>
      <c r="AC25" s="85"/>
      <c r="AD25" s="82" t="s">
        <v>45</v>
      </c>
      <c r="AE25" s="83" t="s">
        <v>46</v>
      </c>
    </row>
    <row r="26" spans="1:31" customFormat="1" ht="75" customHeight="1" x14ac:dyDescent="0.25">
      <c r="A26" s="57">
        <v>10</v>
      </c>
      <c r="B26" s="13" t="s">
        <v>38</v>
      </c>
      <c r="C26" s="13" t="s">
        <v>40</v>
      </c>
      <c r="D26" s="13" t="s">
        <v>41</v>
      </c>
      <c r="E26" s="54" t="s">
        <v>84</v>
      </c>
      <c r="F26" s="60" t="s">
        <v>85</v>
      </c>
      <c r="G26" s="44">
        <v>20200680010090</v>
      </c>
      <c r="H26" s="37" t="s">
        <v>86</v>
      </c>
      <c r="I26" s="15" t="s">
        <v>87</v>
      </c>
      <c r="J26" s="12">
        <v>44208</v>
      </c>
      <c r="K26" s="12">
        <v>44561</v>
      </c>
      <c r="L26" s="28">
        <v>9668</v>
      </c>
      <c r="M26" s="36">
        <v>10065</v>
      </c>
      <c r="N26" s="29">
        <f>IFERROR(IF(M26/L26&gt;100%,100%,M26/L26),"-")</f>
        <v>1</v>
      </c>
      <c r="O26" s="39" t="s">
        <v>88</v>
      </c>
      <c r="P26" s="100">
        <v>1212000000</v>
      </c>
      <c r="Q26" s="100">
        <v>13741061927</v>
      </c>
      <c r="R26" s="65"/>
      <c r="S26" s="65"/>
      <c r="T26" s="101"/>
      <c r="U26" s="98">
        <f>SUM(P26:T26)</f>
        <v>14953061927</v>
      </c>
      <c r="V26" s="100">
        <v>1161315332</v>
      </c>
      <c r="W26" s="100">
        <v>13147919116</v>
      </c>
      <c r="X26" s="65"/>
      <c r="Y26" s="65"/>
      <c r="Z26" s="101"/>
      <c r="AA26" s="98">
        <f>SUM(V26:Z26)</f>
        <v>14309234448</v>
      </c>
      <c r="AB26" s="8">
        <f>IFERROR(AA26/U26,"-")</f>
        <v>0.95694343525472381</v>
      </c>
      <c r="AC26" s="10"/>
      <c r="AD26" s="35" t="s">
        <v>45</v>
      </c>
      <c r="AE26" s="11" t="s">
        <v>46</v>
      </c>
    </row>
    <row r="27" spans="1:31" customFormat="1" ht="60" x14ac:dyDescent="0.25">
      <c r="A27" s="57">
        <v>11</v>
      </c>
      <c r="B27" s="17" t="s">
        <v>38</v>
      </c>
      <c r="C27" s="17" t="s">
        <v>40</v>
      </c>
      <c r="D27" s="17" t="s">
        <v>41</v>
      </c>
      <c r="E27" s="54" t="s">
        <v>89</v>
      </c>
      <c r="F27" s="60" t="s">
        <v>90</v>
      </c>
      <c r="G27" s="31"/>
      <c r="H27" s="14" t="s">
        <v>65</v>
      </c>
      <c r="I27" s="12"/>
      <c r="J27" s="12"/>
      <c r="K27" s="12"/>
      <c r="L27" s="120">
        <v>7</v>
      </c>
      <c r="M27" s="122">
        <v>0.1</v>
      </c>
      <c r="N27" s="104">
        <f>IFERROR(IF(M27/L27&gt;100%,100%,M27/L27),"-")</f>
        <v>1.4285714285714287E-2</v>
      </c>
      <c r="O27" s="39" t="s">
        <v>214</v>
      </c>
      <c r="P27" s="100">
        <v>332957467.14999998</v>
      </c>
      <c r="Q27" s="100">
        <v>991455647</v>
      </c>
      <c r="R27" s="65"/>
      <c r="S27" s="65"/>
      <c r="T27" s="101"/>
      <c r="U27" s="106">
        <f>SUM(P27:T31)</f>
        <v>4026934902.9254231</v>
      </c>
      <c r="V27" s="100"/>
      <c r="W27" s="100"/>
      <c r="X27" s="100"/>
      <c r="Y27" s="100"/>
      <c r="Z27" s="101"/>
      <c r="AA27" s="106">
        <f>SUM(V27:Z31)</f>
        <v>2071147813.1220899</v>
      </c>
      <c r="AB27" s="108">
        <f>IFERROR(AA27/U27,"-")</f>
        <v>0.51432363895862221</v>
      </c>
      <c r="AC27" s="126"/>
      <c r="AD27" s="110" t="s">
        <v>45</v>
      </c>
      <c r="AE27" s="112" t="s">
        <v>46</v>
      </c>
    </row>
    <row r="28" spans="1:31" customFormat="1" ht="102.6" customHeight="1" x14ac:dyDescent="0.25">
      <c r="A28" s="57">
        <v>11</v>
      </c>
      <c r="B28" s="17" t="s">
        <v>38</v>
      </c>
      <c r="C28" s="17" t="s">
        <v>40</v>
      </c>
      <c r="D28" s="17" t="s">
        <v>41</v>
      </c>
      <c r="E28" s="54" t="s">
        <v>89</v>
      </c>
      <c r="F28" s="60" t="s">
        <v>90</v>
      </c>
      <c r="G28" s="44">
        <v>20210680010032</v>
      </c>
      <c r="H28" s="37" t="s">
        <v>62</v>
      </c>
      <c r="I28" s="15" t="s">
        <v>63</v>
      </c>
      <c r="J28" s="12">
        <v>44278</v>
      </c>
      <c r="K28" s="12">
        <v>44561</v>
      </c>
      <c r="L28" s="132"/>
      <c r="M28" s="135"/>
      <c r="N28" s="105"/>
      <c r="O28" s="39" t="s">
        <v>64</v>
      </c>
      <c r="P28" s="100"/>
      <c r="Q28" s="100">
        <v>1821881063.49209</v>
      </c>
      <c r="R28" s="65"/>
      <c r="S28" s="65"/>
      <c r="T28" s="101"/>
      <c r="U28" s="107"/>
      <c r="V28" s="100"/>
      <c r="W28" s="100">
        <v>1821881063.49209</v>
      </c>
      <c r="X28" s="100"/>
      <c r="Y28" s="100"/>
      <c r="Z28" s="101"/>
      <c r="AA28" s="107"/>
      <c r="AB28" s="109"/>
      <c r="AC28" s="128"/>
      <c r="AD28" s="111"/>
      <c r="AE28" s="113"/>
    </row>
    <row r="29" spans="1:31" customFormat="1" ht="91.95" customHeight="1" x14ac:dyDescent="0.25">
      <c r="A29" s="57">
        <v>11</v>
      </c>
      <c r="B29" s="17" t="s">
        <v>38</v>
      </c>
      <c r="C29" s="17" t="s">
        <v>40</v>
      </c>
      <c r="D29" s="17" t="s">
        <v>41</v>
      </c>
      <c r="E29" s="54" t="s">
        <v>89</v>
      </c>
      <c r="F29" s="60" t="s">
        <v>90</v>
      </c>
      <c r="G29" s="44">
        <v>20210680010053</v>
      </c>
      <c r="H29" s="45" t="s">
        <v>91</v>
      </c>
      <c r="I29" s="15" t="s">
        <v>92</v>
      </c>
      <c r="J29" s="12">
        <v>44371</v>
      </c>
      <c r="K29" s="12">
        <v>44500</v>
      </c>
      <c r="L29" s="132"/>
      <c r="M29" s="135"/>
      <c r="N29" s="105"/>
      <c r="O29" s="39" t="s">
        <v>93</v>
      </c>
      <c r="P29" s="100">
        <f>40885320.77+54780161.31</f>
        <v>95665482.080000013</v>
      </c>
      <c r="Q29" s="65"/>
      <c r="R29" s="65"/>
      <c r="S29" s="65"/>
      <c r="T29" s="101"/>
      <c r="U29" s="107"/>
      <c r="V29" s="100">
        <f>40885320.77+54780161.31</f>
        <v>95665482.080000013</v>
      </c>
      <c r="W29" s="100"/>
      <c r="X29" s="100"/>
      <c r="Y29" s="100"/>
      <c r="Z29" s="101"/>
      <c r="AA29" s="107"/>
      <c r="AB29" s="109"/>
      <c r="AC29" s="128"/>
      <c r="AD29" s="111"/>
      <c r="AE29" s="113"/>
    </row>
    <row r="30" spans="1:31" customFormat="1" ht="91.95" customHeight="1" x14ac:dyDescent="0.25">
      <c r="A30" s="57">
        <v>11</v>
      </c>
      <c r="B30" s="17" t="s">
        <v>38</v>
      </c>
      <c r="C30" s="17" t="s">
        <v>40</v>
      </c>
      <c r="D30" s="17" t="s">
        <v>41</v>
      </c>
      <c r="E30" s="54" t="s">
        <v>89</v>
      </c>
      <c r="F30" s="60" t="s">
        <v>90</v>
      </c>
      <c r="G30" s="44">
        <v>20210680010054</v>
      </c>
      <c r="H30" s="45" t="s">
        <v>94</v>
      </c>
      <c r="I30" s="15" t="s">
        <v>95</v>
      </c>
      <c r="J30" s="12">
        <v>44371</v>
      </c>
      <c r="K30" s="12">
        <v>44500</v>
      </c>
      <c r="L30" s="132"/>
      <c r="M30" s="135"/>
      <c r="N30" s="105"/>
      <c r="O30" s="39" t="s">
        <v>96</v>
      </c>
      <c r="P30" s="100">
        <f>92973193.83+22026837+26000921.72+12600315</f>
        <v>153601267.55000001</v>
      </c>
      <c r="Q30" s="100"/>
      <c r="R30" s="65"/>
      <c r="S30" s="65"/>
      <c r="T30" s="101"/>
      <c r="U30" s="107"/>
      <c r="V30" s="100">
        <f>92973193.83+22026837+26000921.72+12600315</f>
        <v>153601267.55000001</v>
      </c>
      <c r="W30" s="100"/>
      <c r="X30" s="100"/>
      <c r="Y30" s="100"/>
      <c r="Z30" s="101"/>
      <c r="AA30" s="107"/>
      <c r="AB30" s="109"/>
      <c r="AC30" s="128"/>
      <c r="AD30" s="111"/>
      <c r="AE30" s="113"/>
    </row>
    <row r="31" spans="1:31" customFormat="1" ht="60" x14ac:dyDescent="0.25">
      <c r="A31" s="57">
        <v>11</v>
      </c>
      <c r="B31" s="17" t="s">
        <v>38</v>
      </c>
      <c r="C31" s="17" t="s">
        <v>40</v>
      </c>
      <c r="D31" s="17" t="s">
        <v>41</v>
      </c>
      <c r="E31" s="54" t="s">
        <v>89</v>
      </c>
      <c r="F31" s="60" t="s">
        <v>90</v>
      </c>
      <c r="G31" s="44"/>
      <c r="H31" s="14" t="s">
        <v>49</v>
      </c>
      <c r="I31" s="15"/>
      <c r="J31" s="12"/>
      <c r="K31" s="12"/>
      <c r="L31" s="121"/>
      <c r="M31" s="123"/>
      <c r="N31" s="118"/>
      <c r="O31" s="39" t="s">
        <v>97</v>
      </c>
      <c r="P31" s="100">
        <v>192271456.31999999</v>
      </c>
      <c r="Q31" s="100">
        <f>439102519.333333</f>
        <v>439102519.33333302</v>
      </c>
      <c r="R31" s="65"/>
      <c r="S31" s="65"/>
      <c r="T31" s="101"/>
      <c r="U31" s="119"/>
      <c r="V31" s="100"/>
      <c r="W31" s="100"/>
      <c r="X31" s="65"/>
      <c r="Y31" s="65"/>
      <c r="Z31" s="101"/>
      <c r="AA31" s="119"/>
      <c r="AB31" s="131"/>
      <c r="AC31" s="127"/>
      <c r="AD31" s="129"/>
      <c r="AE31" s="130"/>
    </row>
    <row r="32" spans="1:31" customFormat="1" ht="62.4" x14ac:dyDescent="0.25">
      <c r="A32" s="57">
        <v>12</v>
      </c>
      <c r="B32" s="17" t="s">
        <v>38</v>
      </c>
      <c r="C32" s="17" t="s">
        <v>40</v>
      </c>
      <c r="D32" s="17" t="s">
        <v>41</v>
      </c>
      <c r="E32" s="54" t="s">
        <v>98</v>
      </c>
      <c r="F32" s="60" t="s">
        <v>99</v>
      </c>
      <c r="G32" s="44">
        <v>20210680010057</v>
      </c>
      <c r="H32" s="37" t="s">
        <v>100</v>
      </c>
      <c r="I32" s="49"/>
      <c r="J32" s="12">
        <v>44372</v>
      </c>
      <c r="K32" s="12">
        <v>44561</v>
      </c>
      <c r="L32" s="152">
        <v>7</v>
      </c>
      <c r="M32" s="122">
        <v>0</v>
      </c>
      <c r="N32" s="104">
        <f>IFERROR(IF(M32/L32&gt;100%,100%,M32/L32),"-")</f>
        <v>0</v>
      </c>
      <c r="O32" s="39" t="s">
        <v>101</v>
      </c>
      <c r="P32" s="100">
        <v>295200000</v>
      </c>
      <c r="Q32" s="100">
        <f>1243761503.24+21049985.5+245706286.99</f>
        <v>1510517775.73</v>
      </c>
      <c r="R32" s="65"/>
      <c r="S32" s="65"/>
      <c r="T32" s="101"/>
      <c r="U32" s="106">
        <f>SUM(P32:T34)</f>
        <v>2623263186.25</v>
      </c>
      <c r="V32" s="100"/>
      <c r="W32" s="100"/>
      <c r="X32" s="65"/>
      <c r="Y32" s="65"/>
      <c r="Z32" s="101"/>
      <c r="AA32" s="106">
        <f>SUM(V32:Z34)</f>
        <v>0</v>
      </c>
      <c r="AB32" s="126">
        <f>IFERROR(AA32/U32,"-")</f>
        <v>0</v>
      </c>
      <c r="AC32" s="126"/>
      <c r="AD32" s="110" t="s">
        <v>45</v>
      </c>
      <c r="AE32" s="110" t="s">
        <v>46</v>
      </c>
    </row>
    <row r="33" spans="1:31" customFormat="1" ht="60" x14ac:dyDescent="0.25">
      <c r="A33" s="57">
        <v>12</v>
      </c>
      <c r="B33" s="17" t="s">
        <v>38</v>
      </c>
      <c r="C33" s="17" t="s">
        <v>40</v>
      </c>
      <c r="D33" s="17" t="s">
        <v>41</v>
      </c>
      <c r="E33" s="54" t="s">
        <v>98</v>
      </c>
      <c r="F33" s="60" t="s">
        <v>99</v>
      </c>
      <c r="G33" s="31"/>
      <c r="H33" s="14" t="s">
        <v>65</v>
      </c>
      <c r="I33" s="40" t="s">
        <v>44</v>
      </c>
      <c r="J33" s="12" t="s">
        <v>44</v>
      </c>
      <c r="K33" s="12" t="s">
        <v>44</v>
      </c>
      <c r="L33" s="153"/>
      <c r="M33" s="135"/>
      <c r="N33" s="105"/>
      <c r="O33" s="41" t="s">
        <v>212</v>
      </c>
      <c r="P33" s="100">
        <v>575355365.50999999</v>
      </c>
      <c r="Q33" s="65">
        <v>19876450</v>
      </c>
      <c r="R33" s="65"/>
      <c r="S33" s="65"/>
      <c r="T33" s="101"/>
      <c r="U33" s="107"/>
      <c r="V33" s="100"/>
      <c r="W33" s="65"/>
      <c r="X33" s="65"/>
      <c r="Y33" s="65"/>
      <c r="Z33" s="101"/>
      <c r="AA33" s="107"/>
      <c r="AB33" s="128"/>
      <c r="AC33" s="128"/>
      <c r="AD33" s="111"/>
      <c r="AE33" s="111"/>
    </row>
    <row r="34" spans="1:31" customFormat="1" ht="60" x14ac:dyDescent="0.25">
      <c r="A34" s="57">
        <v>12</v>
      </c>
      <c r="B34" s="17" t="s">
        <v>38</v>
      </c>
      <c r="C34" s="17" t="s">
        <v>40</v>
      </c>
      <c r="D34" s="17" t="s">
        <v>41</v>
      </c>
      <c r="E34" s="54" t="s">
        <v>98</v>
      </c>
      <c r="F34" s="60" t="s">
        <v>99</v>
      </c>
      <c r="G34" s="31"/>
      <c r="H34" s="14" t="s">
        <v>49</v>
      </c>
      <c r="I34" s="40"/>
      <c r="J34" s="12"/>
      <c r="K34" s="12"/>
      <c r="L34" s="154"/>
      <c r="M34" s="123"/>
      <c r="N34" s="118"/>
      <c r="O34" s="38" t="s">
        <v>102</v>
      </c>
      <c r="P34" s="100"/>
      <c r="Q34" s="100">
        <f>563696519-245706286.99-95676637</f>
        <v>222313595.00999999</v>
      </c>
      <c r="R34" s="65"/>
      <c r="S34" s="65"/>
      <c r="T34" s="101"/>
      <c r="U34" s="119"/>
      <c r="V34" s="100"/>
      <c r="W34" s="65"/>
      <c r="X34" s="65"/>
      <c r="Y34" s="65"/>
      <c r="Z34" s="101"/>
      <c r="AA34" s="119"/>
      <c r="AB34" s="127"/>
      <c r="AC34" s="127"/>
      <c r="AD34" s="129"/>
      <c r="AE34" s="129"/>
    </row>
    <row r="35" spans="1:31" customFormat="1" ht="82.2" customHeight="1" x14ac:dyDescent="0.25">
      <c r="A35" s="57">
        <v>13</v>
      </c>
      <c r="B35" s="13" t="s">
        <v>38</v>
      </c>
      <c r="C35" s="13" t="s">
        <v>40</v>
      </c>
      <c r="D35" s="13" t="s">
        <v>103</v>
      </c>
      <c r="E35" s="54" t="s">
        <v>104</v>
      </c>
      <c r="F35" s="60" t="s">
        <v>105</v>
      </c>
      <c r="G35" s="31" t="s">
        <v>44</v>
      </c>
      <c r="H35" s="32" t="s">
        <v>44</v>
      </c>
      <c r="I35" s="39" t="s">
        <v>106</v>
      </c>
      <c r="J35" s="12">
        <v>44221</v>
      </c>
      <c r="K35" s="12">
        <v>44528</v>
      </c>
      <c r="L35" s="28">
        <v>47</v>
      </c>
      <c r="M35" s="36">
        <v>47</v>
      </c>
      <c r="N35" s="29">
        <f>IFERROR(IF(M35/L35&gt;100%,100%,M35/L35),"-")</f>
        <v>1</v>
      </c>
      <c r="O35" s="40" t="s">
        <v>44</v>
      </c>
      <c r="P35" s="100"/>
      <c r="Q35" s="65"/>
      <c r="R35" s="65"/>
      <c r="S35" s="65"/>
      <c r="T35" s="101"/>
      <c r="U35" s="98">
        <f>SUM(P35:T35)</f>
        <v>0</v>
      </c>
      <c r="V35" s="100"/>
      <c r="W35" s="65"/>
      <c r="X35" s="65"/>
      <c r="Y35" s="65"/>
      <c r="Z35" s="101"/>
      <c r="AA35" s="98">
        <f>SUM(V35:Z35)</f>
        <v>0</v>
      </c>
      <c r="AB35" s="8" t="str">
        <f>IFERROR(AA35/U35,"-")</f>
        <v>-</v>
      </c>
      <c r="AC35" s="10"/>
      <c r="AD35" s="35" t="s">
        <v>45</v>
      </c>
      <c r="AE35" s="11" t="s">
        <v>46</v>
      </c>
    </row>
    <row r="36" spans="1:31" customFormat="1" ht="171.6" customHeight="1" x14ac:dyDescent="0.25">
      <c r="A36" s="57">
        <v>14</v>
      </c>
      <c r="B36" s="17" t="s">
        <v>38</v>
      </c>
      <c r="C36" s="17" t="s">
        <v>40</v>
      </c>
      <c r="D36" s="17" t="s">
        <v>103</v>
      </c>
      <c r="E36" s="54" t="s">
        <v>107</v>
      </c>
      <c r="F36" s="60" t="s">
        <v>108</v>
      </c>
      <c r="G36" s="48">
        <v>20200680010076</v>
      </c>
      <c r="H36" s="42" t="s">
        <v>109</v>
      </c>
      <c r="I36" s="15" t="s">
        <v>110</v>
      </c>
      <c r="J36" s="12">
        <v>44210</v>
      </c>
      <c r="K36" s="12">
        <v>44561</v>
      </c>
      <c r="L36" s="120">
        <v>47</v>
      </c>
      <c r="M36" s="133">
        <v>47</v>
      </c>
      <c r="N36" s="104">
        <f>IFERROR(IF(M36/L36&gt;100%,100%,M36/L36),"-")</f>
        <v>1</v>
      </c>
      <c r="O36" s="34" t="s">
        <v>195</v>
      </c>
      <c r="P36" s="100">
        <f>9125125259+417383651.71+180449011+3073770882</f>
        <v>12796728803.709999</v>
      </c>
      <c r="Q36" s="100">
        <v>4820498758</v>
      </c>
      <c r="R36" s="65"/>
      <c r="S36" s="65"/>
      <c r="T36" s="101"/>
      <c r="U36" s="106">
        <f>SUM(P36:T41)</f>
        <v>254958413142.32089</v>
      </c>
      <c r="V36" s="100">
        <v>12571666357.969999</v>
      </c>
      <c r="W36" s="100">
        <v>2773229684</v>
      </c>
      <c r="X36" s="65"/>
      <c r="Y36" s="65"/>
      <c r="Z36" s="101"/>
      <c r="AA36" s="106">
        <f>SUM(V36:Z41)</f>
        <v>166446891804.31757</v>
      </c>
      <c r="AB36" s="108">
        <f>IFERROR(AA36/U36,"-")</f>
        <v>0.65283937781415702</v>
      </c>
      <c r="AC36" s="126"/>
      <c r="AD36" s="110" t="s">
        <v>45</v>
      </c>
      <c r="AE36" s="112" t="s">
        <v>46</v>
      </c>
    </row>
    <row r="37" spans="1:31" customFormat="1" ht="409.5" customHeight="1" x14ac:dyDescent="0.25">
      <c r="A37" s="57">
        <v>14</v>
      </c>
      <c r="B37" s="17" t="s">
        <v>38</v>
      </c>
      <c r="C37" s="17" t="s">
        <v>40</v>
      </c>
      <c r="D37" s="17" t="s">
        <v>103</v>
      </c>
      <c r="E37" s="54" t="s">
        <v>107</v>
      </c>
      <c r="F37" s="60" t="s">
        <v>108</v>
      </c>
      <c r="G37" s="48">
        <v>20200680010027</v>
      </c>
      <c r="H37" s="42" t="s">
        <v>111</v>
      </c>
      <c r="I37" s="15" t="s">
        <v>112</v>
      </c>
      <c r="J37" s="12">
        <v>44210</v>
      </c>
      <c r="K37" s="12">
        <v>44561</v>
      </c>
      <c r="L37" s="132"/>
      <c r="M37" s="134"/>
      <c r="N37" s="105"/>
      <c r="O37" s="38" t="s">
        <v>194</v>
      </c>
      <c r="P37" s="100">
        <v>1139356981</v>
      </c>
      <c r="Q37" s="100">
        <f>227806563744.3+11695199+10632000+3259928918.5+280746171.7</f>
        <v>231369566033.5</v>
      </c>
      <c r="R37" s="65"/>
      <c r="S37" s="65"/>
      <c r="T37" s="101"/>
      <c r="U37" s="107"/>
      <c r="V37" s="100">
        <v>27253064</v>
      </c>
      <c r="W37" s="100">
        <v>148856861035.22</v>
      </c>
      <c r="X37" s="65"/>
      <c r="Y37" s="65"/>
      <c r="Z37" s="101"/>
      <c r="AA37" s="107"/>
      <c r="AB37" s="109"/>
      <c r="AC37" s="128"/>
      <c r="AD37" s="111"/>
      <c r="AE37" s="113"/>
    </row>
    <row r="38" spans="1:31" customFormat="1" ht="110.4" customHeight="1" x14ac:dyDescent="0.25">
      <c r="A38" s="57">
        <v>14</v>
      </c>
      <c r="B38" s="17" t="s">
        <v>38</v>
      </c>
      <c r="C38" s="17" t="s">
        <v>40</v>
      </c>
      <c r="D38" s="17" t="s">
        <v>103</v>
      </c>
      <c r="E38" s="54" t="s">
        <v>107</v>
      </c>
      <c r="F38" s="60" t="s">
        <v>108</v>
      </c>
      <c r="G38" s="44">
        <v>20210680010032</v>
      </c>
      <c r="H38" s="37" t="s">
        <v>62</v>
      </c>
      <c r="I38" s="15" t="s">
        <v>63</v>
      </c>
      <c r="J38" s="12">
        <v>44278</v>
      </c>
      <c r="K38" s="12">
        <v>44561</v>
      </c>
      <c r="L38" s="132"/>
      <c r="M38" s="134"/>
      <c r="N38" s="105"/>
      <c r="O38" s="39" t="s">
        <v>64</v>
      </c>
      <c r="P38" s="100"/>
      <c r="Q38" s="100">
        <v>1183210654.78756</v>
      </c>
      <c r="R38" s="65"/>
      <c r="S38" s="65"/>
      <c r="T38" s="101"/>
      <c r="U38" s="107"/>
      <c r="V38" s="65"/>
      <c r="W38" s="100">
        <v>1183210654.78756</v>
      </c>
      <c r="X38" s="65"/>
      <c r="Y38" s="65"/>
      <c r="Z38" s="101"/>
      <c r="AA38" s="107"/>
      <c r="AB38" s="109"/>
      <c r="AC38" s="128"/>
      <c r="AD38" s="111"/>
      <c r="AE38" s="113"/>
    </row>
    <row r="39" spans="1:31" customFormat="1" ht="131.4" customHeight="1" x14ac:dyDescent="0.25">
      <c r="A39" s="57">
        <v>14</v>
      </c>
      <c r="B39" s="17" t="s">
        <v>38</v>
      </c>
      <c r="C39" s="17" t="s">
        <v>40</v>
      </c>
      <c r="D39" s="17" t="s">
        <v>103</v>
      </c>
      <c r="E39" s="54" t="s">
        <v>107</v>
      </c>
      <c r="F39" s="60" t="s">
        <v>108</v>
      </c>
      <c r="G39" s="48">
        <v>20210680010027</v>
      </c>
      <c r="H39" s="37" t="s">
        <v>113</v>
      </c>
      <c r="I39" s="9" t="s">
        <v>114</v>
      </c>
      <c r="J39" s="12">
        <v>44267</v>
      </c>
      <c r="K39" s="12">
        <v>44530</v>
      </c>
      <c r="L39" s="132"/>
      <c r="M39" s="135"/>
      <c r="N39" s="105"/>
      <c r="O39" s="38" t="s">
        <v>196</v>
      </c>
      <c r="P39" s="100">
        <f>492131285.15+217720535.63</f>
        <v>709851820.77999997</v>
      </c>
      <c r="Q39" s="100"/>
      <c r="R39" s="65"/>
      <c r="S39" s="65"/>
      <c r="T39" s="101"/>
      <c r="U39" s="107"/>
      <c r="V39" s="65">
        <v>709821787.34000003</v>
      </c>
      <c r="W39" s="65"/>
      <c r="X39" s="65"/>
      <c r="Y39" s="65"/>
      <c r="Z39" s="101"/>
      <c r="AA39" s="107"/>
      <c r="AB39" s="109"/>
      <c r="AC39" s="128"/>
      <c r="AD39" s="111"/>
      <c r="AE39" s="113"/>
    </row>
    <row r="40" spans="1:31" customFormat="1" ht="119.25" customHeight="1" x14ac:dyDescent="0.25">
      <c r="A40" s="57">
        <v>14</v>
      </c>
      <c r="B40" s="17" t="s">
        <v>38</v>
      </c>
      <c r="C40" s="17" t="s">
        <v>40</v>
      </c>
      <c r="D40" s="17" t="s">
        <v>103</v>
      </c>
      <c r="E40" s="54" t="s">
        <v>107</v>
      </c>
      <c r="F40" s="60" t="s">
        <v>108</v>
      </c>
      <c r="G40" s="48">
        <v>20210680010042</v>
      </c>
      <c r="H40" s="37" t="s">
        <v>115</v>
      </c>
      <c r="I40" s="9" t="s">
        <v>116</v>
      </c>
      <c r="J40" s="12">
        <v>44330</v>
      </c>
      <c r="K40" s="12">
        <v>44408</v>
      </c>
      <c r="L40" s="132"/>
      <c r="M40" s="134"/>
      <c r="N40" s="105"/>
      <c r="O40" s="38" t="s">
        <v>117</v>
      </c>
      <c r="P40" s="100">
        <v>324849221</v>
      </c>
      <c r="Q40" s="100"/>
      <c r="R40" s="65"/>
      <c r="S40" s="65"/>
      <c r="T40" s="101"/>
      <c r="U40" s="107"/>
      <c r="V40" s="65">
        <v>324849221</v>
      </c>
      <c r="W40" s="65"/>
      <c r="X40" s="65"/>
      <c r="Y40" s="65"/>
      <c r="Z40" s="101"/>
      <c r="AA40" s="107"/>
      <c r="AB40" s="109"/>
      <c r="AC40" s="128"/>
      <c r="AD40" s="111"/>
      <c r="AE40" s="113"/>
    </row>
    <row r="41" spans="1:31" customFormat="1" ht="114.75" customHeight="1" x14ac:dyDescent="0.25">
      <c r="A41" s="57">
        <v>14</v>
      </c>
      <c r="B41" s="17" t="s">
        <v>38</v>
      </c>
      <c r="C41" s="17" t="s">
        <v>40</v>
      </c>
      <c r="D41" s="17" t="s">
        <v>103</v>
      </c>
      <c r="E41" s="54" t="s">
        <v>107</v>
      </c>
      <c r="F41" s="60" t="s">
        <v>108</v>
      </c>
      <c r="G41" s="47"/>
      <c r="H41" s="71" t="s">
        <v>128</v>
      </c>
      <c r="I41" s="72"/>
      <c r="J41" s="72"/>
      <c r="K41" s="72"/>
      <c r="L41" s="121"/>
      <c r="M41" s="136"/>
      <c r="N41" s="118"/>
      <c r="O41" s="73" t="s">
        <v>209</v>
      </c>
      <c r="P41" s="100">
        <f>60900682+470454830.3+34097066.21+1006706985+584691222</f>
        <v>2156850785.5100002</v>
      </c>
      <c r="Q41" s="100">
        <f>439102519.333333+18397564.7</f>
        <v>457500084.033333</v>
      </c>
      <c r="R41" s="65"/>
      <c r="S41" s="65"/>
      <c r="T41" s="101"/>
      <c r="U41" s="119"/>
      <c r="V41" s="65"/>
      <c r="W41" s="65"/>
      <c r="X41" s="65"/>
      <c r="Y41" s="65"/>
      <c r="Z41" s="101"/>
      <c r="AA41" s="119"/>
      <c r="AB41" s="131"/>
      <c r="AC41" s="127"/>
      <c r="AD41" s="129"/>
      <c r="AE41" s="130"/>
    </row>
    <row r="42" spans="1:31" customFormat="1" ht="120" customHeight="1" x14ac:dyDescent="0.25">
      <c r="A42" s="57">
        <v>15</v>
      </c>
      <c r="B42" s="13" t="s">
        <v>38</v>
      </c>
      <c r="C42" s="13" t="s">
        <v>40</v>
      </c>
      <c r="D42" s="13" t="s">
        <v>103</v>
      </c>
      <c r="E42" s="54" t="s">
        <v>118</v>
      </c>
      <c r="F42" s="60" t="s">
        <v>119</v>
      </c>
      <c r="G42" s="44">
        <v>20200680010132</v>
      </c>
      <c r="H42" s="42" t="s">
        <v>120</v>
      </c>
      <c r="I42" s="16" t="s">
        <v>191</v>
      </c>
      <c r="J42" s="12">
        <v>44312</v>
      </c>
      <c r="K42" s="12">
        <v>44561</v>
      </c>
      <c r="L42" s="28">
        <v>250</v>
      </c>
      <c r="M42" s="36">
        <v>450</v>
      </c>
      <c r="N42" s="29">
        <f>IFERROR(IF(M42/L42&gt;100%,100%,M42/L42),"-")</f>
        <v>1</v>
      </c>
      <c r="O42" s="39" t="s">
        <v>121</v>
      </c>
      <c r="P42" s="100">
        <v>65555266.710224703</v>
      </c>
      <c r="Q42" s="100">
        <v>193579664.79662499</v>
      </c>
      <c r="R42" s="100"/>
      <c r="S42" s="100"/>
      <c r="T42" s="101"/>
      <c r="U42" s="98">
        <f>SUM(P42:T42)</f>
        <v>259134931.50684971</v>
      </c>
      <c r="V42" s="100">
        <v>65555266.710224703</v>
      </c>
      <c r="W42" s="100">
        <v>193579664.79662499</v>
      </c>
      <c r="X42" s="100"/>
      <c r="Y42" s="100"/>
      <c r="Z42" s="101"/>
      <c r="AA42" s="98">
        <f>SUM(V42:Z42)</f>
        <v>259134931.50684971</v>
      </c>
      <c r="AB42" s="8">
        <f>IFERROR(AA42/U42,"-")</f>
        <v>1</v>
      </c>
      <c r="AC42" s="10">
        <v>71021196.369863003</v>
      </c>
      <c r="AD42" s="35" t="s">
        <v>45</v>
      </c>
      <c r="AE42" s="11" t="s">
        <v>46</v>
      </c>
    </row>
    <row r="43" spans="1:31" customFormat="1" ht="114.75" customHeight="1" x14ac:dyDescent="0.25">
      <c r="A43" s="57">
        <v>16</v>
      </c>
      <c r="B43" s="13" t="s">
        <v>38</v>
      </c>
      <c r="C43" s="13" t="s">
        <v>40</v>
      </c>
      <c r="D43" s="13" t="s">
        <v>103</v>
      </c>
      <c r="E43" s="54" t="s">
        <v>122</v>
      </c>
      <c r="F43" s="60" t="s">
        <v>123</v>
      </c>
      <c r="G43" s="44">
        <v>20200680010132</v>
      </c>
      <c r="H43" s="42" t="s">
        <v>120</v>
      </c>
      <c r="I43" s="16" t="s">
        <v>190</v>
      </c>
      <c r="J43" s="12">
        <v>44312</v>
      </c>
      <c r="K43" s="12">
        <v>44561</v>
      </c>
      <c r="L43" s="28">
        <v>35000</v>
      </c>
      <c r="M43" s="94">
        <v>44399</v>
      </c>
      <c r="N43" s="29">
        <f>IFERROR(IF(M43/L43&gt;100%,100%,M43/L43),"-")</f>
        <v>1</v>
      </c>
      <c r="O43" s="39" t="s">
        <v>121</v>
      </c>
      <c r="P43" s="100">
        <v>60933405.289999999</v>
      </c>
      <c r="Q43" s="100">
        <v>179931663.20315099</v>
      </c>
      <c r="R43" s="100"/>
      <c r="S43" s="100"/>
      <c r="T43" s="101"/>
      <c r="U43" s="98">
        <f>SUM(P43:T43)</f>
        <v>240865068.49315098</v>
      </c>
      <c r="V43" s="100">
        <v>60933405.289999999</v>
      </c>
      <c r="W43" s="100">
        <v>179931663.20315099</v>
      </c>
      <c r="X43" s="100"/>
      <c r="Y43" s="100"/>
      <c r="Z43" s="101"/>
      <c r="AA43" s="98">
        <f>SUM(V43:Z43)</f>
        <v>240865068.49315098</v>
      </c>
      <c r="AB43" s="8">
        <f>IFERROR(AA43/U43,"-")</f>
        <v>1</v>
      </c>
      <c r="AC43" s="10">
        <v>186086298.630137</v>
      </c>
      <c r="AD43" s="35" t="s">
        <v>45</v>
      </c>
      <c r="AE43" s="11" t="s">
        <v>46</v>
      </c>
    </row>
    <row r="44" spans="1:31" customFormat="1" ht="81.75" customHeight="1" x14ac:dyDescent="0.25">
      <c r="A44" s="57">
        <v>17</v>
      </c>
      <c r="B44" s="17" t="s">
        <v>38</v>
      </c>
      <c r="C44" s="17" t="s">
        <v>40</v>
      </c>
      <c r="D44" s="17" t="s">
        <v>103</v>
      </c>
      <c r="E44" s="54" t="s">
        <v>124</v>
      </c>
      <c r="F44" s="52" t="s">
        <v>125</v>
      </c>
      <c r="G44" s="44">
        <v>20210680010083</v>
      </c>
      <c r="H44" s="42" t="s">
        <v>205</v>
      </c>
      <c r="I44" s="9" t="s">
        <v>126</v>
      </c>
      <c r="J44" s="12">
        <v>44435</v>
      </c>
      <c r="K44" s="12">
        <v>44561</v>
      </c>
      <c r="L44" s="120">
        <v>500</v>
      </c>
      <c r="M44" s="122">
        <v>0</v>
      </c>
      <c r="N44" s="104">
        <f>IFERROR(IF(M44/L44&gt;100%,100%,M44/L44),"-")</f>
        <v>0</v>
      </c>
      <c r="O44" s="39" t="s">
        <v>127</v>
      </c>
      <c r="P44" s="100"/>
      <c r="Q44" s="100">
        <v>153428613.33000001</v>
      </c>
      <c r="R44" s="100"/>
      <c r="S44" s="100"/>
      <c r="T44" s="101"/>
      <c r="U44" s="106">
        <f>SUM(P44:T45)</f>
        <v>933387153.12</v>
      </c>
      <c r="V44" s="100"/>
      <c r="W44" s="100"/>
      <c r="X44" s="100"/>
      <c r="Y44" s="100"/>
      <c r="Z44" s="101"/>
      <c r="AA44" s="106">
        <f>SUM(V44:Z45)</f>
        <v>0</v>
      </c>
      <c r="AB44" s="108">
        <f>IFERROR(AA44/U44,"-")</f>
        <v>0</v>
      </c>
      <c r="AC44" s="126"/>
      <c r="AD44" s="110" t="s">
        <v>45</v>
      </c>
      <c r="AE44" s="112" t="s">
        <v>46</v>
      </c>
    </row>
    <row r="45" spans="1:31" customFormat="1" ht="60" x14ac:dyDescent="0.25">
      <c r="A45" s="57">
        <v>17</v>
      </c>
      <c r="B45" s="17" t="s">
        <v>38</v>
      </c>
      <c r="C45" s="17" t="s">
        <v>40</v>
      </c>
      <c r="D45" s="17" t="s">
        <v>103</v>
      </c>
      <c r="E45" s="54" t="s">
        <v>124</v>
      </c>
      <c r="F45" s="52" t="s">
        <v>125</v>
      </c>
      <c r="G45" s="31"/>
      <c r="H45" s="50" t="s">
        <v>128</v>
      </c>
      <c r="I45" s="9"/>
      <c r="J45" s="16"/>
      <c r="K45" s="16"/>
      <c r="L45" s="121"/>
      <c r="M45" s="123"/>
      <c r="N45" s="118"/>
      <c r="O45" s="38" t="s">
        <v>129</v>
      </c>
      <c r="P45" s="100">
        <f>720712175+12674978.12</f>
        <v>733387153.12</v>
      </c>
      <c r="Q45" s="100">
        <f>200000000-Q44</f>
        <v>46571386.669999987</v>
      </c>
      <c r="R45" s="100"/>
      <c r="S45" s="100"/>
      <c r="T45" s="101"/>
      <c r="U45" s="119"/>
      <c r="V45" s="100"/>
      <c r="W45" s="100"/>
      <c r="X45" s="100"/>
      <c r="Y45" s="100"/>
      <c r="Z45" s="101"/>
      <c r="AA45" s="119"/>
      <c r="AB45" s="131"/>
      <c r="AC45" s="127"/>
      <c r="AD45" s="129"/>
      <c r="AE45" s="130"/>
    </row>
    <row r="46" spans="1:31" customFormat="1" ht="75" x14ac:dyDescent="0.25">
      <c r="A46" s="57">
        <v>18</v>
      </c>
      <c r="B46" s="13" t="s">
        <v>38</v>
      </c>
      <c r="C46" s="13" t="s">
        <v>40</v>
      </c>
      <c r="D46" s="13" t="s">
        <v>103</v>
      </c>
      <c r="E46" s="54" t="s">
        <v>130</v>
      </c>
      <c r="F46" s="60" t="s">
        <v>131</v>
      </c>
      <c r="G46" s="31" t="s">
        <v>44</v>
      </c>
      <c r="H46" s="31" t="s">
        <v>44</v>
      </c>
      <c r="I46" s="9" t="s">
        <v>132</v>
      </c>
      <c r="J46" s="12">
        <v>44221</v>
      </c>
      <c r="K46" s="12">
        <v>44528</v>
      </c>
      <c r="L46" s="28">
        <v>20</v>
      </c>
      <c r="M46" s="36">
        <v>20</v>
      </c>
      <c r="N46" s="29">
        <f t="shared" ref="N46:N53" si="0">IFERROR(IF(M46/L46&gt;100%,100%,M46/L46),"-")</f>
        <v>1</v>
      </c>
      <c r="O46" s="40" t="s">
        <v>44</v>
      </c>
      <c r="P46" s="100"/>
      <c r="Q46" s="100"/>
      <c r="R46" s="100"/>
      <c r="S46" s="100"/>
      <c r="T46" s="101"/>
      <c r="U46" s="98">
        <f t="shared" ref="U46:U50" si="1">SUM(P46:T46)</f>
        <v>0</v>
      </c>
      <c r="V46" s="100"/>
      <c r="W46" s="100"/>
      <c r="X46" s="100"/>
      <c r="Y46" s="100"/>
      <c r="Z46" s="101"/>
      <c r="AA46" s="98">
        <f t="shared" ref="AA46:AA52" si="2">SUM(V46:Z46)</f>
        <v>0</v>
      </c>
      <c r="AB46" s="8" t="str">
        <f t="shared" ref="AB46:AB53" si="3">IFERROR(AA46/U46,"-")</f>
        <v>-</v>
      </c>
      <c r="AC46" s="10"/>
      <c r="AD46" s="35" t="s">
        <v>45</v>
      </c>
      <c r="AE46" s="11" t="s">
        <v>46</v>
      </c>
    </row>
    <row r="47" spans="1:31" customFormat="1" ht="79.5" customHeight="1" x14ac:dyDescent="0.25">
      <c r="A47" s="57">
        <v>19</v>
      </c>
      <c r="B47" s="13" t="s">
        <v>38</v>
      </c>
      <c r="C47" s="13" t="s">
        <v>40</v>
      </c>
      <c r="D47" s="13" t="s">
        <v>103</v>
      </c>
      <c r="E47" s="54" t="s">
        <v>133</v>
      </c>
      <c r="F47" s="60" t="s">
        <v>134</v>
      </c>
      <c r="G47" s="44">
        <v>20200680010107</v>
      </c>
      <c r="H47" s="42" t="s">
        <v>135</v>
      </c>
      <c r="I47" s="9" t="s">
        <v>136</v>
      </c>
      <c r="J47" s="12">
        <v>44356</v>
      </c>
      <c r="K47" s="12">
        <v>44561</v>
      </c>
      <c r="L47" s="28">
        <v>1</v>
      </c>
      <c r="M47" s="36">
        <v>1</v>
      </c>
      <c r="N47" s="29">
        <f t="shared" si="0"/>
        <v>1</v>
      </c>
      <c r="O47" s="39" t="s">
        <v>137</v>
      </c>
      <c r="P47" s="100">
        <v>50000000</v>
      </c>
      <c r="Q47" s="100"/>
      <c r="R47" s="100"/>
      <c r="S47" s="100"/>
      <c r="T47" s="101"/>
      <c r="U47" s="98">
        <f>SUM(P47:T47)</f>
        <v>50000000</v>
      </c>
      <c r="V47" s="100">
        <v>50000000</v>
      </c>
      <c r="W47" s="100"/>
      <c r="X47" s="100"/>
      <c r="Y47" s="100"/>
      <c r="Z47" s="101"/>
      <c r="AA47" s="98">
        <f t="shared" si="2"/>
        <v>50000000</v>
      </c>
      <c r="AB47" s="8">
        <f t="shared" si="3"/>
        <v>1</v>
      </c>
      <c r="AC47" s="10">
        <v>29000000</v>
      </c>
      <c r="AD47" s="35" t="s">
        <v>45</v>
      </c>
      <c r="AE47" s="11" t="s">
        <v>46</v>
      </c>
    </row>
    <row r="48" spans="1:31" customFormat="1" ht="75.75" customHeight="1" x14ac:dyDescent="0.25">
      <c r="A48" s="57">
        <v>20</v>
      </c>
      <c r="B48" s="13" t="s">
        <v>38</v>
      </c>
      <c r="C48" s="13" t="s">
        <v>40</v>
      </c>
      <c r="D48" s="13" t="s">
        <v>103</v>
      </c>
      <c r="E48" s="54" t="s">
        <v>138</v>
      </c>
      <c r="F48" s="60" t="s">
        <v>139</v>
      </c>
      <c r="G48" s="44">
        <v>20200680010028</v>
      </c>
      <c r="H48" s="37" t="s">
        <v>140</v>
      </c>
      <c r="I48" s="15" t="s">
        <v>141</v>
      </c>
      <c r="J48" s="160">
        <v>44210</v>
      </c>
      <c r="K48" s="160">
        <v>44561</v>
      </c>
      <c r="L48" s="114">
        <v>1</v>
      </c>
      <c r="M48" s="116">
        <v>0.94</v>
      </c>
      <c r="N48" s="104">
        <f t="shared" si="0"/>
        <v>0.94</v>
      </c>
      <c r="O48" s="39" t="s">
        <v>142</v>
      </c>
      <c r="P48" s="100">
        <v>1209795333</v>
      </c>
      <c r="Q48" s="100"/>
      <c r="R48" s="100"/>
      <c r="S48" s="100"/>
      <c r="T48" s="101"/>
      <c r="U48" s="106">
        <f>SUM(P48:T49)</f>
        <v>1210000000</v>
      </c>
      <c r="V48" s="100">
        <v>1004319999.67</v>
      </c>
      <c r="W48" s="100"/>
      <c r="X48" s="100"/>
      <c r="Y48" s="100"/>
      <c r="Z48" s="101"/>
      <c r="AA48" s="106">
        <f>SUM(V48:Z49)</f>
        <v>1004319999.67</v>
      </c>
      <c r="AB48" s="108">
        <f t="shared" si="3"/>
        <v>0.83001652865289255</v>
      </c>
      <c r="AC48" s="126"/>
      <c r="AD48" s="110" t="s">
        <v>45</v>
      </c>
      <c r="AE48" s="112" t="s">
        <v>46</v>
      </c>
    </row>
    <row r="49" spans="1:31" customFormat="1" ht="63.75" customHeight="1" x14ac:dyDescent="0.25">
      <c r="A49" s="57">
        <v>20</v>
      </c>
      <c r="B49" s="13" t="s">
        <v>38</v>
      </c>
      <c r="C49" s="13" t="s">
        <v>40</v>
      </c>
      <c r="D49" s="13" t="s">
        <v>103</v>
      </c>
      <c r="E49" s="54" t="s">
        <v>138</v>
      </c>
      <c r="F49" s="60" t="s">
        <v>139</v>
      </c>
      <c r="G49" s="44"/>
      <c r="H49" s="50" t="s">
        <v>128</v>
      </c>
      <c r="I49" s="15"/>
      <c r="J49" s="161"/>
      <c r="K49" s="161"/>
      <c r="L49" s="115"/>
      <c r="M49" s="117"/>
      <c r="N49" s="118"/>
      <c r="O49" s="39" t="s">
        <v>142</v>
      </c>
      <c r="P49" s="100">
        <v>204667</v>
      </c>
      <c r="Q49" s="100"/>
      <c r="R49" s="100"/>
      <c r="S49" s="100"/>
      <c r="T49" s="101"/>
      <c r="U49" s="119"/>
      <c r="V49" s="100"/>
      <c r="W49" s="100"/>
      <c r="X49" s="100"/>
      <c r="Y49" s="100"/>
      <c r="Z49" s="101"/>
      <c r="AA49" s="119"/>
      <c r="AB49" s="131"/>
      <c r="AC49" s="127"/>
      <c r="AD49" s="129"/>
      <c r="AE49" s="130"/>
    </row>
    <row r="50" spans="1:31" customFormat="1" ht="93.6" x14ac:dyDescent="0.25">
      <c r="A50" s="57">
        <v>21</v>
      </c>
      <c r="B50" s="13" t="s">
        <v>38</v>
      </c>
      <c r="C50" s="13" t="s">
        <v>40</v>
      </c>
      <c r="D50" s="13" t="s">
        <v>103</v>
      </c>
      <c r="E50" s="54" t="s">
        <v>143</v>
      </c>
      <c r="F50" s="60" t="s">
        <v>144</v>
      </c>
      <c r="G50" s="44">
        <v>20200680010154</v>
      </c>
      <c r="H50" s="37" t="s">
        <v>145</v>
      </c>
      <c r="I50" s="9" t="s">
        <v>146</v>
      </c>
      <c r="J50" s="12">
        <v>44372</v>
      </c>
      <c r="K50" s="12">
        <v>44561</v>
      </c>
      <c r="L50" s="28">
        <v>1</v>
      </c>
      <c r="M50" s="95">
        <v>0.7</v>
      </c>
      <c r="N50" s="29">
        <f t="shared" si="0"/>
        <v>0.7</v>
      </c>
      <c r="O50" s="39" t="s">
        <v>147</v>
      </c>
      <c r="P50" s="100">
        <v>50000000</v>
      </c>
      <c r="Q50" s="100"/>
      <c r="R50" s="100"/>
      <c r="S50" s="100"/>
      <c r="T50" s="101"/>
      <c r="U50" s="98">
        <f t="shared" si="1"/>
        <v>50000000</v>
      </c>
      <c r="V50" s="100">
        <v>34682350</v>
      </c>
      <c r="W50" s="100"/>
      <c r="X50" s="100"/>
      <c r="Y50" s="100"/>
      <c r="Z50" s="101"/>
      <c r="AA50" s="98">
        <f t="shared" si="2"/>
        <v>34682350</v>
      </c>
      <c r="AB50" s="8">
        <f t="shared" si="3"/>
        <v>0.69364700000000001</v>
      </c>
      <c r="AC50" s="10"/>
      <c r="AD50" s="35" t="s">
        <v>45</v>
      </c>
      <c r="AE50" s="11" t="s">
        <v>46</v>
      </c>
    </row>
    <row r="51" spans="1:31" customFormat="1" ht="105.75" customHeight="1" x14ac:dyDescent="0.25">
      <c r="A51" s="57">
        <v>22</v>
      </c>
      <c r="B51" s="13" t="s">
        <v>38</v>
      </c>
      <c r="C51" s="13" t="s">
        <v>40</v>
      </c>
      <c r="D51" s="13" t="s">
        <v>103</v>
      </c>
      <c r="E51" s="54" t="s">
        <v>148</v>
      </c>
      <c r="F51" s="60" t="s">
        <v>149</v>
      </c>
      <c r="G51" s="44">
        <v>20200680010115</v>
      </c>
      <c r="H51" s="37" t="s">
        <v>150</v>
      </c>
      <c r="I51" s="15" t="s">
        <v>151</v>
      </c>
      <c r="J51" s="12">
        <v>44217</v>
      </c>
      <c r="K51" s="12">
        <v>44561</v>
      </c>
      <c r="L51" s="30">
        <v>1</v>
      </c>
      <c r="M51" s="91">
        <v>1</v>
      </c>
      <c r="N51" s="29">
        <f t="shared" si="0"/>
        <v>1</v>
      </c>
      <c r="O51" s="39" t="s">
        <v>152</v>
      </c>
      <c r="P51" s="100">
        <v>206000002.94</v>
      </c>
      <c r="Q51" s="100"/>
      <c r="R51" s="100"/>
      <c r="S51" s="100"/>
      <c r="T51" s="101"/>
      <c r="U51" s="98">
        <f>SUM(P51:T51)</f>
        <v>206000002.94</v>
      </c>
      <c r="V51" s="100">
        <v>150350400</v>
      </c>
      <c r="W51" s="100"/>
      <c r="X51" s="100"/>
      <c r="Y51" s="100"/>
      <c r="Z51" s="101"/>
      <c r="AA51" s="98">
        <f t="shared" si="2"/>
        <v>150350400</v>
      </c>
      <c r="AB51" s="8">
        <f t="shared" si="3"/>
        <v>0.72985630026321591</v>
      </c>
      <c r="AC51" s="10"/>
      <c r="AD51" s="35" t="s">
        <v>45</v>
      </c>
      <c r="AE51" s="11" t="s">
        <v>46</v>
      </c>
    </row>
    <row r="52" spans="1:31" customFormat="1" ht="138" customHeight="1" x14ac:dyDescent="0.25">
      <c r="A52" s="57">
        <v>23</v>
      </c>
      <c r="B52" s="13" t="s">
        <v>38</v>
      </c>
      <c r="C52" s="13" t="s">
        <v>40</v>
      </c>
      <c r="D52" s="13" t="s">
        <v>103</v>
      </c>
      <c r="E52" s="54" t="s">
        <v>153</v>
      </c>
      <c r="F52" s="60" t="s">
        <v>154</v>
      </c>
      <c r="G52" s="44">
        <v>20210680010126</v>
      </c>
      <c r="H52" s="37" t="s">
        <v>207</v>
      </c>
      <c r="I52" s="15" t="s">
        <v>213</v>
      </c>
      <c r="J52" s="12">
        <v>44463</v>
      </c>
      <c r="K52" s="12">
        <v>44561</v>
      </c>
      <c r="L52" s="43">
        <v>1</v>
      </c>
      <c r="M52" s="36">
        <v>0</v>
      </c>
      <c r="N52" s="29">
        <f t="shared" si="0"/>
        <v>0</v>
      </c>
      <c r="O52" s="38" t="s">
        <v>208</v>
      </c>
      <c r="P52" s="100">
        <v>20000000</v>
      </c>
      <c r="Q52" s="100"/>
      <c r="R52" s="100"/>
      <c r="S52" s="100"/>
      <c r="T52" s="101"/>
      <c r="U52" s="98">
        <f>SUM(P52:T52)</f>
        <v>20000000</v>
      </c>
      <c r="V52" s="100"/>
      <c r="W52" s="100"/>
      <c r="X52" s="100"/>
      <c r="Y52" s="100"/>
      <c r="Z52" s="101"/>
      <c r="AA52" s="98">
        <f t="shared" si="2"/>
        <v>0</v>
      </c>
      <c r="AB52" s="8">
        <f t="shared" si="3"/>
        <v>0</v>
      </c>
      <c r="AC52" s="10"/>
      <c r="AD52" s="35" t="s">
        <v>45</v>
      </c>
      <c r="AE52" s="11" t="s">
        <v>46</v>
      </c>
    </row>
    <row r="53" spans="1:31" customFormat="1" ht="90" x14ac:dyDescent="0.25">
      <c r="A53" s="57">
        <v>24</v>
      </c>
      <c r="B53" s="13" t="s">
        <v>38</v>
      </c>
      <c r="C53" s="53" t="s">
        <v>40</v>
      </c>
      <c r="D53" s="53" t="s">
        <v>155</v>
      </c>
      <c r="E53" s="54" t="s">
        <v>156</v>
      </c>
      <c r="F53" s="52" t="s">
        <v>157</v>
      </c>
      <c r="G53" s="44">
        <v>20200680010099</v>
      </c>
      <c r="H53" s="37" t="s">
        <v>158</v>
      </c>
      <c r="I53" s="15" t="s">
        <v>159</v>
      </c>
      <c r="J53" s="160">
        <v>44208</v>
      </c>
      <c r="K53" s="160">
        <v>44561</v>
      </c>
      <c r="L53" s="152">
        <v>500</v>
      </c>
      <c r="M53" s="122">
        <v>514</v>
      </c>
      <c r="N53" s="104">
        <f t="shared" si="0"/>
        <v>1</v>
      </c>
      <c r="O53" s="39" t="s">
        <v>160</v>
      </c>
      <c r="P53" s="103">
        <v>894267782</v>
      </c>
      <c r="Q53" s="100"/>
      <c r="R53" s="100"/>
      <c r="S53" s="100"/>
      <c r="T53" s="101"/>
      <c r="U53" s="106">
        <f>SUM(P53:T54)</f>
        <v>1757301616.53</v>
      </c>
      <c r="V53" s="100">
        <f>29456000+32490995+374453400+116062580+304174728+29527095</f>
        <v>886164798</v>
      </c>
      <c r="W53" s="100"/>
      <c r="X53" s="100"/>
      <c r="Y53" s="100"/>
      <c r="Z53" s="101"/>
      <c r="AA53" s="106">
        <f>SUM(V53:Z54)</f>
        <v>886164798</v>
      </c>
      <c r="AB53" s="108">
        <f t="shared" si="3"/>
        <v>0.50427586799233548</v>
      </c>
      <c r="AC53" s="126">
        <v>284463387</v>
      </c>
      <c r="AD53" s="110" t="s">
        <v>45</v>
      </c>
      <c r="AE53" s="112" t="s">
        <v>46</v>
      </c>
    </row>
    <row r="54" spans="1:31" customFormat="1" ht="69.599999999999994" customHeight="1" x14ac:dyDescent="0.25">
      <c r="A54" s="57">
        <v>24</v>
      </c>
      <c r="B54" s="13" t="s">
        <v>38</v>
      </c>
      <c r="C54" s="53" t="s">
        <v>40</v>
      </c>
      <c r="D54" s="53" t="s">
        <v>155</v>
      </c>
      <c r="E54" s="54" t="s">
        <v>156</v>
      </c>
      <c r="F54" s="52" t="s">
        <v>157</v>
      </c>
      <c r="G54" s="44"/>
      <c r="H54" s="46" t="s">
        <v>49</v>
      </c>
      <c r="I54" s="15"/>
      <c r="J54" s="161"/>
      <c r="K54" s="161"/>
      <c r="L54" s="154"/>
      <c r="M54" s="123"/>
      <c r="N54" s="118"/>
      <c r="O54" s="39" t="s">
        <v>161</v>
      </c>
      <c r="P54" s="100">
        <f>497918070.53+365115764</f>
        <v>863033834.52999997</v>
      </c>
      <c r="Q54" s="100"/>
      <c r="R54" s="100"/>
      <c r="S54" s="100"/>
      <c r="T54" s="101"/>
      <c r="U54" s="119"/>
      <c r="V54" s="100"/>
      <c r="W54" s="100"/>
      <c r="X54" s="100"/>
      <c r="Y54" s="100"/>
      <c r="Z54" s="101"/>
      <c r="AA54" s="119"/>
      <c r="AB54" s="131"/>
      <c r="AC54" s="127"/>
      <c r="AD54" s="129"/>
      <c r="AE54" s="130"/>
    </row>
    <row r="55" spans="1:31" customFormat="1" ht="70.2" customHeight="1" x14ac:dyDescent="0.25">
      <c r="A55" s="57">
        <v>25</v>
      </c>
      <c r="B55" s="17" t="s">
        <v>38</v>
      </c>
      <c r="C55" s="17" t="s">
        <v>40</v>
      </c>
      <c r="D55" s="17" t="s">
        <v>155</v>
      </c>
      <c r="E55" s="54" t="s">
        <v>162</v>
      </c>
      <c r="F55" s="60" t="s">
        <v>163</v>
      </c>
      <c r="G55" s="44" t="s">
        <v>164</v>
      </c>
      <c r="H55" s="37" t="s">
        <v>158</v>
      </c>
      <c r="I55" s="13" t="s">
        <v>165</v>
      </c>
      <c r="J55" s="12">
        <v>44208</v>
      </c>
      <c r="K55" s="12">
        <v>44561</v>
      </c>
      <c r="L55" s="114">
        <v>1</v>
      </c>
      <c r="M55" s="116">
        <v>1</v>
      </c>
      <c r="N55" s="104">
        <f>IFERROR(IF(M55/L55&gt;100%,100%,M55/L55),"-")</f>
        <v>1</v>
      </c>
      <c r="O55" s="27" t="s">
        <v>166</v>
      </c>
      <c r="P55" s="103">
        <f>2422978032+20398035</f>
        <v>2443376067</v>
      </c>
      <c r="Q55" s="100"/>
      <c r="R55" s="100"/>
      <c r="S55" s="100"/>
      <c r="T55" s="101"/>
      <c r="U55" s="106">
        <f>SUM(P55:T56)</f>
        <v>2545465649</v>
      </c>
      <c r="V55" s="100">
        <f>2422978032+20398035</f>
        <v>2443376067</v>
      </c>
      <c r="W55" s="100"/>
      <c r="X55" s="100"/>
      <c r="Y55" s="100"/>
      <c r="Z55" s="101"/>
      <c r="AA55" s="106">
        <f>SUM(V55:Z56)</f>
        <v>2545465649</v>
      </c>
      <c r="AB55" s="108">
        <f>IFERROR(AA55/U55,"-")</f>
        <v>1</v>
      </c>
      <c r="AC55" s="126">
        <v>914379645</v>
      </c>
      <c r="AD55" s="110" t="s">
        <v>45</v>
      </c>
      <c r="AE55" s="112" t="s">
        <v>46</v>
      </c>
    </row>
    <row r="56" spans="1:31" customFormat="1" ht="120" x14ac:dyDescent="0.25">
      <c r="A56" s="57">
        <v>25</v>
      </c>
      <c r="B56" s="17" t="s">
        <v>38</v>
      </c>
      <c r="C56" s="17" t="s">
        <v>40</v>
      </c>
      <c r="D56" s="17" t="s">
        <v>155</v>
      </c>
      <c r="E56" s="54" t="s">
        <v>162</v>
      </c>
      <c r="F56" s="60" t="s">
        <v>163</v>
      </c>
      <c r="G56" s="44">
        <v>20200680010060</v>
      </c>
      <c r="H56" s="37" t="s">
        <v>167</v>
      </c>
      <c r="I56" s="15" t="s">
        <v>168</v>
      </c>
      <c r="J56" s="12">
        <v>44412</v>
      </c>
      <c r="K56" s="12">
        <v>44561</v>
      </c>
      <c r="L56" s="124"/>
      <c r="M56" s="125"/>
      <c r="N56" s="105"/>
      <c r="O56" s="39" t="s">
        <v>169</v>
      </c>
      <c r="P56" s="100">
        <v>102089582</v>
      </c>
      <c r="Q56" s="100"/>
      <c r="R56" s="100"/>
      <c r="S56" s="100"/>
      <c r="T56" s="101"/>
      <c r="U56" s="107"/>
      <c r="V56" s="100">
        <v>102089582</v>
      </c>
      <c r="W56" s="100"/>
      <c r="X56" s="100"/>
      <c r="Y56" s="100"/>
      <c r="Z56" s="101"/>
      <c r="AA56" s="107"/>
      <c r="AB56" s="109"/>
      <c r="AC56" s="127"/>
      <c r="AD56" s="111"/>
      <c r="AE56" s="113"/>
    </row>
    <row r="57" spans="1:31" customFormat="1" ht="114.75" customHeight="1" x14ac:dyDescent="0.25">
      <c r="A57" s="57">
        <v>26</v>
      </c>
      <c r="B57" s="13" t="s">
        <v>38</v>
      </c>
      <c r="C57" s="13" t="s">
        <v>40</v>
      </c>
      <c r="D57" s="13" t="s">
        <v>155</v>
      </c>
      <c r="E57" s="54" t="s">
        <v>170</v>
      </c>
      <c r="F57" s="60" t="s">
        <v>171</v>
      </c>
      <c r="G57" s="31"/>
      <c r="H57" s="14" t="s">
        <v>172</v>
      </c>
      <c r="I57" s="12" t="s">
        <v>44</v>
      </c>
      <c r="J57" s="12" t="s">
        <v>44</v>
      </c>
      <c r="K57" s="12" t="s">
        <v>44</v>
      </c>
      <c r="L57" s="43">
        <v>1000</v>
      </c>
      <c r="M57" s="36">
        <v>0</v>
      </c>
      <c r="N57" s="29">
        <f>IFERROR(IF(M57/L57&gt;100%,100%,M57/L57),"-")</f>
        <v>0</v>
      </c>
      <c r="O57" s="38" t="s">
        <v>206</v>
      </c>
      <c r="P57" s="100">
        <v>500000000</v>
      </c>
      <c r="Q57" s="100"/>
      <c r="R57" s="100"/>
      <c r="S57" s="100"/>
      <c r="T57" s="101"/>
      <c r="U57" s="98">
        <f>SUM(P57:T57)</f>
        <v>500000000</v>
      </c>
      <c r="V57" s="100"/>
      <c r="W57" s="100"/>
      <c r="X57" s="100"/>
      <c r="Y57" s="100"/>
      <c r="Z57" s="101"/>
      <c r="AA57" s="98">
        <f>SUM(V57:Z57)</f>
        <v>0</v>
      </c>
      <c r="AB57" s="8">
        <f>IFERROR(AA57/U57,"-")</f>
        <v>0</v>
      </c>
      <c r="AC57" s="10"/>
      <c r="AD57" s="35" t="s">
        <v>45</v>
      </c>
      <c r="AE57" s="11" t="s">
        <v>46</v>
      </c>
    </row>
    <row r="58" spans="1:31" customFormat="1" ht="105" x14ac:dyDescent="0.25">
      <c r="A58" s="57">
        <v>195</v>
      </c>
      <c r="B58" s="17" t="s">
        <v>39</v>
      </c>
      <c r="C58" s="17" t="s">
        <v>173</v>
      </c>
      <c r="D58" s="17" t="s">
        <v>174</v>
      </c>
      <c r="E58" s="54" t="s">
        <v>175</v>
      </c>
      <c r="F58" s="60" t="s">
        <v>176</v>
      </c>
      <c r="G58" s="44">
        <v>20210680010016</v>
      </c>
      <c r="H58" s="45" t="s">
        <v>177</v>
      </c>
      <c r="I58" s="15" t="s">
        <v>178</v>
      </c>
      <c r="J58" s="12">
        <v>44243</v>
      </c>
      <c r="K58" s="12">
        <v>44561</v>
      </c>
      <c r="L58" s="120">
        <v>12</v>
      </c>
      <c r="M58" s="122">
        <v>76</v>
      </c>
      <c r="N58" s="104">
        <f>IFERROR(IF(M58/L58&gt;100%,100%,M58/L58),"-")</f>
        <v>1</v>
      </c>
      <c r="O58" s="39" t="s">
        <v>179</v>
      </c>
      <c r="P58" s="100">
        <v>2798959930.71</v>
      </c>
      <c r="Q58" s="100"/>
      <c r="R58" s="100"/>
      <c r="S58" s="100"/>
      <c r="T58" s="101"/>
      <c r="U58" s="106">
        <f>SUM(P58:T61)</f>
        <v>3144977639</v>
      </c>
      <c r="V58" s="100">
        <v>2798371566.7199998</v>
      </c>
      <c r="W58" s="100"/>
      <c r="X58" s="100"/>
      <c r="Y58" s="100"/>
      <c r="Z58" s="101"/>
      <c r="AA58" s="106">
        <f>SUM(V58:Z61)</f>
        <v>3143349205.7199998</v>
      </c>
      <c r="AB58" s="108">
        <f>IFERROR(AA58/U58,"-")</f>
        <v>0.99948221149180638</v>
      </c>
      <c r="AC58" s="126">
        <v>791222711</v>
      </c>
      <c r="AD58" s="112" t="s">
        <v>45</v>
      </c>
      <c r="AE58" s="112" t="s">
        <v>46</v>
      </c>
    </row>
    <row r="59" spans="1:31" customFormat="1" ht="105" x14ac:dyDescent="0.25">
      <c r="A59" s="57">
        <v>195</v>
      </c>
      <c r="B59" s="17" t="s">
        <v>39</v>
      </c>
      <c r="C59" s="17" t="s">
        <v>173</v>
      </c>
      <c r="D59" s="17" t="s">
        <v>174</v>
      </c>
      <c r="E59" s="54" t="s">
        <v>175</v>
      </c>
      <c r="F59" s="60" t="s">
        <v>176</v>
      </c>
      <c r="G59" s="44">
        <v>20210680010053</v>
      </c>
      <c r="H59" s="45" t="s">
        <v>91</v>
      </c>
      <c r="I59" s="15" t="s">
        <v>180</v>
      </c>
      <c r="J59" s="12">
        <v>44371</v>
      </c>
      <c r="K59" s="12">
        <v>44500</v>
      </c>
      <c r="L59" s="132"/>
      <c r="M59" s="135"/>
      <c r="N59" s="105"/>
      <c r="O59" s="39" t="s">
        <v>181</v>
      </c>
      <c r="P59" s="100">
        <f>185022377.55+2031817</f>
        <v>187054194.55000001</v>
      </c>
      <c r="Q59" s="100"/>
      <c r="R59" s="100"/>
      <c r="S59" s="100"/>
      <c r="T59" s="101"/>
      <c r="U59" s="107"/>
      <c r="V59" s="100">
        <f>185022377.55+2031817</f>
        <v>187054194.55000001</v>
      </c>
      <c r="W59" s="100"/>
      <c r="X59" s="100"/>
      <c r="Y59" s="100"/>
      <c r="Z59" s="101"/>
      <c r="AA59" s="107"/>
      <c r="AB59" s="109"/>
      <c r="AC59" s="128"/>
      <c r="AD59" s="113"/>
      <c r="AE59" s="113"/>
    </row>
    <row r="60" spans="1:31" customFormat="1" ht="105" x14ac:dyDescent="0.25">
      <c r="A60" s="57">
        <v>195</v>
      </c>
      <c r="B60" s="17" t="s">
        <v>39</v>
      </c>
      <c r="C60" s="17" t="s">
        <v>173</v>
      </c>
      <c r="D60" s="17" t="s">
        <v>174</v>
      </c>
      <c r="E60" s="54" t="s">
        <v>175</v>
      </c>
      <c r="F60" s="60" t="s">
        <v>176</v>
      </c>
      <c r="G60" s="44">
        <v>20210680010054</v>
      </c>
      <c r="H60" s="45" t="s">
        <v>94</v>
      </c>
      <c r="I60" s="15" t="s">
        <v>180</v>
      </c>
      <c r="J60" s="12">
        <v>44371</v>
      </c>
      <c r="K60" s="12">
        <v>44500</v>
      </c>
      <c r="L60" s="132"/>
      <c r="M60" s="135"/>
      <c r="N60" s="105"/>
      <c r="O60" s="39" t="s">
        <v>182</v>
      </c>
      <c r="P60" s="100">
        <v>124621932.45</v>
      </c>
      <c r="Q60" s="100">
        <f>33301512</f>
        <v>33301512</v>
      </c>
      <c r="R60" s="100"/>
      <c r="S60" s="100"/>
      <c r="T60" s="101"/>
      <c r="U60" s="107"/>
      <c r="V60" s="100">
        <f>124621932.45</f>
        <v>124621932.45</v>
      </c>
      <c r="W60" s="100">
        <f>33301512</f>
        <v>33301512</v>
      </c>
      <c r="X60" s="100"/>
      <c r="Y60" s="100"/>
      <c r="Z60" s="101"/>
      <c r="AA60" s="107"/>
      <c r="AB60" s="109"/>
      <c r="AC60" s="128"/>
      <c r="AD60" s="113"/>
      <c r="AE60" s="113"/>
    </row>
    <row r="61" spans="1:31" customFormat="1" ht="105" x14ac:dyDescent="0.25">
      <c r="A61" s="57">
        <v>195</v>
      </c>
      <c r="B61" s="17" t="s">
        <v>39</v>
      </c>
      <c r="C61" s="17" t="s">
        <v>173</v>
      </c>
      <c r="D61" s="17" t="s">
        <v>174</v>
      </c>
      <c r="E61" s="54" t="s">
        <v>175</v>
      </c>
      <c r="F61" s="60" t="s">
        <v>176</v>
      </c>
      <c r="G61" s="44"/>
      <c r="H61" s="14" t="s">
        <v>49</v>
      </c>
      <c r="I61" s="15"/>
      <c r="J61" s="12"/>
      <c r="K61" s="12"/>
      <c r="L61" s="121"/>
      <c r="M61" s="123"/>
      <c r="N61" s="118"/>
      <c r="O61" s="39" t="s">
        <v>183</v>
      </c>
      <c r="P61" s="100">
        <f>1040069.29</f>
        <v>1040069.29</v>
      </c>
      <c r="Q61" s="100"/>
      <c r="R61" s="100"/>
      <c r="S61" s="100"/>
      <c r="T61" s="101"/>
      <c r="U61" s="119"/>
      <c r="V61" s="100"/>
      <c r="W61" s="100"/>
      <c r="X61" s="100"/>
      <c r="Y61" s="100"/>
      <c r="Z61" s="101"/>
      <c r="AA61" s="119"/>
      <c r="AB61" s="131"/>
      <c r="AC61" s="127"/>
      <c r="AD61" s="130"/>
      <c r="AE61" s="130"/>
    </row>
    <row r="62" spans="1:31" customFormat="1" ht="105" x14ac:dyDescent="0.25">
      <c r="A62" s="57">
        <v>196</v>
      </c>
      <c r="B62" s="17" t="s">
        <v>39</v>
      </c>
      <c r="C62" s="17" t="s">
        <v>173</v>
      </c>
      <c r="D62" s="17" t="s">
        <v>174</v>
      </c>
      <c r="E62" s="54" t="s">
        <v>184</v>
      </c>
      <c r="F62" s="60" t="s">
        <v>185</v>
      </c>
      <c r="G62" s="44">
        <v>20200680010145</v>
      </c>
      <c r="H62" s="45" t="s">
        <v>186</v>
      </c>
      <c r="I62" s="9" t="s">
        <v>187</v>
      </c>
      <c r="J62" s="12">
        <v>44313</v>
      </c>
      <c r="K62" s="12">
        <v>44561</v>
      </c>
      <c r="L62" s="120">
        <v>47</v>
      </c>
      <c r="M62" s="122">
        <v>47</v>
      </c>
      <c r="N62" s="104">
        <f>IFERROR(IF(M62/L62&gt;100%,100%,M62/L62),"-")</f>
        <v>1</v>
      </c>
      <c r="O62" s="39" t="s">
        <v>188</v>
      </c>
      <c r="P62" s="100"/>
      <c r="Q62" s="100">
        <v>864293138.00999999</v>
      </c>
      <c r="R62" s="100"/>
      <c r="S62" s="100"/>
      <c r="T62" s="101"/>
      <c r="U62" s="106">
        <f>SUM(P62:T63)</f>
        <v>865629616</v>
      </c>
      <c r="V62" s="100"/>
      <c r="W62" s="100">
        <v>853521647</v>
      </c>
      <c r="X62" s="100"/>
      <c r="Y62" s="100"/>
      <c r="Z62" s="101"/>
      <c r="AA62" s="106">
        <f>SUM(V62:Z63)</f>
        <v>853521647</v>
      </c>
      <c r="AB62" s="108">
        <f>IFERROR(AA62/U62,"-")</f>
        <v>0.98601252917390936</v>
      </c>
      <c r="AC62" s="126"/>
      <c r="AD62" s="110" t="s">
        <v>45</v>
      </c>
      <c r="AE62" s="112" t="s">
        <v>46</v>
      </c>
    </row>
    <row r="63" spans="1:31" customFormat="1" ht="105" x14ac:dyDescent="0.25">
      <c r="A63" s="57">
        <v>196</v>
      </c>
      <c r="B63" s="17" t="s">
        <v>39</v>
      </c>
      <c r="C63" s="17" t="s">
        <v>173</v>
      </c>
      <c r="D63" s="17" t="s">
        <v>174</v>
      </c>
      <c r="E63" s="54" t="s">
        <v>184</v>
      </c>
      <c r="F63" s="60" t="s">
        <v>185</v>
      </c>
      <c r="G63" s="44"/>
      <c r="H63" s="14" t="s">
        <v>49</v>
      </c>
      <c r="I63" s="9"/>
      <c r="J63" s="12"/>
      <c r="K63" s="12"/>
      <c r="L63" s="121"/>
      <c r="M63" s="123"/>
      <c r="N63" s="118"/>
      <c r="O63" s="39" t="s">
        <v>188</v>
      </c>
      <c r="P63" s="100"/>
      <c r="Q63" s="100">
        <v>1336477.9900000095</v>
      </c>
      <c r="R63" s="100"/>
      <c r="S63" s="100"/>
      <c r="T63" s="101"/>
      <c r="U63" s="119"/>
      <c r="V63" s="100"/>
      <c r="W63" s="100"/>
      <c r="X63" s="100"/>
      <c r="Y63" s="100"/>
      <c r="Z63" s="101"/>
      <c r="AA63" s="119"/>
      <c r="AB63" s="131"/>
      <c r="AC63" s="127"/>
      <c r="AD63" s="129"/>
      <c r="AE63" s="130"/>
    </row>
    <row r="64" spans="1:31" x14ac:dyDescent="0.25">
      <c r="A64" s="96">
        <f>SUM(--(FREQUENCY(A9:A63,A9:A63)&gt;0))</f>
        <v>28</v>
      </c>
      <c r="B64" s="19"/>
      <c r="C64" s="20"/>
      <c r="D64" s="20"/>
      <c r="E64" s="55"/>
      <c r="F64" s="61"/>
      <c r="G64" s="79"/>
      <c r="H64" s="20"/>
      <c r="I64" s="20"/>
      <c r="J64" s="20"/>
      <c r="K64" s="21"/>
      <c r="L64" s="21"/>
      <c r="M64" s="22" t="s">
        <v>17</v>
      </c>
      <c r="N64" s="21">
        <f>IFERROR(AVERAGE(N9:N63),"-")</f>
        <v>0.78803549581327359</v>
      </c>
      <c r="O64" s="23"/>
      <c r="P64" s="24">
        <f>SUM(P9:P63)</f>
        <v>44867946689.54023</v>
      </c>
      <c r="Q64" s="24">
        <f t="shared" ref="Q64:AC64" si="4">SUM(Q9:Q63)</f>
        <v>274054795613.63977</v>
      </c>
      <c r="R64" s="24">
        <f t="shared" si="4"/>
        <v>0</v>
      </c>
      <c r="S64" s="24">
        <f t="shared" si="4"/>
        <v>0</v>
      </c>
      <c r="T64" s="24">
        <f t="shared" si="4"/>
        <v>0</v>
      </c>
      <c r="U64" s="97">
        <f t="shared" si="4"/>
        <v>318922742303.18005</v>
      </c>
      <c r="V64" s="24">
        <f t="shared" si="4"/>
        <v>35683825153.930222</v>
      </c>
      <c r="W64" s="24">
        <f t="shared" si="4"/>
        <v>183554180507.77979</v>
      </c>
      <c r="X64" s="24">
        <f t="shared" si="4"/>
        <v>0</v>
      </c>
      <c r="Y64" s="24">
        <f t="shared" si="4"/>
        <v>0</v>
      </c>
      <c r="Z64" s="24">
        <f t="shared" si="4"/>
        <v>0</v>
      </c>
      <c r="AA64" s="97">
        <f t="shared" si="4"/>
        <v>219238005661.71002</v>
      </c>
      <c r="AB64" s="70">
        <f>IFERROR(AA64/U64,"-")</f>
        <v>0.68743296284996214</v>
      </c>
      <c r="AC64" s="25">
        <f t="shared" si="4"/>
        <v>2276173238</v>
      </c>
      <c r="AD64" s="23"/>
      <c r="AE64" s="23"/>
    </row>
    <row r="66" spans="14:27" x14ac:dyDescent="0.25">
      <c r="Q66" s="66"/>
      <c r="AA66" s="78"/>
    </row>
    <row r="67" spans="14:27" x14ac:dyDescent="0.25">
      <c r="N67" s="87"/>
      <c r="Q67" s="67"/>
      <c r="U67" s="78"/>
      <c r="V67"/>
      <c r="AA67" s="78"/>
    </row>
    <row r="68" spans="14:27" x14ac:dyDescent="0.25">
      <c r="N68" s="88"/>
      <c r="U68" s="78"/>
      <c r="V68"/>
      <c r="AA68" s="78"/>
    </row>
    <row r="69" spans="14:27" x14ac:dyDescent="0.25">
      <c r="Q69" s="66"/>
      <c r="U69" s="89"/>
      <c r="V69"/>
    </row>
    <row r="70" spans="14:27" x14ac:dyDescent="0.25">
      <c r="Q70" s="68"/>
      <c r="U70" s="78"/>
      <c r="V70"/>
    </row>
    <row r="71" spans="14:27" x14ac:dyDescent="0.25">
      <c r="Q71" s="66"/>
      <c r="U71" s="90"/>
      <c r="V71"/>
    </row>
    <row r="72" spans="14:27" x14ac:dyDescent="0.25">
      <c r="Q72" s="69"/>
      <c r="U72" s="78"/>
      <c r="V72"/>
    </row>
    <row r="73" spans="14:27" x14ac:dyDescent="0.25">
      <c r="U73" s="78"/>
      <c r="V73"/>
    </row>
  </sheetData>
  <mergeCells count="150">
    <mergeCell ref="AA20:AA21"/>
    <mergeCell ref="AB20:AB21"/>
    <mergeCell ref="AC20:AC21"/>
    <mergeCell ref="AD20:AD21"/>
    <mergeCell ref="AE20:AE21"/>
    <mergeCell ref="AA22:AA23"/>
    <mergeCell ref="AB22:AB23"/>
    <mergeCell ref="AC22:AC23"/>
    <mergeCell ref="AD22:AD23"/>
    <mergeCell ref="AE22:AE23"/>
    <mergeCell ref="AD32:AD34"/>
    <mergeCell ref="AE32:AE34"/>
    <mergeCell ref="AD36:AD41"/>
    <mergeCell ref="AE36:AE41"/>
    <mergeCell ref="L27:L31"/>
    <mergeCell ref="M27:M31"/>
    <mergeCell ref="N27:N31"/>
    <mergeCell ref="AD27:AD31"/>
    <mergeCell ref="AE27:AE31"/>
    <mergeCell ref="AC27:AC31"/>
    <mergeCell ref="AA44:AA45"/>
    <mergeCell ref="AB44:AB45"/>
    <mergeCell ref="AB48:AB49"/>
    <mergeCell ref="AC48:AC49"/>
    <mergeCell ref="AA48:AA49"/>
    <mergeCell ref="AA53:AA54"/>
    <mergeCell ref="AB53:AB54"/>
    <mergeCell ref="AD58:AD61"/>
    <mergeCell ref="AE58:AE61"/>
    <mergeCell ref="AD44:AD45"/>
    <mergeCell ref="AE44:AE45"/>
    <mergeCell ref="AD53:AD54"/>
    <mergeCell ref="AE53:AE54"/>
    <mergeCell ref="AD48:AD49"/>
    <mergeCell ref="AE48:AE49"/>
    <mergeCell ref="AC55:AC56"/>
    <mergeCell ref="J48:J49"/>
    <mergeCell ref="K48:K49"/>
    <mergeCell ref="L48:L49"/>
    <mergeCell ref="M48:M49"/>
    <mergeCell ref="N48:N49"/>
    <mergeCell ref="U48:U49"/>
    <mergeCell ref="J53:J54"/>
    <mergeCell ref="K53:K54"/>
    <mergeCell ref="L53:L54"/>
    <mergeCell ref="M53:M54"/>
    <mergeCell ref="N53:N54"/>
    <mergeCell ref="U53:U54"/>
    <mergeCell ref="AC1:AE1"/>
    <mergeCell ref="AC2:AE2"/>
    <mergeCell ref="AC3:AE3"/>
    <mergeCell ref="AC4:AE4"/>
    <mergeCell ref="AC7:AC8"/>
    <mergeCell ref="AD7:AE7"/>
    <mergeCell ref="AC10:AC11"/>
    <mergeCell ref="AB15:AB19"/>
    <mergeCell ref="AC15:AC19"/>
    <mergeCell ref="AB10:AB11"/>
    <mergeCell ref="AD10:AD11"/>
    <mergeCell ref="AE10:AE11"/>
    <mergeCell ref="AD15:AD19"/>
    <mergeCell ref="AE15:AE19"/>
    <mergeCell ref="AB13:AB14"/>
    <mergeCell ref="AC13:AC14"/>
    <mergeCell ref="AD13:AD14"/>
    <mergeCell ref="AE13:AE14"/>
    <mergeCell ref="U15:U19"/>
    <mergeCell ref="AA15:AA19"/>
    <mergeCell ref="U10:U11"/>
    <mergeCell ref="L10:L11"/>
    <mergeCell ref="M10:M11"/>
    <mergeCell ref="N10:N11"/>
    <mergeCell ref="AA10:AA11"/>
    <mergeCell ref="L13:L14"/>
    <mergeCell ref="M13:M14"/>
    <mergeCell ref="N13:N14"/>
    <mergeCell ref="U13:U14"/>
    <mergeCell ref="AA13:AA14"/>
    <mergeCell ref="A1:A4"/>
    <mergeCell ref="A5:C5"/>
    <mergeCell ref="A6:C6"/>
    <mergeCell ref="D5:L5"/>
    <mergeCell ref="D6:L6"/>
    <mergeCell ref="B1:AB4"/>
    <mergeCell ref="L32:L34"/>
    <mergeCell ref="M32:M34"/>
    <mergeCell ref="N32:N34"/>
    <mergeCell ref="U32:U34"/>
    <mergeCell ref="L7:N7"/>
    <mergeCell ref="O7:U7"/>
    <mergeCell ref="V7:AA7"/>
    <mergeCell ref="AB7:AB8"/>
    <mergeCell ref="B7:F7"/>
    <mergeCell ref="G7:K7"/>
    <mergeCell ref="J10:J11"/>
    <mergeCell ref="K10:K11"/>
    <mergeCell ref="U27:U31"/>
    <mergeCell ref="AA27:AA31"/>
    <mergeCell ref="AB27:AB31"/>
    <mergeCell ref="L15:L19"/>
    <mergeCell ref="M15:M19"/>
    <mergeCell ref="N15:N19"/>
    <mergeCell ref="N62:N63"/>
    <mergeCell ref="L62:L63"/>
    <mergeCell ref="M62:M63"/>
    <mergeCell ref="AA62:AA63"/>
    <mergeCell ref="AD62:AD63"/>
    <mergeCell ref="AE62:AE63"/>
    <mergeCell ref="AB62:AB63"/>
    <mergeCell ref="AC62:AC63"/>
    <mergeCell ref="L36:L41"/>
    <mergeCell ref="M36:M41"/>
    <mergeCell ref="N36:N41"/>
    <mergeCell ref="U36:U41"/>
    <mergeCell ref="AA36:AA41"/>
    <mergeCell ref="AB36:AB41"/>
    <mergeCell ref="AC36:AC41"/>
    <mergeCell ref="L58:L61"/>
    <mergeCell ref="M58:M61"/>
    <mergeCell ref="N58:N61"/>
    <mergeCell ref="U58:U61"/>
    <mergeCell ref="AA58:AA61"/>
    <mergeCell ref="AB58:AB61"/>
    <mergeCell ref="AC58:AC61"/>
    <mergeCell ref="U62:U63"/>
    <mergeCell ref="AC53:AC54"/>
    <mergeCell ref="N55:N56"/>
    <mergeCell ref="U55:U56"/>
    <mergeCell ref="AA55:AA56"/>
    <mergeCell ref="AB55:AB56"/>
    <mergeCell ref="AD55:AD56"/>
    <mergeCell ref="AE55:AE56"/>
    <mergeCell ref="L20:L21"/>
    <mergeCell ref="M20:M21"/>
    <mergeCell ref="L22:L23"/>
    <mergeCell ref="M22:M23"/>
    <mergeCell ref="N20:N21"/>
    <mergeCell ref="N22:N23"/>
    <mergeCell ref="U22:U23"/>
    <mergeCell ref="U20:U21"/>
    <mergeCell ref="U44:U45"/>
    <mergeCell ref="L44:L45"/>
    <mergeCell ref="M44:M45"/>
    <mergeCell ref="N44:N45"/>
    <mergeCell ref="L55:L56"/>
    <mergeCell ref="M55:M56"/>
    <mergeCell ref="AC44:AC45"/>
    <mergeCell ref="AA32:AA34"/>
    <mergeCell ref="AB32:AB34"/>
    <mergeCell ref="AC32:AC34"/>
  </mergeCells>
  <conditionalFormatting sqref="N50:N55 N9:N13 N15:N20 N22 N24:N48 N57:N63">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2021-11-04T00:29:57Z</dcterms:modified>
</cp:coreProperties>
</file>