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DA35D8D3-7B39-4F1F-BFFE-DEE030EC48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Acción'!$A$8:$AE$84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5" i="14" l="1"/>
  <c r="P76" i="14"/>
  <c r="P31" i="14"/>
  <c r="P30" i="14"/>
  <c r="P74" i="14"/>
  <c r="P50" i="14"/>
  <c r="N72" i="14"/>
  <c r="N70" i="14"/>
  <c r="N69" i="14"/>
  <c r="N67" i="14"/>
  <c r="N66" i="14"/>
  <c r="N65" i="14"/>
  <c r="N64" i="14"/>
  <c r="N62" i="14"/>
  <c r="N59" i="14"/>
  <c r="N58" i="14"/>
  <c r="N56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7" i="14"/>
  <c r="N36" i="14"/>
  <c r="N35" i="14"/>
  <c r="N34" i="14"/>
  <c r="N33" i="14"/>
  <c r="N32" i="14"/>
  <c r="N30" i="14"/>
  <c r="N29" i="14"/>
  <c r="N28" i="14"/>
  <c r="N27" i="14"/>
  <c r="N26" i="14"/>
  <c r="N25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0" i="14"/>
  <c r="N9" i="14"/>
  <c r="A82" i="14"/>
  <c r="U80" i="14"/>
  <c r="P80" i="14"/>
  <c r="P13" i="14" l="1"/>
  <c r="P10" i="14"/>
  <c r="P40" i="14"/>
  <c r="P37" i="14"/>
  <c r="P77" i="14"/>
  <c r="P78" i="14"/>
  <c r="V34" i="14"/>
  <c r="V80" i="14"/>
  <c r="AA80" i="14" s="1"/>
  <c r="V78" i="14"/>
  <c r="V75" i="14"/>
  <c r="V77" i="14"/>
  <c r="V61" i="14"/>
  <c r="V38" i="14"/>
  <c r="V37" i="14"/>
  <c r="V36" i="14"/>
  <c r="V41" i="14"/>
  <c r="P9" i="14"/>
  <c r="V9" i="14"/>
  <c r="V10" i="14"/>
  <c r="V73" i="14"/>
  <c r="P45" i="14" l="1"/>
  <c r="P44" i="14"/>
  <c r="P43" i="14"/>
  <c r="P32" i="14"/>
  <c r="P39" i="14"/>
  <c r="P41" i="14"/>
  <c r="P56" i="14"/>
  <c r="P55" i="14"/>
  <c r="P61" i="14"/>
  <c r="P71" i="14"/>
  <c r="P67" i="14"/>
  <c r="V65" i="14" l="1"/>
  <c r="V50" i="14" l="1"/>
  <c r="V49" i="14"/>
  <c r="P62" i="14"/>
  <c r="V62" i="14"/>
  <c r="P66" i="14"/>
  <c r="P64" i="14"/>
  <c r="V33" i="14"/>
  <c r="P33" i="14"/>
  <c r="V39" i="14" l="1"/>
  <c r="P26" i="14"/>
  <c r="V26" i="14"/>
  <c r="AA41" i="14" l="1"/>
  <c r="AA40" i="14"/>
  <c r="AA39" i="14"/>
  <c r="AA37" i="14"/>
  <c r="AA36" i="14"/>
  <c r="AA34" i="14"/>
  <c r="AA33" i="14"/>
  <c r="AA32" i="14"/>
  <c r="AA28" i="14"/>
  <c r="AA26" i="14"/>
  <c r="AA22" i="14"/>
  <c r="AA19" i="14"/>
  <c r="AA16" i="14"/>
  <c r="AA13" i="14"/>
  <c r="AA12" i="14"/>
  <c r="AA10" i="14"/>
  <c r="AA9" i="14"/>
  <c r="AA78" i="14"/>
  <c r="AA77" i="14"/>
  <c r="AA76" i="14"/>
  <c r="AA75" i="14"/>
  <c r="AA74" i="14"/>
  <c r="AA73" i="14"/>
  <c r="AA70" i="14"/>
  <c r="AA69" i="14"/>
  <c r="AA67" i="14"/>
  <c r="AA65" i="14"/>
  <c r="AA62" i="14"/>
  <c r="AA58" i="14"/>
  <c r="AA52" i="14"/>
  <c r="AA50" i="14"/>
  <c r="AA49" i="14"/>
  <c r="AA48" i="14"/>
  <c r="AA47" i="14"/>
  <c r="AA46" i="14"/>
  <c r="AA45" i="14"/>
  <c r="AA43" i="14"/>
  <c r="AA42" i="14"/>
  <c r="U10" i="14"/>
  <c r="Z82" i="14"/>
  <c r="U36" i="14"/>
  <c r="T34" i="14"/>
  <c r="U34" i="14" s="1"/>
  <c r="P70" i="14"/>
  <c r="U70" i="14" s="1"/>
  <c r="U50" i="14"/>
  <c r="U76" i="14"/>
  <c r="U73" i="14"/>
  <c r="U72" i="14"/>
  <c r="U69" i="14"/>
  <c r="U66" i="14"/>
  <c r="U65" i="14"/>
  <c r="U62" i="14"/>
  <c r="U59" i="14"/>
  <c r="U58" i="14"/>
  <c r="U53" i="14"/>
  <c r="U52" i="14"/>
  <c r="U49" i="14"/>
  <c r="U48" i="14"/>
  <c r="U47" i="14"/>
  <c r="U46" i="14"/>
  <c r="U45" i="14"/>
  <c r="U43" i="14"/>
  <c r="U42" i="14"/>
  <c r="U41" i="14"/>
  <c r="U40" i="14"/>
  <c r="U39" i="14"/>
  <c r="U29" i="14"/>
  <c r="U28" i="14"/>
  <c r="U27" i="14"/>
  <c r="U26" i="14"/>
  <c r="U22" i="14"/>
  <c r="U19" i="14"/>
  <c r="U16" i="14"/>
  <c r="U15" i="14"/>
  <c r="U12" i="14"/>
  <c r="P24" i="14"/>
  <c r="U23" i="14" s="1"/>
  <c r="V23" i="14"/>
  <c r="AA23" i="14" s="1"/>
  <c r="AC82" i="14"/>
  <c r="R82" i="14"/>
  <c r="T82" i="14"/>
  <c r="X82" i="14"/>
  <c r="N79" i="14"/>
  <c r="N80" i="14"/>
  <c r="N76" i="14"/>
  <c r="U77" i="14"/>
  <c r="N77" i="14"/>
  <c r="U78" i="14"/>
  <c r="N78" i="14"/>
  <c r="U75" i="14"/>
  <c r="N75" i="14"/>
  <c r="U74" i="14"/>
  <c r="N74" i="14"/>
  <c r="N73" i="14"/>
  <c r="V72" i="14"/>
  <c r="AA72" i="14" s="1"/>
  <c r="P68" i="14"/>
  <c r="U67" i="14" s="1"/>
  <c r="V66" i="14"/>
  <c r="AA66" i="14" s="1"/>
  <c r="V64" i="14"/>
  <c r="AA64" i="14" s="1"/>
  <c r="Q64" i="14"/>
  <c r="U64" i="14" s="1"/>
  <c r="W61" i="14"/>
  <c r="AA60" i="14" s="1"/>
  <c r="Q61" i="14"/>
  <c r="M60" i="14"/>
  <c r="N60" i="14" s="1"/>
  <c r="W59" i="14"/>
  <c r="AA59" i="14" s="1"/>
  <c r="V54" i="14"/>
  <c r="AA54" i="14" s="1"/>
  <c r="Q54" i="14"/>
  <c r="U54" i="14" s="1"/>
  <c r="W57" i="14"/>
  <c r="AA56" i="14" s="1"/>
  <c r="Q57" i="14"/>
  <c r="V53" i="14"/>
  <c r="AA53" i="14" s="1"/>
  <c r="V51" i="14"/>
  <c r="AA51" i="14" s="1"/>
  <c r="P51" i="14"/>
  <c r="U51" i="14" s="1"/>
  <c r="V44" i="14"/>
  <c r="AA44" i="14" s="1"/>
  <c r="U44" i="14"/>
  <c r="U37" i="14"/>
  <c r="V35" i="14"/>
  <c r="AA35" i="14" s="1"/>
  <c r="P35" i="14"/>
  <c r="U35" i="14" s="1"/>
  <c r="S82" i="14"/>
  <c r="U33" i="14"/>
  <c r="U32" i="14"/>
  <c r="V29" i="14"/>
  <c r="AA29" i="14" s="1"/>
  <c r="Y82" i="14"/>
  <c r="AA30" i="14"/>
  <c r="U13" i="14"/>
  <c r="V79" i="14"/>
  <c r="AA79" i="14" s="1"/>
  <c r="P79" i="14"/>
  <c r="U79" i="14" s="1"/>
  <c r="V27" i="14"/>
  <c r="AA27" i="14" s="1"/>
  <c r="V25" i="14"/>
  <c r="AA25" i="14" s="1"/>
  <c r="P25" i="14"/>
  <c r="U25" i="14" s="1"/>
  <c r="V21" i="14"/>
  <c r="AA21" i="14" s="1"/>
  <c r="P21" i="14"/>
  <c r="U21" i="14" s="1"/>
  <c r="V20" i="14"/>
  <c r="AA20" i="14" s="1"/>
  <c r="P20" i="14"/>
  <c r="U20" i="14" s="1"/>
  <c r="V18" i="14"/>
  <c r="AA18" i="14" s="1"/>
  <c r="P18" i="14"/>
  <c r="U18" i="14" s="1"/>
  <c r="V17" i="14"/>
  <c r="AA17" i="14" s="1"/>
  <c r="P17" i="14"/>
  <c r="U17" i="14" s="1"/>
  <c r="V15" i="14"/>
  <c r="AA15" i="14" s="1"/>
  <c r="V14" i="14"/>
  <c r="AA14" i="14" s="1"/>
  <c r="P14" i="14"/>
  <c r="U14" i="14" s="1"/>
  <c r="U9" i="14"/>
  <c r="AA82" i="14" l="1"/>
  <c r="AB36" i="14"/>
  <c r="AB64" i="14"/>
  <c r="U30" i="14"/>
  <c r="U56" i="14"/>
  <c r="AB56" i="14" s="1"/>
  <c r="AB34" i="14"/>
  <c r="AB50" i="14"/>
  <c r="U60" i="14"/>
  <c r="AB16" i="14"/>
  <c r="AB53" i="14"/>
  <c r="AB59" i="14"/>
  <c r="AB43" i="14"/>
  <c r="AB19" i="14"/>
  <c r="Q82" i="14"/>
  <c r="AB54" i="14"/>
  <c r="AB23" i="14"/>
  <c r="AB12" i="14"/>
  <c r="AB37" i="14"/>
  <c r="AB67" i="14"/>
  <c r="AB28" i="14"/>
  <c r="AB75" i="14"/>
  <c r="W82" i="14"/>
  <c r="AB77" i="14"/>
  <c r="N82" i="14"/>
  <c r="AB10" i="14"/>
  <c r="AB58" i="14"/>
  <c r="AB14" i="14"/>
  <c r="P82" i="14"/>
  <c r="AB17" i="14"/>
  <c r="AB74" i="14"/>
  <c r="AB70" i="14"/>
  <c r="AB62" i="14"/>
  <c r="V82" i="14"/>
  <c r="AB21" i="14"/>
  <c r="AB46" i="14"/>
  <c r="AB39" i="14"/>
  <c r="AB15" i="14"/>
  <c r="AB26" i="14"/>
  <c r="AB41" i="14"/>
  <c r="AB25" i="14"/>
  <c r="AB18" i="14"/>
  <c r="AB73" i="14"/>
  <c r="AB72" i="14"/>
  <c r="AB35" i="14"/>
  <c r="AB22" i="14"/>
  <c r="AB79" i="14"/>
  <c r="AB45" i="14"/>
  <c r="AB66" i="14"/>
  <c r="AB40" i="14"/>
  <c r="AB48" i="14"/>
  <c r="AB76" i="14"/>
  <c r="AB44" i="14"/>
  <c r="AB49" i="14"/>
  <c r="AB27" i="14"/>
  <c r="AB69" i="14"/>
  <c r="AB13" i="14"/>
  <c r="AB33" i="14"/>
  <c r="AB52" i="14"/>
  <c r="AB65" i="14"/>
  <c r="AB29" i="14"/>
  <c r="AB42" i="14"/>
  <c r="AB47" i="14"/>
  <c r="AB20" i="14"/>
  <c r="AB32" i="14"/>
  <c r="AB51" i="14"/>
  <c r="AB78" i="14"/>
  <c r="U82" i="14" l="1"/>
  <c r="AB30" i="14"/>
  <c r="AB60" i="14"/>
  <c r="AB80" i="14"/>
  <c r="AB9" i="14"/>
  <c r="AB82" i="14" l="1"/>
</calcChain>
</file>

<file path=xl/sharedStrings.xml><?xml version="1.0" encoding="utf-8"?>
<sst xmlns="http://schemas.openxmlformats.org/spreadsheetml/2006/main" count="715" uniqueCount="264">
  <si>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</si>
  <si>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</si>
  <si>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</si>
  <si>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</si>
  <si>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</si>
  <si>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</si>
  <si>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</si>
  <si>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</si>
  <si>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</si>
  <si>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</si>
  <si>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</si>
  <si>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</si>
  <si>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</si>
  <si>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</si>
  <si>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</si>
  <si>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</si>
  <si>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</si>
  <si>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</si>
  <si>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</si>
  <si>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</si>
  <si>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</si>
  <si>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</si>
  <si>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</si>
  <si>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</si>
  <si>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</si>
  <si>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</si>
  <si>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</si>
  <si>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</si>
  <si>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</si>
  <si>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</si>
  <si>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</si>
  <si>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</si>
  <si>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</si>
  <si>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</si>
  <si>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</si>
  <si>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</si>
  <si>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</si>
  <si>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</si>
  <si>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</si>
  <si>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</si>
  <si>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</si>
  <si>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</si>
  <si>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</si>
  <si>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</si>
  <si>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</si>
  <si>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</si>
  <si>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</si>
  <si>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2.3.2.02.02.009.4102021.201 $12.000.000
2.3.2.02.02.009.4102043.201 $12.000.000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</si>
  <si>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</si>
  <si>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</si>
  <si>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</si>
  <si>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</si>
  <si>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</si>
  <si>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</si>
  <si>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</si>
  <si>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2.3.2.02.02.009.4102038.201 $40.000.000
2.3.2.02.02.009.4102043.201 $60.000.000
2.3.2.02.02.009.4102021.201 $28.000.000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</si>
  <si>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</si>
  <si>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</si>
  <si>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2.3.2.02.02.009.4102043.201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</si>
  <si>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</si>
  <si>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</si>
  <si>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2.3.2.02.02.009.4102043.213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</si>
  <si>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</si>
  <si>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</si>
  <si>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2.3.2.02.02.009.4102043.201 $12.500.000
2.3.2.02.02.009.4102021.201 $10.000.000
2.3.2.02.02.009.4102043.213 $50.000.000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</si>
  <si>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</si>
  <si>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</si>
  <si>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2.3.2.02.02.009.4102043.201 $10.000.000
2.3.2.02.02.009.4102021.201 $10.000.000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</si>
  <si>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</si>
  <si>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</si>
  <si>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</si>
  <si>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</si>
  <si>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2.3.2.02.02.009.4102043.201  40.000.000                                                                                                                                                                                                                                                                                                              2.3.2.02.01.003.4102043.201: 20.000.000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</si>
  <si>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</si>
  <si>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</si>
  <si>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2.3.2.02.02.009.4102016.201 $150.000.000
2.3.2.02.02.009.4102043.201 $1.901.217
2.3.2.02.02.009.4102021.201 $10.000.000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</si>
  <si>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</si>
  <si>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</si>
  <si>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</si>
  <si>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</si>
  <si>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</si>
  <si>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2.3.2.02.02.009.4102043.201 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</si>
  <si>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</si>
  <si>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</si>
  <si>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</si>
  <si>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</si>
  <si>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</si>
  <si>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</si>
  <si>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</si>
  <si>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</si>
  <si>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</si>
  <si>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</si>
  <si>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</si>
  <si>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2.3.2.02.02.009.4102043.201 $20.000.000
2.3.2.02.02.009.4102021.201 $10.000.000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</si>
  <si>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</si>
  <si>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</si>
  <si>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PENDIENTE POR ADICIONAR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</si>
  <si>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</si>
  <si>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</si>
  <si>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</si>
  <si>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</si>
  <si>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</si>
  <si>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</si>
  <si>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</si>
  <si>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PENDIENTE POR DEFINIR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</si>
  <si>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</si>
  <si>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</si>
  <si>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</si>
  <si>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 xml:space="preserve">Coadyuvar en el segumiento, registro, incorporación, retiros y novedades de adultos mayores con posibilidad de ser beneficiarios del programa colombia mayor de prosperidad social </t>
  </si>
  <si>
    <t>2.3.2.02.02.009.4104008.201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</si>
  <si>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</si>
  <si>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</si>
  <si>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2.3.2.02.02.009.4104008.220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</si>
  <si>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</si>
  <si>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</si>
  <si>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</si>
  <si>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</si>
  <si>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</si>
  <si>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</si>
  <si>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</si>
  <si>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</si>
  <si>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</si>
  <si>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</si>
  <si>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 xml:space="preserve">DOTACION DE CENTROS VIDA PARA LA PRESTACION DE SERVICIOS INTEGRALES A LA POBLACION ADULTOS MAYORES EN EL MUNICIPIO DE BUCARAMANGA 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</si>
  <si>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</si>
  <si>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</si>
  <si>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</si>
  <si>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</si>
  <si>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</si>
  <si>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</si>
  <si>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2.3.2.02.02.009.4103050.201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</si>
  <si>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</si>
  <si>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</si>
  <si>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2.3.2.02.02.009.4103050.501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</si>
  <si>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</si>
  <si>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</si>
  <si>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</si>
  <si>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</si>
  <si>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DESARROLLO DE ACCIONES DE BIENESTAR SOCIAL EN EL MARCO DE LA EMERGENCIA SANITARIA A CAUSA DEL COVID-19 FOCALIZADAS A LA POBLACIÓN VULNERABLE DEL MUNICIPIO DE BUCARAMANGA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</si>
  <si>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</si>
  <si>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</si>
  <si>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</si>
  <si>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</si>
  <si>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</si>
  <si>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</si>
  <si>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2.3.2.02.02.009.4502038.201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</si>
  <si>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</si>
  <si>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</si>
  <si>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</si>
  <si>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</si>
  <si>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</si>
  <si>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</si>
  <si>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</si>
  <si>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</si>
  <si>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</si>
  <si>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</si>
  <si>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</si>
  <si>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</si>
  <si>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</si>
  <si>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</si>
  <si>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</si>
  <si>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</si>
  <si>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</si>
  <si>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</si>
  <si>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</si>
  <si>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</si>
  <si>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</si>
  <si>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</si>
  <si>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</si>
  <si>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</si>
  <si>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</si>
  <si>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</si>
  <si>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</si>
  <si>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</si>
  <si>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</si>
  <si>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</si>
  <si>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>2.3.2.02.02.009.4104027.201
2.3.2.02.02.009.4104027.213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</si>
  <si>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</si>
  <si>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</si>
  <si>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</si>
  <si>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</si>
  <si>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</si>
  <si>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</si>
  <si>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2.3.2.02.02.009.4104027.213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</si>
  <si>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</si>
  <si>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</si>
  <si>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</si>
  <si>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2.3.2.02.02.009.4104020.201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</si>
  <si>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</si>
  <si>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</si>
  <si>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2.3.2.02.02.009.4104020.201
2.3.2.02.02.009.4104020.213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</si>
  <si>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</si>
  <si>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</si>
  <si>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2.3.2.02.02.009.4104020.201: 26.000.000                                                                                                                                                                                                                                                                                         2.3.2.02.02.009.4104020.501: 25.000.000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</si>
  <si>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</si>
  <si>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</si>
  <si>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</si>
  <si>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</si>
  <si>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 xml:space="preserve">2.3.2.02.01.002.4104008.201 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</si>
  <si>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</si>
  <si>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</si>
  <si>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</si>
  <si>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</si>
  <si>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</si>
  <si>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</si>
  <si>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</si>
  <si>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</si>
  <si>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</si>
  <si>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2.3.2.02.01.000.1702010.201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</si>
  <si>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</si>
  <si>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</si>
  <si>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</si>
  <si>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</si>
  <si>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2.3.2.02.02.009.1702010.201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</si>
  <si>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</si>
  <si>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</si>
  <si>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</si>
  <si>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</si>
  <si>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</si>
  <si>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</si>
  <si>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</si>
  <si>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</si>
  <si>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</si>
  <si>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</si>
  <si>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</si>
  <si>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Beneficiar al 100% de los Ediles con póliza. EPS. Pensión y Seguro de vida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</si>
  <si>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</si>
  <si>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</si>
  <si>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</si>
  <si>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</si>
  <si>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2.3.2.02.02.009.4502001.201</t>
  </si>
  <si>
    <t>Construir y/o dotar 10 salones comunales con el programa Ágoras.</t>
  </si>
  <si>
    <t>Número de salones comunales con el programa Ágoras construidos y/o dotados.</t>
  </si>
  <si>
    <t xml:space="preserve">DOTACION DE SALONES COMUNALES PARA FOMENTAR LA INTEGRACION COMUNITARIA Y LA CIUDADANIA PARTICIPATIVA EN EL MUNICIPIO DE BUCARAMANGA 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</si>
  <si>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</si>
  <si>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</si>
  <si>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</si>
  <si>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</si>
  <si>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</si>
  <si>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</si>
  <si>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Pendiente por adicionar a proyecto</t>
  </si>
  <si>
    <t xml:space="preserve">2.3.2.02.02.009.4502038.201: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</si>
  <si>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2.3.2.02.02.009.4104008.201
2.3.2.02.02.009.4104008.220</t>
  </si>
  <si>
    <t>2.3.2.02.02.009.4102043.201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</t>
  </si>
  <si>
    <t>2.3.2.02.02.009.4599006.201 $300.000.000
2.3.2.02.02.009.4599031.201 $494.000.000
2.3.2.02.02.009.4599031.501 $120.000.000</t>
  </si>
  <si>
    <t>PREVENCIÓN DEL CONTAGIO Y PROPAGACIÓN DE LA FIEBRE AFTOSA Y BRUCELOSIS EN LA ESPECIE BOVINA DEL MUNICIPIO DE BUCARAMANGA</t>
  </si>
  <si>
    <t>2.3.2.02.01.000.1707042.201 $95.345.490
2.3.2.02.01.000.1707042.201  Pendiente por definir</t>
  </si>
  <si>
    <t xml:space="preserve">2.3.2.02.02.009.4102043.201: 252.000.000,00
2.3.2.01.01.004.4103031.201: 374.200.000,00
 2.3.2.02.02.009.4102043.297:           28.189,13
2.3.2.02.02.009.4102043.298:      5.349 132,00 
 2.3.2.02.02.009.4102043.299:   11.995.542,14 </t>
  </si>
  <si>
    <t>2.3.2.02.02.009.4103050.201                                                                                                                                                                                                                                                                                                                          2.3.2.02.02.009.4103050.501: 7.000.000</t>
  </si>
  <si>
    <t>2.3.2.02.02.009.1905035.201 - 2.3.2.02.02.009.1905035.501</t>
  </si>
  <si>
    <t xml:space="preserve">2.3.2.02.02.009.4104027.201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</si>
  <si>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2.3.2.02.02.009.4104027.201
2.3.2.02.02.009.4104027.213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</si>
  <si>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2.3.2.02.02.009.4104027.201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</si>
  <si>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2.3.2.02.01.000.1702010.201
2.3.2.02.02.009.1702010.201</t>
  </si>
  <si>
    <t>2.3.2.02.02.009.4502001.201 
2.3.2.02.02.009.4502001.501</t>
  </si>
  <si>
    <t>N/A</t>
  </si>
  <si>
    <t>2.3.2.02.01.002.4104008.201
2.3.2.02.02.009.4103050.501
2.3.2.02.02.009.4104008.520:</t>
  </si>
  <si>
    <t>2.3.2.02.01.002.4104008.220
2.3.2.02.01.002.4104008.201
2.3.2.02.01.002.4104008.288</t>
  </si>
  <si>
    <t xml:space="preserve">2.3.2.02.02.009.4104008.220
2.3.2.02.02.009.4104008.258 </t>
  </si>
  <si>
    <t>2.3.2.02.02.009.4104008.501</t>
  </si>
  <si>
    <t>2.3.2.02.02.009.4104008.220 
2.3.2.02.02.009.4104008.288 
2.3.2.02.02.009.4104008.201</t>
  </si>
  <si>
    <t>2.3.2.02.02.009.4502001.501</t>
  </si>
  <si>
    <t>2.3.2.02.02.009.4502001.20
2.3.2.02.02.009.4502001.501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</si>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</sst>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5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165" fontId="15" fillId="2" borderId="2" xfId="0" applyNumberFormat="1" applyFont="1" applyFill="1" applyBorder="1" applyAlignment="1">
      <alignment vertical="center" wrapText="1"/>
    </xf>
    <xf numFmtId="43" fontId="9" fillId="0" borderId="2" xfId="11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44" fontId="11" fillId="0" borderId="2" xfId="108" applyFont="1" applyFill="1" applyBorder="1" applyAlignment="1">
      <alignment horizontal="right" vertical="center" wrapText="1"/>
    </xf>
    <xf numFmtId="44" fontId="9" fillId="0" borderId="2" xfId="108" applyFont="1" applyFill="1" applyBorder="1" applyAlignment="1">
      <alignment horizontal="right" vertical="center" wrapText="1"/>
    </xf>
    <xf numFmtId="7" fontId="9" fillId="0" borderId="2" xfId="108" applyNumberFormat="1" applyFont="1" applyFill="1" applyBorder="1" applyAlignment="1">
      <alignment horizontal="right" vertical="center" wrapText="1"/>
    </xf>
    <xf numFmtId="44" fontId="8" fillId="0" borderId="2" xfId="108" applyFont="1" applyBorder="1" applyAlignment="1">
      <alignment horizontal="right" vertical="center"/>
    </xf>
    <xf numFmtId="44" fontId="9" fillId="2" borderId="2" xfId="108" applyFont="1" applyFill="1" applyBorder="1" applyAlignment="1">
      <alignment horizontal="right" vertical="center" wrapText="1"/>
    </xf>
    <xf numFmtId="5" fontId="8" fillId="0" borderId="2" xfId="0" applyNumberFormat="1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44" fontId="9" fillId="0" borderId="2" xfId="108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vertical="center" wrapText="1"/>
    </xf>
    <xf numFmtId="5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/>
    </xf>
    <xf numFmtId="44" fontId="9" fillId="0" borderId="2" xfId="108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center" wrapText="1"/>
    </xf>
    <xf numFmtId="5" fontId="14" fillId="0" borderId="2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left" vertical="top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8" fontId="0" fillId="0" borderId="0" xfId="110" applyNumberFormat="1" applyFont="1"/>
    <xf numFmtId="168" fontId="0" fillId="0" borderId="0" xfId="0" applyNumberFormat="1"/>
    <xf numFmtId="166" fontId="7" fillId="2" borderId="4" xfId="108" applyNumberFormat="1" applyFont="1" applyFill="1" applyBorder="1" applyAlignment="1">
      <alignment horizontal="right" vertical="center"/>
    </xf>
    <xf numFmtId="44" fontId="9" fillId="2" borderId="2" xfId="108" applyNumberFormat="1" applyFont="1" applyFill="1" applyBorder="1" applyAlignment="1">
      <alignment horizontal="right" vertical="center" wrapText="1"/>
    </xf>
    <xf numFmtId="168" fontId="0" fillId="0" borderId="0" xfId="0" applyNumberFormat="1" applyFont="1"/>
    <xf numFmtId="0" fontId="11" fillId="3" borderId="2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/>
    </xf>
    <xf numFmtId="166" fontId="8" fillId="0" borderId="2" xfId="108" applyNumberFormat="1" applyFont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3" fontId="8" fillId="0" borderId="2" xfId="110" applyFont="1" applyBorder="1" applyAlignment="1">
      <alignment horizontal="justify" vertical="center" wrapText="1"/>
    </xf>
    <xf numFmtId="166" fontId="0" fillId="0" borderId="0" xfId="0" applyNumberFormat="1" applyFont="1"/>
    <xf numFmtId="166" fontId="0" fillId="0" borderId="0" xfId="0" applyNumberFormat="1"/>
    <xf numFmtId="43" fontId="0" fillId="0" borderId="0" xfId="110" applyFont="1"/>
    <xf numFmtId="10" fontId="0" fillId="0" borderId="0" xfId="107" applyNumberFormat="1" applyFont="1"/>
    <xf numFmtId="168" fontId="8" fillId="0" borderId="2" xfId="110" applyNumberFormat="1" applyFont="1" applyBorder="1" applyAlignment="1">
      <alignment horizontal="right" vertical="center"/>
    </xf>
    <xf numFmtId="44" fontId="7" fillId="2" borderId="4" xfId="108" applyNumberFormat="1" applyFont="1" applyFill="1" applyBorder="1" applyAlignment="1">
      <alignment vertical="center"/>
    </xf>
    <xf numFmtId="7" fontId="9" fillId="2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5" fontId="9" fillId="2" borderId="2" xfId="108" applyNumberFormat="1" applyFont="1" applyFill="1" applyBorder="1" applyAlignment="1">
      <alignment horizontal="right" vertical="center" wrapText="1"/>
    </xf>
    <xf numFmtId="7" fontId="9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43" fontId="14" fillId="0" borderId="2" xfId="110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65" fontId="8" fillId="0" borderId="4" xfId="0" applyNumberFormat="1" applyFont="1" applyBorder="1" applyAlignment="1">
      <alignment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5" fontId="9" fillId="0" borderId="4" xfId="108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/>
    </xf>
    <xf numFmtId="166" fontId="8" fillId="0" borderId="4" xfId="108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66" fontId="9" fillId="0" borderId="4" xfId="108" applyNumberFormat="1" applyFont="1" applyFill="1" applyBorder="1" applyAlignment="1">
      <alignment horizontal="right" vertical="center"/>
    </xf>
    <xf numFmtId="5" fontId="0" fillId="0" borderId="0" xfId="0" applyNumberFormat="1" applyFont="1"/>
    <xf numFmtId="0" fontId="3" fillId="0" borderId="2" xfId="0" applyFont="1" applyBorder="1" applyAlignment="1">
      <alignment horizontal="right"/>
    </xf>
    <xf numFmtId="5" fontId="0" fillId="0" borderId="0" xfId="0" applyNumberFormat="1"/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5" fontId="9" fillId="2" borderId="2" xfId="108" applyNumberFormat="1" applyFont="1" applyFill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9" fillId="2" borderId="1" xfId="107" applyFont="1" applyFill="1" applyBorder="1" applyAlignment="1">
      <alignment horizontal="center" vertical="center" wrapText="1"/>
    </xf>
    <xf numFmtId="9" fontId="9" fillId="2" borderId="4" xfId="107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5" fontId="9" fillId="2" borderId="4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7" fontId="9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44" fontId="9" fillId="2" borderId="2" xfId="108" applyFont="1" applyFill="1" applyBorder="1" applyAlignment="1">
      <alignment horizontal="right" vertical="center" wrapText="1"/>
    </xf>
    <xf numFmtId="44" fontId="9" fillId="2" borderId="2" xfId="108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zoomScale="60" zoomScaleNormal="6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" customWidth="1"/>
    <col min="2" max="2" width="18.8984375" style="1" customWidth="1"/>
    <col min="3" max="4" width="21.09765625" style="1" customWidth="1"/>
    <col min="5" max="5" width="58.796875" style="1" customWidth="1"/>
    <col min="6" max="6" width="47.19921875" style="1" customWidth="1"/>
    <col min="7" max="7" width="24.3984375" style="1" customWidth="1"/>
    <col min="8" max="8" width="51.796875" style="1" customWidth="1"/>
    <col min="9" max="9" width="39.09765625" style="1" customWidth="1"/>
    <col min="10" max="10" width="15.19921875" style="1" customWidth="1"/>
    <col min="11" max="11" width="16" style="1" customWidth="1"/>
    <col min="12" max="13" width="14.8984375" style="1" customWidth="1"/>
    <col min="14" max="14" width="11.69921875" style="1" customWidth="1"/>
    <col min="15" max="15" width="40.09765625" style="86" customWidth="1"/>
    <col min="16" max="26" width="23.5" style="1" customWidth="1"/>
    <col min="27" max="27" width="25.296875" style="1" customWidth="1"/>
    <col min="28" max="28" width="16.19921875" style="1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154"/>
      <c r="B1" s="159" t="s">
        <v>238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64" t="s">
        <v>263</v>
      </c>
      <c r="AD1" s="164"/>
      <c r="AE1" s="164"/>
    </row>
    <row r="2" spans="1:31" x14ac:dyDescent="0.25">
      <c r="A2" s="154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65" t="s">
        <v>37</v>
      </c>
      <c r="AD2" s="165"/>
      <c r="AE2" s="165"/>
    </row>
    <row r="3" spans="1:31" x14ac:dyDescent="0.25">
      <c r="A3" s="154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65" t="s">
        <v>34</v>
      </c>
      <c r="AD3" s="165"/>
      <c r="AE3" s="165"/>
    </row>
    <row r="4" spans="1:31" x14ac:dyDescent="0.25">
      <c r="A4" s="154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5" t="s">
        <v>33</v>
      </c>
      <c r="AD4" s="165"/>
      <c r="AE4" s="165"/>
    </row>
    <row r="5" spans="1:31" x14ac:dyDescent="0.25">
      <c r="A5" s="155" t="s">
        <v>31</v>
      </c>
      <c r="B5" s="155"/>
      <c r="C5" s="155"/>
      <c r="D5" s="157">
        <v>44385</v>
      </c>
      <c r="E5" s="157"/>
      <c r="F5" s="157"/>
      <c r="G5" s="157"/>
      <c r="H5" s="157"/>
      <c r="I5" s="157"/>
      <c r="J5" s="157"/>
      <c r="K5" s="157"/>
      <c r="L5" s="157"/>
      <c r="M5" s="2"/>
      <c r="N5" s="2"/>
      <c r="O5" s="8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56" t="s">
        <v>32</v>
      </c>
      <c r="B6" s="156"/>
      <c r="C6" s="156"/>
      <c r="D6" s="158">
        <v>44469</v>
      </c>
      <c r="E6" s="158"/>
      <c r="F6" s="158"/>
      <c r="G6" s="158"/>
      <c r="H6" s="158"/>
      <c r="I6" s="158"/>
      <c r="J6" s="158"/>
      <c r="K6" s="158"/>
      <c r="L6" s="158"/>
      <c r="M6" s="2"/>
      <c r="N6" s="2"/>
      <c r="O6" s="8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62" t="s">
        <v>10</v>
      </c>
      <c r="C7" s="162"/>
      <c r="D7" s="162"/>
      <c r="E7" s="162"/>
      <c r="F7" s="162"/>
      <c r="G7" s="162" t="s">
        <v>11</v>
      </c>
      <c r="H7" s="162"/>
      <c r="I7" s="162"/>
      <c r="J7" s="162"/>
      <c r="K7" s="162"/>
      <c r="L7" s="162" t="s">
        <v>26</v>
      </c>
      <c r="M7" s="162"/>
      <c r="N7" s="162"/>
      <c r="O7" s="162" t="s">
        <v>24</v>
      </c>
      <c r="P7" s="162"/>
      <c r="Q7" s="162"/>
      <c r="R7" s="162"/>
      <c r="S7" s="162"/>
      <c r="T7" s="162"/>
      <c r="U7" s="162"/>
      <c r="V7" s="162" t="s">
        <v>18</v>
      </c>
      <c r="W7" s="162"/>
      <c r="X7" s="162"/>
      <c r="Y7" s="162"/>
      <c r="Z7" s="162"/>
      <c r="AA7" s="162"/>
      <c r="AB7" s="163" t="s">
        <v>19</v>
      </c>
      <c r="AC7" s="163" t="s">
        <v>27</v>
      </c>
      <c r="AD7" s="163" t="s">
        <v>25</v>
      </c>
      <c r="AE7" s="163"/>
    </row>
    <row r="8" spans="1:31" ht="27.6" x14ac:dyDescent="0.25">
      <c r="A8" s="7" t="s">
        <v>30</v>
      </c>
      <c r="B8" s="18" t="s">
        <v>1</v>
      </c>
      <c r="C8" s="7" t="s">
        <v>6</v>
      </c>
      <c r="D8" s="7" t="s">
        <v>2</v>
      </c>
      <c r="E8" s="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87" t="s">
        <v>9</v>
      </c>
      <c r="P8" s="65" t="s">
        <v>36</v>
      </c>
      <c r="Q8" s="65" t="s">
        <v>8</v>
      </c>
      <c r="R8" s="65" t="s">
        <v>28</v>
      </c>
      <c r="S8" s="65" t="s">
        <v>35</v>
      </c>
      <c r="T8" s="65" t="s">
        <v>12</v>
      </c>
      <c r="U8" s="65" t="s">
        <v>21</v>
      </c>
      <c r="V8" s="65" t="s">
        <v>36</v>
      </c>
      <c r="W8" s="65" t="s">
        <v>8</v>
      </c>
      <c r="X8" s="65" t="s">
        <v>28</v>
      </c>
      <c r="Y8" s="65" t="s">
        <v>35</v>
      </c>
      <c r="Z8" s="65" t="s">
        <v>12</v>
      </c>
      <c r="AA8" s="65" t="s">
        <v>29</v>
      </c>
      <c r="AB8" s="163"/>
      <c r="AC8" s="163"/>
      <c r="AD8" s="65" t="s">
        <v>13</v>
      </c>
      <c r="AE8" s="65" t="s">
        <v>14</v>
      </c>
    </row>
    <row r="9" spans="1:31" ht="99" customHeight="1" x14ac:dyDescent="0.25">
      <c r="A9" s="28">
        <v>67</v>
      </c>
      <c r="B9" s="12" t="s">
        <v>41</v>
      </c>
      <c r="C9" s="12" t="s">
        <v>42</v>
      </c>
      <c r="D9" s="118" t="s">
        <v>43</v>
      </c>
      <c r="E9" s="16" t="s">
        <v>44</v>
      </c>
      <c r="F9" s="13" t="s">
        <v>45</v>
      </c>
      <c r="G9" s="48">
        <v>20210680010003</v>
      </c>
      <c r="H9" s="42" t="s">
        <v>46</v>
      </c>
      <c r="I9" s="9"/>
      <c r="J9" s="11">
        <v>44197</v>
      </c>
      <c r="K9" s="11">
        <v>44561</v>
      </c>
      <c r="L9" s="67">
        <v>1</v>
      </c>
      <c r="M9" s="43">
        <v>0.8</v>
      </c>
      <c r="N9" s="69">
        <f>IFERROR(IF(M9/L9&gt;100%,100%,M9/L9),"-")</f>
        <v>0.8</v>
      </c>
      <c r="O9" s="37" t="s">
        <v>47</v>
      </c>
      <c r="P9" s="29">
        <f>24000000+25000000</f>
        <v>49000000</v>
      </c>
      <c r="Q9" s="30"/>
      <c r="R9" s="30"/>
      <c r="S9" s="30"/>
      <c r="T9" s="31"/>
      <c r="U9" s="66">
        <f>SUM(P9:T9)</f>
        <v>49000000</v>
      </c>
      <c r="V9" s="109">
        <f>12000000+12000000+20533359</f>
        <v>44533359</v>
      </c>
      <c r="W9" s="73"/>
      <c r="X9" s="73"/>
      <c r="Y9" s="73"/>
      <c r="Z9" s="74"/>
      <c r="AA9" s="66">
        <f>SUM(V9:Z9)</f>
        <v>44533359</v>
      </c>
      <c r="AB9" s="8">
        <f t="shared" ref="AB9:AB28" si="0">IFERROR(AA9/U9,"-")</f>
        <v>0.9088440612244898</v>
      </c>
      <c r="AC9" s="29"/>
      <c r="AD9" s="10" t="s">
        <v>48</v>
      </c>
      <c r="AE9" s="10" t="s">
        <v>49</v>
      </c>
    </row>
    <row r="10" spans="1:31" ht="105" x14ac:dyDescent="0.25">
      <c r="A10" s="28">
        <v>68</v>
      </c>
      <c r="B10" s="12" t="s">
        <v>41</v>
      </c>
      <c r="C10" s="12" t="s">
        <v>42</v>
      </c>
      <c r="D10" s="118" t="s">
        <v>43</v>
      </c>
      <c r="E10" s="16" t="s">
        <v>50</v>
      </c>
      <c r="F10" s="13" t="s">
        <v>51</v>
      </c>
      <c r="G10" s="48">
        <v>20210680010003</v>
      </c>
      <c r="H10" s="42" t="s">
        <v>46</v>
      </c>
      <c r="I10" s="9"/>
      <c r="J10" s="11">
        <v>44197</v>
      </c>
      <c r="K10" s="11">
        <v>44561</v>
      </c>
      <c r="L10" s="139">
        <v>1</v>
      </c>
      <c r="M10" s="168">
        <v>0.8</v>
      </c>
      <c r="N10" s="141">
        <f>IFERROR(IF(M10/L10&gt;100%,100%,M10/L10),"-")</f>
        <v>0.8</v>
      </c>
      <c r="O10" s="37" t="s">
        <v>243</v>
      </c>
      <c r="P10" s="109">
        <f>192000000-25000000+30000000</f>
        <v>197000000</v>
      </c>
      <c r="Q10" s="80"/>
      <c r="R10" s="80"/>
      <c r="S10" s="80"/>
      <c r="T10" s="31"/>
      <c r="U10" s="142">
        <f>SUM(P10:T11)</f>
        <v>210200000</v>
      </c>
      <c r="V10" s="109">
        <f>16000000+16000000+14000000+20998948+10328256+4603848+99990390+8050000+9990071</f>
        <v>199961513</v>
      </c>
      <c r="W10" s="73"/>
      <c r="X10" s="73"/>
      <c r="Y10" s="73"/>
      <c r="Z10" s="74"/>
      <c r="AA10" s="142">
        <f>SUM(V10:Z11)</f>
        <v>199961513</v>
      </c>
      <c r="AB10" s="152">
        <f t="shared" si="0"/>
        <v>0.95129168886774496</v>
      </c>
      <c r="AC10" s="153"/>
      <c r="AD10" s="151" t="s">
        <v>48</v>
      </c>
      <c r="AE10" s="151" t="s">
        <v>49</v>
      </c>
    </row>
    <row r="11" spans="1:31" ht="105" x14ac:dyDescent="0.25">
      <c r="A11" s="64">
        <v>68</v>
      </c>
      <c r="B11" s="12" t="s">
        <v>41</v>
      </c>
      <c r="C11" s="12" t="s">
        <v>42</v>
      </c>
      <c r="D11" s="118" t="s">
        <v>43</v>
      </c>
      <c r="E11" s="16" t="s">
        <v>50</v>
      </c>
      <c r="F11" s="13" t="s">
        <v>51</v>
      </c>
      <c r="G11" s="48">
        <v>20210680010003</v>
      </c>
      <c r="H11" s="42" t="s">
        <v>46</v>
      </c>
      <c r="I11" s="9" t="s">
        <v>240</v>
      </c>
      <c r="J11" s="11"/>
      <c r="K11" s="11"/>
      <c r="L11" s="139"/>
      <c r="M11" s="168"/>
      <c r="N11" s="141"/>
      <c r="O11" s="37"/>
      <c r="P11" s="109">
        <v>13200000</v>
      </c>
      <c r="Q11" s="80"/>
      <c r="R11" s="80"/>
      <c r="S11" s="80"/>
      <c r="T11" s="31"/>
      <c r="U11" s="142"/>
      <c r="V11" s="109"/>
      <c r="W11" s="73"/>
      <c r="X11" s="73"/>
      <c r="Y11" s="73"/>
      <c r="Z11" s="74"/>
      <c r="AA11" s="142"/>
      <c r="AB11" s="152"/>
      <c r="AC11" s="153"/>
      <c r="AD11" s="151"/>
      <c r="AE11" s="151"/>
    </row>
    <row r="12" spans="1:31" ht="75" x14ac:dyDescent="0.25">
      <c r="A12" s="28">
        <v>69</v>
      </c>
      <c r="B12" s="12" t="s">
        <v>41</v>
      </c>
      <c r="C12" s="12" t="s">
        <v>42</v>
      </c>
      <c r="D12" s="118" t="s">
        <v>43</v>
      </c>
      <c r="E12" s="16" t="s">
        <v>97</v>
      </c>
      <c r="F12" s="13" t="s">
        <v>98</v>
      </c>
      <c r="G12" s="36"/>
      <c r="H12" s="36" t="s">
        <v>255</v>
      </c>
      <c r="I12" s="9"/>
      <c r="J12" s="11">
        <v>44197</v>
      </c>
      <c r="K12" s="11">
        <v>44561</v>
      </c>
      <c r="L12" s="67">
        <v>0</v>
      </c>
      <c r="M12" s="68">
        <v>0</v>
      </c>
      <c r="N12" s="69" t="str">
        <f t="shared" ref="N12:N23" si="1">IFERROR(IF(M12/L12&gt;100%,100%,M12/L12),"-")</f>
        <v>-</v>
      </c>
      <c r="O12" s="37"/>
      <c r="P12" s="109"/>
      <c r="Q12" s="80"/>
      <c r="R12" s="80"/>
      <c r="S12" s="80"/>
      <c r="T12" s="31"/>
      <c r="U12" s="66">
        <f t="shared" ref="U12:U22" si="2">SUM(P12:T12)</f>
        <v>0</v>
      </c>
      <c r="V12" s="109"/>
      <c r="W12" s="73"/>
      <c r="X12" s="73"/>
      <c r="Y12" s="73"/>
      <c r="Z12" s="74"/>
      <c r="AA12" s="66">
        <f t="shared" ref="AA12:AA22" si="3">SUM(V12:Z12)</f>
        <v>0</v>
      </c>
      <c r="AB12" s="8" t="str">
        <f>IFERROR(AA12/U12,"-")</f>
        <v>-</v>
      </c>
      <c r="AC12" s="29"/>
      <c r="AD12" s="10" t="s">
        <v>48</v>
      </c>
      <c r="AE12" s="10" t="s">
        <v>49</v>
      </c>
    </row>
    <row r="13" spans="1:31" ht="150" x14ac:dyDescent="0.25">
      <c r="A13" s="28">
        <v>70</v>
      </c>
      <c r="B13" s="12" t="s">
        <v>41</v>
      </c>
      <c r="C13" s="12" t="s">
        <v>42</v>
      </c>
      <c r="D13" s="118" t="s">
        <v>43</v>
      </c>
      <c r="E13" s="16" t="s">
        <v>99</v>
      </c>
      <c r="F13" s="13" t="s">
        <v>100</v>
      </c>
      <c r="G13" s="36"/>
      <c r="H13" s="36" t="s">
        <v>104</v>
      </c>
      <c r="I13" s="9"/>
      <c r="J13" s="11">
        <v>44197</v>
      </c>
      <c r="K13" s="11">
        <v>44561</v>
      </c>
      <c r="L13" s="67">
        <v>1</v>
      </c>
      <c r="M13" s="68">
        <v>0</v>
      </c>
      <c r="N13" s="69">
        <f t="shared" si="1"/>
        <v>0</v>
      </c>
      <c r="O13" s="37" t="s">
        <v>247</v>
      </c>
      <c r="P13" s="109">
        <f>622000000-370000000+374200000+28189.13+5349132+11995542.14-60000000-10000000-30000000</f>
        <v>543572863.26999998</v>
      </c>
      <c r="Q13" s="81"/>
      <c r="R13" s="80"/>
      <c r="S13" s="80"/>
      <c r="T13" s="31"/>
      <c r="U13" s="66">
        <f t="shared" si="2"/>
        <v>543572863.26999998</v>
      </c>
      <c r="V13" s="109"/>
      <c r="W13" s="73"/>
      <c r="X13" s="73"/>
      <c r="Y13" s="73"/>
      <c r="Z13" s="74"/>
      <c r="AA13" s="66">
        <f t="shared" si="3"/>
        <v>0</v>
      </c>
      <c r="AB13" s="8">
        <f>IFERROR(AA13/U13,"-")</f>
        <v>0</v>
      </c>
      <c r="AC13" s="29"/>
      <c r="AD13" s="10" t="s">
        <v>48</v>
      </c>
      <c r="AE13" s="10" t="s">
        <v>49</v>
      </c>
    </row>
    <row r="14" spans="1:31" ht="78" x14ac:dyDescent="0.25">
      <c r="A14" s="28">
        <v>71</v>
      </c>
      <c r="B14" s="12" t="s">
        <v>41</v>
      </c>
      <c r="C14" s="12" t="s">
        <v>42</v>
      </c>
      <c r="D14" s="118" t="s">
        <v>52</v>
      </c>
      <c r="E14" s="16" t="s">
        <v>53</v>
      </c>
      <c r="F14" s="13" t="s">
        <v>54</v>
      </c>
      <c r="G14" s="48">
        <v>20210680010003</v>
      </c>
      <c r="H14" s="42" t="s">
        <v>46</v>
      </c>
      <c r="I14" s="9"/>
      <c r="J14" s="11">
        <v>44197</v>
      </c>
      <c r="K14" s="11">
        <v>44561</v>
      </c>
      <c r="L14" s="67">
        <v>1</v>
      </c>
      <c r="M14" s="43">
        <v>0.8</v>
      </c>
      <c r="N14" s="69">
        <f t="shared" si="1"/>
        <v>0.8</v>
      </c>
      <c r="O14" s="37" t="s">
        <v>55</v>
      </c>
      <c r="P14" s="109">
        <f>40000000+60000000+28000000</f>
        <v>128000000</v>
      </c>
      <c r="Q14" s="80"/>
      <c r="R14" s="80"/>
      <c r="S14" s="80"/>
      <c r="T14" s="31"/>
      <c r="U14" s="66">
        <f t="shared" si="2"/>
        <v>128000000</v>
      </c>
      <c r="V14" s="109">
        <f>12000000+16000000+12000000+12000000+8000000+8000000+8000000+16500000</f>
        <v>92500000</v>
      </c>
      <c r="W14" s="73"/>
      <c r="X14" s="73"/>
      <c r="Y14" s="73"/>
      <c r="Z14" s="74"/>
      <c r="AA14" s="66">
        <f t="shared" si="3"/>
        <v>92500000</v>
      </c>
      <c r="AB14" s="8">
        <f t="shared" si="0"/>
        <v>0.72265625</v>
      </c>
      <c r="AC14" s="29"/>
      <c r="AD14" s="10" t="s">
        <v>48</v>
      </c>
      <c r="AE14" s="10" t="s">
        <v>49</v>
      </c>
    </row>
    <row r="15" spans="1:31" ht="90" x14ac:dyDescent="0.25">
      <c r="A15" s="28">
        <v>72</v>
      </c>
      <c r="B15" s="12" t="s">
        <v>41</v>
      </c>
      <c r="C15" s="12" t="s">
        <v>42</v>
      </c>
      <c r="D15" s="118" t="s">
        <v>52</v>
      </c>
      <c r="E15" s="16" t="s">
        <v>56</v>
      </c>
      <c r="F15" s="13" t="s">
        <v>57</v>
      </c>
      <c r="G15" s="48">
        <v>20210680010003</v>
      </c>
      <c r="H15" s="42" t="s">
        <v>46</v>
      </c>
      <c r="I15" s="9"/>
      <c r="J15" s="11">
        <v>44197</v>
      </c>
      <c r="K15" s="11">
        <v>44561</v>
      </c>
      <c r="L15" s="67">
        <v>1</v>
      </c>
      <c r="M15" s="43">
        <v>0.8</v>
      </c>
      <c r="N15" s="69">
        <f t="shared" si="1"/>
        <v>0.8</v>
      </c>
      <c r="O15" s="37" t="s">
        <v>58</v>
      </c>
      <c r="P15" s="109">
        <v>90000000</v>
      </c>
      <c r="Q15" s="80"/>
      <c r="R15" s="80"/>
      <c r="S15" s="80"/>
      <c r="T15" s="31"/>
      <c r="U15" s="66">
        <f t="shared" si="2"/>
        <v>90000000</v>
      </c>
      <c r="V15" s="109">
        <f>24000000+15200000+16000000+6000000+16000000+12000000</f>
        <v>89200000</v>
      </c>
      <c r="W15" s="73"/>
      <c r="X15" s="73"/>
      <c r="Y15" s="73"/>
      <c r="Z15" s="74"/>
      <c r="AA15" s="66">
        <f t="shared" si="3"/>
        <v>89200000</v>
      </c>
      <c r="AB15" s="8">
        <f t="shared" si="0"/>
        <v>0.99111111111111116</v>
      </c>
      <c r="AC15" s="29"/>
      <c r="AD15" s="10" t="s">
        <v>48</v>
      </c>
      <c r="AE15" s="10" t="s">
        <v>49</v>
      </c>
    </row>
    <row r="16" spans="1:31" ht="78" x14ac:dyDescent="0.25">
      <c r="A16" s="28">
        <v>73</v>
      </c>
      <c r="B16" s="12" t="s">
        <v>41</v>
      </c>
      <c r="C16" s="12" t="s">
        <v>42</v>
      </c>
      <c r="D16" s="118" t="s">
        <v>52</v>
      </c>
      <c r="E16" s="16" t="s">
        <v>59</v>
      </c>
      <c r="F16" s="13" t="s">
        <v>60</v>
      </c>
      <c r="G16" s="48">
        <v>20210680010003</v>
      </c>
      <c r="H16" s="42" t="s">
        <v>46</v>
      </c>
      <c r="I16" s="9"/>
      <c r="J16" s="11">
        <v>44197</v>
      </c>
      <c r="K16" s="11">
        <v>44561</v>
      </c>
      <c r="L16" s="67">
        <v>1</v>
      </c>
      <c r="M16" s="43">
        <v>0.3</v>
      </c>
      <c r="N16" s="69">
        <f t="shared" si="1"/>
        <v>0.3</v>
      </c>
      <c r="O16" s="37" t="s">
        <v>61</v>
      </c>
      <c r="P16" s="109"/>
      <c r="Q16" s="33">
        <v>70000000</v>
      </c>
      <c r="R16" s="80"/>
      <c r="S16" s="80"/>
      <c r="T16" s="31"/>
      <c r="U16" s="66">
        <f t="shared" si="2"/>
        <v>70000000</v>
      </c>
      <c r="V16" s="109"/>
      <c r="W16" s="73"/>
      <c r="X16" s="73"/>
      <c r="Y16" s="73"/>
      <c r="Z16" s="74"/>
      <c r="AA16" s="66">
        <f t="shared" si="3"/>
        <v>0</v>
      </c>
      <c r="AB16" s="8">
        <f t="shared" si="0"/>
        <v>0</v>
      </c>
      <c r="AC16" s="29"/>
      <c r="AD16" s="10" t="s">
        <v>48</v>
      </c>
      <c r="AE16" s="10" t="s">
        <v>49</v>
      </c>
    </row>
    <row r="17" spans="1:31" ht="90" x14ac:dyDescent="0.25">
      <c r="A17" s="28">
        <v>74</v>
      </c>
      <c r="B17" s="12" t="s">
        <v>41</v>
      </c>
      <c r="C17" s="12" t="s">
        <v>42</v>
      </c>
      <c r="D17" s="118" t="s">
        <v>52</v>
      </c>
      <c r="E17" s="16" t="s">
        <v>62</v>
      </c>
      <c r="F17" s="13" t="s">
        <v>63</v>
      </c>
      <c r="G17" s="48">
        <v>20210680010003</v>
      </c>
      <c r="H17" s="42" t="s">
        <v>46</v>
      </c>
      <c r="I17" s="9"/>
      <c r="J17" s="11">
        <v>44197</v>
      </c>
      <c r="K17" s="11">
        <v>44561</v>
      </c>
      <c r="L17" s="67">
        <v>1</v>
      </c>
      <c r="M17" s="43">
        <v>0.8</v>
      </c>
      <c r="N17" s="69">
        <f t="shared" si="1"/>
        <v>0.8</v>
      </c>
      <c r="O17" s="37" t="s">
        <v>64</v>
      </c>
      <c r="P17" s="109">
        <f>12500000+10000000</f>
        <v>22500000</v>
      </c>
      <c r="Q17" s="33">
        <v>50000000</v>
      </c>
      <c r="R17" s="80"/>
      <c r="S17" s="80"/>
      <c r="T17" s="31"/>
      <c r="U17" s="66">
        <f t="shared" si="2"/>
        <v>72500000</v>
      </c>
      <c r="V17" s="109">
        <f>12500000+10000000</f>
        <v>22500000</v>
      </c>
      <c r="W17" s="54">
        <v>1886133</v>
      </c>
      <c r="X17" s="73"/>
      <c r="Y17" s="73"/>
      <c r="Z17" s="74"/>
      <c r="AA17" s="66">
        <f t="shared" si="3"/>
        <v>24386133</v>
      </c>
      <c r="AB17" s="8">
        <f t="shared" si="0"/>
        <v>0.33636045517241381</v>
      </c>
      <c r="AC17" s="29"/>
      <c r="AD17" s="10" t="s">
        <v>48</v>
      </c>
      <c r="AE17" s="10" t="s">
        <v>49</v>
      </c>
    </row>
    <row r="18" spans="1:31" ht="90" x14ac:dyDescent="0.25">
      <c r="A18" s="28">
        <v>75</v>
      </c>
      <c r="B18" s="12" t="s">
        <v>41</v>
      </c>
      <c r="C18" s="12" t="s">
        <v>42</v>
      </c>
      <c r="D18" s="118" t="s">
        <v>52</v>
      </c>
      <c r="E18" s="16" t="s">
        <v>65</v>
      </c>
      <c r="F18" s="13" t="s">
        <v>66</v>
      </c>
      <c r="G18" s="48">
        <v>20210680010003</v>
      </c>
      <c r="H18" s="42" t="s">
        <v>46</v>
      </c>
      <c r="I18" s="9"/>
      <c r="J18" s="11">
        <v>44197</v>
      </c>
      <c r="K18" s="11">
        <v>44561</v>
      </c>
      <c r="L18" s="67">
        <v>1</v>
      </c>
      <c r="M18" s="43">
        <v>0.8</v>
      </c>
      <c r="N18" s="69">
        <f t="shared" si="1"/>
        <v>0.8</v>
      </c>
      <c r="O18" s="37" t="s">
        <v>67</v>
      </c>
      <c r="P18" s="109">
        <f>10000000+10000000</f>
        <v>20000000</v>
      </c>
      <c r="Q18" s="80"/>
      <c r="R18" s="80"/>
      <c r="S18" s="80"/>
      <c r="T18" s="31"/>
      <c r="U18" s="66">
        <f t="shared" si="2"/>
        <v>20000000</v>
      </c>
      <c r="V18" s="109">
        <f>4000000+10000000</f>
        <v>14000000</v>
      </c>
      <c r="W18" s="73"/>
      <c r="X18" s="73"/>
      <c r="Y18" s="73"/>
      <c r="Z18" s="74"/>
      <c r="AA18" s="66">
        <f t="shared" si="3"/>
        <v>14000000</v>
      </c>
      <c r="AB18" s="8">
        <f t="shared" si="0"/>
        <v>0.7</v>
      </c>
      <c r="AC18" s="29"/>
      <c r="AD18" s="10" t="s">
        <v>48</v>
      </c>
      <c r="AE18" s="10" t="s">
        <v>49</v>
      </c>
    </row>
    <row r="19" spans="1:31" ht="78" x14ac:dyDescent="0.25">
      <c r="A19" s="28">
        <v>76</v>
      </c>
      <c r="B19" s="12" t="s">
        <v>41</v>
      </c>
      <c r="C19" s="12" t="s">
        <v>42</v>
      </c>
      <c r="D19" s="118" t="s">
        <v>52</v>
      </c>
      <c r="E19" s="16" t="s">
        <v>68</v>
      </c>
      <c r="F19" s="13" t="s">
        <v>69</v>
      </c>
      <c r="G19" s="48">
        <v>20210680010003</v>
      </c>
      <c r="H19" s="42" t="s">
        <v>46</v>
      </c>
      <c r="I19" s="9"/>
      <c r="J19" s="11">
        <v>44197</v>
      </c>
      <c r="K19" s="11">
        <v>44561</v>
      </c>
      <c r="L19" s="67">
        <v>1</v>
      </c>
      <c r="M19" s="44">
        <v>0.8</v>
      </c>
      <c r="N19" s="69">
        <f t="shared" si="1"/>
        <v>0.8</v>
      </c>
      <c r="O19" s="37" t="s">
        <v>58</v>
      </c>
      <c r="P19" s="109">
        <v>10000000</v>
      </c>
      <c r="Q19" s="80"/>
      <c r="R19" s="80"/>
      <c r="S19" s="80"/>
      <c r="T19" s="31"/>
      <c r="U19" s="66">
        <f t="shared" si="2"/>
        <v>10000000</v>
      </c>
      <c r="V19" s="109"/>
      <c r="W19" s="73"/>
      <c r="X19" s="73"/>
      <c r="Y19" s="73"/>
      <c r="Z19" s="74"/>
      <c r="AA19" s="66">
        <f t="shared" si="3"/>
        <v>0</v>
      </c>
      <c r="AB19" s="8">
        <f t="shared" si="0"/>
        <v>0</v>
      </c>
      <c r="AC19" s="29"/>
      <c r="AD19" s="10" t="s">
        <v>48</v>
      </c>
      <c r="AE19" s="10" t="s">
        <v>49</v>
      </c>
    </row>
    <row r="20" spans="1:31" ht="78" x14ac:dyDescent="0.25">
      <c r="A20" s="28">
        <v>77</v>
      </c>
      <c r="B20" s="12" t="s">
        <v>41</v>
      </c>
      <c r="C20" s="12" t="s">
        <v>42</v>
      </c>
      <c r="D20" s="118" t="s">
        <v>52</v>
      </c>
      <c r="E20" s="16" t="s">
        <v>70</v>
      </c>
      <c r="F20" s="13" t="s">
        <v>71</v>
      </c>
      <c r="G20" s="48">
        <v>20210680010003</v>
      </c>
      <c r="H20" s="42" t="s">
        <v>46</v>
      </c>
      <c r="I20" s="9"/>
      <c r="J20" s="11">
        <v>44197</v>
      </c>
      <c r="K20" s="11">
        <v>44561</v>
      </c>
      <c r="L20" s="67">
        <v>1</v>
      </c>
      <c r="M20" s="68">
        <v>4</v>
      </c>
      <c r="N20" s="69">
        <f t="shared" si="1"/>
        <v>1</v>
      </c>
      <c r="O20" s="37" t="s">
        <v>72</v>
      </c>
      <c r="P20" s="109">
        <f>40000000+20000000</f>
        <v>60000000</v>
      </c>
      <c r="Q20" s="80"/>
      <c r="R20" s="80"/>
      <c r="S20" s="80"/>
      <c r="T20" s="31"/>
      <c r="U20" s="66">
        <f t="shared" si="2"/>
        <v>60000000</v>
      </c>
      <c r="V20" s="109">
        <f>9600000/2</f>
        <v>4800000</v>
      </c>
      <c r="W20" s="73"/>
      <c r="X20" s="73"/>
      <c r="Y20" s="73"/>
      <c r="Z20" s="74"/>
      <c r="AA20" s="66">
        <f t="shared" si="3"/>
        <v>4800000</v>
      </c>
      <c r="AB20" s="8">
        <f t="shared" si="0"/>
        <v>0.08</v>
      </c>
      <c r="AC20" s="29"/>
      <c r="AD20" s="10" t="s">
        <v>48</v>
      </c>
      <c r="AE20" s="10" t="s">
        <v>49</v>
      </c>
    </row>
    <row r="21" spans="1:31" ht="78" x14ac:dyDescent="0.25">
      <c r="A21" s="28">
        <v>78</v>
      </c>
      <c r="B21" s="12" t="s">
        <v>41</v>
      </c>
      <c r="C21" s="12" t="s">
        <v>42</v>
      </c>
      <c r="D21" s="118" t="s">
        <v>52</v>
      </c>
      <c r="E21" s="16" t="s">
        <v>73</v>
      </c>
      <c r="F21" s="13" t="s">
        <v>74</v>
      </c>
      <c r="G21" s="48">
        <v>20210680010003</v>
      </c>
      <c r="H21" s="42" t="s">
        <v>46</v>
      </c>
      <c r="I21" s="9"/>
      <c r="J21" s="11">
        <v>44197</v>
      </c>
      <c r="K21" s="11">
        <v>44561</v>
      </c>
      <c r="L21" s="67">
        <v>1</v>
      </c>
      <c r="M21" s="43">
        <v>0.9</v>
      </c>
      <c r="N21" s="69">
        <f t="shared" si="1"/>
        <v>0.9</v>
      </c>
      <c r="O21" s="37" t="s">
        <v>75</v>
      </c>
      <c r="P21" s="109">
        <f>150000000+1901217+10000000</f>
        <v>161901217</v>
      </c>
      <c r="Q21" s="80"/>
      <c r="R21" s="80"/>
      <c r="S21" s="80"/>
      <c r="T21" s="31"/>
      <c r="U21" s="66">
        <f t="shared" si="2"/>
        <v>161901217</v>
      </c>
      <c r="V21" s="109">
        <f>10000000+150000000</f>
        <v>160000000</v>
      </c>
      <c r="W21" s="73"/>
      <c r="X21" s="73"/>
      <c r="Y21" s="73"/>
      <c r="Z21" s="74"/>
      <c r="AA21" s="66">
        <f t="shared" si="3"/>
        <v>160000000</v>
      </c>
      <c r="AB21" s="8">
        <f t="shared" si="0"/>
        <v>0.98825693200317322</v>
      </c>
      <c r="AC21" s="29"/>
      <c r="AD21" s="10" t="s">
        <v>48</v>
      </c>
      <c r="AE21" s="10" t="s">
        <v>49</v>
      </c>
    </row>
    <row r="22" spans="1:31" ht="78" x14ac:dyDescent="0.25">
      <c r="A22" s="28">
        <v>79</v>
      </c>
      <c r="B22" s="12" t="s">
        <v>41</v>
      </c>
      <c r="C22" s="12" t="s">
        <v>42</v>
      </c>
      <c r="D22" s="118" t="s">
        <v>76</v>
      </c>
      <c r="E22" s="16" t="s">
        <v>77</v>
      </c>
      <c r="F22" s="13" t="s">
        <v>78</v>
      </c>
      <c r="G22" s="48">
        <v>20210680010003</v>
      </c>
      <c r="H22" s="42" t="s">
        <v>46</v>
      </c>
      <c r="I22" s="9"/>
      <c r="J22" s="11">
        <v>44197</v>
      </c>
      <c r="K22" s="11">
        <v>44561</v>
      </c>
      <c r="L22" s="67">
        <v>1</v>
      </c>
      <c r="M22" s="43">
        <v>0</v>
      </c>
      <c r="N22" s="69">
        <f t="shared" si="1"/>
        <v>0</v>
      </c>
      <c r="O22" s="37" t="s">
        <v>58</v>
      </c>
      <c r="P22" s="109">
        <v>18000000</v>
      </c>
      <c r="Q22" s="80"/>
      <c r="R22" s="80"/>
      <c r="S22" s="80"/>
      <c r="T22" s="31"/>
      <c r="U22" s="66">
        <f t="shared" si="2"/>
        <v>18000000</v>
      </c>
      <c r="V22" s="109"/>
      <c r="W22" s="73"/>
      <c r="X22" s="73"/>
      <c r="Y22" s="73"/>
      <c r="Z22" s="74"/>
      <c r="AA22" s="66">
        <f t="shared" si="3"/>
        <v>0</v>
      </c>
      <c r="AB22" s="8">
        <f t="shared" si="0"/>
        <v>0</v>
      </c>
      <c r="AC22" s="29"/>
      <c r="AD22" s="10" t="s">
        <v>48</v>
      </c>
      <c r="AE22" s="10" t="s">
        <v>49</v>
      </c>
    </row>
    <row r="23" spans="1:31" ht="78" x14ac:dyDescent="0.25">
      <c r="A23" s="63">
        <v>80</v>
      </c>
      <c r="B23" s="12" t="s">
        <v>41</v>
      </c>
      <c r="C23" s="12" t="s">
        <v>42</v>
      </c>
      <c r="D23" s="119" t="s">
        <v>76</v>
      </c>
      <c r="E23" s="51" t="s">
        <v>94</v>
      </c>
      <c r="F23" s="36" t="s">
        <v>95</v>
      </c>
      <c r="G23" s="48">
        <v>20210680010003</v>
      </c>
      <c r="H23" s="42" t="s">
        <v>46</v>
      </c>
      <c r="I23" s="9"/>
      <c r="J23" s="11">
        <v>44197</v>
      </c>
      <c r="K23" s="11">
        <v>44561</v>
      </c>
      <c r="L23" s="139">
        <v>50000</v>
      </c>
      <c r="M23" s="140">
        <v>3536</v>
      </c>
      <c r="N23" s="141">
        <f t="shared" si="1"/>
        <v>7.0720000000000005E-2</v>
      </c>
      <c r="O23" s="37" t="s">
        <v>58</v>
      </c>
      <c r="P23" s="109">
        <v>10000000</v>
      </c>
      <c r="Q23" s="80"/>
      <c r="R23" s="80"/>
      <c r="S23" s="80"/>
      <c r="T23" s="31"/>
      <c r="U23" s="142">
        <f>SUM(P23:T24)</f>
        <v>11901217</v>
      </c>
      <c r="V23" s="109">
        <f>9600000/2</f>
        <v>4800000</v>
      </c>
      <c r="W23" s="73"/>
      <c r="X23" s="73"/>
      <c r="Y23" s="73"/>
      <c r="Z23" s="74"/>
      <c r="AA23" s="142">
        <f>SUM(V23:Z24)</f>
        <v>4800000</v>
      </c>
      <c r="AB23" s="152">
        <f t="shared" ref="AB23" si="4">IFERROR(AA23/U23,"-")</f>
        <v>0.40332009743205255</v>
      </c>
      <c r="AC23" s="153"/>
      <c r="AD23" s="151" t="s">
        <v>48</v>
      </c>
      <c r="AE23" s="151" t="s">
        <v>49</v>
      </c>
    </row>
    <row r="24" spans="1:31" ht="75" x14ac:dyDescent="0.25">
      <c r="A24" s="63">
        <v>80</v>
      </c>
      <c r="B24" s="12" t="s">
        <v>41</v>
      </c>
      <c r="C24" s="12" t="s">
        <v>42</v>
      </c>
      <c r="D24" s="119" t="s">
        <v>76</v>
      </c>
      <c r="E24" s="51" t="s">
        <v>94</v>
      </c>
      <c r="F24" s="36" t="s">
        <v>95</v>
      </c>
      <c r="G24" s="50"/>
      <c r="H24" s="13" t="s">
        <v>96</v>
      </c>
      <c r="I24" s="9"/>
      <c r="J24" s="11"/>
      <c r="K24" s="11"/>
      <c r="L24" s="139"/>
      <c r="M24" s="140"/>
      <c r="N24" s="141"/>
      <c r="O24" s="37" t="s">
        <v>58</v>
      </c>
      <c r="P24" s="109">
        <f>190000000+121901217-310000000</f>
        <v>1901217</v>
      </c>
      <c r="Q24" s="80"/>
      <c r="R24" s="80"/>
      <c r="S24" s="80"/>
      <c r="T24" s="31"/>
      <c r="U24" s="142"/>
      <c r="V24" s="109"/>
      <c r="W24" s="73"/>
      <c r="X24" s="73"/>
      <c r="Y24" s="73"/>
      <c r="Z24" s="74"/>
      <c r="AA24" s="142"/>
      <c r="AB24" s="152"/>
      <c r="AC24" s="153"/>
      <c r="AD24" s="151"/>
      <c r="AE24" s="151"/>
    </row>
    <row r="25" spans="1:31" ht="78" x14ac:dyDescent="0.25">
      <c r="A25" s="28">
        <v>81</v>
      </c>
      <c r="B25" s="12" t="s">
        <v>41</v>
      </c>
      <c r="C25" s="12" t="s">
        <v>42</v>
      </c>
      <c r="D25" s="118" t="s">
        <v>76</v>
      </c>
      <c r="E25" s="16" t="s">
        <v>79</v>
      </c>
      <c r="F25" s="13" t="s">
        <v>80</v>
      </c>
      <c r="G25" s="48">
        <v>20210680010003</v>
      </c>
      <c r="H25" s="42" t="s">
        <v>46</v>
      </c>
      <c r="I25" s="9"/>
      <c r="J25" s="11">
        <v>44197</v>
      </c>
      <c r="K25" s="11">
        <v>44561</v>
      </c>
      <c r="L25" s="67">
        <v>1</v>
      </c>
      <c r="M25" s="43">
        <v>0.3</v>
      </c>
      <c r="N25" s="69">
        <f t="shared" ref="N25:N30" si="5">IFERROR(IF(M25/L25&gt;100%,100%,M25/L25),"-")</f>
        <v>0.3</v>
      </c>
      <c r="O25" s="37" t="s">
        <v>81</v>
      </c>
      <c r="P25" s="109">
        <f>30000000+ 10000000+100000000+140000000-134500000-63802434</f>
        <v>81697566</v>
      </c>
      <c r="Q25" s="80"/>
      <c r="R25" s="80"/>
      <c r="S25" s="80"/>
      <c r="T25" s="31"/>
      <c r="U25" s="66">
        <f>SUM(P25:T25)</f>
        <v>81697566</v>
      </c>
      <c r="V25" s="109">
        <f>20000000+16000000</f>
        <v>36000000</v>
      </c>
      <c r="W25" s="73"/>
      <c r="X25" s="73"/>
      <c r="Y25" s="73"/>
      <c r="Z25" s="74"/>
      <c r="AA25" s="66">
        <f>SUM(V25:Z25)</f>
        <v>36000000</v>
      </c>
      <c r="AB25" s="8">
        <f t="shared" si="0"/>
        <v>0.4406496027066461</v>
      </c>
      <c r="AC25" s="29"/>
      <c r="AD25" s="10" t="s">
        <v>48</v>
      </c>
      <c r="AE25" s="10" t="s">
        <v>49</v>
      </c>
    </row>
    <row r="26" spans="1:31" ht="78" x14ac:dyDescent="0.25">
      <c r="A26" s="28">
        <v>82</v>
      </c>
      <c r="B26" s="12" t="s">
        <v>41</v>
      </c>
      <c r="C26" s="12" t="s">
        <v>42</v>
      </c>
      <c r="D26" s="118" t="s">
        <v>76</v>
      </c>
      <c r="E26" s="16" t="s">
        <v>82</v>
      </c>
      <c r="F26" s="13" t="s">
        <v>83</v>
      </c>
      <c r="G26" s="48">
        <v>20210680010003</v>
      </c>
      <c r="H26" s="42" t="s">
        <v>46</v>
      </c>
      <c r="I26" s="9"/>
      <c r="J26" s="11">
        <v>44197</v>
      </c>
      <c r="K26" s="11">
        <v>44561</v>
      </c>
      <c r="L26" s="70">
        <v>1</v>
      </c>
      <c r="M26" s="71">
        <v>1</v>
      </c>
      <c r="N26" s="69">
        <f t="shared" si="5"/>
        <v>1</v>
      </c>
      <c r="O26" s="37" t="s">
        <v>58</v>
      </c>
      <c r="P26" s="109">
        <f>30000000+10000000</f>
        <v>40000000</v>
      </c>
      <c r="Q26" s="80"/>
      <c r="R26" s="80"/>
      <c r="S26" s="80"/>
      <c r="T26" s="31"/>
      <c r="U26" s="66">
        <f>SUM(P26:T26)</f>
        <v>40000000</v>
      </c>
      <c r="V26" s="109">
        <f>11124930+18875070-104930+8462035</f>
        <v>38357105</v>
      </c>
      <c r="W26" s="73"/>
      <c r="X26" s="73"/>
      <c r="Y26" s="73"/>
      <c r="Z26" s="74"/>
      <c r="AA26" s="66">
        <f>SUM(V26:Z26)</f>
        <v>38357105</v>
      </c>
      <c r="AB26" s="8">
        <f t="shared" si="0"/>
        <v>0.95892762499999995</v>
      </c>
      <c r="AC26" s="29"/>
      <c r="AD26" s="10" t="s">
        <v>48</v>
      </c>
      <c r="AE26" s="10" t="s">
        <v>49</v>
      </c>
    </row>
    <row r="27" spans="1:31" ht="78" x14ac:dyDescent="0.25">
      <c r="A27" s="28">
        <v>83</v>
      </c>
      <c r="B27" s="12" t="s">
        <v>41</v>
      </c>
      <c r="C27" s="12" t="s">
        <v>42</v>
      </c>
      <c r="D27" s="118" t="s">
        <v>76</v>
      </c>
      <c r="E27" s="16" t="s">
        <v>84</v>
      </c>
      <c r="F27" s="13" t="s">
        <v>85</v>
      </c>
      <c r="G27" s="48">
        <v>20210680010003</v>
      </c>
      <c r="H27" s="42" t="s">
        <v>46</v>
      </c>
      <c r="I27" s="9"/>
      <c r="J27" s="11">
        <v>44197</v>
      </c>
      <c r="K27" s="11">
        <v>44561</v>
      </c>
      <c r="L27" s="67">
        <v>1</v>
      </c>
      <c r="M27" s="43">
        <v>0.7</v>
      </c>
      <c r="N27" s="69">
        <f t="shared" si="5"/>
        <v>0.7</v>
      </c>
      <c r="O27" s="37" t="s">
        <v>58</v>
      </c>
      <c r="P27" s="109">
        <v>30000000</v>
      </c>
      <c r="Q27" s="80"/>
      <c r="R27" s="80"/>
      <c r="S27" s="80"/>
      <c r="T27" s="31"/>
      <c r="U27" s="66">
        <f>SUM(P27:T27)</f>
        <v>30000000</v>
      </c>
      <c r="V27" s="109">
        <f>6000000+14000000</f>
        <v>20000000</v>
      </c>
      <c r="W27" s="73"/>
      <c r="X27" s="73"/>
      <c r="Y27" s="73"/>
      <c r="Z27" s="74"/>
      <c r="AA27" s="66">
        <f>SUM(V27:Z27)</f>
        <v>20000000</v>
      </c>
      <c r="AB27" s="8">
        <f t="shared" si="0"/>
        <v>0.66666666666666663</v>
      </c>
      <c r="AC27" s="29"/>
      <c r="AD27" s="10" t="s">
        <v>48</v>
      </c>
      <c r="AE27" s="10" t="s">
        <v>49</v>
      </c>
    </row>
    <row r="28" spans="1:31" ht="78" x14ac:dyDescent="0.25">
      <c r="A28" s="28">
        <v>84</v>
      </c>
      <c r="B28" s="12" t="s">
        <v>41</v>
      </c>
      <c r="C28" s="12" t="s">
        <v>42</v>
      </c>
      <c r="D28" s="118" t="s">
        <v>76</v>
      </c>
      <c r="E28" s="16" t="s">
        <v>86</v>
      </c>
      <c r="F28" s="13" t="s">
        <v>87</v>
      </c>
      <c r="G28" s="48">
        <v>20210680010003</v>
      </c>
      <c r="H28" s="42" t="s">
        <v>46</v>
      </c>
      <c r="I28" s="9"/>
      <c r="J28" s="11">
        <v>44197</v>
      </c>
      <c r="K28" s="11">
        <v>44561</v>
      </c>
      <c r="L28" s="67">
        <v>2</v>
      </c>
      <c r="M28" s="43">
        <v>0.4</v>
      </c>
      <c r="N28" s="69">
        <f t="shared" si="5"/>
        <v>0.2</v>
      </c>
      <c r="O28" s="37" t="s">
        <v>58</v>
      </c>
      <c r="P28" s="109">
        <v>30000000</v>
      </c>
      <c r="Q28" s="30"/>
      <c r="R28" s="30"/>
      <c r="S28" s="30"/>
      <c r="T28" s="31"/>
      <c r="U28" s="66">
        <f>SUM(P28:T28)</f>
        <v>30000000</v>
      </c>
      <c r="V28" s="109">
        <v>28000000</v>
      </c>
      <c r="W28" s="73"/>
      <c r="X28" s="73"/>
      <c r="Y28" s="73"/>
      <c r="Z28" s="74"/>
      <c r="AA28" s="66">
        <f>SUM(V28:Z28)</f>
        <v>28000000</v>
      </c>
      <c r="AB28" s="8">
        <f t="shared" si="0"/>
        <v>0.93333333333333335</v>
      </c>
      <c r="AC28" s="29"/>
      <c r="AD28" s="10" t="s">
        <v>48</v>
      </c>
      <c r="AE28" s="10" t="s">
        <v>49</v>
      </c>
    </row>
    <row r="29" spans="1:31" ht="75" x14ac:dyDescent="0.25">
      <c r="A29" s="28">
        <v>88</v>
      </c>
      <c r="B29" s="12" t="s">
        <v>41</v>
      </c>
      <c r="C29" s="12" t="s">
        <v>42</v>
      </c>
      <c r="D29" s="118" t="s">
        <v>101</v>
      </c>
      <c r="E29" s="16" t="s">
        <v>106</v>
      </c>
      <c r="F29" s="13" t="s">
        <v>107</v>
      </c>
      <c r="G29" s="48">
        <v>20200680010040</v>
      </c>
      <c r="H29" s="42" t="s">
        <v>105</v>
      </c>
      <c r="I29" s="9" t="s">
        <v>108</v>
      </c>
      <c r="J29" s="11">
        <v>44197</v>
      </c>
      <c r="K29" s="11">
        <v>44561</v>
      </c>
      <c r="L29" s="67">
        <v>11000</v>
      </c>
      <c r="M29" s="68">
        <v>11120</v>
      </c>
      <c r="N29" s="69">
        <f t="shared" si="5"/>
        <v>1</v>
      </c>
      <c r="O29" s="37" t="s">
        <v>109</v>
      </c>
      <c r="P29" s="109">
        <v>120000000</v>
      </c>
      <c r="Q29" s="33"/>
      <c r="R29" s="33"/>
      <c r="S29" s="33"/>
      <c r="T29" s="31"/>
      <c r="U29" s="66">
        <f>SUM(P29:T29)</f>
        <v>120000000</v>
      </c>
      <c r="V29" s="109">
        <f>40800000+14400000</f>
        <v>55200000</v>
      </c>
      <c r="W29" s="73"/>
      <c r="X29" s="73"/>
      <c r="Y29" s="57"/>
      <c r="Z29" s="74"/>
      <c r="AA29" s="106">
        <f>SUM(V29:Z29)</f>
        <v>55200000</v>
      </c>
      <c r="AB29" s="8">
        <f>IFERROR(AA29/U29,"-")</f>
        <v>0.46</v>
      </c>
      <c r="AC29" s="29"/>
      <c r="AD29" s="10" t="s">
        <v>48</v>
      </c>
      <c r="AE29" s="10" t="s">
        <v>49</v>
      </c>
    </row>
    <row r="30" spans="1:31" ht="75" x14ac:dyDescent="0.25">
      <c r="A30" s="28">
        <v>89</v>
      </c>
      <c r="B30" s="12" t="s">
        <v>41</v>
      </c>
      <c r="C30" s="12" t="s">
        <v>42</v>
      </c>
      <c r="D30" s="119" t="s">
        <v>101</v>
      </c>
      <c r="E30" s="51" t="s">
        <v>102</v>
      </c>
      <c r="F30" s="36" t="s">
        <v>103</v>
      </c>
      <c r="G30" s="48">
        <v>20200680010040</v>
      </c>
      <c r="H30" s="42" t="s">
        <v>105</v>
      </c>
      <c r="I30" s="99"/>
      <c r="J30" s="15">
        <v>44197</v>
      </c>
      <c r="K30" s="15">
        <v>44561</v>
      </c>
      <c r="L30" s="139">
        <v>25000</v>
      </c>
      <c r="M30" s="140">
        <v>16680</v>
      </c>
      <c r="N30" s="141">
        <f t="shared" si="5"/>
        <v>0.66720000000000002</v>
      </c>
      <c r="O30" s="37" t="s">
        <v>256</v>
      </c>
      <c r="P30" s="109">
        <f>46000000+603350727+447122445.52</f>
        <v>1096473172.52</v>
      </c>
      <c r="Q30" s="33"/>
      <c r="R30" s="33"/>
      <c r="S30" s="33"/>
      <c r="T30" s="33">
        <v>850649274</v>
      </c>
      <c r="U30" s="142">
        <f>SUM(P30:T31)</f>
        <v>3734339182.0100002</v>
      </c>
      <c r="V30" s="109">
        <v>953350726</v>
      </c>
      <c r="W30" s="73"/>
      <c r="X30" s="73"/>
      <c r="Y30" s="73"/>
      <c r="Z30" s="109">
        <v>369641575.10000002</v>
      </c>
      <c r="AA30" s="161">
        <f>SUM(V30:Z31)</f>
        <v>1322992301.0999999</v>
      </c>
      <c r="AB30" s="133">
        <f>IFERROR(AA30/U30,"-")</f>
        <v>0.3542774870245991</v>
      </c>
      <c r="AC30" s="135">
        <v>80496000</v>
      </c>
      <c r="AD30" s="137" t="s">
        <v>48</v>
      </c>
      <c r="AE30" s="137" t="s">
        <v>49</v>
      </c>
    </row>
    <row r="31" spans="1:31" ht="84" customHeight="1" x14ac:dyDescent="0.25">
      <c r="A31" s="28">
        <v>89</v>
      </c>
      <c r="B31" s="12" t="s">
        <v>41</v>
      </c>
      <c r="C31" s="12" t="s">
        <v>42</v>
      </c>
      <c r="D31" s="119" t="s">
        <v>101</v>
      </c>
      <c r="E31" s="51" t="s">
        <v>102</v>
      </c>
      <c r="F31" s="36" t="s">
        <v>103</v>
      </c>
      <c r="G31" s="48"/>
      <c r="H31" s="36" t="s">
        <v>104</v>
      </c>
      <c r="I31" s="99"/>
      <c r="J31" s="15"/>
      <c r="K31" s="15"/>
      <c r="L31" s="139"/>
      <c r="M31" s="140"/>
      <c r="N31" s="141"/>
      <c r="O31" s="37" t="s">
        <v>257</v>
      </c>
      <c r="P31" s="109">
        <f>2014339181.01+120000000+100000000-447122445.52</f>
        <v>1787216735.4900002</v>
      </c>
      <c r="Q31" s="109"/>
      <c r="R31" s="33"/>
      <c r="S31" s="33"/>
      <c r="T31" s="33"/>
      <c r="U31" s="142"/>
      <c r="V31" s="109"/>
      <c r="W31" s="73"/>
      <c r="X31" s="73"/>
      <c r="Y31" s="29"/>
      <c r="Z31" s="29"/>
      <c r="AA31" s="161"/>
      <c r="AB31" s="134"/>
      <c r="AC31" s="136"/>
      <c r="AD31" s="138"/>
      <c r="AE31" s="138"/>
    </row>
    <row r="32" spans="1:31" ht="85.8" customHeight="1" x14ac:dyDescent="0.25">
      <c r="A32" s="28">
        <v>90</v>
      </c>
      <c r="B32" s="12" t="s">
        <v>41</v>
      </c>
      <c r="C32" s="12" t="s">
        <v>42</v>
      </c>
      <c r="D32" s="118" t="s">
        <v>101</v>
      </c>
      <c r="E32" s="16" t="s">
        <v>110</v>
      </c>
      <c r="F32" s="13" t="s">
        <v>111</v>
      </c>
      <c r="G32" s="48">
        <v>20200680010040</v>
      </c>
      <c r="H32" s="42" t="s">
        <v>105</v>
      </c>
      <c r="I32" s="36"/>
      <c r="J32" s="11">
        <v>44197</v>
      </c>
      <c r="K32" s="11">
        <v>44561</v>
      </c>
      <c r="L32" s="67">
        <v>2000</v>
      </c>
      <c r="M32" s="68">
        <v>3101</v>
      </c>
      <c r="N32" s="69">
        <f t="shared" ref="N32:N37" si="6">IFERROR(IF(M32/L32&gt;100%,100%,M32/L32),"-")</f>
        <v>1</v>
      </c>
      <c r="O32" s="37" t="s">
        <v>112</v>
      </c>
      <c r="P32" s="109">
        <f>150000000-24000000-24000000-10000000-10000000</f>
        <v>82000000</v>
      </c>
      <c r="Q32" s="33"/>
      <c r="R32" s="33"/>
      <c r="S32" s="33"/>
      <c r="T32" s="56"/>
      <c r="U32" s="66">
        <f>SUM(P32:T32)</f>
        <v>82000000</v>
      </c>
      <c r="V32" s="109">
        <v>20000000</v>
      </c>
      <c r="W32" s="73"/>
      <c r="X32" s="73"/>
      <c r="Y32" s="57"/>
      <c r="Z32" s="57"/>
      <c r="AA32" s="106">
        <f>SUM(V32:Z32)</f>
        <v>20000000</v>
      </c>
      <c r="AB32" s="8">
        <f t="shared" ref="AB32:AB37" si="7">IFERROR(AA32/U32,"-")</f>
        <v>0.24390243902439024</v>
      </c>
      <c r="AC32" s="29"/>
      <c r="AD32" s="10" t="s">
        <v>48</v>
      </c>
      <c r="AE32" s="10" t="s">
        <v>49</v>
      </c>
    </row>
    <row r="33" spans="1:31" ht="82.2" customHeight="1" x14ac:dyDescent="0.25">
      <c r="A33" s="28">
        <v>91</v>
      </c>
      <c r="B33" s="12" t="s">
        <v>41</v>
      </c>
      <c r="C33" s="12" t="s">
        <v>42</v>
      </c>
      <c r="D33" s="118" t="s">
        <v>101</v>
      </c>
      <c r="E33" s="16" t="s">
        <v>113</v>
      </c>
      <c r="F33" s="13" t="s">
        <v>114</v>
      </c>
      <c r="G33" s="48">
        <v>20200680010040</v>
      </c>
      <c r="H33" s="42" t="s">
        <v>105</v>
      </c>
      <c r="I33" s="36"/>
      <c r="J33" s="11">
        <v>44197</v>
      </c>
      <c r="K33" s="11">
        <v>44561</v>
      </c>
      <c r="L33" s="70">
        <v>1</v>
      </c>
      <c r="M33" s="71">
        <v>1</v>
      </c>
      <c r="N33" s="69">
        <f t="shared" si="6"/>
        <v>1</v>
      </c>
      <c r="O33" s="37" t="s">
        <v>258</v>
      </c>
      <c r="P33" s="109">
        <f>150000000+44909000+54500000+40000000</f>
        <v>289409000</v>
      </c>
      <c r="Q33" s="33"/>
      <c r="R33" s="33"/>
      <c r="S33" s="33"/>
      <c r="T33" s="56"/>
      <c r="U33" s="66">
        <f>SUM(P33:T33)</f>
        <v>289409000</v>
      </c>
      <c r="V33" s="109">
        <f>31320000+23490000+140099000+54500000+40000000</f>
        <v>289409000</v>
      </c>
      <c r="W33" s="73"/>
      <c r="X33" s="73"/>
      <c r="Y33" s="57"/>
      <c r="Z33" s="57"/>
      <c r="AA33" s="106">
        <f>SUM(V33:Z33)</f>
        <v>289409000</v>
      </c>
      <c r="AB33" s="8">
        <f t="shared" si="7"/>
        <v>1</v>
      </c>
      <c r="AC33" s="29"/>
      <c r="AD33" s="10" t="s">
        <v>48</v>
      </c>
      <c r="AE33" s="10" t="s">
        <v>49</v>
      </c>
    </row>
    <row r="34" spans="1:31" ht="75" x14ac:dyDescent="0.25">
      <c r="A34" s="28">
        <v>92</v>
      </c>
      <c r="B34" s="12" t="s">
        <v>41</v>
      </c>
      <c r="C34" s="12" t="s">
        <v>42</v>
      </c>
      <c r="D34" s="118" t="s">
        <v>101</v>
      </c>
      <c r="E34" s="16" t="s">
        <v>115</v>
      </c>
      <c r="F34" s="13" t="s">
        <v>116</v>
      </c>
      <c r="G34" s="48">
        <v>20200680010040</v>
      </c>
      <c r="H34" s="42" t="s">
        <v>105</v>
      </c>
      <c r="I34" s="36"/>
      <c r="J34" s="11">
        <v>44197</v>
      </c>
      <c r="K34" s="11">
        <v>44561</v>
      </c>
      <c r="L34" s="110">
        <v>1656</v>
      </c>
      <c r="M34" s="111">
        <v>1601</v>
      </c>
      <c r="N34" s="112">
        <f t="shared" si="6"/>
        <v>0.96678743961352653</v>
      </c>
      <c r="O34" s="37" t="s">
        <v>260</v>
      </c>
      <c r="P34" s="109">
        <v>3585467723.48</v>
      </c>
      <c r="Q34" s="33"/>
      <c r="R34" s="33"/>
      <c r="S34" s="33"/>
      <c r="T34" s="33">
        <f>762195777+927807539</f>
        <v>1690003316</v>
      </c>
      <c r="U34" s="113">
        <f>SUM(P34:T34)</f>
        <v>5275471039.4799995</v>
      </c>
      <c r="V34" s="109">
        <f>2628102905.93+663454761+4577320-879912</f>
        <v>3295255074.9299998</v>
      </c>
      <c r="W34" s="73"/>
      <c r="X34" s="75"/>
      <c r="Y34" s="57"/>
      <c r="Z34" s="57">
        <v>1661510016</v>
      </c>
      <c r="AA34" s="114">
        <f>SUM(V34:Z34)</f>
        <v>4956765090.9300003</v>
      </c>
      <c r="AB34" s="108">
        <f t="shared" si="7"/>
        <v>0.93958720535760654</v>
      </c>
      <c r="AC34" s="109"/>
      <c r="AD34" s="107" t="s">
        <v>48</v>
      </c>
      <c r="AE34" s="107" t="s">
        <v>49</v>
      </c>
    </row>
    <row r="35" spans="1:31" ht="75" x14ac:dyDescent="0.25">
      <c r="A35" s="28">
        <v>94</v>
      </c>
      <c r="B35" s="12" t="s">
        <v>41</v>
      </c>
      <c r="C35" s="12" t="s">
        <v>42</v>
      </c>
      <c r="D35" s="118" t="s">
        <v>101</v>
      </c>
      <c r="E35" s="16" t="s">
        <v>117</v>
      </c>
      <c r="F35" s="13" t="s">
        <v>118</v>
      </c>
      <c r="G35" s="48">
        <v>20200680010040</v>
      </c>
      <c r="H35" s="42" t="s">
        <v>105</v>
      </c>
      <c r="I35" s="36"/>
      <c r="J35" s="11">
        <v>44197</v>
      </c>
      <c r="K35" s="11">
        <v>44561</v>
      </c>
      <c r="L35" s="67">
        <v>1</v>
      </c>
      <c r="M35" s="68">
        <v>1</v>
      </c>
      <c r="N35" s="69">
        <f t="shared" si="6"/>
        <v>1</v>
      </c>
      <c r="O35" s="37" t="s">
        <v>242</v>
      </c>
      <c r="P35" s="29">
        <f>40000000+72799850+24000000+24000000</f>
        <v>160799850</v>
      </c>
      <c r="Q35" s="33"/>
      <c r="R35" s="33"/>
      <c r="S35" s="33"/>
      <c r="T35" s="31"/>
      <c r="U35" s="66">
        <f>SUM(P35:T35)</f>
        <v>160799850</v>
      </c>
      <c r="V35" s="109">
        <f>72000000+10400000+8000000+24000000+24000000-23300000</f>
        <v>115100000</v>
      </c>
      <c r="W35" s="73"/>
      <c r="X35" s="76"/>
      <c r="Y35" s="57"/>
      <c r="Z35" s="74"/>
      <c r="AA35" s="106">
        <f>SUM(V35:Z35)</f>
        <v>115100000</v>
      </c>
      <c r="AB35" s="8">
        <f t="shared" si="7"/>
        <v>0.71579668762128823</v>
      </c>
      <c r="AC35" s="29"/>
      <c r="AD35" s="10" t="s">
        <v>48</v>
      </c>
      <c r="AE35" s="10" t="s">
        <v>49</v>
      </c>
    </row>
    <row r="36" spans="1:31" ht="75" x14ac:dyDescent="0.25">
      <c r="A36" s="28">
        <v>95</v>
      </c>
      <c r="B36" s="12" t="s">
        <v>41</v>
      </c>
      <c r="C36" s="12" t="s">
        <v>42</v>
      </c>
      <c r="D36" s="118" t="s">
        <v>101</v>
      </c>
      <c r="E36" s="16" t="s">
        <v>239</v>
      </c>
      <c r="F36" s="13" t="s">
        <v>119</v>
      </c>
      <c r="G36" s="48">
        <v>20200680010040</v>
      </c>
      <c r="H36" s="42" t="s">
        <v>105</v>
      </c>
      <c r="I36" s="36"/>
      <c r="J36" s="11">
        <v>44197</v>
      </c>
      <c r="K36" s="11">
        <v>44561</v>
      </c>
      <c r="L36" s="110">
        <v>1</v>
      </c>
      <c r="M36" s="111">
        <v>1</v>
      </c>
      <c r="N36" s="112">
        <f t="shared" si="6"/>
        <v>1</v>
      </c>
      <c r="O36" s="37" t="s">
        <v>242</v>
      </c>
      <c r="P36" s="29">
        <v>98000000</v>
      </c>
      <c r="Q36" s="33"/>
      <c r="R36" s="33"/>
      <c r="S36" s="33"/>
      <c r="T36" s="31"/>
      <c r="U36" s="113">
        <f>SUM(P36:T36)</f>
        <v>98000000</v>
      </c>
      <c r="V36" s="109">
        <f>52000000+28800000</f>
        <v>80800000</v>
      </c>
      <c r="W36" s="77"/>
      <c r="X36" s="77"/>
      <c r="Y36" s="78"/>
      <c r="Z36" s="74"/>
      <c r="AA36" s="114">
        <f>SUM(V36:Z36)</f>
        <v>80800000</v>
      </c>
      <c r="AB36" s="108">
        <f>IFERROR(AA36/U36,"-")</f>
        <v>0.82448979591836735</v>
      </c>
      <c r="AC36" s="109"/>
      <c r="AD36" s="107" t="s">
        <v>48</v>
      </c>
      <c r="AE36" s="107" t="s">
        <v>49</v>
      </c>
    </row>
    <row r="37" spans="1:31" ht="75" x14ac:dyDescent="0.25">
      <c r="A37" s="28">
        <v>93</v>
      </c>
      <c r="B37" s="17" t="s">
        <v>41</v>
      </c>
      <c r="C37" s="17" t="s">
        <v>42</v>
      </c>
      <c r="D37" s="119" t="s">
        <v>101</v>
      </c>
      <c r="E37" s="51" t="s">
        <v>120</v>
      </c>
      <c r="F37" s="36" t="s">
        <v>121</v>
      </c>
      <c r="G37" s="48">
        <v>20200680010040</v>
      </c>
      <c r="H37" s="42" t="s">
        <v>105</v>
      </c>
      <c r="I37" s="13" t="s">
        <v>122</v>
      </c>
      <c r="J37" s="11">
        <v>44197</v>
      </c>
      <c r="K37" s="11">
        <v>44561</v>
      </c>
      <c r="L37" s="139">
        <v>3</v>
      </c>
      <c r="M37" s="140">
        <v>3</v>
      </c>
      <c r="N37" s="141">
        <f t="shared" si="6"/>
        <v>1</v>
      </c>
      <c r="O37" s="37" t="s">
        <v>242</v>
      </c>
      <c r="P37" s="109">
        <f>35000000+164091000+24000000+80000000+26000000-54500000+32000000+5000000+10000000-5000000</f>
        <v>316591000</v>
      </c>
      <c r="Q37" s="33"/>
      <c r="R37" s="33"/>
      <c r="S37" s="33"/>
      <c r="T37" s="31"/>
      <c r="U37" s="142">
        <f>SUM(P37:T38)</f>
        <v>616591000</v>
      </c>
      <c r="V37" s="58">
        <f>3314546.93+62400000+24000000+76000000+25600000+2290443.93+2111705.93-10890+86763+1432554.93+3685002.82-133333-17783333+2267731.7+124306659+5892660.39-27220+2033333-7366666+2235972</f>
        <v>312335931.63</v>
      </c>
      <c r="W37" s="73"/>
      <c r="X37" s="73"/>
      <c r="Y37" s="57"/>
      <c r="Z37" s="74"/>
      <c r="AA37" s="161">
        <f>SUM(V37:Z38)</f>
        <v>512602605.63</v>
      </c>
      <c r="AB37" s="152">
        <f t="shared" si="7"/>
        <v>0.83134947741695875</v>
      </c>
      <c r="AC37" s="153"/>
      <c r="AD37" s="151" t="s">
        <v>48</v>
      </c>
      <c r="AE37" s="151" t="s">
        <v>49</v>
      </c>
    </row>
    <row r="38" spans="1:31" ht="120" x14ac:dyDescent="0.25">
      <c r="A38" s="28">
        <v>93</v>
      </c>
      <c r="B38" s="17" t="s">
        <v>41</v>
      </c>
      <c r="C38" s="17" t="s">
        <v>42</v>
      </c>
      <c r="D38" s="119" t="s">
        <v>101</v>
      </c>
      <c r="E38" s="51" t="s">
        <v>120</v>
      </c>
      <c r="F38" s="36" t="s">
        <v>121</v>
      </c>
      <c r="G38" s="50">
        <v>20200680010151</v>
      </c>
      <c r="H38" s="93" t="s">
        <v>123</v>
      </c>
      <c r="I38" s="13" t="s">
        <v>124</v>
      </c>
      <c r="J38" s="11">
        <v>44197</v>
      </c>
      <c r="K38" s="11">
        <v>44561</v>
      </c>
      <c r="L38" s="139"/>
      <c r="M38" s="140"/>
      <c r="N38" s="141"/>
      <c r="O38" s="37" t="s">
        <v>259</v>
      </c>
      <c r="P38" s="109">
        <v>300000000</v>
      </c>
      <c r="Q38" s="30"/>
      <c r="R38" s="117"/>
      <c r="S38" s="56"/>
      <c r="T38" s="31"/>
      <c r="U38" s="142"/>
      <c r="V38" s="109">
        <f>208733341-8466667</f>
        <v>200266674</v>
      </c>
      <c r="W38" s="73"/>
      <c r="X38" s="73"/>
      <c r="Y38" s="57"/>
      <c r="Z38" s="74"/>
      <c r="AA38" s="161"/>
      <c r="AB38" s="152"/>
      <c r="AC38" s="153"/>
      <c r="AD38" s="151"/>
      <c r="AE38" s="151"/>
    </row>
    <row r="39" spans="1:31" ht="75" x14ac:dyDescent="0.25">
      <c r="A39" s="28">
        <v>96</v>
      </c>
      <c r="B39" s="12" t="s">
        <v>41</v>
      </c>
      <c r="C39" s="12" t="s">
        <v>42</v>
      </c>
      <c r="D39" s="118" t="s">
        <v>125</v>
      </c>
      <c r="E39" s="39" t="s">
        <v>126</v>
      </c>
      <c r="F39" s="35" t="s">
        <v>127</v>
      </c>
      <c r="G39" s="48">
        <v>20200680010072</v>
      </c>
      <c r="H39" s="52" t="s">
        <v>128</v>
      </c>
      <c r="I39" s="49" t="s">
        <v>129</v>
      </c>
      <c r="J39" s="11">
        <v>44197</v>
      </c>
      <c r="K39" s="11">
        <v>44561</v>
      </c>
      <c r="L39" s="67">
        <v>1</v>
      </c>
      <c r="M39" s="98">
        <v>0.7</v>
      </c>
      <c r="N39" s="69">
        <f t="shared" ref="N39:N54" si="8">IFERROR(IF(M39/L39&gt;100%,100%,M39/L39),"-")</f>
        <v>0.7</v>
      </c>
      <c r="O39" s="37" t="s">
        <v>130</v>
      </c>
      <c r="P39" s="109">
        <f>60000000-5000000</f>
        <v>55000000</v>
      </c>
      <c r="Q39" s="32"/>
      <c r="R39" s="32"/>
      <c r="S39" s="32"/>
      <c r="T39" s="31"/>
      <c r="U39" s="66">
        <f t="shared" ref="U39:U49" si="9">SUM(P39:T39)</f>
        <v>55000000</v>
      </c>
      <c r="V39" s="109">
        <f>16000000+2800000+4000000+12800000+7200000+1955373+5000000</f>
        <v>49755373</v>
      </c>
      <c r="W39" s="77"/>
      <c r="X39" s="77"/>
      <c r="Y39" s="77"/>
      <c r="Z39" s="74"/>
      <c r="AA39" s="66">
        <f t="shared" ref="AA39:AA49" si="10">SUM(V39:Z39)</f>
        <v>49755373</v>
      </c>
      <c r="AB39" s="8">
        <f t="shared" ref="AB39:AB56" si="11">IFERROR(AA39/U39,"-")</f>
        <v>0.90464314545454549</v>
      </c>
      <c r="AC39" s="29"/>
      <c r="AD39" s="10" t="s">
        <v>48</v>
      </c>
      <c r="AE39" s="10" t="s">
        <v>49</v>
      </c>
    </row>
    <row r="40" spans="1:31" ht="75" x14ac:dyDescent="0.25">
      <c r="A40" s="28">
        <v>97</v>
      </c>
      <c r="B40" s="12" t="s">
        <v>41</v>
      </c>
      <c r="C40" s="12" t="s">
        <v>42</v>
      </c>
      <c r="D40" s="118" t="s">
        <v>125</v>
      </c>
      <c r="E40" s="39" t="s">
        <v>131</v>
      </c>
      <c r="F40" s="35" t="s">
        <v>132</v>
      </c>
      <c r="G40" s="48">
        <v>20200680010072</v>
      </c>
      <c r="H40" s="52" t="s">
        <v>128</v>
      </c>
      <c r="I40" s="49"/>
      <c r="J40" s="11">
        <v>44197</v>
      </c>
      <c r="K40" s="11">
        <v>44561</v>
      </c>
      <c r="L40" s="67">
        <v>1</v>
      </c>
      <c r="M40" s="68">
        <v>0</v>
      </c>
      <c r="N40" s="69">
        <f t="shared" si="8"/>
        <v>0</v>
      </c>
      <c r="O40" s="37" t="s">
        <v>133</v>
      </c>
      <c r="P40" s="109">
        <f>55000000-7000000+5000000</f>
        <v>53000000</v>
      </c>
      <c r="Q40" s="32"/>
      <c r="R40" s="32"/>
      <c r="S40" s="32"/>
      <c r="T40" s="31"/>
      <c r="U40" s="66">
        <f t="shared" si="9"/>
        <v>53000000</v>
      </c>
      <c r="V40" s="109"/>
      <c r="W40" s="77"/>
      <c r="X40" s="77"/>
      <c r="Y40" s="77"/>
      <c r="Z40" s="74"/>
      <c r="AA40" s="66">
        <f t="shared" si="10"/>
        <v>0</v>
      </c>
      <c r="AB40" s="8">
        <f t="shared" si="11"/>
        <v>0</v>
      </c>
      <c r="AC40" s="29"/>
      <c r="AD40" s="10" t="s">
        <v>48</v>
      </c>
      <c r="AE40" s="10" t="s">
        <v>49</v>
      </c>
    </row>
    <row r="41" spans="1:31" ht="75" x14ac:dyDescent="0.25">
      <c r="A41" s="28">
        <v>98</v>
      </c>
      <c r="B41" s="12" t="s">
        <v>41</v>
      </c>
      <c r="C41" s="12" t="s">
        <v>42</v>
      </c>
      <c r="D41" s="118" t="s">
        <v>125</v>
      </c>
      <c r="E41" s="39" t="s">
        <v>134</v>
      </c>
      <c r="F41" s="35" t="s">
        <v>135</v>
      </c>
      <c r="G41" s="48">
        <v>20200680010072</v>
      </c>
      <c r="H41" s="52" t="s">
        <v>128</v>
      </c>
      <c r="I41" s="49" t="s">
        <v>129</v>
      </c>
      <c r="J41" s="11">
        <v>44197</v>
      </c>
      <c r="K41" s="11">
        <v>44561</v>
      </c>
      <c r="L41" s="70">
        <v>1</v>
      </c>
      <c r="M41" s="71">
        <v>1</v>
      </c>
      <c r="N41" s="69">
        <f t="shared" si="8"/>
        <v>1</v>
      </c>
      <c r="O41" s="37" t="s">
        <v>248</v>
      </c>
      <c r="P41" s="58">
        <f>140000000+7000000</f>
        <v>147000000</v>
      </c>
      <c r="Q41" s="32"/>
      <c r="R41" s="32"/>
      <c r="S41" s="32"/>
      <c r="T41" s="31"/>
      <c r="U41" s="66">
        <f t="shared" si="9"/>
        <v>147000000</v>
      </c>
      <c r="V41" s="58">
        <f>449727.77+438017.77+16000000+25200000+4000000+12800000+16800000+16000000+16000000+188923.77+45667.77+45667.77+57084.71+89142.65+5000000-4852479.29+7000000-3400000</f>
        <v>111861752.91999997</v>
      </c>
      <c r="W41" s="77"/>
      <c r="X41" s="77"/>
      <c r="Y41" s="77"/>
      <c r="Z41" s="74"/>
      <c r="AA41" s="66">
        <f t="shared" si="10"/>
        <v>111861752.91999997</v>
      </c>
      <c r="AB41" s="8">
        <f t="shared" si="11"/>
        <v>0.76096430557823114</v>
      </c>
      <c r="AC41" s="29"/>
      <c r="AD41" s="10" t="s">
        <v>48</v>
      </c>
      <c r="AE41" s="10" t="s">
        <v>49</v>
      </c>
    </row>
    <row r="42" spans="1:31" ht="75" x14ac:dyDescent="0.25">
      <c r="A42" s="28">
        <v>99</v>
      </c>
      <c r="B42" s="17" t="s">
        <v>41</v>
      </c>
      <c r="C42" s="17" t="s">
        <v>42</v>
      </c>
      <c r="D42" s="120" t="s">
        <v>125</v>
      </c>
      <c r="E42" s="39" t="s">
        <v>136</v>
      </c>
      <c r="F42" s="35" t="s">
        <v>137</v>
      </c>
      <c r="G42" s="40">
        <v>2020068001033</v>
      </c>
      <c r="H42" s="38" t="s">
        <v>138</v>
      </c>
      <c r="I42" s="9" t="s">
        <v>139</v>
      </c>
      <c r="J42" s="11">
        <v>44197</v>
      </c>
      <c r="K42" s="11">
        <v>44561</v>
      </c>
      <c r="L42" s="67">
        <v>1</v>
      </c>
      <c r="M42" s="43">
        <v>0</v>
      </c>
      <c r="N42" s="69">
        <f t="shared" si="8"/>
        <v>0</v>
      </c>
      <c r="O42" s="37" t="s">
        <v>249</v>
      </c>
      <c r="P42" s="29">
        <v>90000000</v>
      </c>
      <c r="Q42" s="32"/>
      <c r="R42" s="32"/>
      <c r="S42" s="32"/>
      <c r="T42" s="31"/>
      <c r="U42" s="66">
        <f t="shared" si="9"/>
        <v>90000000</v>
      </c>
      <c r="V42" s="109"/>
      <c r="W42" s="77"/>
      <c r="X42" s="77"/>
      <c r="Y42" s="77"/>
      <c r="Z42" s="74"/>
      <c r="AA42" s="66">
        <f t="shared" si="10"/>
        <v>0</v>
      </c>
      <c r="AB42" s="8">
        <f t="shared" si="11"/>
        <v>0</v>
      </c>
      <c r="AC42" s="29"/>
      <c r="AD42" s="10" t="s">
        <v>48</v>
      </c>
      <c r="AE42" s="10" t="s">
        <v>49</v>
      </c>
    </row>
    <row r="43" spans="1:31" ht="78" x14ac:dyDescent="0.25">
      <c r="A43" s="28">
        <v>100</v>
      </c>
      <c r="B43" s="12" t="s">
        <v>41</v>
      </c>
      <c r="C43" s="12" t="s">
        <v>42</v>
      </c>
      <c r="D43" s="118" t="s">
        <v>140</v>
      </c>
      <c r="E43" s="39" t="s">
        <v>141</v>
      </c>
      <c r="F43" s="35" t="s">
        <v>142</v>
      </c>
      <c r="G43" s="48">
        <v>20200680010106</v>
      </c>
      <c r="H43" s="42" t="s">
        <v>143</v>
      </c>
      <c r="I43" s="15" t="s">
        <v>144</v>
      </c>
      <c r="J43" s="11">
        <v>44197</v>
      </c>
      <c r="K43" s="11">
        <v>44561</v>
      </c>
      <c r="L43" s="67">
        <v>1</v>
      </c>
      <c r="M43" s="97">
        <v>1</v>
      </c>
      <c r="N43" s="69">
        <f t="shared" si="8"/>
        <v>1</v>
      </c>
      <c r="O43" s="37" t="s">
        <v>145</v>
      </c>
      <c r="P43" s="29">
        <f>25000000+15000000</f>
        <v>40000000</v>
      </c>
      <c r="Q43" s="32"/>
      <c r="R43" s="32"/>
      <c r="S43" s="32"/>
      <c r="T43" s="31"/>
      <c r="U43" s="66">
        <f t="shared" si="9"/>
        <v>40000000</v>
      </c>
      <c r="V43" s="109">
        <v>40000000</v>
      </c>
      <c r="W43" s="77"/>
      <c r="X43" s="77"/>
      <c r="Y43" s="77"/>
      <c r="Z43" s="74"/>
      <c r="AA43" s="66">
        <f t="shared" si="10"/>
        <v>40000000</v>
      </c>
      <c r="AB43" s="8">
        <f t="shared" si="11"/>
        <v>1</v>
      </c>
      <c r="AC43" s="29">
        <v>1000000</v>
      </c>
      <c r="AD43" s="10" t="s">
        <v>48</v>
      </c>
      <c r="AE43" s="10" t="s">
        <v>49</v>
      </c>
    </row>
    <row r="44" spans="1:31" ht="78" x14ac:dyDescent="0.25">
      <c r="A44" s="28">
        <v>101</v>
      </c>
      <c r="B44" s="12" t="s">
        <v>41</v>
      </c>
      <c r="C44" s="12" t="s">
        <v>42</v>
      </c>
      <c r="D44" s="118" t="s">
        <v>140</v>
      </c>
      <c r="E44" s="39" t="s">
        <v>146</v>
      </c>
      <c r="F44" s="35" t="s">
        <v>147</v>
      </c>
      <c r="G44" s="48">
        <v>20200680010106</v>
      </c>
      <c r="H44" s="42" t="s">
        <v>143</v>
      </c>
      <c r="I44" s="15" t="s">
        <v>144</v>
      </c>
      <c r="J44" s="11">
        <v>44197</v>
      </c>
      <c r="K44" s="11">
        <v>44561</v>
      </c>
      <c r="L44" s="67">
        <v>600</v>
      </c>
      <c r="M44" s="68">
        <v>618</v>
      </c>
      <c r="N44" s="69">
        <f t="shared" si="8"/>
        <v>1</v>
      </c>
      <c r="O44" s="37" t="s">
        <v>145</v>
      </c>
      <c r="P44" s="29">
        <f>20000000+20000000-2000000-2000000</f>
        <v>36000000</v>
      </c>
      <c r="Q44" s="32"/>
      <c r="R44" s="32"/>
      <c r="S44" s="32"/>
      <c r="T44" s="31"/>
      <c r="U44" s="66">
        <f t="shared" si="9"/>
        <v>36000000</v>
      </c>
      <c r="V44" s="109">
        <f>18000000+18000000</f>
        <v>36000000</v>
      </c>
      <c r="W44" s="77"/>
      <c r="X44" s="77"/>
      <c r="Y44" s="77"/>
      <c r="Z44" s="74"/>
      <c r="AA44" s="66">
        <f t="shared" si="10"/>
        <v>36000000</v>
      </c>
      <c r="AB44" s="8">
        <f t="shared" si="11"/>
        <v>1</v>
      </c>
      <c r="AC44" s="29">
        <v>1000000</v>
      </c>
      <c r="AD44" s="10" t="s">
        <v>48</v>
      </c>
      <c r="AE44" s="10" t="s">
        <v>49</v>
      </c>
    </row>
    <row r="45" spans="1:31" ht="90" x14ac:dyDescent="0.25">
      <c r="A45" s="28">
        <v>102</v>
      </c>
      <c r="B45" s="12" t="s">
        <v>41</v>
      </c>
      <c r="C45" s="12" t="s">
        <v>42</v>
      </c>
      <c r="D45" s="118" t="s">
        <v>140</v>
      </c>
      <c r="E45" s="39" t="s">
        <v>157</v>
      </c>
      <c r="F45" s="35" t="s">
        <v>158</v>
      </c>
      <c r="G45" s="48">
        <v>20200680010106</v>
      </c>
      <c r="H45" s="42" t="s">
        <v>143</v>
      </c>
      <c r="I45" s="9" t="s">
        <v>159</v>
      </c>
      <c r="J45" s="11">
        <v>44197</v>
      </c>
      <c r="K45" s="11">
        <v>44561</v>
      </c>
      <c r="L45" s="67">
        <v>1</v>
      </c>
      <c r="M45" s="68">
        <v>1</v>
      </c>
      <c r="N45" s="69">
        <f t="shared" si="8"/>
        <v>1</v>
      </c>
      <c r="O45" s="37" t="s">
        <v>145</v>
      </c>
      <c r="P45" s="29">
        <f>30000000-6000000</f>
        <v>24000000</v>
      </c>
      <c r="Q45" s="32"/>
      <c r="R45" s="32"/>
      <c r="S45" s="32"/>
      <c r="T45" s="31"/>
      <c r="U45" s="66">
        <f t="shared" si="9"/>
        <v>24000000</v>
      </c>
      <c r="V45" s="109">
        <v>24000000</v>
      </c>
      <c r="W45" s="77"/>
      <c r="X45" s="77"/>
      <c r="Y45" s="77"/>
      <c r="Z45" s="74"/>
      <c r="AA45" s="66">
        <f t="shared" si="10"/>
        <v>24000000</v>
      </c>
      <c r="AB45" s="8">
        <f>IFERROR(AA45/U45,"-")</f>
        <v>1</v>
      </c>
      <c r="AC45" s="29">
        <v>1000000</v>
      </c>
      <c r="AD45" s="10" t="s">
        <v>48</v>
      </c>
      <c r="AE45" s="10" t="s">
        <v>49</v>
      </c>
    </row>
    <row r="46" spans="1:31" ht="78" x14ac:dyDescent="0.25">
      <c r="A46" s="28">
        <v>103</v>
      </c>
      <c r="B46" s="12" t="s">
        <v>41</v>
      </c>
      <c r="C46" s="12" t="s">
        <v>42</v>
      </c>
      <c r="D46" s="118" t="s">
        <v>140</v>
      </c>
      <c r="E46" s="39" t="s">
        <v>160</v>
      </c>
      <c r="F46" s="35" t="s">
        <v>161</v>
      </c>
      <c r="G46" s="48">
        <v>20200680010106</v>
      </c>
      <c r="H46" s="42" t="s">
        <v>143</v>
      </c>
      <c r="I46" s="9" t="s">
        <v>162</v>
      </c>
      <c r="J46" s="11">
        <v>44197</v>
      </c>
      <c r="K46" s="11">
        <v>44561</v>
      </c>
      <c r="L46" s="70">
        <v>1</v>
      </c>
      <c r="M46" s="71">
        <v>1</v>
      </c>
      <c r="N46" s="69">
        <f t="shared" si="8"/>
        <v>1</v>
      </c>
      <c r="O46" s="37" t="s">
        <v>145</v>
      </c>
      <c r="P46" s="29">
        <v>11000000</v>
      </c>
      <c r="Q46" s="32"/>
      <c r="R46" s="32"/>
      <c r="S46" s="32"/>
      <c r="T46" s="31"/>
      <c r="U46" s="66">
        <f t="shared" si="9"/>
        <v>11000000</v>
      </c>
      <c r="V46" s="109"/>
      <c r="W46" s="77"/>
      <c r="X46" s="77"/>
      <c r="Y46" s="77"/>
      <c r="Z46" s="74"/>
      <c r="AA46" s="66">
        <f t="shared" si="10"/>
        <v>0</v>
      </c>
      <c r="AB46" s="8">
        <f>IFERROR(AA46/U46,"-")</f>
        <v>0</v>
      </c>
      <c r="AC46" s="29">
        <v>1000000</v>
      </c>
      <c r="AD46" s="10" t="s">
        <v>48</v>
      </c>
      <c r="AE46" s="10" t="s">
        <v>49</v>
      </c>
    </row>
    <row r="47" spans="1:31" ht="78" x14ac:dyDescent="0.25">
      <c r="A47" s="28">
        <v>104</v>
      </c>
      <c r="B47" s="12" t="s">
        <v>41</v>
      </c>
      <c r="C47" s="12" t="s">
        <v>42</v>
      </c>
      <c r="D47" s="118" t="s">
        <v>140</v>
      </c>
      <c r="E47" s="39" t="s">
        <v>163</v>
      </c>
      <c r="F47" s="35" t="s">
        <v>164</v>
      </c>
      <c r="G47" s="48">
        <v>20200680010106</v>
      </c>
      <c r="H47" s="42" t="s">
        <v>143</v>
      </c>
      <c r="I47" s="9" t="s">
        <v>165</v>
      </c>
      <c r="J47" s="11">
        <v>44197</v>
      </c>
      <c r="K47" s="11">
        <v>44561</v>
      </c>
      <c r="L47" s="67">
        <v>1</v>
      </c>
      <c r="M47" s="68">
        <v>1</v>
      </c>
      <c r="N47" s="69">
        <f t="shared" si="8"/>
        <v>1</v>
      </c>
      <c r="O47" s="37" t="s">
        <v>145</v>
      </c>
      <c r="P47" s="29">
        <v>10000000</v>
      </c>
      <c r="Q47" s="32"/>
      <c r="R47" s="32"/>
      <c r="S47" s="32"/>
      <c r="T47" s="31"/>
      <c r="U47" s="66">
        <f t="shared" si="9"/>
        <v>10000000</v>
      </c>
      <c r="V47" s="109"/>
      <c r="W47" s="77"/>
      <c r="X47" s="77"/>
      <c r="Y47" s="77"/>
      <c r="Z47" s="74"/>
      <c r="AA47" s="66">
        <f t="shared" si="10"/>
        <v>0</v>
      </c>
      <c r="AB47" s="8">
        <f>IFERROR(AA47/U47,"-")</f>
        <v>0</v>
      </c>
      <c r="AC47" s="29">
        <v>1000000</v>
      </c>
      <c r="AD47" s="10" t="s">
        <v>48</v>
      </c>
      <c r="AE47" s="10" t="s">
        <v>49</v>
      </c>
    </row>
    <row r="48" spans="1:31" ht="78" x14ac:dyDescent="0.25">
      <c r="A48" s="28">
        <v>105</v>
      </c>
      <c r="B48" s="12" t="s">
        <v>41</v>
      </c>
      <c r="C48" s="12" t="s">
        <v>42</v>
      </c>
      <c r="D48" s="118" t="s">
        <v>140</v>
      </c>
      <c r="E48" s="39" t="s">
        <v>166</v>
      </c>
      <c r="F48" s="35" t="s">
        <v>167</v>
      </c>
      <c r="G48" s="48">
        <v>20200680010106</v>
      </c>
      <c r="H48" s="42" t="s">
        <v>143</v>
      </c>
      <c r="I48" s="9" t="s">
        <v>168</v>
      </c>
      <c r="J48" s="11">
        <v>44197</v>
      </c>
      <c r="K48" s="11">
        <v>44561</v>
      </c>
      <c r="L48" s="67">
        <v>1</v>
      </c>
      <c r="M48" s="68">
        <v>1</v>
      </c>
      <c r="N48" s="69">
        <f t="shared" si="8"/>
        <v>1</v>
      </c>
      <c r="O48" s="37" t="s">
        <v>145</v>
      </c>
      <c r="P48" s="29">
        <v>24000000</v>
      </c>
      <c r="Q48" s="32"/>
      <c r="R48" s="32"/>
      <c r="S48" s="32"/>
      <c r="T48" s="31"/>
      <c r="U48" s="66">
        <f t="shared" si="9"/>
        <v>24000000</v>
      </c>
      <c r="V48" s="109">
        <v>24000000</v>
      </c>
      <c r="W48" s="77"/>
      <c r="X48" s="77"/>
      <c r="Y48" s="77"/>
      <c r="Z48" s="74"/>
      <c r="AA48" s="66">
        <f t="shared" si="10"/>
        <v>24000000</v>
      </c>
      <c r="AB48" s="8">
        <f>IFERROR(AA48/U48,"-")</f>
        <v>1</v>
      </c>
      <c r="AC48" s="29">
        <v>1000000</v>
      </c>
      <c r="AD48" s="10" t="s">
        <v>48</v>
      </c>
      <c r="AE48" s="10" t="s">
        <v>49</v>
      </c>
    </row>
    <row r="49" spans="1:31" ht="78" x14ac:dyDescent="0.25">
      <c r="A49" s="28">
        <v>106</v>
      </c>
      <c r="B49" s="12" t="s">
        <v>41</v>
      </c>
      <c r="C49" s="12" t="s">
        <v>42</v>
      </c>
      <c r="D49" s="118" t="s">
        <v>140</v>
      </c>
      <c r="E49" s="39" t="s">
        <v>148</v>
      </c>
      <c r="F49" s="35" t="s">
        <v>149</v>
      </c>
      <c r="G49" s="48">
        <v>20200680010106</v>
      </c>
      <c r="H49" s="42" t="s">
        <v>143</v>
      </c>
      <c r="I49" s="15" t="s">
        <v>144</v>
      </c>
      <c r="J49" s="11">
        <v>44197</v>
      </c>
      <c r="K49" s="11">
        <v>44561</v>
      </c>
      <c r="L49" s="67">
        <v>1</v>
      </c>
      <c r="M49" s="43">
        <v>0.7</v>
      </c>
      <c r="N49" s="69">
        <f t="shared" si="8"/>
        <v>0.7</v>
      </c>
      <c r="O49" s="37" t="s">
        <v>145</v>
      </c>
      <c r="P49" s="29">
        <v>15000000</v>
      </c>
      <c r="Q49" s="95"/>
      <c r="R49" s="32"/>
      <c r="S49" s="32"/>
      <c r="T49" s="31"/>
      <c r="U49" s="66">
        <f t="shared" si="9"/>
        <v>15000000</v>
      </c>
      <c r="V49" s="109">
        <f>6000000-3950000+5500000</f>
        <v>7550000</v>
      </c>
      <c r="W49" s="77"/>
      <c r="X49" s="77"/>
      <c r="Y49" s="77"/>
      <c r="Z49" s="74"/>
      <c r="AA49" s="66">
        <f t="shared" si="10"/>
        <v>7550000</v>
      </c>
      <c r="AB49" s="8">
        <f t="shared" si="11"/>
        <v>0.5033333333333333</v>
      </c>
      <c r="AC49" s="29">
        <v>1000000</v>
      </c>
      <c r="AD49" s="10" t="s">
        <v>48</v>
      </c>
      <c r="AE49" s="10" t="s">
        <v>49</v>
      </c>
    </row>
    <row r="50" spans="1:31" ht="78" x14ac:dyDescent="0.25">
      <c r="A50" s="28">
        <v>107</v>
      </c>
      <c r="B50" s="12" t="s">
        <v>41</v>
      </c>
      <c r="C50" s="12" t="s">
        <v>42</v>
      </c>
      <c r="D50" s="118" t="s">
        <v>150</v>
      </c>
      <c r="E50" s="39" t="s">
        <v>151</v>
      </c>
      <c r="F50" s="35" t="s">
        <v>152</v>
      </c>
      <c r="G50" s="48">
        <v>20200680010106</v>
      </c>
      <c r="H50" s="42" t="s">
        <v>143</v>
      </c>
      <c r="I50" s="15" t="s">
        <v>144</v>
      </c>
      <c r="J50" s="11">
        <v>44197</v>
      </c>
      <c r="K50" s="11">
        <v>44561</v>
      </c>
      <c r="L50" s="110">
        <v>1</v>
      </c>
      <c r="M50" s="116">
        <v>0.6</v>
      </c>
      <c r="N50" s="112">
        <f t="shared" si="8"/>
        <v>0.6</v>
      </c>
      <c r="O50" s="37" t="s">
        <v>241</v>
      </c>
      <c r="P50" s="109">
        <f>15000000+58000000</f>
        <v>73000000</v>
      </c>
      <c r="Q50" s="95"/>
      <c r="R50" s="32"/>
      <c r="S50" s="32"/>
      <c r="T50" s="31"/>
      <c r="U50" s="113">
        <f>SUM(P50:T50)</f>
        <v>73000000</v>
      </c>
      <c r="V50" s="109">
        <f>6000000-3950000+5500000</f>
        <v>7550000</v>
      </c>
      <c r="W50" s="77"/>
      <c r="X50" s="77"/>
      <c r="Y50" s="77"/>
      <c r="Z50" s="74"/>
      <c r="AA50" s="113">
        <f>SUM(V50:Z50)</f>
        <v>7550000</v>
      </c>
      <c r="AB50" s="108">
        <f>IFERROR(AA50/U50,"-")</f>
        <v>0.10342465753424658</v>
      </c>
      <c r="AC50" s="109">
        <v>1000000</v>
      </c>
      <c r="AD50" s="107" t="s">
        <v>48</v>
      </c>
      <c r="AE50" s="107" t="s">
        <v>49</v>
      </c>
    </row>
    <row r="51" spans="1:31" ht="125.4" customHeight="1" x14ac:dyDescent="0.25">
      <c r="A51" s="28">
        <v>108</v>
      </c>
      <c r="B51" s="12" t="s">
        <v>41</v>
      </c>
      <c r="C51" s="12" t="s">
        <v>42</v>
      </c>
      <c r="D51" s="118" t="s">
        <v>150</v>
      </c>
      <c r="E51" s="39" t="s">
        <v>153</v>
      </c>
      <c r="F51" s="35" t="s">
        <v>154</v>
      </c>
      <c r="G51" s="48">
        <v>20200680010106</v>
      </c>
      <c r="H51" s="42" t="s">
        <v>143</v>
      </c>
      <c r="I51" s="15" t="s">
        <v>144</v>
      </c>
      <c r="J51" s="11">
        <v>44197</v>
      </c>
      <c r="K51" s="11">
        <v>44561</v>
      </c>
      <c r="L51" s="67">
        <v>4</v>
      </c>
      <c r="M51" s="68">
        <v>2</v>
      </c>
      <c r="N51" s="69">
        <f t="shared" si="8"/>
        <v>0.5</v>
      </c>
      <c r="O51" s="37" t="s">
        <v>145</v>
      </c>
      <c r="P51" s="109">
        <f>30000000+10000000+2000000</f>
        <v>42000000</v>
      </c>
      <c r="Q51" s="95"/>
      <c r="R51" s="32"/>
      <c r="S51" s="32"/>
      <c r="T51" s="31"/>
      <c r="U51" s="66">
        <f>SUM(P51:T51)</f>
        <v>42000000</v>
      </c>
      <c r="V51" s="109">
        <f>16000000+12000000+13731290</f>
        <v>41731290</v>
      </c>
      <c r="W51" s="77"/>
      <c r="X51" s="77"/>
      <c r="Y51" s="77"/>
      <c r="Z51" s="74"/>
      <c r="AA51" s="66">
        <f>SUM(V51:Z51)</f>
        <v>41731290</v>
      </c>
      <c r="AB51" s="8">
        <f t="shared" si="11"/>
        <v>0.99360214285714288</v>
      </c>
      <c r="AC51" s="29">
        <v>1000000</v>
      </c>
      <c r="AD51" s="10" t="s">
        <v>48</v>
      </c>
      <c r="AE51" s="10" t="s">
        <v>49</v>
      </c>
    </row>
    <row r="52" spans="1:31" ht="78" x14ac:dyDescent="0.25">
      <c r="A52" s="28">
        <v>109</v>
      </c>
      <c r="B52" s="12" t="s">
        <v>41</v>
      </c>
      <c r="C52" s="12" t="s">
        <v>42</v>
      </c>
      <c r="D52" s="118" t="s">
        <v>150</v>
      </c>
      <c r="E52" s="39" t="s">
        <v>169</v>
      </c>
      <c r="F52" s="35" t="s">
        <v>170</v>
      </c>
      <c r="G52" s="48">
        <v>20200680010106</v>
      </c>
      <c r="H52" s="42" t="s">
        <v>143</v>
      </c>
      <c r="I52" s="9" t="s">
        <v>168</v>
      </c>
      <c r="J52" s="11">
        <v>44197</v>
      </c>
      <c r="K52" s="11">
        <v>44561</v>
      </c>
      <c r="L52" s="67">
        <v>1</v>
      </c>
      <c r="M52" s="68">
        <v>1</v>
      </c>
      <c r="N52" s="69">
        <f t="shared" si="8"/>
        <v>1</v>
      </c>
      <c r="O52" s="37" t="s">
        <v>145</v>
      </c>
      <c r="P52" s="109">
        <v>15000000</v>
      </c>
      <c r="Q52" s="95"/>
      <c r="R52" s="32"/>
      <c r="S52" s="32"/>
      <c r="T52" s="31"/>
      <c r="U52" s="66">
        <f>SUM(P52:T52)</f>
        <v>15000000</v>
      </c>
      <c r="V52" s="109">
        <v>12000000</v>
      </c>
      <c r="W52" s="77"/>
      <c r="X52" s="77"/>
      <c r="Y52" s="77"/>
      <c r="Z52" s="74"/>
      <c r="AA52" s="66">
        <f>SUM(V52:Z52)</f>
        <v>12000000</v>
      </c>
      <c r="AB52" s="8">
        <f>IFERROR(AA52/U52,"-")</f>
        <v>0.8</v>
      </c>
      <c r="AC52" s="29">
        <v>1000000</v>
      </c>
      <c r="AD52" s="10" t="s">
        <v>48</v>
      </c>
      <c r="AE52" s="10" t="s">
        <v>49</v>
      </c>
    </row>
    <row r="53" spans="1:31" ht="78" x14ac:dyDescent="0.25">
      <c r="A53" s="28">
        <v>110</v>
      </c>
      <c r="B53" s="12" t="s">
        <v>41</v>
      </c>
      <c r="C53" s="12" t="s">
        <v>42</v>
      </c>
      <c r="D53" s="118" t="s">
        <v>150</v>
      </c>
      <c r="E53" s="39" t="s">
        <v>155</v>
      </c>
      <c r="F53" s="35" t="s">
        <v>156</v>
      </c>
      <c r="G53" s="48">
        <v>20200680010106</v>
      </c>
      <c r="H53" s="42" t="s">
        <v>143</v>
      </c>
      <c r="I53" s="15" t="s">
        <v>144</v>
      </c>
      <c r="J53" s="11">
        <v>44197</v>
      </c>
      <c r="K53" s="11">
        <v>44561</v>
      </c>
      <c r="L53" s="70">
        <v>1</v>
      </c>
      <c r="M53" s="71">
        <v>1</v>
      </c>
      <c r="N53" s="69">
        <f t="shared" si="8"/>
        <v>1</v>
      </c>
      <c r="O53" s="37" t="s">
        <v>145</v>
      </c>
      <c r="P53" s="109">
        <v>30000000</v>
      </c>
      <c r="Q53" s="95"/>
      <c r="R53" s="32"/>
      <c r="S53" s="32"/>
      <c r="T53" s="31"/>
      <c r="U53" s="66">
        <f>SUM(P53:T53)</f>
        <v>30000000</v>
      </c>
      <c r="V53" s="109">
        <f>16000000+12000000</f>
        <v>28000000</v>
      </c>
      <c r="W53" s="77"/>
      <c r="X53" s="77"/>
      <c r="Y53" s="77"/>
      <c r="Z53" s="74"/>
      <c r="AA53" s="66">
        <f>SUM(V53:Z53)</f>
        <v>28000000</v>
      </c>
      <c r="AB53" s="8">
        <f t="shared" si="11"/>
        <v>0.93333333333333335</v>
      </c>
      <c r="AC53" s="29">
        <v>1000000</v>
      </c>
      <c r="AD53" s="10" t="s">
        <v>48</v>
      </c>
      <c r="AE53" s="10" t="s">
        <v>49</v>
      </c>
    </row>
    <row r="54" spans="1:31" ht="75" x14ac:dyDescent="0.25">
      <c r="A54" s="28">
        <v>111</v>
      </c>
      <c r="B54" s="12" t="s">
        <v>41</v>
      </c>
      <c r="C54" s="12" t="s">
        <v>42</v>
      </c>
      <c r="D54" s="118" t="s">
        <v>171</v>
      </c>
      <c r="E54" s="39" t="s">
        <v>177</v>
      </c>
      <c r="F54" s="35" t="s">
        <v>178</v>
      </c>
      <c r="G54" s="48">
        <v>20200680010050</v>
      </c>
      <c r="H54" s="42" t="s">
        <v>174</v>
      </c>
      <c r="I54" s="15" t="s">
        <v>175</v>
      </c>
      <c r="J54" s="11">
        <v>44197</v>
      </c>
      <c r="K54" s="11">
        <v>44561</v>
      </c>
      <c r="L54" s="139">
        <v>1</v>
      </c>
      <c r="M54" s="140">
        <v>1</v>
      </c>
      <c r="N54" s="141">
        <f t="shared" si="8"/>
        <v>1</v>
      </c>
      <c r="O54" s="37" t="s">
        <v>251</v>
      </c>
      <c r="P54" s="109">
        <v>130000000</v>
      </c>
      <c r="Q54" s="96">
        <f>119000000-50000000</f>
        <v>69000000</v>
      </c>
      <c r="R54" s="32"/>
      <c r="S54" s="32"/>
      <c r="T54" s="31"/>
      <c r="U54" s="142">
        <f>SUM(P54:T55)</f>
        <v>285400000</v>
      </c>
      <c r="V54" s="109">
        <f>89600000-12000000+14400000+14400000+24000000+56000000</f>
        <v>186400000</v>
      </c>
      <c r="W54" s="77"/>
      <c r="X54" s="77"/>
      <c r="Y54" s="77"/>
      <c r="Z54" s="74"/>
      <c r="AA54" s="142">
        <f>SUM(V54:Z55)</f>
        <v>216400000</v>
      </c>
      <c r="AB54" s="152">
        <f>IFERROR(AA54/U54,"-")</f>
        <v>0.75823405746320949</v>
      </c>
      <c r="AC54" s="153"/>
      <c r="AD54" s="151" t="s">
        <v>48</v>
      </c>
      <c r="AE54" s="151" t="s">
        <v>49</v>
      </c>
    </row>
    <row r="55" spans="1:31" ht="75" x14ac:dyDescent="0.25">
      <c r="A55" s="64">
        <v>111</v>
      </c>
      <c r="B55" s="12" t="s">
        <v>41</v>
      </c>
      <c r="C55" s="12" t="s">
        <v>42</v>
      </c>
      <c r="D55" s="118" t="s">
        <v>171</v>
      </c>
      <c r="E55" s="39" t="s">
        <v>177</v>
      </c>
      <c r="F55" s="35" t="s">
        <v>178</v>
      </c>
      <c r="G55" s="48">
        <v>20200680010050</v>
      </c>
      <c r="H55" s="42" t="s">
        <v>174</v>
      </c>
      <c r="I55" s="49"/>
      <c r="J55" s="11"/>
      <c r="K55" s="11"/>
      <c r="L55" s="139"/>
      <c r="M55" s="140"/>
      <c r="N55" s="141"/>
      <c r="O55" s="37" t="s">
        <v>252</v>
      </c>
      <c r="P55" s="109">
        <f>105000000-45000000+26400000</f>
        <v>86400000</v>
      </c>
      <c r="Q55" s="96"/>
      <c r="R55" s="32"/>
      <c r="S55" s="32"/>
      <c r="T55" s="31"/>
      <c r="U55" s="142"/>
      <c r="V55" s="109">
        <v>30000000</v>
      </c>
      <c r="W55" s="109"/>
      <c r="X55" s="77"/>
      <c r="Y55" s="77"/>
      <c r="Z55" s="74"/>
      <c r="AA55" s="142"/>
      <c r="AB55" s="152"/>
      <c r="AC55" s="153"/>
      <c r="AD55" s="151"/>
      <c r="AE55" s="151"/>
    </row>
    <row r="56" spans="1:31" ht="75" x14ac:dyDescent="0.25">
      <c r="A56" s="28">
        <v>112</v>
      </c>
      <c r="B56" s="12" t="s">
        <v>41</v>
      </c>
      <c r="C56" s="12" t="s">
        <v>42</v>
      </c>
      <c r="D56" s="119" t="s">
        <v>171</v>
      </c>
      <c r="E56" s="46" t="s">
        <v>172</v>
      </c>
      <c r="F56" s="47" t="s">
        <v>173</v>
      </c>
      <c r="G56" s="48">
        <v>20200680010050</v>
      </c>
      <c r="H56" s="42" t="s">
        <v>174</v>
      </c>
      <c r="I56" s="49"/>
      <c r="J56" s="11"/>
      <c r="K56" s="11"/>
      <c r="L56" s="139">
        <v>284</v>
      </c>
      <c r="M56" s="140">
        <v>285</v>
      </c>
      <c r="N56" s="141">
        <f>IFERROR(IF(M56/L56&gt;100%,100%,M56/L56),"-")</f>
        <v>1</v>
      </c>
      <c r="O56" s="37" t="s">
        <v>250</v>
      </c>
      <c r="P56" s="109">
        <f>201016480+318600000+281400000-60000000-173600000-26400000-281400000</f>
        <v>259616480</v>
      </c>
      <c r="Q56" s="95"/>
      <c r="R56" s="32"/>
      <c r="S56" s="104"/>
      <c r="T56" s="31"/>
      <c r="U56" s="142">
        <f>SUM(P56:T57)</f>
        <v>1229600000</v>
      </c>
      <c r="V56" s="109">
        <v>99242640</v>
      </c>
      <c r="W56" s="109"/>
      <c r="X56" s="77"/>
      <c r="Y56" s="77"/>
      <c r="Z56" s="74"/>
      <c r="AA56" s="142">
        <f>SUM(V56:Z57)</f>
        <v>1055476831</v>
      </c>
      <c r="AB56" s="152">
        <f t="shared" si="11"/>
        <v>0.85839039606376055</v>
      </c>
      <c r="AC56" s="153"/>
      <c r="AD56" s="151" t="s">
        <v>48</v>
      </c>
      <c r="AE56" s="151" t="s">
        <v>49</v>
      </c>
    </row>
    <row r="57" spans="1:31" ht="75" x14ac:dyDescent="0.25">
      <c r="A57" s="28">
        <v>112</v>
      </c>
      <c r="B57" s="12" t="s">
        <v>41</v>
      </c>
      <c r="C57" s="12" t="s">
        <v>42</v>
      </c>
      <c r="D57" s="119" t="s">
        <v>171</v>
      </c>
      <c r="E57" s="46" t="s">
        <v>172</v>
      </c>
      <c r="F57" s="47" t="s">
        <v>173</v>
      </c>
      <c r="G57" s="48">
        <v>20200680010050</v>
      </c>
      <c r="H57" s="42" t="s">
        <v>174</v>
      </c>
      <c r="I57" s="15" t="s">
        <v>175</v>
      </c>
      <c r="J57" s="11">
        <v>44197</v>
      </c>
      <c r="K57" s="11">
        <v>44561</v>
      </c>
      <c r="L57" s="139"/>
      <c r="M57" s="140"/>
      <c r="N57" s="141"/>
      <c r="O57" s="37" t="s">
        <v>176</v>
      </c>
      <c r="P57" s="109">
        <v>6983520</v>
      </c>
      <c r="Q57" s="96">
        <f>913000000+50000000</f>
        <v>963000000</v>
      </c>
      <c r="R57" s="32"/>
      <c r="S57" s="32"/>
      <c r="T57" s="31"/>
      <c r="U57" s="142"/>
      <c r="V57" s="109"/>
      <c r="W57" s="109">
        <f>116814858+839419333</f>
        <v>956234191</v>
      </c>
      <c r="X57" s="78"/>
      <c r="Y57" s="78"/>
      <c r="Z57" s="74"/>
      <c r="AA57" s="142"/>
      <c r="AB57" s="152"/>
      <c r="AC57" s="153"/>
      <c r="AD57" s="151"/>
      <c r="AE57" s="151"/>
    </row>
    <row r="58" spans="1:31" ht="75" x14ac:dyDescent="0.25">
      <c r="A58" s="28">
        <v>113</v>
      </c>
      <c r="B58" s="12" t="s">
        <v>41</v>
      </c>
      <c r="C58" s="12" t="s">
        <v>42</v>
      </c>
      <c r="D58" s="118" t="s">
        <v>171</v>
      </c>
      <c r="E58" s="39" t="s">
        <v>179</v>
      </c>
      <c r="F58" s="35" t="s">
        <v>180</v>
      </c>
      <c r="G58" s="48">
        <v>20200680010050</v>
      </c>
      <c r="H58" s="42" t="s">
        <v>174</v>
      </c>
      <c r="I58" s="15" t="s">
        <v>175</v>
      </c>
      <c r="J58" s="11">
        <v>44197</v>
      </c>
      <c r="K58" s="11">
        <v>44561</v>
      </c>
      <c r="L58" s="67">
        <v>1</v>
      </c>
      <c r="M58" s="97">
        <v>1</v>
      </c>
      <c r="N58" s="69">
        <f>IFERROR(IF(M58/L58&gt;100%,100%,M58/L58),"-")</f>
        <v>1</v>
      </c>
      <c r="O58" s="37" t="s">
        <v>176</v>
      </c>
      <c r="P58" s="109">
        <v>12000000</v>
      </c>
      <c r="Q58" s="96">
        <v>18000000</v>
      </c>
      <c r="R58" s="32"/>
      <c r="S58" s="32"/>
      <c r="T58" s="31"/>
      <c r="U58" s="66">
        <f>SUM(P58:T58)</f>
        <v>30000000</v>
      </c>
      <c r="V58" s="109">
        <v>12000000</v>
      </c>
      <c r="W58" s="109"/>
      <c r="X58" s="78"/>
      <c r="Y58" s="78"/>
      <c r="Z58" s="74"/>
      <c r="AA58" s="91">
        <f>SUM(V58:Z58)</f>
        <v>12000000</v>
      </c>
      <c r="AB58" s="8">
        <f>IFERROR(AA58/U58,"-")</f>
        <v>0.4</v>
      </c>
      <c r="AC58" s="29"/>
      <c r="AD58" s="10" t="s">
        <v>48</v>
      </c>
      <c r="AE58" s="10" t="s">
        <v>49</v>
      </c>
    </row>
    <row r="59" spans="1:31" ht="75" x14ac:dyDescent="0.25">
      <c r="A59" s="28">
        <v>114</v>
      </c>
      <c r="B59" s="12" t="s">
        <v>41</v>
      </c>
      <c r="C59" s="12" t="s">
        <v>42</v>
      </c>
      <c r="D59" s="118" t="s">
        <v>171</v>
      </c>
      <c r="E59" s="39" t="s">
        <v>181</v>
      </c>
      <c r="F59" s="35" t="s">
        <v>182</v>
      </c>
      <c r="G59" s="48">
        <v>20200680010050</v>
      </c>
      <c r="H59" s="42" t="s">
        <v>174</v>
      </c>
      <c r="I59" s="15" t="s">
        <v>175</v>
      </c>
      <c r="J59" s="11">
        <v>44197</v>
      </c>
      <c r="K59" s="11">
        <v>44561</v>
      </c>
      <c r="L59" s="70">
        <v>1</v>
      </c>
      <c r="M59" s="71">
        <v>1</v>
      </c>
      <c r="N59" s="69">
        <f>IFERROR(IF(M59/L59&gt;100%,100%,M59/L59),"-")</f>
        <v>1</v>
      </c>
      <c r="O59" s="37" t="s">
        <v>183</v>
      </c>
      <c r="P59" s="109"/>
      <c r="Q59" s="96">
        <v>60000000</v>
      </c>
      <c r="R59" s="32"/>
      <c r="S59" s="32"/>
      <c r="T59" s="31"/>
      <c r="U59" s="66">
        <f>SUM(P59:T59)</f>
        <v>60000000</v>
      </c>
      <c r="V59" s="109"/>
      <c r="W59" s="109">
        <f>13050000+46950000</f>
        <v>60000000</v>
      </c>
      <c r="X59" s="78"/>
      <c r="Y59" s="78"/>
      <c r="Z59" s="74"/>
      <c r="AA59" s="91">
        <f>SUM(V59:Z59)</f>
        <v>60000000</v>
      </c>
      <c r="AB59" s="8">
        <f>IFERROR(AA59/U59,"-")</f>
        <v>1</v>
      </c>
      <c r="AC59" s="29"/>
      <c r="AD59" s="10" t="s">
        <v>48</v>
      </c>
      <c r="AE59" s="10" t="s">
        <v>49</v>
      </c>
    </row>
    <row r="60" spans="1:31" ht="75" x14ac:dyDescent="0.25">
      <c r="A60" s="28">
        <v>115</v>
      </c>
      <c r="B60" s="12" t="s">
        <v>41</v>
      </c>
      <c r="C60" s="12" t="s">
        <v>42</v>
      </c>
      <c r="D60" s="119" t="s">
        <v>184</v>
      </c>
      <c r="E60" s="46" t="s">
        <v>185</v>
      </c>
      <c r="F60" s="47" t="s">
        <v>186</v>
      </c>
      <c r="G60" s="50"/>
      <c r="H60" s="13" t="s">
        <v>104</v>
      </c>
      <c r="I60" s="15"/>
      <c r="J60" s="11"/>
      <c r="K60" s="11"/>
      <c r="L60" s="139">
        <v>250</v>
      </c>
      <c r="M60" s="140">
        <f>220+30</f>
        <v>250</v>
      </c>
      <c r="N60" s="141">
        <f>IFERROR(IF(M60/L60&gt;100%,100%,M60/L60),"-")</f>
        <v>1</v>
      </c>
      <c r="O60" s="37" t="s">
        <v>187</v>
      </c>
      <c r="P60" s="109">
        <v>20023866</v>
      </c>
      <c r="Q60" s="96"/>
      <c r="R60" s="32"/>
      <c r="S60" s="32"/>
      <c r="T60" s="31"/>
      <c r="U60" s="142">
        <f>SUM(P60:T61)</f>
        <v>1086000000</v>
      </c>
      <c r="V60" s="79"/>
      <c r="W60" s="72"/>
      <c r="X60" s="78"/>
      <c r="Y60" s="78"/>
      <c r="Z60" s="74"/>
      <c r="AA60" s="142">
        <f>SUM(V60:Z61)</f>
        <v>835500000</v>
      </c>
      <c r="AB60" s="152">
        <f>IFERROR(AA60/U60,"-")</f>
        <v>0.76933701657458564</v>
      </c>
      <c r="AC60" s="153"/>
      <c r="AD60" s="151" t="s">
        <v>48</v>
      </c>
      <c r="AE60" s="151" t="s">
        <v>49</v>
      </c>
    </row>
    <row r="61" spans="1:31" ht="75" x14ac:dyDescent="0.25">
      <c r="A61" s="28">
        <v>115</v>
      </c>
      <c r="B61" s="12" t="s">
        <v>41</v>
      </c>
      <c r="C61" s="12" t="s">
        <v>42</v>
      </c>
      <c r="D61" s="119" t="s">
        <v>184</v>
      </c>
      <c r="E61" s="46" t="s">
        <v>185</v>
      </c>
      <c r="F61" s="47" t="s">
        <v>186</v>
      </c>
      <c r="G61" s="48">
        <v>20200680010121</v>
      </c>
      <c r="H61" s="52" t="s">
        <v>188</v>
      </c>
      <c r="I61" s="49" t="s">
        <v>189</v>
      </c>
      <c r="J61" s="11">
        <v>44197</v>
      </c>
      <c r="K61" s="11">
        <v>44561</v>
      </c>
      <c r="L61" s="139"/>
      <c r="M61" s="140"/>
      <c r="N61" s="141"/>
      <c r="O61" s="83" t="s">
        <v>190</v>
      </c>
      <c r="P61" s="109">
        <f>410000000-10000000-20000000-20023866-4000000-10000000</f>
        <v>345976134</v>
      </c>
      <c r="Q61" s="34">
        <f>590000000+130000000</f>
        <v>720000000</v>
      </c>
      <c r="R61" s="59"/>
      <c r="S61" s="59"/>
      <c r="T61" s="31"/>
      <c r="U61" s="142"/>
      <c r="V61" s="57">
        <f>36000000+24000000+49500000+7500000</f>
        <v>117000000</v>
      </c>
      <c r="W61" s="72">
        <f>276000000+192000000+150000000+100500000</f>
        <v>718500000</v>
      </c>
      <c r="X61" s="72"/>
      <c r="Y61" s="72"/>
      <c r="Z61" s="74"/>
      <c r="AA61" s="142"/>
      <c r="AB61" s="152"/>
      <c r="AC61" s="153"/>
      <c r="AD61" s="151"/>
      <c r="AE61" s="151"/>
    </row>
    <row r="62" spans="1:31" ht="75" x14ac:dyDescent="0.25">
      <c r="A62" s="28">
        <v>116</v>
      </c>
      <c r="B62" s="12" t="s">
        <v>41</v>
      </c>
      <c r="C62" s="12" t="s">
        <v>42</v>
      </c>
      <c r="D62" s="118" t="s">
        <v>184</v>
      </c>
      <c r="E62" s="39" t="s">
        <v>191</v>
      </c>
      <c r="F62" s="35" t="s">
        <v>192</v>
      </c>
      <c r="G62" s="48">
        <v>20200680010121</v>
      </c>
      <c r="H62" s="52" t="s">
        <v>188</v>
      </c>
      <c r="I62" s="49" t="s">
        <v>189</v>
      </c>
      <c r="J62" s="11">
        <v>44197</v>
      </c>
      <c r="K62" s="11">
        <v>44561</v>
      </c>
      <c r="L62" s="139">
        <v>1</v>
      </c>
      <c r="M62" s="140">
        <v>1</v>
      </c>
      <c r="N62" s="141">
        <f>IFERROR(IF(M62/L62&gt;100%,100%,M62/L62),"-")</f>
        <v>1</v>
      </c>
      <c r="O62" s="84" t="s">
        <v>193</v>
      </c>
      <c r="P62" s="57">
        <f>26000000+8000000+9000000+4000000</f>
        <v>47000000</v>
      </c>
      <c r="Q62" s="34"/>
      <c r="R62" s="59"/>
      <c r="S62" s="59"/>
      <c r="T62" s="31"/>
      <c r="U62" s="166">
        <f>SUM(P62:T63)</f>
        <v>72000000</v>
      </c>
      <c r="V62" s="57">
        <f>4000000+47742400</f>
        <v>51742400</v>
      </c>
      <c r="W62" s="72"/>
      <c r="X62" s="72"/>
      <c r="Y62" s="72"/>
      <c r="Z62" s="74"/>
      <c r="AA62" s="167">
        <f>SUM(V62:Z63)</f>
        <v>71742400</v>
      </c>
      <c r="AB62" s="152">
        <f t="shared" ref="AB62:AB69" si="12">IFERROR(AA62/U62,"-")</f>
        <v>0.99642222222222221</v>
      </c>
      <c r="AC62" s="153"/>
      <c r="AD62" s="151" t="s">
        <v>48</v>
      </c>
      <c r="AE62" s="151" t="s">
        <v>49</v>
      </c>
    </row>
    <row r="63" spans="1:31" ht="75" x14ac:dyDescent="0.25">
      <c r="A63" s="64">
        <v>116</v>
      </c>
      <c r="B63" s="12" t="s">
        <v>41</v>
      </c>
      <c r="C63" s="12" t="s">
        <v>42</v>
      </c>
      <c r="D63" s="118" t="s">
        <v>184</v>
      </c>
      <c r="E63" s="39" t="s">
        <v>191</v>
      </c>
      <c r="F63" s="35" t="s">
        <v>192</v>
      </c>
      <c r="G63" s="48">
        <v>20200680010121</v>
      </c>
      <c r="H63" s="52" t="s">
        <v>188</v>
      </c>
      <c r="I63" s="49" t="s">
        <v>240</v>
      </c>
      <c r="J63" s="11"/>
      <c r="K63" s="11"/>
      <c r="L63" s="139"/>
      <c r="M63" s="140"/>
      <c r="N63" s="141"/>
      <c r="O63" s="84"/>
      <c r="P63" s="57">
        <v>25000000</v>
      </c>
      <c r="Q63" s="34"/>
      <c r="R63" s="59"/>
      <c r="S63" s="59"/>
      <c r="T63" s="31"/>
      <c r="U63" s="166"/>
      <c r="V63" s="57">
        <v>20000000</v>
      </c>
      <c r="W63" s="72"/>
      <c r="X63" s="72"/>
      <c r="Y63" s="72"/>
      <c r="Z63" s="74"/>
      <c r="AA63" s="167"/>
      <c r="AB63" s="152"/>
      <c r="AC63" s="153"/>
      <c r="AD63" s="151"/>
      <c r="AE63" s="151"/>
    </row>
    <row r="64" spans="1:31" ht="90" x14ac:dyDescent="0.25">
      <c r="A64" s="28">
        <v>117</v>
      </c>
      <c r="B64" s="12" t="s">
        <v>41</v>
      </c>
      <c r="C64" s="12" t="s">
        <v>42</v>
      </c>
      <c r="D64" s="118" t="s">
        <v>184</v>
      </c>
      <c r="E64" s="39" t="s">
        <v>194</v>
      </c>
      <c r="F64" s="35" t="s">
        <v>195</v>
      </c>
      <c r="G64" s="48">
        <v>20200680010121</v>
      </c>
      <c r="H64" s="52" t="s">
        <v>188</v>
      </c>
      <c r="I64" s="49" t="s">
        <v>189</v>
      </c>
      <c r="J64" s="11">
        <v>44197</v>
      </c>
      <c r="K64" s="11">
        <v>44561</v>
      </c>
      <c r="L64" s="67">
        <v>1</v>
      </c>
      <c r="M64" s="45">
        <v>0.3</v>
      </c>
      <c r="N64" s="69">
        <f>IFERROR(IF(M64/L64&gt;100%,100%,M64/L64),"-")</f>
        <v>0.3</v>
      </c>
      <c r="O64" s="83" t="s">
        <v>190</v>
      </c>
      <c r="P64" s="57">
        <f>20000000+10000000+20000000+24000000-8000000</f>
        <v>66000000</v>
      </c>
      <c r="Q64" s="34">
        <f>180000000-130000000</f>
        <v>50000000</v>
      </c>
      <c r="R64" s="59"/>
      <c r="S64" s="59"/>
      <c r="T64" s="31"/>
      <c r="U64" s="60">
        <f>SUM(P64:T64)</f>
        <v>116000000</v>
      </c>
      <c r="V64" s="57">
        <f>24000000+16000000+24000000-18100000+19500000</f>
        <v>65400000</v>
      </c>
      <c r="W64" s="72"/>
      <c r="X64" s="72"/>
      <c r="Y64" s="72"/>
      <c r="Z64" s="74"/>
      <c r="AA64" s="60">
        <f>SUM(V64:Z64)</f>
        <v>65400000</v>
      </c>
      <c r="AB64" s="8">
        <f t="shared" si="12"/>
        <v>0.56379310344827582</v>
      </c>
      <c r="AC64" s="29"/>
      <c r="AD64" s="10" t="s">
        <v>48</v>
      </c>
      <c r="AE64" s="10" t="s">
        <v>49</v>
      </c>
    </row>
    <row r="65" spans="1:31" ht="75" x14ac:dyDescent="0.25">
      <c r="A65" s="28">
        <v>118</v>
      </c>
      <c r="B65" s="12" t="s">
        <v>41</v>
      </c>
      <c r="C65" s="12" t="s">
        <v>42</v>
      </c>
      <c r="D65" s="118" t="s">
        <v>184</v>
      </c>
      <c r="E65" s="39" t="s">
        <v>196</v>
      </c>
      <c r="F65" s="35" t="s">
        <v>197</v>
      </c>
      <c r="G65" s="48">
        <v>20200680010121</v>
      </c>
      <c r="H65" s="52" t="s">
        <v>188</v>
      </c>
      <c r="I65" s="49" t="s">
        <v>189</v>
      </c>
      <c r="J65" s="11">
        <v>44197</v>
      </c>
      <c r="K65" s="11">
        <v>44561</v>
      </c>
      <c r="L65" s="67">
        <v>200</v>
      </c>
      <c r="M65" s="68">
        <v>200</v>
      </c>
      <c r="N65" s="69">
        <f>IFERROR(IF(M65/L65&gt;100%,100%,M65/L65),"-")</f>
        <v>1</v>
      </c>
      <c r="O65" s="83" t="s">
        <v>198</v>
      </c>
      <c r="P65" s="57">
        <v>100000000</v>
      </c>
      <c r="Q65" s="59"/>
      <c r="R65" s="59"/>
      <c r="S65" s="59"/>
      <c r="T65" s="31"/>
      <c r="U65" s="60">
        <f>SUM(P65:T65)</f>
        <v>100000000</v>
      </c>
      <c r="V65" s="57">
        <f>80000*200*6</f>
        <v>96000000</v>
      </c>
      <c r="W65" s="72"/>
      <c r="X65" s="72"/>
      <c r="Y65" s="72"/>
      <c r="Z65" s="74"/>
      <c r="AA65" s="60">
        <f>SUM(V65:Z65)</f>
        <v>96000000</v>
      </c>
      <c r="AB65" s="8">
        <f t="shared" si="12"/>
        <v>0.96</v>
      </c>
      <c r="AC65" s="29"/>
      <c r="AD65" s="10" t="s">
        <v>48</v>
      </c>
      <c r="AE65" s="10" t="s">
        <v>49</v>
      </c>
    </row>
    <row r="66" spans="1:31" ht="75" x14ac:dyDescent="0.25">
      <c r="A66" s="28">
        <v>119</v>
      </c>
      <c r="B66" s="12" t="s">
        <v>41</v>
      </c>
      <c r="C66" s="12" t="s">
        <v>42</v>
      </c>
      <c r="D66" s="118" t="s">
        <v>184</v>
      </c>
      <c r="E66" s="39" t="s">
        <v>199</v>
      </c>
      <c r="F66" s="35" t="s">
        <v>200</v>
      </c>
      <c r="G66" s="48">
        <v>20200680010121</v>
      </c>
      <c r="H66" s="52" t="s">
        <v>188</v>
      </c>
      <c r="I66" s="49" t="s">
        <v>189</v>
      </c>
      <c r="J66" s="11">
        <v>44197</v>
      </c>
      <c r="K66" s="11">
        <v>44561</v>
      </c>
      <c r="L66" s="67">
        <v>1</v>
      </c>
      <c r="M66" s="68">
        <v>1</v>
      </c>
      <c r="N66" s="69">
        <f>IFERROR(IF(M66/L66&gt;100%,100%,M66/L66),"-")</f>
        <v>1</v>
      </c>
      <c r="O66" s="83" t="s">
        <v>187</v>
      </c>
      <c r="P66" s="57">
        <f>50000000-9000000</f>
        <v>41000000</v>
      </c>
      <c r="Q66" s="59"/>
      <c r="R66" s="59"/>
      <c r="S66" s="59"/>
      <c r="T66" s="31"/>
      <c r="U66" s="60">
        <f>SUM(P66:T66)</f>
        <v>41000000</v>
      </c>
      <c r="V66" s="57">
        <f>28000000+12800000</f>
        <v>40800000</v>
      </c>
      <c r="W66" s="72"/>
      <c r="X66" s="72"/>
      <c r="Y66" s="72"/>
      <c r="Z66" s="74"/>
      <c r="AA66" s="60">
        <f>SUM(V66:Z66)</f>
        <v>40800000</v>
      </c>
      <c r="AB66" s="8">
        <f t="shared" si="12"/>
        <v>0.99512195121951219</v>
      </c>
      <c r="AC66" s="29"/>
      <c r="AD66" s="10" t="s">
        <v>48</v>
      </c>
      <c r="AE66" s="10" t="s">
        <v>49</v>
      </c>
    </row>
    <row r="67" spans="1:31" ht="105" x14ac:dyDescent="0.25">
      <c r="A67" s="28">
        <v>202</v>
      </c>
      <c r="B67" s="12" t="s">
        <v>201</v>
      </c>
      <c r="C67" s="12" t="s">
        <v>202</v>
      </c>
      <c r="D67" s="119" t="s">
        <v>203</v>
      </c>
      <c r="E67" s="46" t="s">
        <v>206</v>
      </c>
      <c r="F67" s="47" t="s">
        <v>207</v>
      </c>
      <c r="G67" s="48">
        <v>20200680010123</v>
      </c>
      <c r="H67" s="42" t="s">
        <v>209</v>
      </c>
      <c r="I67" s="9" t="s">
        <v>240</v>
      </c>
      <c r="J67" s="11"/>
      <c r="K67" s="11"/>
      <c r="L67" s="139">
        <v>50</v>
      </c>
      <c r="M67" s="140">
        <v>50</v>
      </c>
      <c r="N67" s="141">
        <f>IFERROR(IF(M67/L67&gt;100%,100%,M67/L67),"-")</f>
        <v>1</v>
      </c>
      <c r="O67" s="37" t="s">
        <v>208</v>
      </c>
      <c r="P67" s="109">
        <f>30000000+30000000</f>
        <v>60000000</v>
      </c>
      <c r="Q67" s="32"/>
      <c r="R67" s="32"/>
      <c r="S67" s="32"/>
      <c r="T67" s="31"/>
      <c r="U67" s="142">
        <f>SUM(P67:T68)</f>
        <v>100000000.66</v>
      </c>
      <c r="V67" s="109">
        <v>53915000</v>
      </c>
      <c r="W67" s="77"/>
      <c r="X67" s="77"/>
      <c r="Y67" s="77"/>
      <c r="Z67" s="74"/>
      <c r="AA67" s="142">
        <f>SUM(V67:Z68)</f>
        <v>93915000</v>
      </c>
      <c r="AB67" s="152">
        <f>IFERROR(AA67/U67,"-")</f>
        <v>0.93914999380161013</v>
      </c>
      <c r="AC67" s="153"/>
      <c r="AD67" s="151" t="s">
        <v>48</v>
      </c>
      <c r="AE67" s="151" t="s">
        <v>49</v>
      </c>
    </row>
    <row r="68" spans="1:31" ht="105" x14ac:dyDescent="0.25">
      <c r="A68" s="28">
        <v>202</v>
      </c>
      <c r="B68" s="12" t="s">
        <v>201</v>
      </c>
      <c r="C68" s="12" t="s">
        <v>202</v>
      </c>
      <c r="D68" s="119" t="s">
        <v>203</v>
      </c>
      <c r="E68" s="46" t="s">
        <v>206</v>
      </c>
      <c r="F68" s="47" t="s">
        <v>207</v>
      </c>
      <c r="G68" s="48">
        <v>20200680010123</v>
      </c>
      <c r="H68" s="42" t="s">
        <v>209</v>
      </c>
      <c r="I68" s="49" t="s">
        <v>210</v>
      </c>
      <c r="J68" s="11">
        <v>44197</v>
      </c>
      <c r="K68" s="11">
        <v>44561</v>
      </c>
      <c r="L68" s="139"/>
      <c r="M68" s="140"/>
      <c r="N68" s="141"/>
      <c r="O68" s="37" t="s">
        <v>208</v>
      </c>
      <c r="P68" s="109">
        <f>40000000.66</f>
        <v>40000000.659999996</v>
      </c>
      <c r="Q68" s="32"/>
      <c r="R68" s="32"/>
      <c r="S68" s="32"/>
      <c r="T68" s="31"/>
      <c r="U68" s="142"/>
      <c r="V68" s="109">
        <v>40000000</v>
      </c>
      <c r="W68" s="77"/>
      <c r="X68" s="77"/>
      <c r="Y68" s="77"/>
      <c r="Z68" s="74"/>
      <c r="AA68" s="142"/>
      <c r="AB68" s="152"/>
      <c r="AC68" s="153"/>
      <c r="AD68" s="151"/>
      <c r="AE68" s="151"/>
    </row>
    <row r="69" spans="1:31" ht="105" x14ac:dyDescent="0.25">
      <c r="A69" s="28">
        <v>203</v>
      </c>
      <c r="B69" s="12" t="s">
        <v>201</v>
      </c>
      <c r="C69" s="12" t="s">
        <v>202</v>
      </c>
      <c r="D69" s="118" t="s">
        <v>203</v>
      </c>
      <c r="E69" s="39" t="s">
        <v>204</v>
      </c>
      <c r="F69" s="35" t="s">
        <v>205</v>
      </c>
      <c r="G69" s="94">
        <v>20200680010159</v>
      </c>
      <c r="H69" s="93" t="s">
        <v>245</v>
      </c>
      <c r="I69" s="9"/>
      <c r="J69" s="11">
        <v>44197</v>
      </c>
      <c r="K69" s="11">
        <v>44561</v>
      </c>
      <c r="L69" s="67">
        <v>2</v>
      </c>
      <c r="M69" s="68">
        <v>1</v>
      </c>
      <c r="N69" s="69">
        <f>IFERROR(IF(M69/L69&gt;100%,100%,M69/L69),"-")</f>
        <v>0.5</v>
      </c>
      <c r="O69" s="37" t="s">
        <v>246</v>
      </c>
      <c r="P69" s="109">
        <v>100000000</v>
      </c>
      <c r="Q69" s="32"/>
      <c r="R69" s="32"/>
      <c r="S69" s="32"/>
      <c r="T69" s="31"/>
      <c r="U69" s="66">
        <f>SUM(P69:T69)</f>
        <v>100000000</v>
      </c>
      <c r="V69" s="109">
        <v>47672742</v>
      </c>
      <c r="W69" s="77"/>
      <c r="X69" s="77"/>
      <c r="Y69" s="77"/>
      <c r="Z69" s="74"/>
      <c r="AA69" s="66">
        <f>SUM(V69:Z69)</f>
        <v>47672742</v>
      </c>
      <c r="AB69" s="8">
        <f t="shared" si="12"/>
        <v>0.47672742000000001</v>
      </c>
      <c r="AC69" s="29"/>
      <c r="AD69" s="10" t="s">
        <v>48</v>
      </c>
      <c r="AE69" s="10" t="s">
        <v>49</v>
      </c>
    </row>
    <row r="70" spans="1:31" ht="105" x14ac:dyDescent="0.25">
      <c r="A70" s="28">
        <v>204</v>
      </c>
      <c r="B70" s="12" t="s">
        <v>201</v>
      </c>
      <c r="C70" s="12" t="s">
        <v>202</v>
      </c>
      <c r="D70" s="118" t="s">
        <v>203</v>
      </c>
      <c r="E70" s="39" t="s">
        <v>211</v>
      </c>
      <c r="F70" s="35" t="s">
        <v>212</v>
      </c>
      <c r="G70" s="48">
        <v>20200680010123</v>
      </c>
      <c r="H70" s="42" t="s">
        <v>209</v>
      </c>
      <c r="I70" s="49" t="s">
        <v>210</v>
      </c>
      <c r="J70" s="11">
        <v>44197</v>
      </c>
      <c r="K70" s="11">
        <v>44561</v>
      </c>
      <c r="L70" s="139">
        <v>3</v>
      </c>
      <c r="M70" s="140">
        <v>3</v>
      </c>
      <c r="N70" s="141">
        <f>IFERROR(IF(M70/L70&gt;100%,100%,M70/L70),"-")</f>
        <v>1</v>
      </c>
      <c r="O70" s="37" t="s">
        <v>213</v>
      </c>
      <c r="P70" s="58">
        <f>59839539</f>
        <v>59839539</v>
      </c>
      <c r="Q70" s="61"/>
      <c r="R70" s="32"/>
      <c r="S70" s="32"/>
      <c r="T70" s="31"/>
      <c r="U70" s="142">
        <f>SUM(P70:T71)</f>
        <v>90000000</v>
      </c>
      <c r="V70" s="109">
        <v>55800000</v>
      </c>
      <c r="W70" s="77"/>
      <c r="X70" s="77"/>
      <c r="Y70" s="77"/>
      <c r="Z70" s="74"/>
      <c r="AA70" s="142">
        <f>SUM(V70:Z71)</f>
        <v>55800000</v>
      </c>
      <c r="AB70" s="152">
        <f>IFERROR(AA70/U70,"-")</f>
        <v>0.62</v>
      </c>
      <c r="AC70" s="153"/>
      <c r="AD70" s="151" t="s">
        <v>48</v>
      </c>
      <c r="AE70" s="151" t="s">
        <v>49</v>
      </c>
    </row>
    <row r="71" spans="1:31" ht="105" x14ac:dyDescent="0.25">
      <c r="A71" s="64">
        <v>204</v>
      </c>
      <c r="B71" s="12" t="s">
        <v>201</v>
      </c>
      <c r="C71" s="12" t="s">
        <v>202</v>
      </c>
      <c r="D71" s="118" t="s">
        <v>203</v>
      </c>
      <c r="E71" s="39" t="s">
        <v>211</v>
      </c>
      <c r="F71" s="35" t="s">
        <v>212</v>
      </c>
      <c r="G71" s="48">
        <v>20200680010123</v>
      </c>
      <c r="H71" s="42" t="s">
        <v>209</v>
      </c>
      <c r="I71" s="49" t="s">
        <v>240</v>
      </c>
      <c r="J71" s="11"/>
      <c r="K71" s="11"/>
      <c r="L71" s="139"/>
      <c r="M71" s="140"/>
      <c r="N71" s="141"/>
      <c r="O71" s="37" t="s">
        <v>213</v>
      </c>
      <c r="P71" s="58">
        <f>50160461-20000000</f>
        <v>30160461</v>
      </c>
      <c r="Q71" s="61"/>
      <c r="R71" s="32"/>
      <c r="S71" s="32"/>
      <c r="T71" s="31"/>
      <c r="U71" s="142"/>
      <c r="V71" s="109"/>
      <c r="W71" s="77"/>
      <c r="X71" s="77"/>
      <c r="Y71" s="77"/>
      <c r="Z71" s="74"/>
      <c r="AA71" s="142"/>
      <c r="AB71" s="152"/>
      <c r="AC71" s="153"/>
      <c r="AD71" s="151"/>
      <c r="AE71" s="151"/>
    </row>
    <row r="72" spans="1:31" ht="105" x14ac:dyDescent="0.25">
      <c r="A72" s="28">
        <v>205</v>
      </c>
      <c r="B72" s="12" t="s">
        <v>201</v>
      </c>
      <c r="C72" s="12" t="s">
        <v>202</v>
      </c>
      <c r="D72" s="118" t="s">
        <v>203</v>
      </c>
      <c r="E72" s="39" t="s">
        <v>214</v>
      </c>
      <c r="F72" s="35" t="s">
        <v>215</v>
      </c>
      <c r="G72" s="48">
        <v>20200680010123</v>
      </c>
      <c r="H72" s="42" t="s">
        <v>209</v>
      </c>
      <c r="I72" s="49" t="s">
        <v>210</v>
      </c>
      <c r="J72" s="11">
        <v>44197</v>
      </c>
      <c r="K72" s="11">
        <v>44561</v>
      </c>
      <c r="L72" s="67">
        <v>4</v>
      </c>
      <c r="M72" s="68">
        <v>4</v>
      </c>
      <c r="N72" s="69">
        <f>IFERROR(IF(M72/L72&gt;100%,100%,M72/L72),"-")</f>
        <v>1</v>
      </c>
      <c r="O72" s="37" t="s">
        <v>213</v>
      </c>
      <c r="P72" s="109">
        <v>90000000</v>
      </c>
      <c r="Q72" s="32"/>
      <c r="R72" s="32"/>
      <c r="S72" s="32"/>
      <c r="T72" s="31"/>
      <c r="U72" s="66">
        <f>SUM(P72:T72)</f>
        <v>90000000</v>
      </c>
      <c r="V72" s="109">
        <f>32000000+32000000</f>
        <v>64000000</v>
      </c>
      <c r="W72" s="77"/>
      <c r="X72" s="77"/>
      <c r="Y72" s="77"/>
      <c r="Z72" s="74"/>
      <c r="AA72" s="66">
        <f>SUM(V72:Z72)</f>
        <v>64000000</v>
      </c>
      <c r="AB72" s="8">
        <f>IFERROR(AA72/U72,"-")</f>
        <v>0.71111111111111114</v>
      </c>
      <c r="AC72" s="29"/>
      <c r="AD72" s="10" t="s">
        <v>48</v>
      </c>
      <c r="AE72" s="10" t="s">
        <v>49</v>
      </c>
    </row>
    <row r="73" spans="1:31" ht="105" x14ac:dyDescent="0.25">
      <c r="A73" s="28">
        <v>206</v>
      </c>
      <c r="B73" s="12" t="s">
        <v>201</v>
      </c>
      <c r="C73" s="12" t="s">
        <v>202</v>
      </c>
      <c r="D73" s="118" t="s">
        <v>203</v>
      </c>
      <c r="E73" s="39" t="s">
        <v>216</v>
      </c>
      <c r="F73" s="35" t="s">
        <v>217</v>
      </c>
      <c r="G73" s="48">
        <v>20200680010123</v>
      </c>
      <c r="H73" s="42" t="s">
        <v>209</v>
      </c>
      <c r="I73" s="49" t="s">
        <v>210</v>
      </c>
      <c r="J73" s="11">
        <v>44197</v>
      </c>
      <c r="K73" s="11">
        <v>44561</v>
      </c>
      <c r="L73" s="67">
        <v>1</v>
      </c>
      <c r="M73" s="68">
        <v>1</v>
      </c>
      <c r="N73" s="69">
        <f t="shared" ref="N73:N80" si="13">IFERROR(IF(M73/L73&gt;100%,100%,M73/L73),"-")</f>
        <v>1</v>
      </c>
      <c r="O73" s="37" t="s">
        <v>213</v>
      </c>
      <c r="P73" s="109">
        <v>40000000</v>
      </c>
      <c r="Q73" s="32"/>
      <c r="R73" s="32"/>
      <c r="S73" s="32"/>
      <c r="T73" s="31"/>
      <c r="U73" s="66">
        <f>SUM(P73:T73)</f>
        <v>40000000</v>
      </c>
      <c r="V73" s="109">
        <f>24000000+8333333</f>
        <v>32333333</v>
      </c>
      <c r="W73" s="77"/>
      <c r="X73" s="77"/>
      <c r="Y73" s="77"/>
      <c r="Z73" s="74"/>
      <c r="AA73" s="66">
        <f>SUM(V73:Z73)</f>
        <v>32333333</v>
      </c>
      <c r="AB73" s="8">
        <f>IFERROR(AA73/U73,"-")</f>
        <v>0.80833332499999999</v>
      </c>
      <c r="AC73" s="29"/>
      <c r="AD73" s="10" t="s">
        <v>48</v>
      </c>
      <c r="AE73" s="10" t="s">
        <v>49</v>
      </c>
    </row>
    <row r="74" spans="1:31" ht="105" x14ac:dyDescent="0.25">
      <c r="A74" s="28">
        <v>207</v>
      </c>
      <c r="B74" s="12" t="s">
        <v>201</v>
      </c>
      <c r="C74" s="12" t="s">
        <v>202</v>
      </c>
      <c r="D74" s="119" t="s">
        <v>203</v>
      </c>
      <c r="E74" s="46" t="s">
        <v>218</v>
      </c>
      <c r="F74" s="47" t="s">
        <v>219</v>
      </c>
      <c r="G74" s="48">
        <v>20200680010123</v>
      </c>
      <c r="H74" s="42" t="s">
        <v>209</v>
      </c>
      <c r="I74" s="14" t="s">
        <v>240</v>
      </c>
      <c r="J74" s="11">
        <v>44197</v>
      </c>
      <c r="K74" s="11">
        <v>44561</v>
      </c>
      <c r="L74" s="110">
        <v>6</v>
      </c>
      <c r="M74" s="111">
        <v>1</v>
      </c>
      <c r="N74" s="112">
        <f t="shared" si="13"/>
        <v>0.16666666666666666</v>
      </c>
      <c r="O74" s="37" t="s">
        <v>253</v>
      </c>
      <c r="P74" s="109">
        <f>90000000+30000000+30000000+160461-50160461-10000000</f>
        <v>90000000</v>
      </c>
      <c r="Q74" s="32"/>
      <c r="R74" s="32"/>
      <c r="S74" s="32"/>
      <c r="T74" s="131"/>
      <c r="U74" s="113">
        <f>SUM(P74:T74)</f>
        <v>90000000</v>
      </c>
      <c r="V74" s="109">
        <v>29822520</v>
      </c>
      <c r="W74" s="77"/>
      <c r="X74" s="77"/>
      <c r="Y74" s="77"/>
      <c r="Z74" s="74"/>
      <c r="AA74" s="113">
        <f>SUM(V74:Z74)</f>
        <v>29822520</v>
      </c>
      <c r="AB74" s="108">
        <f>IFERROR(AA74/U74,"-")</f>
        <v>0.33136133333333334</v>
      </c>
      <c r="AC74" s="109"/>
      <c r="AD74" s="107" t="s">
        <v>48</v>
      </c>
      <c r="AE74" s="107" t="s">
        <v>49</v>
      </c>
    </row>
    <row r="75" spans="1:31" ht="105" x14ac:dyDescent="0.25">
      <c r="A75" s="28">
        <v>283</v>
      </c>
      <c r="B75" s="12" t="s">
        <v>38</v>
      </c>
      <c r="C75" s="12" t="s">
        <v>220</v>
      </c>
      <c r="D75" s="118" t="s">
        <v>221</v>
      </c>
      <c r="E75" s="39" t="s">
        <v>222</v>
      </c>
      <c r="F75" s="35" t="s">
        <v>223</v>
      </c>
      <c r="G75" s="48">
        <v>20200680010063</v>
      </c>
      <c r="H75" s="42" t="s">
        <v>224</v>
      </c>
      <c r="I75" s="15" t="s">
        <v>225</v>
      </c>
      <c r="J75" s="11">
        <v>44197</v>
      </c>
      <c r="K75" s="11">
        <v>44561</v>
      </c>
      <c r="L75" s="67">
        <v>1</v>
      </c>
      <c r="M75" s="68">
        <v>1</v>
      </c>
      <c r="N75" s="69">
        <f t="shared" si="13"/>
        <v>1</v>
      </c>
      <c r="O75" s="37" t="s">
        <v>254</v>
      </c>
      <c r="P75" s="109">
        <f>371000000-144000000+140000000+100000000</f>
        <v>467000000</v>
      </c>
      <c r="Q75" s="32"/>
      <c r="R75" s="32"/>
      <c r="S75" s="32"/>
      <c r="T75" s="31"/>
      <c r="U75" s="66">
        <f t="shared" ref="U75:U79" si="14">SUM(P75:T75)</f>
        <v>467000000</v>
      </c>
      <c r="V75" s="109">
        <f>164067.77+45667.77+213600000+27200000+46667.77+45667.77+57084.71+45667.77+60000000+89142.65+41500000-6973333+87361480</f>
        <v>423182113.21000004</v>
      </c>
      <c r="W75" s="77"/>
      <c r="X75" s="77"/>
      <c r="Y75" s="77"/>
      <c r="Z75" s="74"/>
      <c r="AA75" s="66">
        <f t="shared" ref="AA75:AA79" si="15">SUM(V75:Z75)</f>
        <v>423182113.21000004</v>
      </c>
      <c r="AB75" s="108">
        <f t="shared" ref="AB75:AB82" si="16">IFERROR(AA75/U75,"-")</f>
        <v>0.90617154862955041</v>
      </c>
      <c r="AC75" s="29"/>
      <c r="AD75" s="10" t="s">
        <v>48</v>
      </c>
      <c r="AE75" s="10" t="s">
        <v>49</v>
      </c>
    </row>
    <row r="76" spans="1:31" ht="105" x14ac:dyDescent="0.25">
      <c r="A76" s="28">
        <v>284</v>
      </c>
      <c r="B76" s="12" t="s">
        <v>38</v>
      </c>
      <c r="C76" s="12" t="s">
        <v>220</v>
      </c>
      <c r="D76" s="118" t="s">
        <v>221</v>
      </c>
      <c r="E76" s="39" t="s">
        <v>231</v>
      </c>
      <c r="F76" s="35" t="s">
        <v>232</v>
      </c>
      <c r="G76" s="40"/>
      <c r="H76" s="38" t="s">
        <v>233</v>
      </c>
      <c r="I76" s="9"/>
      <c r="J76" s="11">
        <v>44197</v>
      </c>
      <c r="K76" s="11">
        <v>44561</v>
      </c>
      <c r="L76" s="67">
        <v>2</v>
      </c>
      <c r="M76" s="68">
        <v>0</v>
      </c>
      <c r="N76" s="69">
        <f>IFERROR(IF(M76/L76&gt;100%,100%,M76/L76),"-")</f>
        <v>0</v>
      </c>
      <c r="O76" s="37" t="s">
        <v>261</v>
      </c>
      <c r="P76" s="109">
        <f>200000000</f>
        <v>200000000</v>
      </c>
      <c r="Q76" s="32"/>
      <c r="R76" s="32"/>
      <c r="S76" s="32"/>
      <c r="T76" s="31"/>
      <c r="U76" s="66">
        <f t="shared" si="14"/>
        <v>200000000</v>
      </c>
      <c r="V76" s="109">
        <v>0</v>
      </c>
      <c r="W76" s="77"/>
      <c r="X76" s="77"/>
      <c r="Y76" s="77"/>
      <c r="Z76" s="74"/>
      <c r="AA76" s="66">
        <f t="shared" si="15"/>
        <v>0</v>
      </c>
      <c r="AB76" s="8">
        <f t="shared" si="16"/>
        <v>0</v>
      </c>
      <c r="AC76" s="29"/>
      <c r="AD76" s="10" t="s">
        <v>48</v>
      </c>
      <c r="AE76" s="10" t="s">
        <v>49</v>
      </c>
    </row>
    <row r="77" spans="1:31" ht="105" x14ac:dyDescent="0.25">
      <c r="A77" s="28">
        <v>285</v>
      </c>
      <c r="B77" s="17" t="s">
        <v>38</v>
      </c>
      <c r="C77" s="12" t="s">
        <v>220</v>
      </c>
      <c r="D77" s="119" t="s">
        <v>221</v>
      </c>
      <c r="E77" s="53" t="s">
        <v>228</v>
      </c>
      <c r="F77" s="47" t="s">
        <v>229</v>
      </c>
      <c r="G77" s="48">
        <v>20200680010063</v>
      </c>
      <c r="H77" s="42" t="s">
        <v>224</v>
      </c>
      <c r="I77" s="11"/>
      <c r="J77" s="11">
        <v>44197</v>
      </c>
      <c r="K77" s="11">
        <v>44561</v>
      </c>
      <c r="L77" s="70">
        <v>1</v>
      </c>
      <c r="M77" s="71">
        <v>1</v>
      </c>
      <c r="N77" s="69">
        <f>IFERROR(IF(M77/L77&gt;100%,100%,M77/L77),"-")</f>
        <v>1</v>
      </c>
      <c r="O77" s="37" t="s">
        <v>230</v>
      </c>
      <c r="P77" s="109">
        <f>113501549+30498451+229000000-50000000</f>
        <v>323000000</v>
      </c>
      <c r="Q77" s="33"/>
      <c r="R77" s="32"/>
      <c r="S77" s="32"/>
      <c r="T77" s="31"/>
      <c r="U77" s="66">
        <f t="shared" si="14"/>
        <v>323000000</v>
      </c>
      <c r="V77" s="109">
        <f>144000000+20000000</f>
        <v>164000000</v>
      </c>
      <c r="W77" s="33"/>
      <c r="X77" s="77"/>
      <c r="Y77" s="77"/>
      <c r="Z77" s="74"/>
      <c r="AA77" s="66">
        <f t="shared" si="15"/>
        <v>164000000</v>
      </c>
      <c r="AB77" s="8">
        <f t="shared" si="16"/>
        <v>0.50773993808049533</v>
      </c>
      <c r="AC77" s="29"/>
      <c r="AD77" s="10" t="s">
        <v>48</v>
      </c>
      <c r="AE77" s="10" t="s">
        <v>49</v>
      </c>
    </row>
    <row r="78" spans="1:31" ht="105" x14ac:dyDescent="0.25">
      <c r="A78" s="28">
        <v>286</v>
      </c>
      <c r="B78" s="12" t="s">
        <v>38</v>
      </c>
      <c r="C78" s="12" t="s">
        <v>220</v>
      </c>
      <c r="D78" s="119" t="s">
        <v>221</v>
      </c>
      <c r="E78" s="39" t="s">
        <v>226</v>
      </c>
      <c r="F78" s="35" t="s">
        <v>227</v>
      </c>
      <c r="G78" s="48">
        <v>20200680010063</v>
      </c>
      <c r="H78" s="42" t="s">
        <v>224</v>
      </c>
      <c r="I78" s="15" t="s">
        <v>225</v>
      </c>
      <c r="J78" s="11">
        <v>44197</v>
      </c>
      <c r="K78" s="11">
        <v>44561</v>
      </c>
      <c r="L78" s="70">
        <v>1</v>
      </c>
      <c r="M78" s="71">
        <v>1</v>
      </c>
      <c r="N78" s="69">
        <f t="shared" si="13"/>
        <v>1</v>
      </c>
      <c r="O78" s="37" t="s">
        <v>262</v>
      </c>
      <c r="P78" s="109">
        <f>400000000+443600000+100000000-150000000</f>
        <v>793600000</v>
      </c>
      <c r="Q78" s="32"/>
      <c r="R78" s="32"/>
      <c r="S78" s="34"/>
      <c r="T78" s="31"/>
      <c r="U78" s="66">
        <f t="shared" si="14"/>
        <v>793600000</v>
      </c>
      <c r="V78" s="109">
        <f>14208000+14208000+14208000+14208000+14208000+14208000+107382550+14208000+14222187.71+33321569+492208997</f>
        <v>746591303.71000004</v>
      </c>
      <c r="W78" s="55"/>
      <c r="X78" s="55"/>
      <c r="Y78" s="62"/>
      <c r="Z78" s="31"/>
      <c r="AA78" s="66">
        <f t="shared" si="15"/>
        <v>746591303.71000004</v>
      </c>
      <c r="AB78" s="8">
        <f t="shared" si="16"/>
        <v>0.94076525165070568</v>
      </c>
      <c r="AC78" s="29"/>
      <c r="AD78" s="10" t="s">
        <v>48</v>
      </c>
      <c r="AE78" s="10" t="s">
        <v>49</v>
      </c>
    </row>
    <row r="79" spans="1:31" ht="78" x14ac:dyDescent="0.25">
      <c r="A79" s="28">
        <v>234</v>
      </c>
      <c r="B79" s="12" t="s">
        <v>88</v>
      </c>
      <c r="C79" s="12" t="s">
        <v>89</v>
      </c>
      <c r="D79" s="118" t="s">
        <v>90</v>
      </c>
      <c r="E79" s="39" t="s">
        <v>91</v>
      </c>
      <c r="F79" s="35" t="s">
        <v>92</v>
      </c>
      <c r="G79" s="48">
        <v>20210680010003</v>
      </c>
      <c r="H79" s="42" t="s">
        <v>46</v>
      </c>
      <c r="I79" s="9"/>
      <c r="J79" s="11">
        <v>44197</v>
      </c>
      <c r="K79" s="11">
        <v>44561</v>
      </c>
      <c r="L79" s="67">
        <v>1</v>
      </c>
      <c r="M79" s="45">
        <v>0.8</v>
      </c>
      <c r="N79" s="69">
        <f>IFERROR(IF(M79/L79&gt;100%,100%,M79/L79),"-")</f>
        <v>0.8</v>
      </c>
      <c r="O79" s="37" t="s">
        <v>93</v>
      </c>
      <c r="P79" s="109">
        <f>10000000+20000000</f>
        <v>30000000</v>
      </c>
      <c r="Q79" s="32"/>
      <c r="R79" s="32"/>
      <c r="S79" s="32"/>
      <c r="T79" s="31"/>
      <c r="U79" s="66">
        <f t="shared" si="14"/>
        <v>30000000</v>
      </c>
      <c r="V79" s="109">
        <f>20000000+10000000</f>
        <v>30000000</v>
      </c>
      <c r="W79" s="55"/>
      <c r="X79" s="55"/>
      <c r="Y79" s="55"/>
      <c r="Z79" s="31"/>
      <c r="AA79" s="66">
        <f t="shared" si="15"/>
        <v>30000000</v>
      </c>
      <c r="AB79" s="8">
        <f t="shared" si="16"/>
        <v>1</v>
      </c>
      <c r="AC79" s="29"/>
      <c r="AD79" s="10" t="s">
        <v>48</v>
      </c>
      <c r="AE79" s="10" t="s">
        <v>49</v>
      </c>
    </row>
    <row r="80" spans="1:31" ht="105" x14ac:dyDescent="0.25">
      <c r="A80" s="28">
        <v>300</v>
      </c>
      <c r="B80" s="17" t="s">
        <v>38</v>
      </c>
      <c r="C80" s="17" t="s">
        <v>39</v>
      </c>
      <c r="D80" s="120" t="s">
        <v>40</v>
      </c>
      <c r="E80" s="46" t="s">
        <v>234</v>
      </c>
      <c r="F80" s="47" t="s">
        <v>235</v>
      </c>
      <c r="G80" s="41">
        <v>20200680010025</v>
      </c>
      <c r="H80" s="42" t="s">
        <v>236</v>
      </c>
      <c r="I80" s="15" t="s">
        <v>237</v>
      </c>
      <c r="J80" s="11">
        <v>44197</v>
      </c>
      <c r="K80" s="11">
        <v>44561</v>
      </c>
      <c r="L80" s="147">
        <v>1</v>
      </c>
      <c r="M80" s="145">
        <v>1</v>
      </c>
      <c r="N80" s="143">
        <f t="shared" si="13"/>
        <v>1</v>
      </c>
      <c r="O80" s="37" t="s">
        <v>244</v>
      </c>
      <c r="P80" s="109">
        <f>914000000</f>
        <v>914000000</v>
      </c>
      <c r="Q80" s="32"/>
      <c r="R80" s="32"/>
      <c r="S80" s="34"/>
      <c r="T80" s="31"/>
      <c r="U80" s="149">
        <f>SUM(P80:T81)</f>
        <v>924000000</v>
      </c>
      <c r="V80" s="109">
        <f>466400000+64000000-25066666+12000000-23000001+29566667+38000000-5000000+61916667+37966694+40073251.33+23086642</f>
        <v>719943254.33000004</v>
      </c>
      <c r="W80" s="55"/>
      <c r="X80" s="55"/>
      <c r="Y80" s="62"/>
      <c r="Z80" s="31"/>
      <c r="AA80" s="149">
        <f>SUM(V80:Z81)</f>
        <v>719943254.33000004</v>
      </c>
      <c r="AB80" s="133">
        <f t="shared" si="16"/>
        <v>0.77915936615800874</v>
      </c>
      <c r="AC80" s="135"/>
      <c r="AD80" s="137" t="s">
        <v>48</v>
      </c>
      <c r="AE80" s="137" t="s">
        <v>49</v>
      </c>
    </row>
    <row r="81" spans="1:31" ht="99" customHeight="1" x14ac:dyDescent="0.25">
      <c r="A81" s="115">
        <v>300</v>
      </c>
      <c r="B81" s="17" t="s">
        <v>38</v>
      </c>
      <c r="C81" s="17" t="s">
        <v>39</v>
      </c>
      <c r="D81" s="120" t="s">
        <v>40</v>
      </c>
      <c r="E81" s="46" t="s">
        <v>234</v>
      </c>
      <c r="F81" s="47" t="s">
        <v>235</v>
      </c>
      <c r="G81" s="41">
        <v>20200680010025</v>
      </c>
      <c r="H81" s="42" t="s">
        <v>236</v>
      </c>
      <c r="I81" s="121" t="s">
        <v>240</v>
      </c>
      <c r="J81" s="122"/>
      <c r="K81" s="122"/>
      <c r="L81" s="148"/>
      <c r="M81" s="146"/>
      <c r="N81" s="144"/>
      <c r="O81" s="123"/>
      <c r="P81" s="124">
        <v>10000000</v>
      </c>
      <c r="Q81" s="125"/>
      <c r="R81" s="125"/>
      <c r="S81" s="126"/>
      <c r="T81" s="127"/>
      <c r="U81" s="150"/>
      <c r="V81" s="124"/>
      <c r="W81" s="128"/>
      <c r="X81" s="128"/>
      <c r="Y81" s="129"/>
      <c r="Z81" s="127"/>
      <c r="AA81" s="150"/>
      <c r="AB81" s="134"/>
      <c r="AC81" s="136"/>
      <c r="AD81" s="138"/>
      <c r="AE81" s="138"/>
    </row>
    <row r="82" spans="1:31" x14ac:dyDescent="0.25">
      <c r="A82" s="19">
        <f>SUM(--(FREQUENCY(A9:A81,A9:A81)&gt;0))</f>
        <v>62</v>
      </c>
      <c r="B82" s="20"/>
      <c r="C82" s="21"/>
      <c r="D82" s="21"/>
      <c r="E82" s="21"/>
      <c r="F82" s="21"/>
      <c r="G82" s="21"/>
      <c r="H82" s="21"/>
      <c r="I82" s="21"/>
      <c r="J82" s="21"/>
      <c r="K82" s="22"/>
      <c r="L82" s="22"/>
      <c r="M82" s="23" t="s">
        <v>17</v>
      </c>
      <c r="N82" s="22">
        <f>IFERROR(AVERAGE(N9:N80),"-")</f>
        <v>0.77002252633246193</v>
      </c>
      <c r="O82" s="85"/>
      <c r="P82" s="25">
        <f t="shared" ref="P82:Z82" si="17">SUM(P9:P80)</f>
        <v>14385330345.42</v>
      </c>
      <c r="Q82" s="25">
        <f t="shared" si="17"/>
        <v>2000000000</v>
      </c>
      <c r="R82" s="25">
        <f t="shared" si="17"/>
        <v>0</v>
      </c>
      <c r="S82" s="25">
        <f t="shared" si="17"/>
        <v>0</v>
      </c>
      <c r="T82" s="25">
        <f t="shared" si="17"/>
        <v>2540652590</v>
      </c>
      <c r="U82" s="90">
        <f t="shared" si="17"/>
        <v>18935982935.419998</v>
      </c>
      <c r="V82" s="25">
        <f t="shared" si="17"/>
        <v>9584663105.7300014</v>
      </c>
      <c r="W82" s="25">
        <f t="shared" si="17"/>
        <v>1736620324</v>
      </c>
      <c r="X82" s="25">
        <f t="shared" si="17"/>
        <v>0</v>
      </c>
      <c r="Y82" s="25">
        <f t="shared" si="17"/>
        <v>0</v>
      </c>
      <c r="Z82" s="25">
        <f t="shared" si="17"/>
        <v>2031151591.0999999</v>
      </c>
      <c r="AA82" s="105">
        <f>SUM(AA9:AA80)</f>
        <v>13352435020.83</v>
      </c>
      <c r="AB82" s="26">
        <f t="shared" si="16"/>
        <v>0.70513556472709427</v>
      </c>
      <c r="AC82" s="27">
        <f>SUM(AC9:AC80)</f>
        <v>91496000</v>
      </c>
      <c r="AD82" s="24"/>
      <c r="AE82" s="24"/>
    </row>
    <row r="83" spans="1:31" x14ac:dyDescent="0.25">
      <c r="U83" s="88"/>
      <c r="AA83" s="102"/>
    </row>
    <row r="84" spans="1:31" x14ac:dyDescent="0.25">
      <c r="U84" s="100"/>
      <c r="Z84" s="103"/>
      <c r="AA84" s="101"/>
    </row>
    <row r="85" spans="1:31" x14ac:dyDescent="0.25">
      <c r="P85"/>
      <c r="Q85"/>
      <c r="R85"/>
      <c r="U85"/>
      <c r="V85"/>
      <c r="AA85"/>
    </row>
    <row r="86" spans="1:31" x14ac:dyDescent="0.25">
      <c r="P86" s="132"/>
      <c r="Q86"/>
      <c r="R86"/>
      <c r="U86"/>
      <c r="V86"/>
      <c r="AA86"/>
    </row>
    <row r="87" spans="1:31" x14ac:dyDescent="0.25">
      <c r="P87" s="132"/>
      <c r="Q87"/>
      <c r="R87"/>
      <c r="U87" s="88"/>
      <c r="V87" s="88"/>
      <c r="W87" s="88"/>
      <c r="X87" s="88"/>
      <c r="Y87" s="88"/>
    </row>
    <row r="88" spans="1:31" x14ac:dyDescent="0.25">
      <c r="P88" s="132"/>
      <c r="Q88"/>
      <c r="R88"/>
      <c r="U88" s="88"/>
      <c r="V88" s="88"/>
      <c r="W88" s="88"/>
      <c r="X88" s="88"/>
      <c r="Y88" s="88"/>
    </row>
    <row r="89" spans="1:31" x14ac:dyDescent="0.25">
      <c r="P89" s="88"/>
      <c r="U89" s="88"/>
      <c r="V89" s="88"/>
      <c r="W89" s="88"/>
      <c r="X89" s="88"/>
      <c r="Y89" s="88"/>
    </row>
    <row r="90" spans="1:31" x14ac:dyDescent="0.25">
      <c r="P90" s="130"/>
      <c r="U90"/>
      <c r="V90"/>
    </row>
    <row r="91" spans="1:31" x14ac:dyDescent="0.25">
      <c r="P91" s="130"/>
      <c r="U91" s="89"/>
      <c r="V91"/>
      <c r="Z91" s="92"/>
    </row>
  </sheetData>
  <mergeCells count="117">
    <mergeCell ref="AD54:AD55"/>
    <mergeCell ref="AE54:AE55"/>
    <mergeCell ref="L70:L71"/>
    <mergeCell ref="U70:U71"/>
    <mergeCell ref="AA70:AA71"/>
    <mergeCell ref="AB70:AB71"/>
    <mergeCell ref="AC70:AC71"/>
    <mergeCell ref="N10:N11"/>
    <mergeCell ref="M10:M11"/>
    <mergeCell ref="L10:L11"/>
    <mergeCell ref="U10:U11"/>
    <mergeCell ref="AA10:AA11"/>
    <mergeCell ref="AB10:AB11"/>
    <mergeCell ref="L67:L68"/>
    <mergeCell ref="AB62:AB63"/>
    <mergeCell ref="AC62:AC63"/>
    <mergeCell ref="N54:N55"/>
    <mergeCell ref="AA54:AA55"/>
    <mergeCell ref="AB54:AB55"/>
    <mergeCell ref="AC54:AC55"/>
    <mergeCell ref="L56:L57"/>
    <mergeCell ref="M56:M57"/>
    <mergeCell ref="N56:N57"/>
    <mergeCell ref="U56:U57"/>
    <mergeCell ref="AA60:AA61"/>
    <mergeCell ref="M54:M55"/>
    <mergeCell ref="L54:L55"/>
    <mergeCell ref="U54:U55"/>
    <mergeCell ref="N62:N63"/>
    <mergeCell ref="M62:M63"/>
    <mergeCell ref="L62:L63"/>
    <mergeCell ref="U62:U63"/>
    <mergeCell ref="AA62:AA63"/>
    <mergeCell ref="N60:N61"/>
    <mergeCell ref="U60:U61"/>
    <mergeCell ref="L60:L61"/>
    <mergeCell ref="M60:M61"/>
    <mergeCell ref="L37:L38"/>
    <mergeCell ref="AC1:AE1"/>
    <mergeCell ref="AC2:AE2"/>
    <mergeCell ref="AC3:AE3"/>
    <mergeCell ref="AC4:AE4"/>
    <mergeCell ref="AC7:AC8"/>
    <mergeCell ref="AD7:AE7"/>
    <mergeCell ref="AA37:AA38"/>
    <mergeCell ref="AB37:AB38"/>
    <mergeCell ref="AC37:AC38"/>
    <mergeCell ref="AC10:AC11"/>
    <mergeCell ref="AD10:AD11"/>
    <mergeCell ref="AE10:AE11"/>
    <mergeCell ref="AD37:AD38"/>
    <mergeCell ref="AE37:AE38"/>
    <mergeCell ref="AB23:AB24"/>
    <mergeCell ref="AC23:AC24"/>
    <mergeCell ref="AD23:AD24"/>
    <mergeCell ref="AE23:AE24"/>
    <mergeCell ref="M37:M38"/>
    <mergeCell ref="N37:N38"/>
    <mergeCell ref="U37:U38"/>
    <mergeCell ref="A1:A4"/>
    <mergeCell ref="A5:C5"/>
    <mergeCell ref="A6:C6"/>
    <mergeCell ref="D5:L5"/>
    <mergeCell ref="D6:L6"/>
    <mergeCell ref="B1:AB4"/>
    <mergeCell ref="L30:L31"/>
    <mergeCell ref="M30:M31"/>
    <mergeCell ref="N30:N31"/>
    <mergeCell ref="U30:U31"/>
    <mergeCell ref="AA30:AA31"/>
    <mergeCell ref="L7:N7"/>
    <mergeCell ref="O7:U7"/>
    <mergeCell ref="V7:AA7"/>
    <mergeCell ref="AB7:AB8"/>
    <mergeCell ref="B7:F7"/>
    <mergeCell ref="G7:K7"/>
    <mergeCell ref="AE67:AE68"/>
    <mergeCell ref="AC67:AC68"/>
    <mergeCell ref="AB60:AB61"/>
    <mergeCell ref="AC60:AC61"/>
    <mergeCell ref="AB56:AB57"/>
    <mergeCell ref="U67:U68"/>
    <mergeCell ref="M67:M68"/>
    <mergeCell ref="N67:N68"/>
    <mergeCell ref="N70:N71"/>
    <mergeCell ref="M70:M71"/>
    <mergeCell ref="AA67:AA68"/>
    <mergeCell ref="AC56:AC57"/>
    <mergeCell ref="AA56:AA57"/>
    <mergeCell ref="AD70:AD71"/>
    <mergeCell ref="AE70:AE71"/>
    <mergeCell ref="AD62:AD63"/>
    <mergeCell ref="AE62:AE63"/>
    <mergeCell ref="AB80:AB81"/>
    <mergeCell ref="AC80:AC81"/>
    <mergeCell ref="AD80:AD81"/>
    <mergeCell ref="AE80:AE81"/>
    <mergeCell ref="AB30:AB31"/>
    <mergeCell ref="AC30:AC31"/>
    <mergeCell ref="AD30:AD31"/>
    <mergeCell ref="AE30:AE31"/>
    <mergeCell ref="L23:L24"/>
    <mergeCell ref="M23:M24"/>
    <mergeCell ref="N23:N24"/>
    <mergeCell ref="U23:U24"/>
    <mergeCell ref="AA23:AA24"/>
    <mergeCell ref="N80:N81"/>
    <mergeCell ref="M80:M81"/>
    <mergeCell ref="L80:L81"/>
    <mergeCell ref="U80:U81"/>
    <mergeCell ref="AA80:AA81"/>
    <mergeCell ref="AD56:AD57"/>
    <mergeCell ref="AE56:AE57"/>
    <mergeCell ref="AD60:AD61"/>
    <mergeCell ref="AE60:AE61"/>
    <mergeCell ref="AB67:AB68"/>
    <mergeCell ref="AD67:AD68"/>
  </mergeCells>
  <conditionalFormatting sqref="N9:N10 N56:N62 N64:N70 N12:N54 N72:N80">
    <cfRule type="cellIs" dxfId="5" priority="4" operator="between">
      <formula>0.66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23:N24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2021-11-04T00:28:38Z</dcterms:modified>
</cp:coreProperties>
</file>