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5 - Mayo\Publicados\"/>
    </mc:Choice>
  </mc:AlternateContent>
  <xr:revisionPtr revIDLastSave="0" documentId="13_ncr:1_{5A4F6FF4-4913-4612-884C-491134B76D4A}" xr6:coauthVersionLast="47" xr6:coauthVersionMax="47" xr10:uidLastSave="{00000000-0000-0000-0000-000000000000}"/>
  <bookViews>
    <workbookView xWindow="-108" yWindow="-108" windowWidth="23256" windowHeight="12576" tabRatio="501" xr2:uid="{76FDFE75-5036-4CAF-9BC1-4E7A5DC371C7}"/>
  </bookViews>
  <sheets>
    <sheet name="2021" sheetId="1" r:id="rId1"/>
  </sheets>
  <definedNames>
    <definedName name="_xlnm._FilterDatabase" localSheetId="0" hidden="1">'2021'!$A$5:$AB$73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4" i="1" l="1"/>
  <c r="X44" i="1"/>
  <c r="S44" i="1"/>
  <c r="T73" i="1"/>
  <c r="T65" i="1"/>
  <c r="R8" i="1" l="1"/>
  <c r="O47" i="1"/>
  <c r="O44" i="1"/>
  <c r="P20" i="1"/>
  <c r="R7" i="1"/>
  <c r="O27" i="1"/>
  <c r="O25" i="1"/>
  <c r="O23" i="1" l="1"/>
  <c r="O10" i="1" l="1"/>
  <c r="O67" i="1" l="1"/>
  <c r="O65" i="1"/>
  <c r="O60" i="1"/>
  <c r="O57" i="1" l="1"/>
  <c r="O53" i="1"/>
  <c r="P49" i="1" l="1"/>
  <c r="P48" i="1"/>
  <c r="O45" i="1"/>
  <c r="P40" i="1"/>
  <c r="P21" i="1"/>
  <c r="O17" i="1"/>
  <c r="S6" i="1"/>
  <c r="S8" i="1" l="1"/>
  <c r="S28" i="1"/>
  <c r="S27" i="1"/>
  <c r="S26" i="1"/>
  <c r="S22" i="1"/>
  <c r="S20" i="1"/>
  <c r="S19" i="1"/>
  <c r="S18" i="1"/>
  <c r="S17" i="1"/>
  <c r="S16" i="1"/>
  <c r="S15" i="1"/>
  <c r="S14" i="1"/>
  <c r="S13" i="1"/>
  <c r="S11" i="1"/>
  <c r="S10" i="1"/>
  <c r="Y6" i="1"/>
  <c r="X6" i="1"/>
  <c r="X11" i="1" l="1"/>
  <c r="S52" i="1"/>
  <c r="S51" i="1"/>
  <c r="S46" i="1"/>
  <c r="X46" i="1"/>
  <c r="L44" i="1"/>
  <c r="M44" i="1" s="1"/>
  <c r="X49" i="1"/>
  <c r="Y46" i="1" l="1"/>
  <c r="L46" i="1" l="1"/>
  <c r="M46" i="1" s="1"/>
  <c r="U22" i="1"/>
  <c r="T11" i="1"/>
  <c r="X70" i="1"/>
  <c r="Y70" i="1" s="1"/>
  <c r="S70" i="1"/>
  <c r="S59" i="1"/>
  <c r="S53" i="1"/>
  <c r="O14" i="1"/>
  <c r="P13" i="1"/>
  <c r="O13" i="1"/>
  <c r="P29" i="1"/>
  <c r="S37" i="1"/>
  <c r="X8" i="1"/>
  <c r="X10" i="1"/>
  <c r="X13" i="1"/>
  <c r="X14" i="1"/>
  <c r="X15" i="1"/>
  <c r="X16" i="1"/>
  <c r="X17" i="1"/>
  <c r="X18" i="1"/>
  <c r="X19" i="1"/>
  <c r="X20" i="1"/>
  <c r="Y20" i="1" s="1"/>
  <c r="T24" i="1"/>
  <c r="X26" i="1"/>
  <c r="X27" i="1"/>
  <c r="X28" i="1"/>
  <c r="X30" i="1"/>
  <c r="X31" i="1"/>
  <c r="X32" i="1"/>
  <c r="X33" i="1"/>
  <c r="X34" i="1"/>
  <c r="X35" i="1"/>
  <c r="X36" i="1"/>
  <c r="X37" i="1"/>
  <c r="U38" i="1"/>
  <c r="X38" i="1" s="1"/>
  <c r="X39" i="1"/>
  <c r="X40" i="1"/>
  <c r="X41" i="1"/>
  <c r="X42" i="1"/>
  <c r="X43" i="1"/>
  <c r="X48" i="1"/>
  <c r="X51" i="1"/>
  <c r="U52" i="1"/>
  <c r="X52" i="1" s="1"/>
  <c r="X53" i="1"/>
  <c r="X54" i="1"/>
  <c r="X55" i="1"/>
  <c r="X56" i="1"/>
  <c r="X57" i="1"/>
  <c r="X58" i="1"/>
  <c r="X59" i="1"/>
  <c r="X61" i="1"/>
  <c r="X63" i="1"/>
  <c r="X64" i="1"/>
  <c r="X65" i="1"/>
  <c r="X66" i="1"/>
  <c r="X68" i="1"/>
  <c r="X69" i="1"/>
  <c r="X72" i="1"/>
  <c r="S30" i="1"/>
  <c r="S31" i="1"/>
  <c r="S32" i="1"/>
  <c r="S33" i="1"/>
  <c r="S34" i="1"/>
  <c r="S35" i="1"/>
  <c r="S36" i="1"/>
  <c r="S38" i="1"/>
  <c r="S39" i="1"/>
  <c r="S40" i="1"/>
  <c r="S41" i="1"/>
  <c r="S42" i="1"/>
  <c r="S43" i="1"/>
  <c r="S48" i="1"/>
  <c r="S49" i="1"/>
  <c r="S73" i="1" s="1"/>
  <c r="S54" i="1"/>
  <c r="S55" i="1"/>
  <c r="S56" i="1"/>
  <c r="S57" i="1"/>
  <c r="S58" i="1"/>
  <c r="Y58" i="1" s="1"/>
  <c r="O62" i="1"/>
  <c r="S61" i="1" s="1"/>
  <c r="S63" i="1"/>
  <c r="S64" i="1"/>
  <c r="S65" i="1"/>
  <c r="S66" i="1"/>
  <c r="S68" i="1"/>
  <c r="S69" i="1"/>
  <c r="Y69" i="1" s="1"/>
  <c r="S72" i="1"/>
  <c r="Y72" i="1" s="1"/>
  <c r="Z73" i="1"/>
  <c r="W73" i="1"/>
  <c r="V73" i="1"/>
  <c r="Q73" i="1"/>
  <c r="M6" i="1"/>
  <c r="M8" i="1"/>
  <c r="M10" i="1"/>
  <c r="M11" i="1"/>
  <c r="M13" i="1"/>
  <c r="M14" i="1"/>
  <c r="M15" i="1"/>
  <c r="M16" i="1"/>
  <c r="M17" i="1"/>
  <c r="M18" i="1"/>
  <c r="M19" i="1"/>
  <c r="M20" i="1"/>
  <c r="M22" i="1"/>
  <c r="M26" i="1"/>
  <c r="M27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8" i="1"/>
  <c r="M49" i="1"/>
  <c r="M51" i="1"/>
  <c r="M52" i="1"/>
  <c r="M53" i="1"/>
  <c r="M54" i="1"/>
  <c r="M55" i="1"/>
  <c r="M56" i="1"/>
  <c r="M57" i="1"/>
  <c r="M58" i="1"/>
  <c r="M59" i="1"/>
  <c r="M61" i="1"/>
  <c r="M63" i="1"/>
  <c r="M64" i="1"/>
  <c r="M65" i="1"/>
  <c r="M66" i="1"/>
  <c r="M68" i="1"/>
  <c r="M69" i="1"/>
  <c r="M70" i="1"/>
  <c r="M72" i="1"/>
  <c r="Y18" i="1" l="1"/>
  <c r="M73" i="1"/>
  <c r="Y32" i="1"/>
  <c r="Y40" i="1"/>
  <c r="Y51" i="1"/>
  <c r="Y64" i="1"/>
  <c r="Y54" i="1"/>
  <c r="Y37" i="1"/>
  <c r="Y14" i="1"/>
  <c r="Y26" i="1"/>
  <c r="Y30" i="1"/>
  <c r="Y48" i="1"/>
  <c r="Y35" i="1"/>
  <c r="Y66" i="1"/>
  <c r="U73" i="1"/>
  <c r="Y56" i="1"/>
  <c r="Y52" i="1"/>
  <c r="Y34" i="1"/>
  <c r="P73" i="1"/>
  <c r="Y42" i="1"/>
  <c r="Y15" i="1"/>
  <c r="Y57" i="1"/>
  <c r="Y31" i="1"/>
  <c r="Y13" i="1"/>
  <c r="Y33" i="1"/>
  <c r="Y41" i="1"/>
  <c r="X22" i="1"/>
  <c r="Y22" i="1" s="1"/>
  <c r="Y68" i="1"/>
  <c r="Y61" i="1"/>
  <c r="Y19" i="1"/>
  <c r="Y10" i="1"/>
  <c r="Y65" i="1"/>
  <c r="Y55" i="1"/>
  <c r="Y49" i="1"/>
  <c r="Y39" i="1"/>
  <c r="Y59" i="1"/>
  <c r="O73" i="1"/>
  <c r="Y28" i="1"/>
  <c r="Y36" i="1"/>
  <c r="Y27" i="1"/>
  <c r="Y16" i="1"/>
  <c r="Y17" i="1"/>
  <c r="Y63" i="1"/>
  <c r="Y53" i="1"/>
  <c r="Y43" i="1"/>
  <c r="Y38" i="1"/>
  <c r="X73" i="1" l="1"/>
  <c r="Y11" i="1"/>
  <c r="Y8" i="1"/>
  <c r="R73" i="1"/>
  <c r="Y73" i="1" l="1"/>
</calcChain>
</file>

<file path=xl/sharedStrings.xml><?xml version="1.0" encoding="utf-8"?>
<sst xmlns="http://schemas.openxmlformats.org/spreadsheetml/2006/main" count="542" uniqueCount="277">
  <si>
    <t>FECHA DE CORTE</t>
  </si>
  <si>
    <t xml:space="preserve">PLAN DE ACCIÓN
SECRETARÍA DE SALUD Y AMBIENTE 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</si>
  <si>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</si>
  <si>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</si>
  <si>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</si>
  <si>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</si>
  <si>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</si>
  <si>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</si>
  <si>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</si>
  <si>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</si>
  <si>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</si>
  <si>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</si>
  <si>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</si>
  <si>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</si>
  <si>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</si>
  <si>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</si>
  <si>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</si>
  <si>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</si>
  <si>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</si>
  <si>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</si>
  <si>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</si>
  <si>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</si>
  <si>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</si>
  <si>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</si>
  <si>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</si>
  <si>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</si>
  <si>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</si>
  <si>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</si>
  <si>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</si>
  <si>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</si>
  <si>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</si>
  <si>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</si>
  <si>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</si>
  <si>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</si>
  <si>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</si>
  <si>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</si>
  <si>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Porcentaje de población pobre afiliada al régimen subsidiado.</t>
  </si>
  <si>
    <t>MANTENIMIENTO DE LA COBERTURA DE LA SEGURIDAD SOCIAL EN SALUD DE LA POBLACIÓN POBRE SIN CAPACIDAD DE PAGO RESIDENTE EN EL MUNICIPIO DE BUCARAMANGA, SANTANDER</t>
  </si>
  <si>
    <t>Pagos de la población afiliada en el Régimen Subsidiado.
Pagos por la prestación de servicios de salud a la población migrante.
Pagos a la Supersalud.</t>
  </si>
  <si>
    <t>Sec. Salud y Ambiente</t>
  </si>
  <si>
    <t>Nelson Ballesteros</t>
  </si>
  <si>
    <t>Mantener el 100% de inspección, vigilancia y control a las IPS que presten servicios de salud de urgencias de la red pública y privada que atienda a la población del Régimen Subsidiado.</t>
  </si>
  <si>
    <t>Porcentaje de IPS que presenten servicios de salud de urgencias de la red pública y privada que atienda a la población del Régimen Subsidiado con inspección, vigilancia y control mantenidos.</t>
  </si>
  <si>
    <t>POR DEFINIR</t>
  </si>
  <si>
    <t>CONSOLIDACIÓN DE LA AUTORIDAD SANITARIA PARA LA GESTIÓN DE LA SALUD PÚBLICA BUCARAMANGA</t>
  </si>
  <si>
    <t>Auditorías a los servicios de urgencias de las IPS públicas y privadas que atienden a población del Régimen Subsiadiado</t>
  </si>
  <si>
    <t>2.3.2.02.02.009.1903011.275</t>
  </si>
  <si>
    <t>Mantener la auditoría al 100% de las EAPB contributivas que maneje población subsidiada, EAPB subsidiada e IPS públicas y privadas que presten servicios de salud a los usuarios del Régimen Subsidiado.</t>
  </si>
  <si>
    <t>Porcentaje de EAPB contributivas que maneje población subsidiada, EAPB subsidiada e IPS públicas y privadas que presten servicios de salud a los usuarios del Régimen Subsidiado con auditoría mantenida.</t>
  </si>
  <si>
    <t>Auditorías a las EPS Subsidiadas e IPS públicas y privadas que atienden usuarios del Régimen Subsiadiado</t>
  </si>
  <si>
    <t>Mantener la realización del 100% las acciones de Gestión de la Salud Pública contenidas en el Plan de Acción de Salud.</t>
  </si>
  <si>
    <t>Porcentaje de acciones realizadas de Gestión de la Salud Pública contenidas en el Plan de Acción de Salud mantenidas.</t>
  </si>
  <si>
    <t xml:space="preserve">Seguimiento al Plan Territorial de Salud, formulación d eproyectos, acciones de apoyo a la subsecretaría de Salud Pública, informes de calidad, planes de mejoramiento y calibración de equipos de la Secretaría de Salud. </t>
  </si>
  <si>
    <t>Implementar la política pública de participación social en salud.</t>
  </si>
  <si>
    <t>Número de políticas públicas de participación social en salud implementadas.</t>
  </si>
  <si>
    <t>Implementación de la política de participaación social</t>
  </si>
  <si>
    <t>Mantener el seguimiento al 100% de los eventos en vigilancia en salud pública.</t>
  </si>
  <si>
    <t>Porcentaje de eventos en vigilancia en salud pública con seguimiento mantenido.</t>
  </si>
  <si>
    <t>Se realiza vigilancia a todos los eventos de interes en salud pública, el cumplimiento de los protocolos, reporte de la Resolución 4505, Estadícas vitales.</t>
  </si>
  <si>
    <t>Construir, mejorar y/o reponer la infraestructura física de 4 centros y/o unidades de salud.</t>
  </si>
  <si>
    <t>Porcentaje de avance en la construcción, mejoramiento y/o reposición de la infraestructura física de los centros y/o unidades de salud.</t>
  </si>
  <si>
    <t>Adquirir 2 unidades móviles para el área rural.</t>
  </si>
  <si>
    <t>Número de unidades de salud móviles adquiridos para el área rural.</t>
  </si>
  <si>
    <t>N/A</t>
  </si>
  <si>
    <t>Mantener la estrategia de atención primaria en salud.</t>
  </si>
  <si>
    <t>Número de estrategias de atención primaria en salud mantenidas.</t>
  </si>
  <si>
    <t>FORTALECIMIENTO EN EL MODELO DE ATENCIÓN PRIMARIA EN SALUD EN ELMUNICIPIO DE BUCARAMANGA</t>
  </si>
  <si>
    <t>Desarrollar la Estrategia de Atención Primaria en Salud.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</si>
  <si>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</si>
  <si>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</si>
  <si>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</si>
  <si>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 xml:space="preserve">Número de parques de la ciudad que se realiza actividad física para promover estilos de vida saludable y prevenir enfermedades crónicas no transmisibles. </t>
  </si>
  <si>
    <t>FORTALECIMIENTO DE LAS ACCIONES TENDIENTES AL CONTROL DE LAS ENFERMEDADES CRÓNICAS NO TRANSMISIBLES EN EL MUNICIPIO DE BUCARAMANGA</t>
  </si>
  <si>
    <t>Realizar actividad física en 100 parques de la ciudad para promover estilos de vida saludable y prevenir enfermedades cónicas no transmisibles.</t>
  </si>
  <si>
    <t>Mantener el monitoreo de las acciones desarrolladas por las EAPB e IPS en 4 enfermedades crónicas no transmisibles.</t>
  </si>
  <si>
    <t>Número de enfermedades crónicas no transmisibles con monitoreo mantenido que son desarrolladas por las EAPB e IPS.</t>
  </si>
  <si>
    <t>Realizar el seguimiento a las enfermedades crónicas no transmisibles en las EAPB e IPS. Igualmenente realizar acciones de promoción de la salud y prevención de la enfermedad.</t>
  </si>
  <si>
    <t>Vida Saludable Y La Prevención De Las Enfermedades Transmisibles</t>
  </si>
  <si>
    <t>Lograr y mantener el 95% de cobertura de vacunación en niños y niñas menores de 5 años.</t>
  </si>
  <si>
    <t>Porcentaje de cobertura de vacunación en niños y niñas menores de 5 años.</t>
  </si>
  <si>
    <t>2.3.2.02.02.009.1905026.209</t>
  </si>
  <si>
    <t>FORTALECIMIENTO DE LAS ACCIONES PARA LA PREVENCIÓN DE LAS ENFERMEDADES TRANSMISIBLES EN EL MUNICIPIO DE BUCARAMANGA</t>
  </si>
  <si>
    <t>Seguimiento a la cobertura de vacunación, labores del centro de acopio, comité PAI, seguimiento al Paiweb.</t>
  </si>
  <si>
    <t>2.3.2.02.02.009.1905026.209
2.3.2.02.02.009.1905027.209</t>
  </si>
  <si>
    <t>Mantener 2 estrategias de gestión integral para prevención y control de enfermedades endemoepidémicas y emergentes, reemergentes y desatendidas.</t>
  </si>
  <si>
    <t>Número de estrategias de gestión integral mantenidas para prevención y control de enfermedades endemoepidémicas y emergentes, reemergentes y desatendidas.</t>
  </si>
  <si>
    <t>Actividades que desarrollan el programa de tuberculosis, hansen y enfermedades transmitidas por vectores.</t>
  </si>
  <si>
    <t>IMPLEMENTACIÓN DE ACCIONES PARA LA ATENCIÓN EN SALUD PÚBLICA, MITIGACIÓN Y CONTROL COMO RESPUESTA ANTE LA PRESENCIA DEL VIRUS SARS-COV-2 EN EL MUNICIPIO DE BUCARAMANGA</t>
  </si>
  <si>
    <t>Equipo PRASS, acciones de vigilancian en salud pública del COVID-19, vacunación de COVID-19, manejo del cadaver y cremación de cadaveres con sospoecha o confirmación de COVID-19</t>
  </si>
  <si>
    <t>2.3.2.02.02.009.1905035.201
2.3.2.02.02.005.1905035.274</t>
  </si>
  <si>
    <t>Salud Mental</t>
  </si>
  <si>
    <t>Formular e implementar el plan de acción de salud mental de acuerdo a la Política Nacional.</t>
  </si>
  <si>
    <t>Número de planes de acción de salud mental de acuerdo a la Política Nacional formulados e implementados.</t>
  </si>
  <si>
    <t>MEJORAMIENTO DE LA SALUD MENTAL Y LA CONVIVENCIA SOCIAL DE BUCARAMANGA</t>
  </si>
  <si>
    <t>Relizar acciones de la Promoción de la Salud y Prevención de la Enfermedad en el Programa de Salud Mental</t>
  </si>
  <si>
    <t>Seguridad Alimentaria Y Nutricional</t>
  </si>
  <si>
    <t>Mantener el Plan de Seguridad Alimentaria y Nutricional.</t>
  </si>
  <si>
    <t>Número de Planes de Seguridad Alimentaria y Nutricional mantenidos.</t>
  </si>
  <si>
    <t>FORTALECIMIENTO DE LAS ACCIONES DE SEGURIDAD ALIMENTARIA Y NUTRICIONAL EN EL MUNICIPIO DE BUCARAMANGA</t>
  </si>
  <si>
    <t>Mantener el Plan de Seguridad Alimentaria y Nutricional del Municipio de Bucaramanga</t>
  </si>
  <si>
    <t>2.3.2.02.02.009.1905028.209</t>
  </si>
  <si>
    <t>Mantener 1 estrategia de seguimiento a bajo peso al nacer, desnutrición aguda, IAMI y lactancia materna.</t>
  </si>
  <si>
    <t>Número de estrategias de seguimiento a bajo peso al nacer, desnutrición aguda, IAMI y lactancia materna mantenidas.</t>
  </si>
  <si>
    <t>Ejecutar las estrategias de Bajo peso al nacer, desnutrición aguda, IAMI y lactancia materna.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</si>
  <si>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</si>
  <si>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</si>
  <si>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Numero de Modelos de abordaje comunitario para acciones de promoción, prevención y de acceso al diagnóstico de VIH en la población priorizada de la Ciudad de Bucaramanga para la ampliación de la respuesta Nacional al VIH implementados.</t>
  </si>
  <si>
    <t>FORTALECIMIENTO DE LAS ACCIONES DE PROMOCIÓN, PREVENCIÓN Y VIGILANCIA DE SALUD SEXUAL Y REPRODUCTIVA DEL MUNICIPIO DE BUCARAMANGA</t>
  </si>
  <si>
    <t>Realizar pruebas rápida para el tamizaje de VIH (cuarta generación) a población clave (HSH y Trabajadoras sexuales)  y registro de la información en el SISCOSSR. y adquisición de geles, condones, asesoría  e información requerida para el cumplimiento del Modelo de Abordaje Comunitario.  (PRUEBAS VIH 1566 = HSH 1039 - TS 527) Condones 4698, Lubricantes 1566, tapabocas 10.962 (7 tapabocas c/U)</t>
  </si>
  <si>
    <t>2.3.2.02.02.009.1905019.209</t>
  </si>
  <si>
    <t>Formular e implementar 1 estrategia de atención intregral en salud para la población LGBTIQ+ que garantice el trato digno.</t>
  </si>
  <si>
    <t>Número de  estrategias de atención integral en salud formuladas e implementadas para la población LGTBIQ+ que garantice el trato digno.</t>
  </si>
  <si>
    <t>Desarrollar una campaña de sensibilización social contra la discriminación social y para la atención integral en salud que garantice el trato digno para la población LGTBIQ+.</t>
  </si>
  <si>
    <t>Mantener 1 estrategia de información, educación y comunicación para fortalecer valores en derechos sexuales y reproductivos.</t>
  </si>
  <si>
    <t>Número de estrategias de información, educación y comunicación mantenidas para fortalecer valores en derechos sexuales y reproductivos diseñada.</t>
  </si>
  <si>
    <t>Desarrollar la estrategia de información, educación y comunicación para fortalecer valores en derechos sexuales y reproductivos.</t>
  </si>
  <si>
    <t>Mantener y fortalecer la estrategia de servicios amigables para adolescentes y jóvenes.</t>
  </si>
  <si>
    <t>Número de estrategias de servicios amigables para adolescentes y jóvenes mantenidas.</t>
  </si>
  <si>
    <t>Realizar inspección, vigilancia y control a las IPS y EAPB en el cumplimiento de la Resolución 3280 en la RIA de mantenimiento de la salud en el adolescente y jóven.</t>
  </si>
  <si>
    <t>Mantener la verificación al 100% de las EAPB e IPS el cumplimiento de la Ruta de Atención Materno-Perinatal.</t>
  </si>
  <si>
    <t>Porcentaje de EAPBs e IPS mantenidas con verificación sobre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</si>
  <si>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</si>
  <si>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</si>
  <si>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 xml:space="preserve">Número de estrategias de atención integral en primera infancia "En Bucaramanga es haciendo para un inicio feliz" formuladas e implementadas. </t>
  </si>
  <si>
    <t>Desarrollar la estrategia de atención integral en primera infancia "En Bucaramanga es haciendo para un inicio feliz".</t>
  </si>
  <si>
    <t>Mantener el Plan de acción intersectorial de entornos saludables PAIE con población víctima del conflicto interno armado.</t>
  </si>
  <si>
    <t>Número de Planes de acción intesectoriales de entornos saludables PAIE con población víctima del conflicto interno armado mantenidos.</t>
  </si>
  <si>
    <t>FORTALECIMIENTO DE LAS ACCIONES DE PROMOCIÓN, PREVENCIÓN Y VIGILANCIA EN LA POBLACION VULNERABLES EN EL MUNICIPIO DE BUCARAMANGA</t>
  </si>
  <si>
    <t>Fortalecer al 100% las acciones en salud publica en el municipio de Bucaramanga para la garantía de los derechos en Salud y Protección de la población vulnerable.</t>
  </si>
  <si>
    <t>Mantener la verificación al 100% de los centros vida y centros día para personas mayores en cumplimiento de la Resolución 055 de 2018.</t>
  </si>
  <si>
    <t>Porcentaje de centros vida y centros día con verificación mantenida para personas mayores en cumplimiento de la Resolución 055 de 2018.</t>
  </si>
  <si>
    <t>Mantener la estrategia AIEPI en las IPS y en la Comunidad.</t>
  </si>
  <si>
    <t>Número de estrategias AIEPI mantenidas en las IPS y en la comunidad.</t>
  </si>
  <si>
    <t>Mantener en funcionamiento 5 salas ERA en IPS públicas para niños y niñas menores de 6 años.</t>
  </si>
  <si>
    <t>Número de salas ERA mantenidas en funcionamiento en IPS públicas para niños y niñas menores de 6 años.</t>
  </si>
  <si>
    <t>Mantener el Plan Municipal de Discapacidad.</t>
  </si>
  <si>
    <t>Número de Planes Municipales de Discapacidad mantenidos.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</si>
  <si>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</si>
  <si>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Número de estrategias de información, educación y comuncación formuladas e implementadas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</si>
  <si>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</si>
  <si>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 xml:space="preserve">Número de estrategias educativas formuladas e implementadas encaminadas a la promoción de la salud y prevención de la enfermedad dirigida a poblaciones étnicas. </t>
  </si>
  <si>
    <t>Salud Ambiental</t>
  </si>
  <si>
    <t>Realizar la identificación y el censo de los individuos caninos y felinos.</t>
  </si>
  <si>
    <t>Número de identificaciones y censos de individuos caninos y felinos realizados.</t>
  </si>
  <si>
    <t>FORTALECIMIENTO DEL PROGRAMA DE SALUD AMBIENTAL EN EL MUNICIPIO BUCARAMANGA</t>
  </si>
  <si>
    <t>Realizar la vacunación antirrábica de 100.000 individuos entre caninos y felinos.</t>
  </si>
  <si>
    <t>Número de individuos entre caninos y felinos vacunados con antirrábica.</t>
  </si>
  <si>
    <t xml:space="preserve">Realizar la vacunación antirrábica de individuos entre caninos y felinos; Hacer seguimiento epidemiológico y la observación Medico Veterinaria al 100% de los caninos y felinos causantes de accidentes por mordedura  con el fin de descartar el virus de la rabia en dichos animales y realizar capacitaciones que apunten a la política de tenencia responsable de animales de compañía, enfermedades zoonoticas y Ley 1774 maltrato animal. </t>
  </si>
  <si>
    <t>Realizar 20.000 esterilizaciones de caninos y felinos.</t>
  </si>
  <si>
    <t>Número de esterilizaciones de caninos y felinos realizadas.</t>
  </si>
  <si>
    <t>Realizar esterilizaciones entre  caninos y felinos machos y hembras en el Municipio de Bucaramanga con el fin de realizar un método de control poblacional .</t>
  </si>
  <si>
    <t>Realizar visitas de inspección, vigilancia y control a 40.000 estalecimientos de alto y bajo riesgo sanitario.</t>
  </si>
  <si>
    <t>Número de visitas de inspección, vigilancia y control realizadas a establecimientos de alto y bajo riesgo sanitario.</t>
  </si>
  <si>
    <t>Realizar visitas de Inspeción Vigilancia y Control a Establecimientos de Alto y Bajo riesgo por parte de la Secretaría de Salud y Ambiente en lo referente al programa de alimentos, ruido, aguas e IPS (PGIRHS).</t>
  </si>
  <si>
    <t>2.3.2.02.02.009.1905024.209
2.3.2.02.02.009.1903031.209</t>
  </si>
  <si>
    <t>Mantener la estrategia de entorno saludable en la zona urbana y rural.</t>
  </si>
  <si>
    <t>Número de estrategias de entorno saludable mantenidas en la zona urbana y rural.</t>
  </si>
  <si>
    <t xml:space="preserve"> Realizar Evaluación y seguimiento a las viviendas  que cumplieron con la implementacion de la estrategia "Vivienda saludable" en el 2016 y 2017 del área Urbana y Rural; e implementacion de la estrategia  en nuevas viviendas priorizadas con la Subsecretaria de Ambiente. </t>
  </si>
  <si>
    <t>Adecuar la infraestructura física del centro de Zoonosis.</t>
  </si>
  <si>
    <t>Porcentaje de avance en la adecuación de la infraestructura física del centro de Zoonosis.</t>
  </si>
  <si>
    <t>Salud Pública En Emergencias Y Desastres</t>
  </si>
  <si>
    <t>Mantener el Programa de Hospitales Seguros y el Plan Familiar de Emergencias.</t>
  </si>
  <si>
    <t>Número de Programas de Hospitales Seguros y Planes Familiares de Emergencias mantenidos.</t>
  </si>
  <si>
    <t>FORTALECIMIENTO DE LAS ACCIONES EN EMERGENCIAS Y DESASTRES EN SALUD DEL MUNICIPIO DE BUCARAMANGA</t>
  </si>
  <si>
    <t xml:space="preserve">Desarrolla las visitas de Auditorias a las IPS para veificar los planes de emergencias y el programa familiar de emergencias </t>
  </si>
  <si>
    <t>Implementar y mantener el Sistema de Emergencias Médicas.</t>
  </si>
  <si>
    <t>Número de Sistemas de Emergencias Médicas implementados y mantenidos.</t>
  </si>
  <si>
    <t xml:space="preserve">Implementar el Sistema de emergencias médicas del Municipio de Bucaramanga </t>
  </si>
  <si>
    <t>Oportunidad Para La Promoción De La Salud Dentro De Su Ambiente Laboral</t>
  </si>
  <si>
    <t>Mantener el 100% de acciones de promoción y prevención de los riesgos laborales en la población formal e informal.</t>
  </si>
  <si>
    <t>Porcentaje de acciones de promoción y prevención de los riesgos laborales en población formal e informal mantenidos.</t>
  </si>
  <si>
    <t>FORTALECIMIENTO EN EL SISTEMA DE SEGURIDAD Y SALUD EN EL TRABAJO EN EL MUNICIPIO DE BUCARAMANGA</t>
  </si>
  <si>
    <t>Realizar IVC a empresas en lo que respecta al cumplmiento del sistema de seguridad y salud en el trabajo y la promoción de la salu dy prevención de la enfermedad en la población informal.</t>
  </si>
  <si>
    <t>Capacidades Y Oportunidades Para Superar Brechas Sociales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</si>
  <si>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</si>
  <si>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</si>
  <si>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</si>
  <si>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BUCARAMANGA SOSTENIBLE: UNA REGIÓN CON FUTURO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</si>
  <si>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</si>
  <si>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</si>
  <si>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</si>
  <si>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Número de Sistemas de Gestión Ambiental Municipal - SIGAM actualizados y mantenidos de acuerdo a la Política Ambiental Municipal.</t>
  </si>
  <si>
    <t>IMPLEMENTACIÓN DE UNA ESTRATEGIA DE EDUCACIÓN Y PLANIFICACIÓN AMBIENTAL SUSTENTABLE EN EL MUNICIPIO DE BUCARAMANGA</t>
  </si>
  <si>
    <t xml:space="preserve">Relizar revisión, ajuste e implementación del Sistema de Gestión Ambiental municipal </t>
  </si>
  <si>
    <t>2.3.2.02.02.009.3208010.201</t>
  </si>
  <si>
    <t>Formular e implementar 1 estrategia de educación ambiental para los ciudadanos, las empresas e institutos descentralizados.</t>
  </si>
  <si>
    <t>Número de estrategias de educación ambiental formulados e implementados para los ciudadanos, las empresas e institutos descentralizados.</t>
  </si>
  <si>
    <t>Estructurar e implementar (1) estrategia de educación ambiental que incluya a todos los actores involucrados</t>
  </si>
  <si>
    <t>2.3.2.02.02.009.3208010.201
2.3.2.02.02.009.3208010.280
2.3.2.02.02.009.3208010.218</t>
  </si>
  <si>
    <t>Formular e implementar 1 estrategia participativa de articulación regional interinstitucional e intergubernamental para generar escenarios de diálogo, planificación y financiación del desarrollo sostenible.</t>
  </si>
  <si>
    <t>Número de estrategias participativas de articulación regional interinstitucional e intergubernamental formuladas e implementadas para generar escenarios de diálogo, planificación y financiación del desarrollo sostenible.</t>
  </si>
  <si>
    <t>Diseñar e implementar 1 estrategia participativa de articulación entre gobierno e instituciones para generar escenarios de diálogo, planificación y financiación del desarrollo sostenible.</t>
  </si>
  <si>
    <t>Formular e implementar 1 Política Pública Ambiental de Cambio Climático y Transición Energética.</t>
  </si>
  <si>
    <t>Número de Políticas Públicas Ambientales de Cambio Climático y Transición Energética formuladas e implementadas.</t>
  </si>
  <si>
    <t>Formular e implementar la política pública ambiental muncipal.</t>
  </si>
  <si>
    <t>2.3.2.02.02.009.3208010.280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</si>
  <si>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</si>
  <si>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</si>
  <si>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</si>
  <si>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</si>
  <si>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</si>
  <si>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2.3.2.02.02.009.3204046.201</t>
  </si>
  <si>
    <t>Bucaramanga Una Eco-Ciudad</t>
  </si>
  <si>
    <t>Gobernanza Del Agua, Nuestra Agua, Nuestra Vida</t>
  </si>
  <si>
    <t>Formular e implementar 1 estrategia de reforestación y conservación de los predios adquiridos para la preservación de las cuencas hídricas que abastecen al municipio de Bucaramanga.</t>
  </si>
  <si>
    <t>Número de estrategias de reforestación y conservación de los predios adquiridos formuladas e implementadas para la preservación de las cuencas hídricas que abastecen al municipio de Bucaramanga.</t>
  </si>
  <si>
    <t>PROTECCIÓN DEL RECURSO HÍDRICO COMO ESTRATEGIA AMBIENTAL MEDIANTE ACCIONES DE INTERVENCIÓN EN CUENCAS QUE PUEDAN ABASTECER DE AGUA AL MUNICIPIO DE BUCARAMANGA</t>
  </si>
  <si>
    <t xml:space="preserve">Realizar actividades encaminadas a la protección y conservación de las cuencas abastecedoras de agua del municipio de bucaramanga como compra de predios, PSA, Corresponsabilidad y catedra de agua. </t>
  </si>
  <si>
    <t>2.3.2.02.02.009.3202005.201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</si>
  <si>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</si>
  <si>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</si>
  <si>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</si>
  <si>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Número de estudios realizados para identificar conflictos de uso del suelo y esquemas potenciales de pago por servicios ambientales en ecosistemas estratégicos abastecedores de cuencas hídrica del municipio de Bucaramanga.</t>
  </si>
  <si>
    <t>2.3.2.02.02.009.3202006.201
2.3.2.02.02.009.3202005.201</t>
  </si>
  <si>
    <t>Formular e implementar 1 programa de alternativas socioeconómicas de desarrollo sustentable para la provincia de Soto Norte en el marco de la corresponsabilidad socioambiental.</t>
  </si>
  <si>
    <t>Número de programas de alternativas socioeconómicas de desarrollo sustentable formulados e implementados para la provincia de Soto Norte en el marco de la corresponsabilidad socioambiental.</t>
  </si>
  <si>
    <t>2.3.2.02.02.009.3202006.201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</si>
  <si>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</si>
  <si>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</si>
  <si>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Número de estrategias formuladas e implementadas para recuperar y rehabilitar corredores de conectividad ecosistémica para fortalecer la estructura ecológica urbana (cerros orientales y escarpa occidental) por medio del manejo integral de arbolado y zonas verdes.</t>
  </si>
  <si>
    <t>FORTALECIMIENTO AL CRECIMIENTO VERDE, CIUDAD BIODIVERSA DEL MUNICIPIO DE BUCARAMANGA</t>
  </si>
  <si>
    <t>Definir una estrategia de conectividad y manejo del espacio verde urbano y su estructura ecologica principal, para garantizar la oferta de servicios ecosistémicos a la población urbana y rural del muncipio de Bucaramanga, así como generar  información geográfica y temática de los ecosistemas presentes en la estrutura ecológica principal, para su valoración, manejo, conectividad, restauración y seguimiento.</t>
  </si>
  <si>
    <t>2.3.2.02.02.009.3202002.201</t>
  </si>
  <si>
    <t>Implementar 1 piloto para la gestión de huertas urbanas sostenibles.</t>
  </si>
  <si>
    <t>Número de piloto para la gestión de huertas urbanas sostenibles implementadas.</t>
  </si>
  <si>
    <t>Manejo Integral De Residuos Sólidos, Impacto Positivo En La Calidad De Vida</t>
  </si>
  <si>
    <t>Actualizar e implementar el Plan de Gestión Integral de Residuos Sólidos - PGIRS.</t>
  </si>
  <si>
    <t>Número de Planes de Gestión Integral de Residuos Sólidos - PGIRS actualizados e implementados.</t>
  </si>
  <si>
    <t>FORTALECIMIENTO EN EL MARCO DE LA ECONOMÍA CIRCULAR DE LA GESTIÓN INTEGRAL DE RESIDUOS SÓLIDOS EN EL MUNICIPIO DE BUCARAMANGA</t>
  </si>
  <si>
    <t>Realizar la actualización e implementación del Plan de Gestión Integral de Residuos Sólidos - PGIRS.</t>
  </si>
  <si>
    <t>12/31/2021</t>
  </si>
  <si>
    <t>2.3.2.02.02.009.3201009.201</t>
  </si>
  <si>
    <t>BUCARAMANGA CIUDAD VITAL: LA VIDA ES SAGRADA</t>
  </si>
  <si>
    <t>Espacio Público Vital</t>
  </si>
  <si>
    <t>Equipamiento Comunitario</t>
  </si>
  <si>
    <t>Construir y/o gestionar el Coso Municipal.</t>
  </si>
  <si>
    <t>Porcentaje de avance en la construcción y/o gestión del Coso Municipal</t>
  </si>
  <si>
    <t>TOTALES</t>
  </si>
  <si>
    <t>2.3.2.02.02.005.1906023.274
2.3.2.02.02.005.1906023.269</t>
  </si>
  <si>
    <t>2.3.2.02.02.009.1906023.208 $$79.880.515.915
2.3.2.02.02.009.1906023.279 $134.040.044.112
2.3.2.02.02.009.1906023.274 $5.590.188.172
2.3.2.02.02.009.1906023.292 $13.865.040.612
2.3.2.02.02.009.1906023.247 $6.053.442.339
2.3.2.02.02.009.1903011.279 $886.001.426</t>
  </si>
  <si>
    <t>2.3.2.02.02.009.1905019.285
2.3.2.02.02.009.1905019.585</t>
  </si>
  <si>
    <t>2.3.2.02.02.009.1903031.201
2.3.2.02.02.009.1903031.209
2.3.2.02.02.009.1903031.585</t>
  </si>
  <si>
    <t>2.3.2.02.02.009.1905028.209
2.3.2.02.02.009.1905019.209
2.3.2.02.02.009.1905019.501</t>
  </si>
  <si>
    <t>2.3.2.02.02.009.1905019.209
2.3.2.02.02.009.1905019.585</t>
  </si>
  <si>
    <t>2.3.2.02.02.009.3201005.580
2.3.2.02.02.009.3201005.518
2.3.2.02.02.009.3201005.320
2.3.7.06.02.4599002.615</t>
  </si>
  <si>
    <t>PENDIENTE POR ADICIONAR</t>
  </si>
  <si>
    <t xml:space="preserve">2.3.2.02.02.009.1905024.209
2.3.2.02.02.009.1903031.209
</t>
  </si>
  <si>
    <t>2.3.2.02.02.009.1903031.585</t>
  </si>
  <si>
    <t>2.3.2.02.02.009.1905019.209
2.3.2.02.02.009.1905019.501 Pendiente por adicionar a proyecto</t>
  </si>
  <si>
    <t>2.3.2.02.02.009.1905019.209 Pendiente por adicionar a proyecto
2.3.2.02.02.009.1905019.501 Pendiente por adicionar a proyecto</t>
  </si>
  <si>
    <t>2.3.2.02.02.009.1905030.201
2.3.2.02.02.009.1905030.501 Pendiente por adicionar a proyecto</t>
  </si>
  <si>
    <t>2.3.2.02.02.009.1905030.209
2.3.2.02.02.009.1905030.501 Pendiente por adicionar a proyecto</t>
  </si>
  <si>
    <t>2.3.2.02.02.009.1905023.209
2.3.2.02.02.009.1905031.572 Pendiente por adicionar a proyecto</t>
  </si>
  <si>
    <t>2.3.2.02.02.009.1905023.209
2.3.2.02.02.009.1905023.501 Pendiente por adicionar a proyecto</t>
  </si>
  <si>
    <t>2.3.2.02.02.009.1905028.209
2.3.2.02.02.009.1905028.501 Pendiente por adicionar al proyecto</t>
  </si>
  <si>
    <t>2.3.2.02.02.009.1905022.209
2.3.2.02.02.009.1905022.501 Pendiente por adicionar a proyecto</t>
  </si>
  <si>
    <t>2.3.2.02.02.009.1905025.209
2.3.2.02.02.009.1905025.501 Pendiente por adicionar a proyecto</t>
  </si>
  <si>
    <t>DIAGNÓSTICO PARA LA ORGANIZACIÓN DE LA RED DE PRESTACIÓN DEL SERVICIO DE SALUD EN EL MUNICIPIO DE BUCARAMANGA</t>
  </si>
  <si>
    <t>2.3.2.02.02.009.1906031.501</t>
  </si>
  <si>
    <t>Elaborar (2) estudios técnico y metodológico a la Secretaría Municipal de Salud y Ambiente de Bucaramanga, para el mejoramiento de la eficacia y la calidad en la red de prestación pública de servicios de salud.</t>
  </si>
  <si>
    <t>DESARROLLO DE LA ESTRATEGIA DE ATENCIÓN INTEGRAL EN PRIMERA INFANCIA “EN BUCARAMANGA ES HACIENDO PARA UN INICIO FELIZ” EN EL MUNICIPIO DE BUCARAMANGA</t>
  </si>
  <si>
    <t>FORTALECIMIENTO A LA PRESTACIÓN DE SERVICIOS DE SALUD EN LA E.S.E ISABU, DESTINADOS A LA ATENCIÓN DE LOS PACIENTES CON COVID19 EN EL HOSPITAL DE CAMPAÑA DEL MUNICIPIO DE BUCARAMANGA</t>
  </si>
  <si>
    <t>2.3.2.02.02.009.1905026.501
2.3.2.02.02.009.1905026.509
2.3.2.02.02.009.1905026.585
2.3.2.02.02.009.1905027.509
2.3.2.02.02.005.1905035.274</t>
  </si>
  <si>
    <t>Prestar atención médica al 100% en el servicio de urgencias y hospitalaria de baja y mediana complejidad a la población con sospecha o confirmación de Coronavirus COVID-19, en el Municipio de Bucaramanga.</t>
  </si>
  <si>
    <t xml:space="preserve">2.3.2.02.02.009.1905019.209
2.3.2.02.02.009.1905019.585
</t>
  </si>
  <si>
    <t>2.3.2.02.02.009.1905019.285
2.3.2.02.02.009.1905019.272 
2.3.2.02.02.009.1905019.585
2.3.2.02.02.009.1905019.501</t>
  </si>
  <si>
    <t>2.3.2.02.02.009.3202005.201
2.3.2.02.02.009.3202005.501
2.3.2.02.02.009.3202041.588</t>
  </si>
  <si>
    <t xml:space="preserve">2.3.2.02.02.009.3202005.201
</t>
  </si>
  <si>
    <t>2.3.2.02.02.009.1906004.501 Pendiente por adicionar a proyecto 2.013.000</t>
  </si>
  <si>
    <t>2.3.2.02.02.009.1906023.208
2.3.2.02.02.009.1906023.292
2.3.2.02.02.005.1906023.574</t>
  </si>
  <si>
    <t>2.3.2.02.02.009.1905024.501
2.3.2.02.02.009.1905024.270
2.3.2.02.02.009.1905024.209
2.3.2.02.02.009.1905024.501</t>
  </si>
  <si>
    <t xml:space="preserve">2.3.2.02.02.009.1905024.501
2.3.2.02.02.009.1905024.501
</t>
  </si>
  <si>
    <t>2.3.2.02.02.009.1903011.275
2.3.2.02.02.009.1903011.271
2.3.2.02.02.009.1903011.575</t>
  </si>
  <si>
    <t>2.3.2.02.02.009.1905026.209
2.3.2.02.02.009.1905027.585
2.3.2.02.02.009.1905027.572</t>
  </si>
  <si>
    <t>2.3.2.02.02.009.1905024.501
2.3.2.02.02.009.1903031.501
2.3.2.02.02.009.1905024.509</t>
  </si>
  <si>
    <t>2.3.2.02.02.009.1905024.201
2.3.2.02.02.009.1905024.570</t>
  </si>
  <si>
    <t xml:space="preserve">2.3.2.02.02.009.1905019.201
2.3.2.02.02.009.1906031.501
2.3.2.02.02.009.1905019.501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</si>
</sst>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\ #,##0;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#,##0.0"/>
    <numFmt numFmtId="167" formatCode="0.0"/>
    <numFmt numFmtId="169" formatCode="_-* #,##0_-;\-* #,##0_-;_-* &quot;-&quot;??_-;_-@_-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/>
    </xf>
    <xf numFmtId="0" fontId="3" fillId="0" borderId="0" xfId="0" applyFont="1"/>
    <xf numFmtId="4" fontId="3" fillId="0" borderId="0" xfId="0" applyNumberFormat="1" applyFont="1"/>
    <xf numFmtId="0" fontId="5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" fontId="3" fillId="0" borderId="0" xfId="0" applyNumberFormat="1" applyFont="1" applyAlignment="1">
      <alignment horizontal="justify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2" fontId="2" fillId="2" borderId="1" xfId="4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justify" vertical="center" wrapText="1"/>
    </xf>
    <xf numFmtId="9" fontId="8" fillId="3" borderId="1" xfId="5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justify" vertical="center" wrapText="1"/>
    </xf>
    <xf numFmtId="165" fontId="3" fillId="0" borderId="1" xfId="3" applyNumberFormat="1" applyFont="1" applyBorder="1"/>
    <xf numFmtId="0" fontId="9" fillId="3" borderId="3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/>
    <xf numFmtId="1" fontId="8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" fontId="5" fillId="0" borderId="6" xfId="0" applyNumberFormat="1" applyFont="1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1" fontId="3" fillId="0" borderId="1" xfId="0" applyNumberFormat="1" applyFont="1" applyBorder="1" applyAlignment="1">
      <alignment vertical="center"/>
    </xf>
    <xf numFmtId="165" fontId="3" fillId="0" borderId="1" xfId="3" applyNumberFormat="1" applyFont="1" applyFill="1" applyBorder="1"/>
    <xf numFmtId="164" fontId="5" fillId="0" borderId="8" xfId="0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justify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166" fontId="8" fillId="3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165" fontId="3" fillId="0" borderId="1" xfId="3" applyNumberFormat="1" applyFont="1" applyBorder="1" applyAlignment="1">
      <alignment horizontal="center" vertical="center"/>
    </xf>
    <xf numFmtId="165" fontId="3" fillId="0" borderId="1" xfId="3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justify"/>
    </xf>
    <xf numFmtId="0" fontId="3" fillId="2" borderId="4" xfId="0" applyFont="1" applyFill="1" applyBorder="1" applyAlignment="1">
      <alignment horizontal="justify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10" fillId="2" borderId="5" xfId="0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165" fontId="2" fillId="2" borderId="1" xfId="3" applyNumberFormat="1" applyFont="1" applyFill="1" applyBorder="1" applyAlignment="1">
      <alignment vertical="center"/>
    </xf>
    <xf numFmtId="42" fontId="2" fillId="2" borderId="1" xfId="4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3" fontId="2" fillId="2" borderId="1" xfId="3" applyNumberFormat="1" applyFont="1" applyFill="1" applyBorder="1" applyAlignment="1">
      <alignment vertical="center"/>
    </xf>
    <xf numFmtId="165" fontId="10" fillId="2" borderId="1" xfId="3" applyNumberFormat="1" applyFont="1" applyFill="1" applyBorder="1" applyAlignment="1">
      <alignment vertical="center"/>
    </xf>
    <xf numFmtId="4" fontId="10" fillId="2" borderId="1" xfId="3" applyNumberFormat="1" applyFont="1" applyFill="1" applyBorder="1" applyAlignment="1">
      <alignment vertical="center"/>
    </xf>
    <xf numFmtId="9" fontId="10" fillId="2" borderId="3" xfId="5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justify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2" fontId="3" fillId="0" borderId="0" xfId="4" applyFont="1" applyAlignment="1">
      <alignment horizontal="center"/>
    </xf>
    <xf numFmtId="169" fontId="0" fillId="0" borderId="0" xfId="0" applyNumberFormat="1"/>
    <xf numFmtId="0" fontId="7" fillId="0" borderId="1" xfId="0" applyFont="1" applyBorder="1" applyAlignment="1">
      <alignment horizontal="justify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0" fillId="0" borderId="0" xfId="0" applyAlignment="1"/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vertical="center" wrapText="1"/>
    </xf>
    <xf numFmtId="1" fontId="6" fillId="0" borderId="6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/>
    <xf numFmtId="165" fontId="0" fillId="0" borderId="0" xfId="0" applyNumberFormat="1" applyFill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9" fontId="7" fillId="3" borderId="6" xfId="5" applyFont="1" applyFill="1" applyBorder="1" applyAlignment="1">
      <alignment horizontal="center" vertical="center" wrapText="1"/>
    </xf>
    <xf numFmtId="9" fontId="7" fillId="3" borderId="7" xfId="5" applyFont="1" applyFill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9" fontId="8" fillId="3" borderId="6" xfId="0" applyNumberFormat="1" applyFont="1" applyFill="1" applyBorder="1" applyAlignment="1">
      <alignment horizontal="center" vertical="center" wrapText="1"/>
    </xf>
    <xf numFmtId="9" fontId="8" fillId="3" borderId="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166" fontId="8" fillId="3" borderId="6" xfId="0" applyNumberFormat="1" applyFont="1" applyFill="1" applyBorder="1" applyAlignment="1">
      <alignment horizontal="center" vertical="center" wrapText="1"/>
    </xf>
    <xf numFmtId="166" fontId="8" fillId="3" borderId="7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justify" vertical="center" wrapText="1"/>
    </xf>
    <xf numFmtId="1" fontId="6" fillId="0" borderId="7" xfId="0" applyNumberFormat="1" applyFont="1" applyBorder="1" applyAlignment="1">
      <alignment horizontal="justify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7" xfId="0" applyFont="1" applyFill="1" applyBorder="1" applyAlignment="1">
      <alignment horizontal="justify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justify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justify" vertical="center" wrapText="1"/>
    </xf>
    <xf numFmtId="164" fontId="3" fillId="0" borderId="6" xfId="0" applyNumberFormat="1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justify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167" fontId="8" fillId="3" borderId="6" xfId="2" applyNumberFormat="1" applyFont="1" applyFill="1" applyBorder="1" applyAlignment="1">
      <alignment horizontal="center" vertical="center" wrapText="1"/>
    </xf>
    <xf numFmtId="167" fontId="8" fillId="3" borderId="7" xfId="2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justify" vertical="center"/>
    </xf>
    <xf numFmtId="164" fontId="5" fillId="3" borderId="7" xfId="0" applyNumberFormat="1" applyFont="1" applyFill="1" applyBorder="1" applyAlignment="1">
      <alignment horizontal="justify" vertical="center"/>
    </xf>
    <xf numFmtId="165" fontId="3" fillId="3" borderId="6" xfId="3" applyNumberFormat="1" applyFont="1" applyFill="1" applyBorder="1" applyAlignment="1">
      <alignment horizontal="center" vertical="center" wrapText="1"/>
    </xf>
    <xf numFmtId="9" fontId="3" fillId="0" borderId="6" xfId="5" applyFont="1" applyFill="1" applyBorder="1" applyAlignment="1">
      <alignment horizontal="center" vertical="center" wrapText="1"/>
    </xf>
    <xf numFmtId="5" fontId="3" fillId="0" borderId="6" xfId="3" applyNumberFormat="1" applyFont="1" applyFill="1" applyBorder="1" applyAlignment="1">
      <alignment horizontal="center" vertical="center" wrapText="1"/>
    </xf>
    <xf numFmtId="165" fontId="3" fillId="3" borderId="7" xfId="3" applyNumberFormat="1" applyFont="1" applyFill="1" applyBorder="1" applyAlignment="1">
      <alignment horizontal="center" vertical="center" wrapText="1"/>
    </xf>
    <xf numFmtId="9" fontId="3" fillId="0" borderId="7" xfId="5" applyFont="1" applyFill="1" applyBorder="1" applyAlignment="1">
      <alignment horizontal="center" vertical="center" wrapText="1"/>
    </xf>
    <xf numFmtId="5" fontId="3" fillId="0" borderId="7" xfId="3" applyNumberFormat="1" applyFont="1" applyFill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center" wrapText="1"/>
    </xf>
    <xf numFmtId="165" fontId="3" fillId="3" borderId="1" xfId="3" applyNumberFormat="1" applyFont="1" applyFill="1" applyBorder="1" applyAlignment="1">
      <alignment horizontal="center" vertical="center" wrapText="1"/>
    </xf>
    <xf numFmtId="165" fontId="3" fillId="3" borderId="1" xfId="3" applyNumberFormat="1" applyFont="1" applyFill="1" applyBorder="1" applyAlignment="1">
      <alignment horizontal="center" vertical="center" wrapText="1"/>
    </xf>
    <xf numFmtId="9" fontId="3" fillId="0" borderId="1" xfId="5" applyFont="1" applyFill="1" applyBorder="1" applyAlignment="1">
      <alignment horizontal="center" vertical="center" wrapText="1"/>
    </xf>
    <xf numFmtId="5" fontId="3" fillId="0" borderId="1" xfId="3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vertical="center" wrapText="1"/>
    </xf>
    <xf numFmtId="165" fontId="3" fillId="3" borderId="8" xfId="3" applyNumberFormat="1" applyFont="1" applyFill="1" applyBorder="1" applyAlignment="1">
      <alignment horizontal="center" vertical="center" wrapText="1"/>
    </xf>
    <xf numFmtId="165" fontId="3" fillId="0" borderId="7" xfId="3" applyNumberFormat="1" applyFont="1" applyFill="1" applyBorder="1" applyAlignment="1">
      <alignment horizontal="center" vertical="center" wrapText="1"/>
    </xf>
    <xf numFmtId="165" fontId="3" fillId="0" borderId="7" xfId="3" applyNumberFormat="1" applyFont="1" applyFill="1" applyBorder="1" applyAlignment="1">
      <alignment vertical="center" wrapText="1"/>
    </xf>
    <xf numFmtId="9" fontId="3" fillId="0" borderId="8" xfId="5" applyFont="1" applyFill="1" applyBorder="1" applyAlignment="1">
      <alignment horizontal="center" vertical="center" wrapText="1"/>
    </xf>
    <xf numFmtId="5" fontId="3" fillId="0" borderId="8" xfId="3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right" vertical="center" wrapText="1"/>
    </xf>
    <xf numFmtId="165" fontId="3" fillId="3" borderId="6" xfId="3" applyNumberFormat="1" applyFont="1" applyFill="1" applyBorder="1" applyAlignment="1">
      <alignment horizontal="center" vertical="center" wrapText="1"/>
    </xf>
    <xf numFmtId="9" fontId="3" fillId="0" borderId="6" xfId="5" applyFont="1" applyFill="1" applyBorder="1" applyAlignment="1">
      <alignment horizontal="center" vertical="center" wrapText="1"/>
    </xf>
    <xf numFmtId="5" fontId="3" fillId="0" borderId="6" xfId="3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[0]" xfId="2" builtinId="6"/>
    <cellStyle name="Moneda" xfId="3" builtinId="4"/>
    <cellStyle name="Moneda [0]" xfId="4" builtinId="7"/>
    <cellStyle name="Normal" xfId="0" builtinId="0"/>
    <cellStyle name="Porcentaje" xfId="5" builtinId="5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783547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0AC1E8-E545-4A13-86D7-1D28A1EEA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7771" y="23811"/>
          <a:ext cx="1808596" cy="531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D848-BFEF-48AA-9341-55E8EFE30F1D}">
  <sheetPr>
    <pageSetUpPr fitToPage="1"/>
  </sheetPr>
  <dimension ref="A1:AB98"/>
  <sheetViews>
    <sheetView showGridLines="0" tabSelected="1" zoomScale="40" zoomScaleNormal="40" zoomScaleSheetLayoutView="40" workbookViewId="0">
      <pane ySplit="5" topLeftCell="A6" activePane="bottomLeft" state="frozen"/>
      <selection activeCell="B1" sqref="B1"/>
      <selection pane="bottomLeft" activeCell="R68" sqref="R68"/>
    </sheetView>
  </sheetViews>
  <sheetFormatPr baseColWidth="10" defaultColWidth="11" defaultRowHeight="15" x14ac:dyDescent="0.25"/>
  <cols>
    <col min="1" max="1" width="26.19921875" style="2" customWidth="1"/>
    <col min="2" max="3" width="23" style="2" customWidth="1"/>
    <col min="4" max="4" width="41.5" style="2" customWidth="1"/>
    <col min="5" max="5" width="41.5" style="3" customWidth="1"/>
    <col min="6" max="6" width="24.296875" style="3" customWidth="1"/>
    <col min="7" max="7" width="44.796875" style="2" customWidth="1"/>
    <col min="8" max="8" width="52.59765625" style="3" customWidth="1"/>
    <col min="9" max="9" width="14.8984375" style="3" customWidth="1"/>
    <col min="10" max="11" width="19.69921875" style="3" customWidth="1"/>
    <col min="12" max="12" width="19.69921875" style="91" customWidth="1"/>
    <col min="13" max="13" width="17.5" style="3" customWidth="1"/>
    <col min="14" max="14" width="44.5" style="8" customWidth="1"/>
    <col min="15" max="15" width="24.8984375" style="4" customWidth="1"/>
    <col min="16" max="16" width="24.8984375" style="94" customWidth="1"/>
    <col min="17" max="18" width="24.8984375" style="4" customWidth="1"/>
    <col min="19" max="19" width="34.8984375" style="4" customWidth="1"/>
    <col min="20" max="23" width="24.8984375" style="4" customWidth="1"/>
    <col min="24" max="24" width="29.19921875" style="4" customWidth="1"/>
    <col min="25" max="25" width="19.59765625" style="3" customWidth="1"/>
    <col min="26" max="26" width="23.19921875" style="3" customWidth="1"/>
    <col min="27" max="27" width="22" style="3" customWidth="1"/>
    <col min="28" max="28" width="20.59765625" style="3" customWidth="1"/>
    <col min="29" max="16384" width="11" style="3"/>
  </cols>
  <sheetData>
    <row r="1" spans="1:28" ht="15.6" x14ac:dyDescent="0.25">
      <c r="A1" s="1" t="s">
        <v>0</v>
      </c>
      <c r="F1" s="164" t="s">
        <v>1</v>
      </c>
      <c r="G1" s="165"/>
      <c r="H1" s="165"/>
      <c r="I1" s="165"/>
      <c r="J1" s="165"/>
      <c r="K1" s="165"/>
      <c r="L1" s="165"/>
      <c r="M1" s="165"/>
      <c r="N1" s="165"/>
      <c r="O1" s="166"/>
      <c r="P1" s="166"/>
      <c r="Q1" s="166"/>
      <c r="Y1" s="169"/>
      <c r="Z1" s="5"/>
    </row>
    <row r="2" spans="1:28" ht="15" customHeight="1" x14ac:dyDescent="0.25">
      <c r="A2" s="6">
        <v>44347</v>
      </c>
      <c r="B2" s="7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6"/>
      <c r="Q2" s="166"/>
      <c r="Y2" s="169"/>
      <c r="Z2" s="5"/>
    </row>
    <row r="3" spans="1:28" ht="15.6" x14ac:dyDescent="0.25"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8"/>
      <c r="Q3" s="168"/>
      <c r="Y3" s="170"/>
      <c r="Z3" s="5"/>
    </row>
    <row r="4" spans="1:28" s="8" customFormat="1" ht="32.25" customHeight="1" x14ac:dyDescent="0.25">
      <c r="A4" s="171" t="s">
        <v>2</v>
      </c>
      <c r="B4" s="172"/>
      <c r="C4" s="172"/>
      <c r="D4" s="172"/>
      <c r="E4" s="172"/>
      <c r="F4" s="171" t="s">
        <v>3</v>
      </c>
      <c r="G4" s="172"/>
      <c r="H4" s="172"/>
      <c r="I4" s="172"/>
      <c r="J4" s="172"/>
      <c r="K4" s="173" t="s">
        <v>4</v>
      </c>
      <c r="L4" s="173"/>
      <c r="M4" s="173"/>
      <c r="N4" s="173" t="s">
        <v>5</v>
      </c>
      <c r="O4" s="174"/>
      <c r="P4" s="174"/>
      <c r="Q4" s="174"/>
      <c r="R4" s="174"/>
      <c r="S4" s="174"/>
      <c r="T4" s="175" t="s">
        <v>6</v>
      </c>
      <c r="U4" s="176"/>
      <c r="V4" s="176"/>
      <c r="W4" s="176"/>
      <c r="X4" s="177"/>
      <c r="Y4" s="158" t="s">
        <v>7</v>
      </c>
      <c r="Z4" s="158" t="s">
        <v>8</v>
      </c>
      <c r="AA4" s="160" t="s">
        <v>9</v>
      </c>
      <c r="AB4" s="161"/>
    </row>
    <row r="5" spans="1:28" ht="42" customHeight="1" x14ac:dyDescent="0.25">
      <c r="A5" s="9" t="s">
        <v>10</v>
      </c>
      <c r="B5" s="9" t="s">
        <v>11</v>
      </c>
      <c r="C5" s="9" t="s">
        <v>12</v>
      </c>
      <c r="D5" s="10" t="s">
        <v>13</v>
      </c>
      <c r="E5" s="11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12" t="s">
        <v>20</v>
      </c>
      <c r="L5" s="12" t="s">
        <v>21</v>
      </c>
      <c r="M5" s="12" t="s">
        <v>22</v>
      </c>
      <c r="N5" s="102" t="s">
        <v>23</v>
      </c>
      <c r="O5" s="13" t="s">
        <v>24</v>
      </c>
      <c r="P5" s="14" t="s">
        <v>25</v>
      </c>
      <c r="Q5" s="13" t="s">
        <v>26</v>
      </c>
      <c r="R5" s="13" t="s">
        <v>27</v>
      </c>
      <c r="S5" s="13" t="s">
        <v>28</v>
      </c>
      <c r="T5" s="13" t="s">
        <v>24</v>
      </c>
      <c r="U5" s="13" t="s">
        <v>25</v>
      </c>
      <c r="V5" s="13" t="s">
        <v>26</v>
      </c>
      <c r="W5" s="13" t="s">
        <v>27</v>
      </c>
      <c r="X5" s="13" t="s">
        <v>29</v>
      </c>
      <c r="Y5" s="159"/>
      <c r="Z5" s="159"/>
      <c r="AA5" s="12" t="s">
        <v>30</v>
      </c>
      <c r="AB5" s="12" t="s">
        <v>31</v>
      </c>
    </row>
    <row r="6" spans="1:28" ht="147.6" customHeight="1" x14ac:dyDescent="0.25">
      <c r="A6" s="128" t="s">
        <v>32</v>
      </c>
      <c r="B6" s="128" t="s">
        <v>33</v>
      </c>
      <c r="C6" s="128" t="s">
        <v>34</v>
      </c>
      <c r="D6" s="162" t="s">
        <v>35</v>
      </c>
      <c r="E6" s="136" t="s">
        <v>36</v>
      </c>
      <c r="F6" s="16">
        <v>2020680010036</v>
      </c>
      <c r="G6" s="17" t="s">
        <v>37</v>
      </c>
      <c r="H6" s="18" t="s">
        <v>38</v>
      </c>
      <c r="I6" s="19">
        <v>44197</v>
      </c>
      <c r="J6" s="19">
        <v>44561</v>
      </c>
      <c r="K6" s="121">
        <v>1</v>
      </c>
      <c r="L6" s="132">
        <v>0.41660000000000003</v>
      </c>
      <c r="M6" s="125">
        <f>IFERROR(IF(L6/K6&gt;100%,100%,L6/K6),"-")</f>
        <v>0.41660000000000003</v>
      </c>
      <c r="N6" s="90" t="s">
        <v>239</v>
      </c>
      <c r="O6" s="32"/>
      <c r="P6" s="32">
        <v>68497522112</v>
      </c>
      <c r="Q6" s="32"/>
      <c r="R6" s="32">
        <v>159479024075</v>
      </c>
      <c r="S6" s="188">
        <f>SUM(O6:R7)</f>
        <v>241284580787.81998</v>
      </c>
      <c r="T6" s="32"/>
      <c r="U6" s="32">
        <v>32900645315</v>
      </c>
      <c r="V6" s="32"/>
      <c r="W6" s="32">
        <v>59358836493.279999</v>
      </c>
      <c r="X6" s="188">
        <f>SUM(T6:W7)</f>
        <v>92259481808.279999</v>
      </c>
      <c r="Y6" s="189">
        <f>IFERROR(X6/S6,"-")</f>
        <v>0.38236791388427277</v>
      </c>
      <c r="Z6" s="190"/>
      <c r="AA6" s="112" t="s">
        <v>39</v>
      </c>
      <c r="AB6" s="112" t="s">
        <v>40</v>
      </c>
    </row>
    <row r="7" spans="1:28" ht="76.8" customHeight="1" x14ac:dyDescent="0.25">
      <c r="A7" s="129"/>
      <c r="B7" s="129"/>
      <c r="C7" s="129"/>
      <c r="D7" s="163"/>
      <c r="E7" s="137"/>
      <c r="F7" s="16"/>
      <c r="G7" s="96" t="s">
        <v>245</v>
      </c>
      <c r="H7" s="18"/>
      <c r="I7" s="19"/>
      <c r="J7" s="19"/>
      <c r="K7" s="122"/>
      <c r="L7" s="133"/>
      <c r="M7" s="126"/>
      <c r="N7" s="90" t="s">
        <v>269</v>
      </c>
      <c r="O7" s="32"/>
      <c r="P7" s="32">
        <v>11382993803</v>
      </c>
      <c r="Q7" s="32"/>
      <c r="R7" s="32">
        <f>955692586.359985+969348211.46</f>
        <v>1925040797.8199849</v>
      </c>
      <c r="S7" s="191"/>
      <c r="T7" s="32"/>
      <c r="U7" s="32"/>
      <c r="V7" s="32"/>
      <c r="W7" s="32"/>
      <c r="X7" s="191"/>
      <c r="Y7" s="192"/>
      <c r="Z7" s="193"/>
      <c r="AA7" s="113"/>
      <c r="AB7" s="113"/>
    </row>
    <row r="8" spans="1:28" ht="63.6" customHeight="1" x14ac:dyDescent="0.25">
      <c r="A8" s="128" t="s">
        <v>32</v>
      </c>
      <c r="B8" s="128" t="s">
        <v>33</v>
      </c>
      <c r="C8" s="128" t="s">
        <v>34</v>
      </c>
      <c r="D8" s="162" t="s">
        <v>41</v>
      </c>
      <c r="E8" s="136" t="s">
        <v>42</v>
      </c>
      <c r="F8" s="22"/>
      <c r="G8" s="23" t="s">
        <v>43</v>
      </c>
      <c r="H8" s="18"/>
      <c r="I8" s="19"/>
      <c r="J8" s="19"/>
      <c r="K8" s="121">
        <v>1</v>
      </c>
      <c r="L8" s="132">
        <v>0.41660000000000003</v>
      </c>
      <c r="M8" s="125">
        <f>IFERROR(IF(L8/K8&gt;100%,100%,L8/K8),"-")</f>
        <v>0.41660000000000003</v>
      </c>
      <c r="N8" s="90" t="s">
        <v>272</v>
      </c>
      <c r="O8" s="194"/>
      <c r="P8" s="32"/>
      <c r="Q8" s="194"/>
      <c r="R8" s="32">
        <f>2233085114</f>
        <v>2233085114</v>
      </c>
      <c r="S8" s="195">
        <f>SUM(O8:R9)</f>
        <v>2535585114</v>
      </c>
      <c r="T8" s="32"/>
      <c r="U8" s="194"/>
      <c r="V8" s="194"/>
      <c r="W8" s="194"/>
      <c r="X8" s="188">
        <f>SUM(T8:W9)</f>
        <v>55000000</v>
      </c>
      <c r="Y8" s="189">
        <f>IFERROR(X8/S8,"-")</f>
        <v>2.1691245817907101E-2</v>
      </c>
      <c r="Z8" s="190"/>
      <c r="AA8" s="112" t="s">
        <v>39</v>
      </c>
      <c r="AB8" s="112" t="s">
        <v>40</v>
      </c>
    </row>
    <row r="9" spans="1:28" ht="69" customHeight="1" x14ac:dyDescent="0.25">
      <c r="A9" s="129"/>
      <c r="B9" s="129"/>
      <c r="C9" s="129"/>
      <c r="D9" s="163"/>
      <c r="E9" s="137"/>
      <c r="F9" s="117">
        <v>2020680010032</v>
      </c>
      <c r="G9" s="119" t="s">
        <v>44</v>
      </c>
      <c r="H9" s="18" t="s">
        <v>45</v>
      </c>
      <c r="I9" s="19">
        <v>44256</v>
      </c>
      <c r="J9" s="19">
        <v>44561</v>
      </c>
      <c r="K9" s="122"/>
      <c r="L9" s="133"/>
      <c r="M9" s="126"/>
      <c r="N9" s="90" t="s">
        <v>46</v>
      </c>
      <c r="O9" s="32"/>
      <c r="P9" s="32"/>
      <c r="Q9" s="32"/>
      <c r="R9" s="32">
        <v>302500000</v>
      </c>
      <c r="S9" s="195"/>
      <c r="T9" s="32"/>
      <c r="U9" s="194"/>
      <c r="V9" s="194"/>
      <c r="W9" s="32">
        <v>55000000</v>
      </c>
      <c r="X9" s="191"/>
      <c r="Y9" s="192"/>
      <c r="Z9" s="193"/>
      <c r="AA9" s="113"/>
      <c r="AB9" s="113"/>
    </row>
    <row r="10" spans="1:28" ht="115.2" customHeight="1" x14ac:dyDescent="0.25">
      <c r="A10" s="24" t="s">
        <v>32</v>
      </c>
      <c r="B10" s="24" t="s">
        <v>33</v>
      </c>
      <c r="C10" s="24" t="s">
        <v>34</v>
      </c>
      <c r="D10" s="25" t="s">
        <v>47</v>
      </c>
      <c r="E10" s="23" t="s">
        <v>48</v>
      </c>
      <c r="F10" s="135"/>
      <c r="G10" s="134"/>
      <c r="H10" s="18" t="s">
        <v>49</v>
      </c>
      <c r="I10" s="19">
        <v>44228</v>
      </c>
      <c r="J10" s="19">
        <v>44561</v>
      </c>
      <c r="K10" s="26">
        <v>1</v>
      </c>
      <c r="L10" s="27">
        <v>0.41660000000000003</v>
      </c>
      <c r="M10" s="28">
        <f t="shared" ref="M10:M65" si="0">IFERROR(IF(L10/K10&gt;100%,100%,L10/K10),"-")</f>
        <v>0.41660000000000003</v>
      </c>
      <c r="N10" s="90" t="s">
        <v>240</v>
      </c>
      <c r="O10" s="32">
        <f>169500000+418000000</f>
        <v>587500000</v>
      </c>
      <c r="P10" s="32"/>
      <c r="Q10" s="32"/>
      <c r="R10" s="32"/>
      <c r="S10" s="196">
        <f>SUM(O10:R10)</f>
        <v>587500000</v>
      </c>
      <c r="T10" s="32">
        <v>134100000</v>
      </c>
      <c r="U10" s="32"/>
      <c r="V10" s="194"/>
      <c r="W10" s="32"/>
      <c r="X10" s="196">
        <f>SUM(T10:W10)</f>
        <v>134100000</v>
      </c>
      <c r="Y10" s="197">
        <f t="shared" ref="Y10:Y20" si="1">IFERROR(X10/S10,"-")</f>
        <v>0.22825531914893618</v>
      </c>
      <c r="Z10" s="198"/>
      <c r="AA10" s="29" t="s">
        <v>39</v>
      </c>
      <c r="AB10" s="29" t="s">
        <v>40</v>
      </c>
    </row>
    <row r="11" spans="1:28" ht="107.4" customHeight="1" x14ac:dyDescent="0.25">
      <c r="A11" s="128" t="s">
        <v>32</v>
      </c>
      <c r="B11" s="128" t="s">
        <v>33</v>
      </c>
      <c r="C11" s="128" t="s">
        <v>34</v>
      </c>
      <c r="D11" s="162" t="s">
        <v>50</v>
      </c>
      <c r="E11" s="136" t="s">
        <v>51</v>
      </c>
      <c r="F11" s="118"/>
      <c r="G11" s="120"/>
      <c r="H11" s="18" t="s">
        <v>52</v>
      </c>
      <c r="I11" s="19">
        <v>44223</v>
      </c>
      <c r="J11" s="19">
        <v>44561</v>
      </c>
      <c r="K11" s="121">
        <v>1</v>
      </c>
      <c r="L11" s="132">
        <v>0.41660000000000003</v>
      </c>
      <c r="M11" s="125">
        <f t="shared" si="0"/>
        <v>0.41660000000000003</v>
      </c>
      <c r="N11" s="90" t="s">
        <v>265</v>
      </c>
      <c r="O11" s="32">
        <v>569300000</v>
      </c>
      <c r="P11" s="32"/>
      <c r="Q11" s="32"/>
      <c r="R11" s="32"/>
      <c r="S11" s="188">
        <f>SUM(O11:R12)</f>
        <v>871663835.13999999</v>
      </c>
      <c r="T11" s="32">
        <f>126650000+70000000+35000000</f>
        <v>231650000</v>
      </c>
      <c r="U11" s="194"/>
      <c r="V11" s="194"/>
      <c r="W11" s="32"/>
      <c r="X11" s="188">
        <f>SUM(T11:W12)</f>
        <v>231650000</v>
      </c>
      <c r="Y11" s="189">
        <f t="shared" si="1"/>
        <v>0.26575612140980259</v>
      </c>
      <c r="Z11" s="190"/>
      <c r="AA11" s="112" t="s">
        <v>39</v>
      </c>
      <c r="AB11" s="112" t="s">
        <v>40</v>
      </c>
    </row>
    <row r="12" spans="1:28" ht="88.2" customHeight="1" x14ac:dyDescent="0.25">
      <c r="A12" s="129"/>
      <c r="B12" s="129"/>
      <c r="C12" s="129"/>
      <c r="D12" s="163"/>
      <c r="E12" s="137"/>
      <c r="F12" s="16">
        <v>20210680010043</v>
      </c>
      <c r="G12" s="17" t="s">
        <v>257</v>
      </c>
      <c r="H12" s="18" t="s">
        <v>259</v>
      </c>
      <c r="I12" s="19">
        <v>44335</v>
      </c>
      <c r="J12" s="19">
        <v>44561</v>
      </c>
      <c r="K12" s="122"/>
      <c r="L12" s="133"/>
      <c r="M12" s="126"/>
      <c r="N12" s="90" t="s">
        <v>258</v>
      </c>
      <c r="O12" s="32">
        <v>302363835.13999999</v>
      </c>
      <c r="P12" s="32"/>
      <c r="Q12" s="32"/>
      <c r="R12" s="32"/>
      <c r="S12" s="191"/>
      <c r="T12" s="32"/>
      <c r="U12" s="194"/>
      <c r="V12" s="194"/>
      <c r="W12" s="32"/>
      <c r="X12" s="191"/>
      <c r="Y12" s="192"/>
      <c r="Z12" s="193"/>
      <c r="AA12" s="113"/>
      <c r="AB12" s="113"/>
    </row>
    <row r="13" spans="1:28" ht="78.599999999999994" customHeight="1" x14ac:dyDescent="0.25">
      <c r="A13" s="24" t="s">
        <v>32</v>
      </c>
      <c r="B13" s="24" t="s">
        <v>33</v>
      </c>
      <c r="C13" s="24" t="s">
        <v>34</v>
      </c>
      <c r="D13" s="25" t="s">
        <v>53</v>
      </c>
      <c r="E13" s="23" t="s">
        <v>54</v>
      </c>
      <c r="F13" s="135">
        <v>2020680010032</v>
      </c>
      <c r="G13" s="134" t="s">
        <v>44</v>
      </c>
      <c r="H13" s="99" t="s">
        <v>55</v>
      </c>
      <c r="I13" s="19">
        <v>44228</v>
      </c>
      <c r="J13" s="19">
        <v>44561</v>
      </c>
      <c r="K13" s="30">
        <v>1</v>
      </c>
      <c r="L13" s="35">
        <v>1</v>
      </c>
      <c r="M13" s="28">
        <f t="shared" si="0"/>
        <v>1</v>
      </c>
      <c r="N13" s="90" t="s">
        <v>264</v>
      </c>
      <c r="O13" s="32">
        <f>5700000+41300000</f>
        <v>47000000</v>
      </c>
      <c r="P13" s="32">
        <f>42300000+4700000</f>
        <v>47000000</v>
      </c>
      <c r="Q13" s="32"/>
      <c r="R13" s="32"/>
      <c r="S13" s="196">
        <f t="shared" ref="S13:S19" si="2">SUM(O13:R13)</f>
        <v>94000000</v>
      </c>
      <c r="T13" s="32">
        <v>5700000</v>
      </c>
      <c r="U13" s="32">
        <v>42300000</v>
      </c>
      <c r="V13" s="194"/>
      <c r="W13" s="194"/>
      <c r="X13" s="196">
        <f t="shared" ref="X13:X19" si="3">SUM(T13:W13)</f>
        <v>48000000</v>
      </c>
      <c r="Y13" s="197">
        <f t="shared" si="1"/>
        <v>0.51063829787234039</v>
      </c>
      <c r="Z13" s="198"/>
      <c r="AA13" s="29" t="s">
        <v>39</v>
      </c>
      <c r="AB13" s="29" t="s">
        <v>40</v>
      </c>
    </row>
    <row r="14" spans="1:28" ht="82.95" customHeight="1" x14ac:dyDescent="0.25">
      <c r="A14" s="24" t="s">
        <v>32</v>
      </c>
      <c r="B14" s="24" t="s">
        <v>33</v>
      </c>
      <c r="C14" s="24" t="s">
        <v>34</v>
      </c>
      <c r="D14" s="25" t="s">
        <v>56</v>
      </c>
      <c r="E14" s="23" t="s">
        <v>57</v>
      </c>
      <c r="F14" s="118"/>
      <c r="G14" s="120"/>
      <c r="H14" s="18" t="s">
        <v>58</v>
      </c>
      <c r="I14" s="19">
        <v>44228</v>
      </c>
      <c r="J14" s="19">
        <v>44561</v>
      </c>
      <c r="K14" s="26">
        <v>1</v>
      </c>
      <c r="L14" s="27">
        <v>1</v>
      </c>
      <c r="M14" s="28">
        <f t="shared" si="0"/>
        <v>1</v>
      </c>
      <c r="N14" s="90" t="s">
        <v>241</v>
      </c>
      <c r="O14" s="32">
        <f>300000000+23900000</f>
        <v>323900000</v>
      </c>
      <c r="P14" s="32">
        <v>490000000</v>
      </c>
      <c r="Q14" s="32"/>
      <c r="R14" s="32"/>
      <c r="S14" s="196">
        <f t="shared" si="2"/>
        <v>813900000</v>
      </c>
      <c r="T14" s="32">
        <v>300000000</v>
      </c>
      <c r="U14" s="32">
        <v>490000000</v>
      </c>
      <c r="V14" s="194"/>
      <c r="W14" s="194"/>
      <c r="X14" s="196">
        <f t="shared" si="3"/>
        <v>790000000</v>
      </c>
      <c r="Y14" s="197">
        <f t="shared" si="1"/>
        <v>0.9706352131711512</v>
      </c>
      <c r="Z14" s="198"/>
      <c r="AA14" s="29" t="s">
        <v>39</v>
      </c>
      <c r="AB14" s="29" t="s">
        <v>40</v>
      </c>
    </row>
    <row r="15" spans="1:28" ht="63" customHeight="1" x14ac:dyDescent="0.25">
      <c r="A15" s="24" t="s">
        <v>32</v>
      </c>
      <c r="B15" s="24" t="s">
        <v>33</v>
      </c>
      <c r="C15" s="24" t="s">
        <v>34</v>
      </c>
      <c r="D15" s="25" t="s">
        <v>59</v>
      </c>
      <c r="E15" s="23" t="s">
        <v>60</v>
      </c>
      <c r="F15" s="33"/>
      <c r="G15" s="23" t="s">
        <v>43</v>
      </c>
      <c r="H15" s="18"/>
      <c r="I15" s="19"/>
      <c r="J15" s="19"/>
      <c r="K15" s="26">
        <v>0.25</v>
      </c>
      <c r="L15" s="27"/>
      <c r="M15" s="34">
        <f t="shared" si="0"/>
        <v>0</v>
      </c>
      <c r="N15" s="90" t="s">
        <v>238</v>
      </c>
      <c r="O15" s="32"/>
      <c r="P15" s="32"/>
      <c r="Q15" s="32"/>
      <c r="R15" s="32">
        <v>19197203526</v>
      </c>
      <c r="S15" s="196">
        <f t="shared" si="2"/>
        <v>19197203526</v>
      </c>
      <c r="T15" s="32"/>
      <c r="U15" s="194"/>
      <c r="V15" s="194"/>
      <c r="W15" s="194"/>
      <c r="X15" s="196">
        <f t="shared" si="3"/>
        <v>0</v>
      </c>
      <c r="Y15" s="197">
        <f t="shared" si="1"/>
        <v>0</v>
      </c>
      <c r="Z15" s="198"/>
      <c r="AA15" s="29" t="s">
        <v>39</v>
      </c>
      <c r="AB15" s="29" t="s">
        <v>40</v>
      </c>
    </row>
    <row r="16" spans="1:28" ht="76.2" customHeight="1" x14ac:dyDescent="0.25">
      <c r="A16" s="24" t="s">
        <v>32</v>
      </c>
      <c r="B16" s="24" t="s">
        <v>33</v>
      </c>
      <c r="C16" s="24" t="s">
        <v>34</v>
      </c>
      <c r="D16" s="25" t="s">
        <v>61</v>
      </c>
      <c r="E16" s="23" t="s">
        <v>62</v>
      </c>
      <c r="F16" s="33"/>
      <c r="G16" s="23" t="s">
        <v>63</v>
      </c>
      <c r="H16" s="18"/>
      <c r="I16" s="19"/>
      <c r="J16" s="19"/>
      <c r="K16" s="30">
        <v>0</v>
      </c>
      <c r="L16" s="35">
        <v>0</v>
      </c>
      <c r="M16" s="28" t="str">
        <f t="shared" si="0"/>
        <v>-</v>
      </c>
      <c r="N16" s="90"/>
      <c r="O16" s="32"/>
      <c r="P16" s="32"/>
      <c r="Q16" s="32"/>
      <c r="R16" s="32"/>
      <c r="S16" s="196">
        <f t="shared" si="2"/>
        <v>0</v>
      </c>
      <c r="T16" s="32"/>
      <c r="U16" s="194"/>
      <c r="V16" s="194"/>
      <c r="W16" s="194"/>
      <c r="X16" s="196">
        <f t="shared" si="3"/>
        <v>0</v>
      </c>
      <c r="Y16" s="197" t="str">
        <f t="shared" si="1"/>
        <v>-</v>
      </c>
      <c r="Z16" s="198"/>
      <c r="AA16" s="29" t="s">
        <v>39</v>
      </c>
      <c r="AB16" s="29" t="s">
        <v>40</v>
      </c>
    </row>
    <row r="17" spans="1:28" ht="81" customHeight="1" x14ac:dyDescent="0.25">
      <c r="A17" s="24" t="s">
        <v>32</v>
      </c>
      <c r="B17" s="24" t="s">
        <v>33</v>
      </c>
      <c r="C17" s="24" t="s">
        <v>34</v>
      </c>
      <c r="D17" s="25" t="s">
        <v>64</v>
      </c>
      <c r="E17" s="23" t="s">
        <v>65</v>
      </c>
      <c r="F17" s="33"/>
      <c r="G17" s="23" t="s">
        <v>66</v>
      </c>
      <c r="H17" s="18" t="s">
        <v>67</v>
      </c>
      <c r="I17" s="19"/>
      <c r="J17" s="19"/>
      <c r="K17" s="30">
        <v>1</v>
      </c>
      <c r="L17" s="35">
        <v>0</v>
      </c>
      <c r="M17" s="28">
        <f t="shared" si="0"/>
        <v>0</v>
      </c>
      <c r="N17" s="90" t="s">
        <v>276</v>
      </c>
      <c r="O17" s="32">
        <f>242950000+350000000+100000000</f>
        <v>692950000</v>
      </c>
      <c r="P17" s="32"/>
      <c r="Q17" s="32"/>
      <c r="R17" s="32"/>
      <c r="S17" s="196">
        <f t="shared" si="2"/>
        <v>692950000</v>
      </c>
      <c r="T17" s="32"/>
      <c r="U17" s="194"/>
      <c r="V17" s="194"/>
      <c r="W17" s="194"/>
      <c r="X17" s="196">
        <f t="shared" si="3"/>
        <v>0</v>
      </c>
      <c r="Y17" s="197">
        <f t="shared" si="1"/>
        <v>0</v>
      </c>
      <c r="Z17" s="198"/>
      <c r="AA17" s="29" t="s">
        <v>39</v>
      </c>
      <c r="AB17" s="29" t="s">
        <v>40</v>
      </c>
    </row>
    <row r="18" spans="1:28" ht="90.6" customHeight="1" x14ac:dyDescent="0.25">
      <c r="A18" s="24" t="s">
        <v>32</v>
      </c>
      <c r="B18" s="24" t="s">
        <v>68</v>
      </c>
      <c r="C18" s="24" t="s">
        <v>69</v>
      </c>
      <c r="D18" s="25" t="s">
        <v>70</v>
      </c>
      <c r="E18" s="23" t="s">
        <v>71</v>
      </c>
      <c r="F18" s="117">
        <v>20200680010101</v>
      </c>
      <c r="G18" s="119" t="s">
        <v>72</v>
      </c>
      <c r="H18" s="18" t="s">
        <v>73</v>
      </c>
      <c r="I18" s="19"/>
      <c r="J18" s="19"/>
      <c r="K18" s="30">
        <v>15</v>
      </c>
      <c r="L18" s="35">
        <v>14</v>
      </c>
      <c r="M18" s="28">
        <f t="shared" si="0"/>
        <v>0.93333333333333335</v>
      </c>
      <c r="N18" s="90" t="s">
        <v>252</v>
      </c>
      <c r="O18" s="32">
        <v>135118963.86000001</v>
      </c>
      <c r="P18" s="32">
        <v>139000000</v>
      </c>
      <c r="Q18" s="32"/>
      <c r="R18" s="32"/>
      <c r="S18" s="196">
        <f t="shared" si="2"/>
        <v>274118963.86000001</v>
      </c>
      <c r="T18" s="32"/>
      <c r="U18" s="32">
        <v>139000000</v>
      </c>
      <c r="V18" s="194"/>
      <c r="W18" s="194"/>
      <c r="X18" s="196">
        <f t="shared" si="3"/>
        <v>139000000</v>
      </c>
      <c r="Y18" s="197">
        <f t="shared" si="1"/>
        <v>0.50707910916732879</v>
      </c>
      <c r="Z18" s="198"/>
      <c r="AA18" s="29" t="s">
        <v>39</v>
      </c>
      <c r="AB18" s="29" t="s">
        <v>40</v>
      </c>
    </row>
    <row r="19" spans="1:28" ht="93.6" customHeight="1" x14ac:dyDescent="0.25">
      <c r="A19" s="24" t="s">
        <v>32</v>
      </c>
      <c r="B19" s="24" t="s">
        <v>68</v>
      </c>
      <c r="C19" s="24" t="s">
        <v>69</v>
      </c>
      <c r="D19" s="25" t="s">
        <v>74</v>
      </c>
      <c r="E19" s="23" t="s">
        <v>75</v>
      </c>
      <c r="F19" s="118"/>
      <c r="G19" s="120"/>
      <c r="H19" s="18" t="s">
        <v>76</v>
      </c>
      <c r="I19" s="19">
        <v>44251</v>
      </c>
      <c r="J19" s="19">
        <v>44196</v>
      </c>
      <c r="K19" s="30">
        <v>4</v>
      </c>
      <c r="L19" s="35">
        <v>4</v>
      </c>
      <c r="M19" s="28">
        <f t="shared" si="0"/>
        <v>1</v>
      </c>
      <c r="N19" s="90" t="s">
        <v>253</v>
      </c>
      <c r="O19" s="32">
        <v>12000000</v>
      </c>
      <c r="P19" s="32">
        <v>263000000</v>
      </c>
      <c r="Q19" s="32"/>
      <c r="R19" s="32"/>
      <c r="S19" s="196">
        <f t="shared" si="2"/>
        <v>275000000</v>
      </c>
      <c r="T19" s="32"/>
      <c r="U19" s="32">
        <v>227000000</v>
      </c>
      <c r="V19" s="32"/>
      <c r="W19" s="194"/>
      <c r="X19" s="196">
        <f t="shared" si="3"/>
        <v>227000000</v>
      </c>
      <c r="Y19" s="197">
        <f t="shared" si="1"/>
        <v>0.82545454545454544</v>
      </c>
      <c r="Z19" s="198"/>
      <c r="AA19" s="29" t="s">
        <v>39</v>
      </c>
      <c r="AB19" s="29" t="s">
        <v>40</v>
      </c>
    </row>
    <row r="20" spans="1:28" ht="58.2" customHeight="1" x14ac:dyDescent="0.25">
      <c r="A20" s="114" t="s">
        <v>32</v>
      </c>
      <c r="B20" s="114" t="s">
        <v>68</v>
      </c>
      <c r="C20" s="114" t="s">
        <v>77</v>
      </c>
      <c r="D20" s="115" t="s">
        <v>78</v>
      </c>
      <c r="E20" s="116" t="s">
        <v>79</v>
      </c>
      <c r="F20" s="36"/>
      <c r="G20" s="23" t="s">
        <v>43</v>
      </c>
      <c r="H20" s="18"/>
      <c r="I20" s="19"/>
      <c r="J20" s="19"/>
      <c r="K20" s="121">
        <v>0.95</v>
      </c>
      <c r="L20" s="123">
        <v>0.37</v>
      </c>
      <c r="M20" s="125">
        <f>IFERROR(IF(L20/K20&gt;100%,100%,L20/K20),"-")</f>
        <v>0.38947368421052631</v>
      </c>
      <c r="N20" s="103" t="s">
        <v>273</v>
      </c>
      <c r="O20" s="32"/>
      <c r="P20" s="32">
        <f>158488+52140696.29+97859303.77</f>
        <v>150158488.06</v>
      </c>
      <c r="Q20" s="32"/>
      <c r="R20" s="32"/>
      <c r="S20" s="188">
        <f>SUM(O20:R21)</f>
        <v>246658488.06</v>
      </c>
      <c r="T20" s="32"/>
      <c r="U20" s="32"/>
      <c r="V20" s="32"/>
      <c r="W20" s="194"/>
      <c r="X20" s="188">
        <f>SUM(T20:W21)</f>
        <v>96500000</v>
      </c>
      <c r="Y20" s="189">
        <f t="shared" si="1"/>
        <v>0.3912291880120754</v>
      </c>
      <c r="Z20" s="190"/>
      <c r="AA20" s="112" t="s">
        <v>39</v>
      </c>
      <c r="AB20" s="112" t="s">
        <v>40</v>
      </c>
    </row>
    <row r="21" spans="1:28" ht="64.95" customHeight="1" x14ac:dyDescent="0.25">
      <c r="A21" s="114"/>
      <c r="B21" s="114"/>
      <c r="C21" s="114"/>
      <c r="D21" s="115"/>
      <c r="E21" s="116"/>
      <c r="F21" s="117">
        <v>20200680010047</v>
      </c>
      <c r="G21" s="119" t="s">
        <v>81</v>
      </c>
      <c r="H21" s="18" t="s">
        <v>82</v>
      </c>
      <c r="I21" s="19">
        <v>44224</v>
      </c>
      <c r="J21" s="19">
        <v>44196</v>
      </c>
      <c r="K21" s="122"/>
      <c r="L21" s="124"/>
      <c r="M21" s="126"/>
      <c r="N21" s="103" t="s">
        <v>83</v>
      </c>
      <c r="O21" s="32"/>
      <c r="P21" s="32">
        <f>20000000+76500000</f>
        <v>96500000</v>
      </c>
      <c r="Q21" s="32"/>
      <c r="R21" s="32"/>
      <c r="S21" s="191"/>
      <c r="T21" s="32"/>
      <c r="U21" s="32">
        <v>96500000</v>
      </c>
      <c r="V21" s="194"/>
      <c r="W21" s="194"/>
      <c r="X21" s="191"/>
      <c r="Y21" s="192"/>
      <c r="Z21" s="193"/>
      <c r="AA21" s="113"/>
      <c r="AB21" s="113"/>
    </row>
    <row r="22" spans="1:28" ht="66" customHeight="1" x14ac:dyDescent="0.25">
      <c r="A22" s="136" t="s">
        <v>32</v>
      </c>
      <c r="B22" s="136" t="s">
        <v>68</v>
      </c>
      <c r="C22" s="136" t="s">
        <v>77</v>
      </c>
      <c r="D22" s="162" t="s">
        <v>84</v>
      </c>
      <c r="E22" s="136" t="s">
        <v>85</v>
      </c>
      <c r="F22" s="118"/>
      <c r="G22" s="120"/>
      <c r="H22" s="18" t="s">
        <v>86</v>
      </c>
      <c r="I22" s="19">
        <v>44228</v>
      </c>
      <c r="J22" s="19">
        <v>44196</v>
      </c>
      <c r="K22" s="147">
        <v>2</v>
      </c>
      <c r="L22" s="142">
        <v>2</v>
      </c>
      <c r="M22" s="125">
        <f>IFERROR(IF(L22/K22&gt;100%,100%,L22/K22),"-")</f>
        <v>1</v>
      </c>
      <c r="N22" s="90" t="s">
        <v>80</v>
      </c>
      <c r="O22" s="32"/>
      <c r="P22" s="32">
        <v>394354994</v>
      </c>
      <c r="Q22" s="32"/>
      <c r="R22" s="32"/>
      <c r="S22" s="188">
        <f>SUM(O22:R25)</f>
        <v>8051441363.6700001</v>
      </c>
      <c r="T22" s="199"/>
      <c r="U22" s="32">
        <f>319100000+67413482</f>
        <v>386513482</v>
      </c>
      <c r="V22" s="199"/>
      <c r="W22" s="199"/>
      <c r="X22" s="188">
        <f>SUM(T22:W25)</f>
        <v>2337234858</v>
      </c>
      <c r="Y22" s="189">
        <f>IFERROR(X22/S22,"-")</f>
        <v>0.29028775748726859</v>
      </c>
      <c r="Z22" s="190"/>
      <c r="AA22" s="112" t="s">
        <v>39</v>
      </c>
      <c r="AB22" s="112" t="s">
        <v>40</v>
      </c>
    </row>
    <row r="23" spans="1:28" ht="93.6" customHeight="1" x14ac:dyDescent="0.25">
      <c r="A23" s="178"/>
      <c r="B23" s="178"/>
      <c r="C23" s="178"/>
      <c r="D23" s="180"/>
      <c r="E23" s="178"/>
      <c r="F23" s="98"/>
      <c r="G23" s="96" t="s">
        <v>43</v>
      </c>
      <c r="H23" s="18"/>
      <c r="I23" s="19"/>
      <c r="J23" s="19"/>
      <c r="K23" s="179"/>
      <c r="L23" s="143"/>
      <c r="M23" s="157"/>
      <c r="N23" s="103" t="s">
        <v>262</v>
      </c>
      <c r="O23" s="32">
        <f>35300000+9000000+17636386</f>
        <v>61936386</v>
      </c>
      <c r="P23" s="32">
        <v>1522429744.0899999</v>
      </c>
      <c r="Q23" s="32"/>
      <c r="R23" s="32">
        <v>2002491826</v>
      </c>
      <c r="S23" s="200"/>
      <c r="T23" s="199"/>
      <c r="U23" s="201"/>
      <c r="V23" s="202"/>
      <c r="W23" s="199"/>
      <c r="X23" s="200"/>
      <c r="Y23" s="203"/>
      <c r="Z23" s="204"/>
      <c r="AA23" s="127"/>
      <c r="AB23" s="127"/>
    </row>
    <row r="24" spans="1:28" ht="111.6" customHeight="1" x14ac:dyDescent="0.25">
      <c r="A24" s="178"/>
      <c r="B24" s="178"/>
      <c r="C24" s="178"/>
      <c r="D24" s="180"/>
      <c r="E24" s="178"/>
      <c r="F24" s="16">
        <v>20210680010005</v>
      </c>
      <c r="G24" s="17" t="s">
        <v>87</v>
      </c>
      <c r="H24" s="18" t="s">
        <v>88</v>
      </c>
      <c r="I24" s="19">
        <v>44225</v>
      </c>
      <c r="J24" s="19">
        <v>44561</v>
      </c>
      <c r="K24" s="179"/>
      <c r="L24" s="143"/>
      <c r="M24" s="157"/>
      <c r="N24" s="103" t="s">
        <v>89</v>
      </c>
      <c r="O24" s="32">
        <v>136150000</v>
      </c>
      <c r="P24" s="32"/>
      <c r="Q24" s="32"/>
      <c r="R24" s="32">
        <v>3534078414</v>
      </c>
      <c r="S24" s="200"/>
      <c r="T24" s="205">
        <f>77224710+17500000</f>
        <v>94724710</v>
      </c>
      <c r="U24" s="202"/>
      <c r="V24" s="202"/>
      <c r="W24" s="205">
        <v>1855996666</v>
      </c>
      <c r="X24" s="200"/>
      <c r="Y24" s="203"/>
      <c r="Z24" s="204"/>
      <c r="AA24" s="127"/>
      <c r="AB24" s="127"/>
    </row>
    <row r="25" spans="1:28" ht="104.4" customHeight="1" x14ac:dyDescent="0.25">
      <c r="A25" s="178"/>
      <c r="B25" s="178"/>
      <c r="C25" s="178"/>
      <c r="D25" s="180"/>
      <c r="E25" s="178"/>
      <c r="F25" s="16">
        <v>20210680010046</v>
      </c>
      <c r="G25" s="17" t="s">
        <v>261</v>
      </c>
      <c r="H25" s="18" t="s">
        <v>263</v>
      </c>
      <c r="I25" s="19">
        <v>44342</v>
      </c>
      <c r="J25" s="19">
        <v>44561</v>
      </c>
      <c r="K25" s="148"/>
      <c r="L25" s="144"/>
      <c r="M25" s="126"/>
      <c r="N25" s="103" t="s">
        <v>268</v>
      </c>
      <c r="O25" s="32">
        <f>397986999.58+2013000</f>
        <v>399999999.57999998</v>
      </c>
      <c r="P25" s="32"/>
      <c r="Q25" s="32"/>
      <c r="R25" s="32"/>
      <c r="S25" s="191"/>
      <c r="T25" s="202"/>
      <c r="U25" s="202"/>
      <c r="V25" s="202"/>
      <c r="W25" s="202"/>
      <c r="X25" s="191"/>
      <c r="Y25" s="192"/>
      <c r="Z25" s="193"/>
      <c r="AA25" s="113"/>
      <c r="AB25" s="113"/>
    </row>
    <row r="26" spans="1:28" ht="74.400000000000006" customHeight="1" x14ac:dyDescent="0.25">
      <c r="A26" s="24" t="s">
        <v>32</v>
      </c>
      <c r="B26" s="24" t="s">
        <v>68</v>
      </c>
      <c r="C26" s="24" t="s">
        <v>90</v>
      </c>
      <c r="D26" s="25" t="s">
        <v>91</v>
      </c>
      <c r="E26" s="23" t="s">
        <v>92</v>
      </c>
      <c r="F26" s="16">
        <v>2020680010111</v>
      </c>
      <c r="G26" s="17" t="s">
        <v>93</v>
      </c>
      <c r="H26" s="18" t="s">
        <v>94</v>
      </c>
      <c r="I26" s="19">
        <v>44275</v>
      </c>
      <c r="J26" s="19">
        <v>44561</v>
      </c>
      <c r="K26" s="30">
        <v>1</v>
      </c>
      <c r="L26" s="31">
        <v>0.4</v>
      </c>
      <c r="M26" s="28">
        <f t="shared" si="0"/>
        <v>0.4</v>
      </c>
      <c r="N26" s="103" t="s">
        <v>255</v>
      </c>
      <c r="O26" s="32">
        <v>7600000</v>
      </c>
      <c r="P26" s="32">
        <v>485467000</v>
      </c>
      <c r="Q26" s="32"/>
      <c r="R26" s="32"/>
      <c r="S26" s="196">
        <f>SUM(O26:R26)</f>
        <v>493067000</v>
      </c>
      <c r="T26" s="32"/>
      <c r="U26" s="205">
        <v>485467000</v>
      </c>
      <c r="V26" s="194"/>
      <c r="W26" s="194"/>
      <c r="X26" s="196">
        <f t="shared" ref="X26:X58" si="4">SUM(T26:W26)</f>
        <v>485467000</v>
      </c>
      <c r="Y26" s="197">
        <f t="shared" ref="Y26:Y61" si="5">IFERROR(X26/S26,"-")</f>
        <v>0.98458627326509374</v>
      </c>
      <c r="Z26" s="198"/>
      <c r="AA26" s="29" t="s">
        <v>39</v>
      </c>
      <c r="AB26" s="29" t="s">
        <v>40</v>
      </c>
    </row>
    <row r="27" spans="1:28" ht="65.400000000000006" customHeight="1" x14ac:dyDescent="0.25">
      <c r="A27" s="24" t="s">
        <v>32</v>
      </c>
      <c r="B27" s="24" t="s">
        <v>68</v>
      </c>
      <c r="C27" s="24" t="s">
        <v>95</v>
      </c>
      <c r="D27" s="25" t="s">
        <v>96</v>
      </c>
      <c r="E27" s="23" t="s">
        <v>97</v>
      </c>
      <c r="F27" s="140">
        <v>20200680010109</v>
      </c>
      <c r="G27" s="119" t="s">
        <v>98</v>
      </c>
      <c r="H27" s="18" t="s">
        <v>99</v>
      </c>
      <c r="I27" s="19">
        <v>44259</v>
      </c>
      <c r="J27" s="19">
        <v>44561</v>
      </c>
      <c r="K27" s="30">
        <v>1</v>
      </c>
      <c r="L27" s="31">
        <v>0.4</v>
      </c>
      <c r="M27" s="28">
        <f t="shared" si="0"/>
        <v>0.4</v>
      </c>
      <c r="N27" s="103" t="s">
        <v>254</v>
      </c>
      <c r="O27" s="32">
        <f>2285714+5714286</f>
        <v>8000000</v>
      </c>
      <c r="P27" s="32">
        <v>98571428</v>
      </c>
      <c r="Q27" s="32"/>
      <c r="R27" s="32"/>
      <c r="S27" s="196">
        <f>SUM(O27:R27)</f>
        <v>106571428</v>
      </c>
      <c r="T27" s="32"/>
      <c r="U27" s="205">
        <v>88285714</v>
      </c>
      <c r="V27" s="205"/>
      <c r="W27" s="194"/>
      <c r="X27" s="196">
        <f t="shared" si="4"/>
        <v>88285714</v>
      </c>
      <c r="Y27" s="197">
        <f t="shared" si="5"/>
        <v>0.82841823232395839</v>
      </c>
      <c r="Z27" s="198"/>
      <c r="AA27" s="29" t="s">
        <v>39</v>
      </c>
      <c r="AB27" s="29" t="s">
        <v>40</v>
      </c>
    </row>
    <row r="28" spans="1:28" ht="64.2" customHeight="1" x14ac:dyDescent="0.25">
      <c r="A28" s="128" t="s">
        <v>32</v>
      </c>
      <c r="B28" s="128" t="s">
        <v>68</v>
      </c>
      <c r="C28" s="128" t="s">
        <v>95</v>
      </c>
      <c r="D28" s="162" t="s">
        <v>101</v>
      </c>
      <c r="E28" s="136" t="s">
        <v>102</v>
      </c>
      <c r="F28" s="141"/>
      <c r="G28" s="120"/>
      <c r="H28" s="18" t="s">
        <v>103</v>
      </c>
      <c r="I28" s="19">
        <v>44259</v>
      </c>
      <c r="J28" s="19">
        <v>44561</v>
      </c>
      <c r="K28" s="147">
        <v>1</v>
      </c>
      <c r="L28" s="138">
        <v>0.4</v>
      </c>
      <c r="M28" s="125">
        <f t="shared" si="0"/>
        <v>0.4</v>
      </c>
      <c r="N28" s="103" t="s">
        <v>100</v>
      </c>
      <c r="O28" s="32"/>
      <c r="P28" s="32">
        <v>51186365</v>
      </c>
      <c r="Q28" s="32"/>
      <c r="R28" s="32"/>
      <c r="S28" s="188">
        <f>SUM(O28:R29)</f>
        <v>71309524</v>
      </c>
      <c r="T28" s="32"/>
      <c r="U28" s="32">
        <v>32464286</v>
      </c>
      <c r="V28" s="194"/>
      <c r="W28" s="194"/>
      <c r="X28" s="188">
        <f>SUM(T28:W29)</f>
        <v>32464286</v>
      </c>
      <c r="Y28" s="189">
        <f>IFERROR(X28/S28,"-")</f>
        <v>0.45525876739830712</v>
      </c>
      <c r="Z28" s="190"/>
      <c r="AA28" s="112" t="s">
        <v>39</v>
      </c>
      <c r="AB28" s="112" t="s">
        <v>40</v>
      </c>
    </row>
    <row r="29" spans="1:28" ht="59.4" customHeight="1" x14ac:dyDescent="0.25">
      <c r="A29" s="129"/>
      <c r="B29" s="129"/>
      <c r="C29" s="129"/>
      <c r="D29" s="163"/>
      <c r="E29" s="137"/>
      <c r="F29" s="37"/>
      <c r="G29" s="23" t="s">
        <v>43</v>
      </c>
      <c r="H29" s="18"/>
      <c r="I29" s="19"/>
      <c r="J29" s="19"/>
      <c r="K29" s="148"/>
      <c r="L29" s="139"/>
      <c r="M29" s="126"/>
      <c r="N29" s="103" t="s">
        <v>242</v>
      </c>
      <c r="O29" s="32">
        <v>7130952</v>
      </c>
      <c r="P29" s="32">
        <f>242207+748641+12001359</f>
        <v>12992207</v>
      </c>
      <c r="Q29" s="32"/>
      <c r="R29" s="32"/>
      <c r="S29" s="191"/>
      <c r="T29" s="32"/>
      <c r="U29" s="205"/>
      <c r="V29" s="194"/>
      <c r="W29" s="194"/>
      <c r="X29" s="191"/>
      <c r="Y29" s="192"/>
      <c r="Z29" s="193"/>
      <c r="AA29" s="113"/>
      <c r="AB29" s="113"/>
    </row>
    <row r="30" spans="1:28" ht="138" customHeight="1" x14ac:dyDescent="0.25">
      <c r="A30" s="24" t="s">
        <v>32</v>
      </c>
      <c r="B30" s="24" t="s">
        <v>68</v>
      </c>
      <c r="C30" s="24" t="s">
        <v>104</v>
      </c>
      <c r="D30" s="25" t="s">
        <v>105</v>
      </c>
      <c r="E30" s="23" t="s">
        <v>106</v>
      </c>
      <c r="F30" s="117">
        <v>20200680010102</v>
      </c>
      <c r="G30" s="119" t="s">
        <v>107</v>
      </c>
      <c r="H30" s="18" t="s">
        <v>108</v>
      </c>
      <c r="I30" s="19">
        <v>44274</v>
      </c>
      <c r="J30" s="19">
        <v>44561</v>
      </c>
      <c r="K30" s="30">
        <v>1</v>
      </c>
      <c r="L30" s="31">
        <v>0.4</v>
      </c>
      <c r="M30" s="28">
        <f t="shared" si="0"/>
        <v>0.4</v>
      </c>
      <c r="N30" s="90" t="s">
        <v>248</v>
      </c>
      <c r="O30" s="32">
        <v>1450000</v>
      </c>
      <c r="P30" s="32">
        <v>113050000</v>
      </c>
      <c r="Q30" s="32"/>
      <c r="R30" s="32"/>
      <c r="S30" s="196">
        <f t="shared" ref="S30:S58" si="6">SUM(O30:R30)</f>
        <v>114500000</v>
      </c>
      <c r="T30" s="32"/>
      <c r="U30" s="32">
        <v>113050000</v>
      </c>
      <c r="V30" s="194"/>
      <c r="W30" s="194"/>
      <c r="X30" s="196">
        <f t="shared" si="4"/>
        <v>113050000</v>
      </c>
      <c r="Y30" s="197">
        <f t="shared" si="5"/>
        <v>0.98733624454148472</v>
      </c>
      <c r="Z30" s="198"/>
      <c r="AA30" s="29" t="s">
        <v>39</v>
      </c>
      <c r="AB30" s="29" t="s">
        <v>40</v>
      </c>
    </row>
    <row r="31" spans="1:28" ht="82.95" customHeight="1" x14ac:dyDescent="0.25">
      <c r="A31" s="24" t="s">
        <v>32</v>
      </c>
      <c r="B31" s="24" t="s">
        <v>68</v>
      </c>
      <c r="C31" s="24" t="s">
        <v>104</v>
      </c>
      <c r="D31" s="25" t="s">
        <v>110</v>
      </c>
      <c r="E31" s="23" t="s">
        <v>111</v>
      </c>
      <c r="F31" s="135"/>
      <c r="G31" s="134"/>
      <c r="H31" s="18" t="s">
        <v>112</v>
      </c>
      <c r="I31" s="19"/>
      <c r="J31" s="19"/>
      <c r="K31" s="30">
        <v>1</v>
      </c>
      <c r="L31" s="31">
        <v>0.4</v>
      </c>
      <c r="M31" s="28">
        <f t="shared" si="0"/>
        <v>0.4</v>
      </c>
      <c r="N31" s="90" t="s">
        <v>109</v>
      </c>
      <c r="O31" s="32"/>
      <c r="P31" s="32">
        <v>49000000</v>
      </c>
      <c r="Q31" s="32"/>
      <c r="R31" s="32"/>
      <c r="S31" s="196">
        <f t="shared" si="6"/>
        <v>49000000</v>
      </c>
      <c r="T31" s="32"/>
      <c r="U31" s="32">
        <v>49000000</v>
      </c>
      <c r="V31" s="194"/>
      <c r="W31" s="194"/>
      <c r="X31" s="196">
        <f t="shared" si="4"/>
        <v>49000000</v>
      </c>
      <c r="Y31" s="197">
        <f t="shared" si="5"/>
        <v>1</v>
      </c>
      <c r="Z31" s="198"/>
      <c r="AA31" s="29" t="s">
        <v>39</v>
      </c>
      <c r="AB31" s="29" t="s">
        <v>40</v>
      </c>
    </row>
    <row r="32" spans="1:28" ht="87" customHeight="1" x14ac:dyDescent="0.25">
      <c r="A32" s="24" t="s">
        <v>32</v>
      </c>
      <c r="B32" s="24" t="s">
        <v>68</v>
      </c>
      <c r="C32" s="24" t="s">
        <v>104</v>
      </c>
      <c r="D32" s="25" t="s">
        <v>113</v>
      </c>
      <c r="E32" s="23" t="s">
        <v>114</v>
      </c>
      <c r="F32" s="135"/>
      <c r="G32" s="134"/>
      <c r="H32" s="18" t="s">
        <v>115</v>
      </c>
      <c r="I32" s="19">
        <v>44274</v>
      </c>
      <c r="J32" s="19">
        <v>44561</v>
      </c>
      <c r="K32" s="30">
        <v>1</v>
      </c>
      <c r="L32" s="31">
        <v>0.4</v>
      </c>
      <c r="M32" s="28">
        <f t="shared" si="0"/>
        <v>0.4</v>
      </c>
      <c r="N32" s="90" t="s">
        <v>248</v>
      </c>
      <c r="O32" s="32">
        <v>4350000</v>
      </c>
      <c r="P32" s="32">
        <v>178200000</v>
      </c>
      <c r="Q32" s="32"/>
      <c r="R32" s="32"/>
      <c r="S32" s="196">
        <f t="shared" si="6"/>
        <v>182550000</v>
      </c>
      <c r="T32" s="32"/>
      <c r="U32" s="32">
        <v>178200000</v>
      </c>
      <c r="V32" s="194"/>
      <c r="W32" s="194"/>
      <c r="X32" s="196">
        <f t="shared" si="4"/>
        <v>178200000</v>
      </c>
      <c r="Y32" s="197">
        <f t="shared" si="5"/>
        <v>0.97617091207888251</v>
      </c>
      <c r="Z32" s="198"/>
      <c r="AA32" s="29" t="s">
        <v>39</v>
      </c>
      <c r="AB32" s="29" t="s">
        <v>40</v>
      </c>
    </row>
    <row r="33" spans="1:28" ht="74.400000000000006" customHeight="1" x14ac:dyDescent="0.25">
      <c r="A33" s="24" t="s">
        <v>32</v>
      </c>
      <c r="B33" s="24" t="s">
        <v>68</v>
      </c>
      <c r="C33" s="24" t="s">
        <v>104</v>
      </c>
      <c r="D33" s="25" t="s">
        <v>116</v>
      </c>
      <c r="E33" s="23" t="s">
        <v>117</v>
      </c>
      <c r="F33" s="135"/>
      <c r="G33" s="134"/>
      <c r="H33" s="18" t="s">
        <v>118</v>
      </c>
      <c r="I33" s="19">
        <v>44274</v>
      </c>
      <c r="J33" s="19">
        <v>44561</v>
      </c>
      <c r="K33" s="30">
        <v>1</v>
      </c>
      <c r="L33" s="31">
        <v>0.4</v>
      </c>
      <c r="M33" s="28">
        <f t="shared" si="0"/>
        <v>0.4</v>
      </c>
      <c r="N33" s="90" t="s">
        <v>248</v>
      </c>
      <c r="O33" s="32">
        <v>1450000</v>
      </c>
      <c r="P33" s="32">
        <v>13050000</v>
      </c>
      <c r="Q33" s="32"/>
      <c r="R33" s="32"/>
      <c r="S33" s="196">
        <f t="shared" si="6"/>
        <v>14500000</v>
      </c>
      <c r="T33" s="32"/>
      <c r="U33" s="32">
        <v>13050000</v>
      </c>
      <c r="V33" s="194"/>
      <c r="W33" s="194"/>
      <c r="X33" s="196">
        <f t="shared" si="4"/>
        <v>13050000</v>
      </c>
      <c r="Y33" s="197">
        <f t="shared" si="5"/>
        <v>0.9</v>
      </c>
      <c r="Z33" s="198"/>
      <c r="AA33" s="29" t="s">
        <v>39</v>
      </c>
      <c r="AB33" s="29" t="s">
        <v>40</v>
      </c>
    </row>
    <row r="34" spans="1:28" ht="91.95" customHeight="1" x14ac:dyDescent="0.25">
      <c r="A34" s="24" t="s">
        <v>32</v>
      </c>
      <c r="B34" s="24" t="s">
        <v>68</v>
      </c>
      <c r="C34" s="24" t="s">
        <v>104</v>
      </c>
      <c r="D34" s="25" t="s">
        <v>119</v>
      </c>
      <c r="E34" s="23" t="s">
        <v>120</v>
      </c>
      <c r="F34" s="118"/>
      <c r="G34" s="120"/>
      <c r="H34" s="18" t="s">
        <v>119</v>
      </c>
      <c r="I34" s="19">
        <v>44274</v>
      </c>
      <c r="J34" s="19">
        <v>44561</v>
      </c>
      <c r="K34" s="26">
        <v>1</v>
      </c>
      <c r="L34" s="38">
        <v>1</v>
      </c>
      <c r="M34" s="28">
        <f t="shared" si="0"/>
        <v>1</v>
      </c>
      <c r="N34" s="90" t="s">
        <v>248</v>
      </c>
      <c r="O34" s="32">
        <v>1450000</v>
      </c>
      <c r="P34" s="32">
        <v>59050000</v>
      </c>
      <c r="Q34" s="32"/>
      <c r="R34" s="32"/>
      <c r="S34" s="196">
        <f t="shared" si="6"/>
        <v>60500000</v>
      </c>
      <c r="T34" s="32"/>
      <c r="U34" s="32">
        <v>59000000</v>
      </c>
      <c r="V34" s="194"/>
      <c r="W34" s="194"/>
      <c r="X34" s="196">
        <f t="shared" si="4"/>
        <v>59000000</v>
      </c>
      <c r="Y34" s="197">
        <f t="shared" si="5"/>
        <v>0.97520661157024791</v>
      </c>
      <c r="Z34" s="198"/>
      <c r="AA34" s="29" t="s">
        <v>39</v>
      </c>
      <c r="AB34" s="29" t="s">
        <v>40</v>
      </c>
    </row>
    <row r="35" spans="1:28" ht="106.8" customHeight="1" x14ac:dyDescent="0.25">
      <c r="A35" s="24" t="s">
        <v>32</v>
      </c>
      <c r="B35" s="24" t="s">
        <v>68</v>
      </c>
      <c r="C35" s="24" t="s">
        <v>121</v>
      </c>
      <c r="D35" s="25" t="s">
        <v>122</v>
      </c>
      <c r="E35" s="23" t="s">
        <v>123</v>
      </c>
      <c r="F35" s="43">
        <v>20210680010044</v>
      </c>
      <c r="G35" s="17" t="s">
        <v>260</v>
      </c>
      <c r="H35" s="18" t="s">
        <v>124</v>
      </c>
      <c r="I35" s="19"/>
      <c r="J35" s="19"/>
      <c r="K35" s="30">
        <v>1</v>
      </c>
      <c r="L35" s="35">
        <v>0</v>
      </c>
      <c r="M35" s="28">
        <f t="shared" si="0"/>
        <v>0</v>
      </c>
      <c r="N35" s="90" t="s">
        <v>243</v>
      </c>
      <c r="O35" s="32">
        <v>590000000</v>
      </c>
      <c r="P35" s="32">
        <v>550000000</v>
      </c>
      <c r="Q35" s="32"/>
      <c r="R35" s="32"/>
      <c r="S35" s="196">
        <f t="shared" si="6"/>
        <v>1140000000</v>
      </c>
      <c r="T35" s="32"/>
      <c r="U35" s="194"/>
      <c r="V35" s="194"/>
      <c r="W35" s="194"/>
      <c r="X35" s="196">
        <f t="shared" si="4"/>
        <v>0</v>
      </c>
      <c r="Y35" s="197">
        <f t="shared" si="5"/>
        <v>0</v>
      </c>
      <c r="Z35" s="198"/>
      <c r="AA35" s="29" t="s">
        <v>39</v>
      </c>
      <c r="AB35" s="29" t="s">
        <v>40</v>
      </c>
    </row>
    <row r="36" spans="1:28" ht="95.4" customHeight="1" x14ac:dyDescent="0.25">
      <c r="A36" s="24" t="s">
        <v>32</v>
      </c>
      <c r="B36" s="24" t="s">
        <v>68</v>
      </c>
      <c r="C36" s="24" t="s">
        <v>121</v>
      </c>
      <c r="D36" s="25" t="s">
        <v>125</v>
      </c>
      <c r="E36" s="23" t="s">
        <v>126</v>
      </c>
      <c r="F36" s="117">
        <v>2020680010091</v>
      </c>
      <c r="G36" s="119" t="s">
        <v>127</v>
      </c>
      <c r="H36" s="181" t="s">
        <v>128</v>
      </c>
      <c r="I36" s="19">
        <v>44259</v>
      </c>
      <c r="J36" s="19">
        <v>44561</v>
      </c>
      <c r="K36" s="30">
        <v>1</v>
      </c>
      <c r="L36" s="31">
        <v>1</v>
      </c>
      <c r="M36" s="28">
        <f t="shared" si="0"/>
        <v>1</v>
      </c>
      <c r="N36" s="90" t="s">
        <v>109</v>
      </c>
      <c r="O36" s="32"/>
      <c r="P36" s="32">
        <v>320000000</v>
      </c>
      <c r="Q36" s="32"/>
      <c r="R36" s="32"/>
      <c r="S36" s="196">
        <f t="shared" si="6"/>
        <v>320000000</v>
      </c>
      <c r="T36" s="32"/>
      <c r="U36" s="32">
        <v>300000000</v>
      </c>
      <c r="V36" s="194"/>
      <c r="W36" s="194"/>
      <c r="X36" s="196">
        <f t="shared" si="4"/>
        <v>300000000</v>
      </c>
      <c r="Y36" s="197">
        <f t="shared" si="5"/>
        <v>0.9375</v>
      </c>
      <c r="Z36" s="198"/>
      <c r="AA36" s="29" t="s">
        <v>39</v>
      </c>
      <c r="AB36" s="29" t="s">
        <v>40</v>
      </c>
    </row>
    <row r="37" spans="1:28" ht="84.6" customHeight="1" x14ac:dyDescent="0.25">
      <c r="A37" s="24" t="s">
        <v>32</v>
      </c>
      <c r="B37" s="24" t="s">
        <v>68</v>
      </c>
      <c r="C37" s="24" t="s">
        <v>121</v>
      </c>
      <c r="D37" s="25" t="s">
        <v>129</v>
      </c>
      <c r="E37" s="23" t="s">
        <v>130</v>
      </c>
      <c r="F37" s="135"/>
      <c r="G37" s="134"/>
      <c r="H37" s="182"/>
      <c r="I37" s="19">
        <v>44259</v>
      </c>
      <c r="J37" s="19">
        <v>44561</v>
      </c>
      <c r="K37" s="26">
        <v>1</v>
      </c>
      <c r="L37" s="27">
        <v>0.41</v>
      </c>
      <c r="M37" s="28">
        <f t="shared" si="0"/>
        <v>0.41</v>
      </c>
      <c r="N37" s="90" t="s">
        <v>248</v>
      </c>
      <c r="O37" s="32">
        <v>6400000</v>
      </c>
      <c r="P37" s="32">
        <v>96800000</v>
      </c>
      <c r="Q37" s="32"/>
      <c r="R37" s="32"/>
      <c r="S37" s="196">
        <f t="shared" si="6"/>
        <v>103200000</v>
      </c>
      <c r="T37" s="32"/>
      <c r="U37" s="32">
        <v>96800000</v>
      </c>
      <c r="V37" s="194"/>
      <c r="W37" s="194"/>
      <c r="X37" s="196">
        <f t="shared" si="4"/>
        <v>96800000</v>
      </c>
      <c r="Y37" s="197">
        <f t="shared" si="5"/>
        <v>0.93798449612403101</v>
      </c>
      <c r="Z37" s="198"/>
      <c r="AA37" s="29" t="s">
        <v>39</v>
      </c>
      <c r="AB37" s="29" t="s">
        <v>40</v>
      </c>
    </row>
    <row r="38" spans="1:28" ht="69" customHeight="1" x14ac:dyDescent="0.25">
      <c r="A38" s="24" t="s">
        <v>32</v>
      </c>
      <c r="B38" s="24" t="s">
        <v>68</v>
      </c>
      <c r="C38" s="24" t="s">
        <v>121</v>
      </c>
      <c r="D38" s="25" t="s">
        <v>131</v>
      </c>
      <c r="E38" s="23" t="s">
        <v>132</v>
      </c>
      <c r="F38" s="135"/>
      <c r="G38" s="134"/>
      <c r="H38" s="182"/>
      <c r="I38" s="19">
        <v>44259</v>
      </c>
      <c r="J38" s="19">
        <v>44561</v>
      </c>
      <c r="K38" s="30">
        <v>1</v>
      </c>
      <c r="L38" s="35">
        <v>1</v>
      </c>
      <c r="M38" s="28">
        <f t="shared" si="0"/>
        <v>1</v>
      </c>
      <c r="N38" s="90" t="s">
        <v>248</v>
      </c>
      <c r="O38" s="32">
        <v>5666668</v>
      </c>
      <c r="P38" s="32">
        <v>120100000</v>
      </c>
      <c r="Q38" s="32"/>
      <c r="R38" s="32"/>
      <c r="S38" s="196">
        <f t="shared" si="6"/>
        <v>125766668</v>
      </c>
      <c r="T38" s="32"/>
      <c r="U38" s="32">
        <f>96100000</f>
        <v>96100000</v>
      </c>
      <c r="V38" s="194"/>
      <c r="W38" s="194"/>
      <c r="X38" s="196">
        <f t="shared" si="4"/>
        <v>96100000</v>
      </c>
      <c r="Y38" s="197">
        <f t="shared" si="5"/>
        <v>0.76411342948196737</v>
      </c>
      <c r="Z38" s="198"/>
      <c r="AA38" s="29" t="s">
        <v>39</v>
      </c>
      <c r="AB38" s="29" t="s">
        <v>40</v>
      </c>
    </row>
    <row r="39" spans="1:28" ht="79.2" customHeight="1" x14ac:dyDescent="0.25">
      <c r="A39" s="24" t="s">
        <v>32</v>
      </c>
      <c r="B39" s="24" t="s">
        <v>68</v>
      </c>
      <c r="C39" s="24" t="s">
        <v>121</v>
      </c>
      <c r="D39" s="39" t="s">
        <v>133</v>
      </c>
      <c r="E39" s="23" t="s">
        <v>134</v>
      </c>
      <c r="F39" s="135"/>
      <c r="G39" s="134"/>
      <c r="H39" s="182"/>
      <c r="I39" s="19">
        <v>44259</v>
      </c>
      <c r="J39" s="19">
        <v>44561</v>
      </c>
      <c r="K39" s="30">
        <v>5</v>
      </c>
      <c r="L39" s="35">
        <v>5</v>
      </c>
      <c r="M39" s="28">
        <f t="shared" si="0"/>
        <v>1</v>
      </c>
      <c r="N39" s="90" t="s">
        <v>248</v>
      </c>
      <c r="O39" s="32">
        <v>1416666</v>
      </c>
      <c r="P39" s="32">
        <v>12750000</v>
      </c>
      <c r="Q39" s="32"/>
      <c r="R39" s="32"/>
      <c r="S39" s="196">
        <f t="shared" si="6"/>
        <v>14166666</v>
      </c>
      <c r="T39" s="32"/>
      <c r="U39" s="32">
        <v>12750000</v>
      </c>
      <c r="V39" s="40"/>
      <c r="W39" s="40"/>
      <c r="X39" s="196">
        <f t="shared" si="4"/>
        <v>12750000</v>
      </c>
      <c r="Y39" s="197">
        <f t="shared" si="5"/>
        <v>0.90000004235294317</v>
      </c>
      <c r="Z39" s="198"/>
      <c r="AA39" s="29" t="s">
        <v>39</v>
      </c>
      <c r="AB39" s="29" t="s">
        <v>40</v>
      </c>
    </row>
    <row r="40" spans="1:28" ht="80.400000000000006" customHeight="1" x14ac:dyDescent="0.25">
      <c r="A40" s="24" t="s">
        <v>32</v>
      </c>
      <c r="B40" s="24" t="s">
        <v>68</v>
      </c>
      <c r="C40" s="24" t="s">
        <v>121</v>
      </c>
      <c r="D40" s="41" t="s">
        <v>135</v>
      </c>
      <c r="E40" s="42" t="s">
        <v>136</v>
      </c>
      <c r="F40" s="135"/>
      <c r="G40" s="134"/>
      <c r="H40" s="182"/>
      <c r="I40" s="19">
        <v>44251</v>
      </c>
      <c r="J40" s="19">
        <v>44561</v>
      </c>
      <c r="K40" s="30">
        <v>1</v>
      </c>
      <c r="L40" s="35">
        <v>1</v>
      </c>
      <c r="M40" s="28">
        <f t="shared" si="0"/>
        <v>1</v>
      </c>
      <c r="N40" s="90" t="s">
        <v>249</v>
      </c>
      <c r="O40" s="32">
        <v>1513475</v>
      </c>
      <c r="P40" s="32">
        <f>126000000+2486525</f>
        <v>128486525</v>
      </c>
      <c r="Q40" s="32"/>
      <c r="R40" s="32"/>
      <c r="S40" s="196">
        <f t="shared" si="6"/>
        <v>130000000</v>
      </c>
      <c r="T40" s="32"/>
      <c r="U40" s="32">
        <v>126000000</v>
      </c>
      <c r="V40" s="40"/>
      <c r="W40" s="40"/>
      <c r="X40" s="196">
        <f t="shared" si="4"/>
        <v>126000000</v>
      </c>
      <c r="Y40" s="197">
        <f t="shared" si="5"/>
        <v>0.96923076923076923</v>
      </c>
      <c r="Z40" s="198"/>
      <c r="AA40" s="29" t="s">
        <v>39</v>
      </c>
      <c r="AB40" s="29" t="s">
        <v>40</v>
      </c>
    </row>
    <row r="41" spans="1:28" ht="148.19999999999999" customHeight="1" x14ac:dyDescent="0.25">
      <c r="A41" s="24" t="s">
        <v>32</v>
      </c>
      <c r="B41" s="24" t="s">
        <v>68</v>
      </c>
      <c r="C41" s="24" t="s">
        <v>121</v>
      </c>
      <c r="D41" s="41" t="s">
        <v>137</v>
      </c>
      <c r="E41" s="42" t="s">
        <v>138</v>
      </c>
      <c r="F41" s="135"/>
      <c r="G41" s="134"/>
      <c r="H41" s="182"/>
      <c r="I41" s="19"/>
      <c r="J41" s="19"/>
      <c r="K41" s="30">
        <v>1</v>
      </c>
      <c r="L41" s="35">
        <v>0.4</v>
      </c>
      <c r="M41" s="28">
        <f t="shared" si="0"/>
        <v>0.4</v>
      </c>
      <c r="N41" s="90" t="s">
        <v>109</v>
      </c>
      <c r="O41" s="32"/>
      <c r="P41" s="32">
        <v>39200000</v>
      </c>
      <c r="Q41" s="32"/>
      <c r="R41" s="32"/>
      <c r="S41" s="196">
        <f t="shared" si="6"/>
        <v>39200000</v>
      </c>
      <c r="T41" s="32"/>
      <c r="U41" s="32">
        <v>39200000</v>
      </c>
      <c r="V41" s="40"/>
      <c r="W41" s="40"/>
      <c r="X41" s="196">
        <f t="shared" si="4"/>
        <v>39200000</v>
      </c>
      <c r="Y41" s="197">
        <f t="shared" si="5"/>
        <v>1</v>
      </c>
      <c r="Z41" s="198"/>
      <c r="AA41" s="29" t="s">
        <v>39</v>
      </c>
      <c r="AB41" s="29" t="s">
        <v>40</v>
      </c>
    </row>
    <row r="42" spans="1:28" ht="90.6" customHeight="1" x14ac:dyDescent="0.25">
      <c r="A42" s="24" t="s">
        <v>32</v>
      </c>
      <c r="B42" s="24" t="s">
        <v>68</v>
      </c>
      <c r="C42" s="24" t="s">
        <v>121</v>
      </c>
      <c r="D42" s="41" t="s">
        <v>139</v>
      </c>
      <c r="E42" s="42" t="s">
        <v>140</v>
      </c>
      <c r="F42" s="118"/>
      <c r="G42" s="120"/>
      <c r="H42" s="183"/>
      <c r="I42" s="19">
        <v>44259</v>
      </c>
      <c r="J42" s="19">
        <v>44561</v>
      </c>
      <c r="K42" s="30">
        <v>1</v>
      </c>
      <c r="L42" s="31">
        <v>0.4</v>
      </c>
      <c r="M42" s="28">
        <f t="shared" si="0"/>
        <v>0.4</v>
      </c>
      <c r="N42" s="90" t="s">
        <v>248</v>
      </c>
      <c r="O42" s="32">
        <v>1600000</v>
      </c>
      <c r="P42" s="32">
        <v>34000000</v>
      </c>
      <c r="Q42" s="32"/>
      <c r="R42" s="32"/>
      <c r="S42" s="196">
        <f t="shared" si="6"/>
        <v>35600000</v>
      </c>
      <c r="T42" s="32"/>
      <c r="U42" s="32">
        <v>34000000</v>
      </c>
      <c r="V42" s="40"/>
      <c r="W42" s="40"/>
      <c r="X42" s="196">
        <f t="shared" si="4"/>
        <v>34000000</v>
      </c>
      <c r="Y42" s="197">
        <f t="shared" si="5"/>
        <v>0.9550561797752809</v>
      </c>
      <c r="Z42" s="198"/>
      <c r="AA42" s="29" t="s">
        <v>39</v>
      </c>
      <c r="AB42" s="29" t="s">
        <v>40</v>
      </c>
    </row>
    <row r="43" spans="1:28" ht="56.4" customHeight="1" x14ac:dyDescent="0.25">
      <c r="A43" s="24" t="s">
        <v>32</v>
      </c>
      <c r="B43" s="24" t="s">
        <v>68</v>
      </c>
      <c r="C43" s="24" t="s">
        <v>141</v>
      </c>
      <c r="D43" s="41" t="s">
        <v>142</v>
      </c>
      <c r="E43" s="42" t="s">
        <v>143</v>
      </c>
      <c r="F43" s="108"/>
      <c r="G43" s="109"/>
      <c r="H43" s="18"/>
      <c r="I43" s="19"/>
      <c r="J43" s="19"/>
      <c r="K43" s="30">
        <v>0</v>
      </c>
      <c r="L43" s="35"/>
      <c r="M43" s="28" t="str">
        <f t="shared" si="0"/>
        <v>-</v>
      </c>
      <c r="N43" s="90"/>
      <c r="O43" s="32"/>
      <c r="P43" s="32"/>
      <c r="Q43" s="32"/>
      <c r="R43" s="32"/>
      <c r="S43" s="196">
        <f t="shared" si="6"/>
        <v>0</v>
      </c>
      <c r="T43" s="32"/>
      <c r="U43" s="32"/>
      <c r="V43" s="40"/>
      <c r="W43" s="40"/>
      <c r="X43" s="196">
        <f t="shared" si="4"/>
        <v>0</v>
      </c>
      <c r="Y43" s="197" t="str">
        <f t="shared" si="5"/>
        <v>-</v>
      </c>
      <c r="Z43" s="198"/>
      <c r="AA43" s="29" t="s">
        <v>39</v>
      </c>
      <c r="AB43" s="29" t="s">
        <v>40</v>
      </c>
    </row>
    <row r="44" spans="1:28" ht="60" customHeight="1" x14ac:dyDescent="0.25">
      <c r="A44" s="128" t="s">
        <v>32</v>
      </c>
      <c r="B44" s="128" t="s">
        <v>68</v>
      </c>
      <c r="C44" s="128" t="s">
        <v>141</v>
      </c>
      <c r="D44" s="145" t="s">
        <v>145</v>
      </c>
      <c r="E44" s="130" t="s">
        <v>146</v>
      </c>
      <c r="F44" s="22"/>
      <c r="G44" s="100" t="s">
        <v>43</v>
      </c>
      <c r="H44" s="18"/>
      <c r="I44" s="19"/>
      <c r="J44" s="19"/>
      <c r="K44" s="147">
        <v>32000</v>
      </c>
      <c r="L44" s="142">
        <f>7559+489</f>
        <v>8048</v>
      </c>
      <c r="M44" s="125">
        <f>IFERROR(IF(L44/K44&gt;100%,100%,L44/K44),"-")</f>
        <v>0.2515</v>
      </c>
      <c r="N44" s="90" t="s">
        <v>274</v>
      </c>
      <c r="O44" s="32">
        <f>42141817.94</f>
        <v>42141817.939999998</v>
      </c>
      <c r="P44" s="32">
        <v>77813000</v>
      </c>
      <c r="Q44" s="32"/>
      <c r="R44" s="32"/>
      <c r="S44" s="188">
        <f>SUM(O44:R45)</f>
        <v>326254817.94</v>
      </c>
      <c r="T44" s="205"/>
      <c r="U44" s="32"/>
      <c r="V44" s="40"/>
      <c r="W44" s="40"/>
      <c r="X44" s="188">
        <f>SUM(T44:W45)</f>
        <v>201400000</v>
      </c>
      <c r="Y44" s="189">
        <f>IFERROR(X44/S44,"-")</f>
        <v>0.61730889147218215</v>
      </c>
      <c r="Z44" s="190"/>
      <c r="AA44" s="112" t="s">
        <v>39</v>
      </c>
      <c r="AB44" s="112" t="s">
        <v>40</v>
      </c>
    </row>
    <row r="45" spans="1:28" ht="117.6" customHeight="1" x14ac:dyDescent="0.25">
      <c r="A45" s="129"/>
      <c r="B45" s="129"/>
      <c r="C45" s="129"/>
      <c r="D45" s="146"/>
      <c r="E45" s="131"/>
      <c r="F45" s="117">
        <v>2020680010138</v>
      </c>
      <c r="G45" s="119" t="s">
        <v>144</v>
      </c>
      <c r="H45" s="18" t="s">
        <v>147</v>
      </c>
      <c r="I45" s="19">
        <v>44238</v>
      </c>
      <c r="J45" s="19">
        <v>44561</v>
      </c>
      <c r="K45" s="148"/>
      <c r="L45" s="144"/>
      <c r="M45" s="126"/>
      <c r="N45" s="90" t="s">
        <v>270</v>
      </c>
      <c r="O45" s="32">
        <f>49500000+90000000</f>
        <v>139500000</v>
      </c>
      <c r="P45" s="32">
        <v>66800000</v>
      </c>
      <c r="Q45" s="32"/>
      <c r="R45" s="32"/>
      <c r="S45" s="191"/>
      <c r="T45" s="205">
        <v>134600000</v>
      </c>
      <c r="U45" s="32">
        <v>66800000</v>
      </c>
      <c r="V45" s="40"/>
      <c r="W45" s="40"/>
      <c r="X45" s="191"/>
      <c r="Y45" s="192"/>
      <c r="Z45" s="193"/>
      <c r="AA45" s="113"/>
      <c r="AB45" s="113"/>
    </row>
    <row r="46" spans="1:28" ht="78.599999999999994" customHeight="1" x14ac:dyDescent="0.25">
      <c r="A46" s="128" t="s">
        <v>32</v>
      </c>
      <c r="B46" s="128" t="s">
        <v>68</v>
      </c>
      <c r="C46" s="128" t="s">
        <v>141</v>
      </c>
      <c r="D46" s="145" t="s">
        <v>148</v>
      </c>
      <c r="E46" s="130" t="s">
        <v>149</v>
      </c>
      <c r="F46" s="118"/>
      <c r="G46" s="120"/>
      <c r="H46" s="18" t="s">
        <v>150</v>
      </c>
      <c r="I46" s="19">
        <v>44250</v>
      </c>
      <c r="J46" s="19">
        <v>44561</v>
      </c>
      <c r="K46" s="147">
        <v>5000</v>
      </c>
      <c r="L46" s="142">
        <f>928+239</f>
        <v>1167</v>
      </c>
      <c r="M46" s="125">
        <f t="shared" si="0"/>
        <v>0.2334</v>
      </c>
      <c r="N46" s="90" t="s">
        <v>271</v>
      </c>
      <c r="O46" s="32">
        <v>263550000</v>
      </c>
      <c r="P46" s="32"/>
      <c r="Q46" s="32"/>
      <c r="R46" s="32"/>
      <c r="S46" s="188">
        <f>SUM(O46:R47)</f>
        <v>333750984.34000003</v>
      </c>
      <c r="T46" s="205">
        <v>127300000</v>
      </c>
      <c r="U46" s="32"/>
      <c r="V46" s="40"/>
      <c r="W46" s="40"/>
      <c r="X46" s="188">
        <f>SUM(T46:W47)</f>
        <v>127300000</v>
      </c>
      <c r="Y46" s="189">
        <f>IFERROR(X46/S46,"-")</f>
        <v>0.38142209603288085</v>
      </c>
      <c r="Z46" s="190"/>
      <c r="AA46" s="112" t="s">
        <v>39</v>
      </c>
      <c r="AB46" s="112" t="s">
        <v>40</v>
      </c>
    </row>
    <row r="47" spans="1:28" ht="42" customHeight="1" x14ac:dyDescent="0.25">
      <c r="A47" s="129"/>
      <c r="B47" s="129"/>
      <c r="C47" s="129"/>
      <c r="D47" s="146"/>
      <c r="E47" s="131"/>
      <c r="F47" s="97"/>
      <c r="G47" s="101" t="s">
        <v>43</v>
      </c>
      <c r="H47" s="18"/>
      <c r="I47" s="19"/>
      <c r="J47" s="19"/>
      <c r="K47" s="148"/>
      <c r="L47" s="144"/>
      <c r="M47" s="126"/>
      <c r="N47" s="90" t="s">
        <v>275</v>
      </c>
      <c r="O47" s="32">
        <f>27050000.81+43150983.53</f>
        <v>70200984.340000004</v>
      </c>
      <c r="P47" s="32"/>
      <c r="Q47" s="32"/>
      <c r="R47" s="32"/>
      <c r="S47" s="191"/>
      <c r="T47" s="205"/>
      <c r="U47" s="32"/>
      <c r="V47" s="40"/>
      <c r="W47" s="40"/>
      <c r="X47" s="191"/>
      <c r="Y47" s="192"/>
      <c r="Z47" s="193"/>
      <c r="AA47" s="113"/>
      <c r="AB47" s="113"/>
    </row>
    <row r="48" spans="1:28" ht="84.6" customHeight="1" x14ac:dyDescent="0.25">
      <c r="A48" s="24" t="s">
        <v>32</v>
      </c>
      <c r="B48" s="24" t="s">
        <v>68</v>
      </c>
      <c r="C48" s="24" t="s">
        <v>141</v>
      </c>
      <c r="D48" s="41" t="s">
        <v>151</v>
      </c>
      <c r="E48" s="42" t="s">
        <v>152</v>
      </c>
      <c r="F48" s="117">
        <v>2020680010138</v>
      </c>
      <c r="G48" s="119" t="s">
        <v>144</v>
      </c>
      <c r="H48" s="18" t="s">
        <v>153</v>
      </c>
      <c r="I48" s="19">
        <v>44241</v>
      </c>
      <c r="J48" s="19">
        <v>44561</v>
      </c>
      <c r="K48" s="30">
        <v>12000</v>
      </c>
      <c r="L48" s="35">
        <v>1756</v>
      </c>
      <c r="M48" s="28">
        <f t="shared" si="0"/>
        <v>0.14633333333333334</v>
      </c>
      <c r="N48" s="90" t="s">
        <v>154</v>
      </c>
      <c r="O48" s="32"/>
      <c r="P48" s="32">
        <f>141300000+87300000</f>
        <v>228600000</v>
      </c>
      <c r="Q48" s="32"/>
      <c r="R48" s="32"/>
      <c r="S48" s="196">
        <f>SUM(O48:R48)</f>
        <v>228600000</v>
      </c>
      <c r="T48" s="32"/>
      <c r="U48" s="32">
        <v>138510000</v>
      </c>
      <c r="V48" s="40"/>
      <c r="W48" s="40"/>
      <c r="X48" s="196">
        <f t="shared" si="4"/>
        <v>138510000</v>
      </c>
      <c r="Y48" s="197">
        <f t="shared" si="5"/>
        <v>0.60590551181102359</v>
      </c>
      <c r="Z48" s="198"/>
      <c r="AA48" s="29" t="s">
        <v>39</v>
      </c>
      <c r="AB48" s="29" t="s">
        <v>40</v>
      </c>
    </row>
    <row r="49" spans="1:28" ht="96" customHeight="1" x14ac:dyDescent="0.25">
      <c r="A49" s="128" t="s">
        <v>32</v>
      </c>
      <c r="B49" s="128" t="s">
        <v>68</v>
      </c>
      <c r="C49" s="128" t="s">
        <v>141</v>
      </c>
      <c r="D49" s="145" t="s">
        <v>155</v>
      </c>
      <c r="E49" s="130" t="s">
        <v>156</v>
      </c>
      <c r="F49" s="118"/>
      <c r="G49" s="120"/>
      <c r="H49" s="18" t="s">
        <v>157</v>
      </c>
      <c r="I49" s="19">
        <v>44231</v>
      </c>
      <c r="J49" s="19">
        <v>44561</v>
      </c>
      <c r="K49" s="147">
        <v>1</v>
      </c>
      <c r="L49" s="142">
        <v>1</v>
      </c>
      <c r="M49" s="125">
        <f t="shared" si="0"/>
        <v>1</v>
      </c>
      <c r="N49" s="90" t="s">
        <v>246</v>
      </c>
      <c r="O49" s="32"/>
      <c r="P49" s="32">
        <f>48700000+87300000</f>
        <v>136000000</v>
      </c>
      <c r="Q49" s="32"/>
      <c r="R49" s="32"/>
      <c r="S49" s="188">
        <f>SUM(O49:R50)</f>
        <v>189558182</v>
      </c>
      <c r="T49" s="32"/>
      <c r="U49" s="32">
        <v>136000000</v>
      </c>
      <c r="V49" s="40"/>
      <c r="W49" s="40"/>
      <c r="X49" s="188">
        <f>SUM(T49:W50)</f>
        <v>136000000</v>
      </c>
      <c r="Y49" s="189">
        <f t="shared" si="5"/>
        <v>0.71745781988983204</v>
      </c>
      <c r="Z49" s="190"/>
      <c r="AA49" s="112" t="s">
        <v>39</v>
      </c>
      <c r="AB49" s="112" t="s">
        <v>40</v>
      </c>
    </row>
    <row r="50" spans="1:28" ht="33.6" customHeight="1" x14ac:dyDescent="0.25">
      <c r="A50" s="129"/>
      <c r="B50" s="129"/>
      <c r="C50" s="129"/>
      <c r="D50" s="146"/>
      <c r="E50" s="131"/>
      <c r="F50" s="98"/>
      <c r="G50" s="101" t="s">
        <v>43</v>
      </c>
      <c r="H50" s="18"/>
      <c r="I50" s="19"/>
      <c r="J50" s="19"/>
      <c r="K50" s="148"/>
      <c r="L50" s="144"/>
      <c r="M50" s="126"/>
      <c r="N50" s="107" t="s">
        <v>247</v>
      </c>
      <c r="O50" s="201">
        <v>53558182</v>
      </c>
      <c r="P50" s="201"/>
      <c r="Q50" s="32"/>
      <c r="R50" s="32"/>
      <c r="S50" s="191"/>
      <c r="T50" s="32"/>
      <c r="U50" s="32"/>
      <c r="V50" s="40"/>
      <c r="W50" s="40"/>
      <c r="X50" s="191"/>
      <c r="Y50" s="192"/>
      <c r="Z50" s="193"/>
      <c r="AA50" s="113"/>
      <c r="AB50" s="113"/>
    </row>
    <row r="51" spans="1:28" ht="72" customHeight="1" x14ac:dyDescent="0.25">
      <c r="A51" s="24" t="s">
        <v>32</v>
      </c>
      <c r="B51" s="24" t="s">
        <v>68</v>
      </c>
      <c r="C51" s="24" t="s">
        <v>141</v>
      </c>
      <c r="D51" s="41" t="s">
        <v>158</v>
      </c>
      <c r="E51" s="42" t="s">
        <v>159</v>
      </c>
      <c r="F51" s="33"/>
      <c r="G51" s="23" t="s">
        <v>63</v>
      </c>
      <c r="H51" s="18"/>
      <c r="I51" s="19"/>
      <c r="J51" s="19"/>
      <c r="K51" s="26">
        <v>1</v>
      </c>
      <c r="L51" s="27"/>
      <c r="M51" s="28">
        <f>IFERROR(IF(L51/K51&gt;100%,100%,L51/K51),"-")</f>
        <v>0</v>
      </c>
      <c r="N51" s="90"/>
      <c r="O51" s="32"/>
      <c r="P51" s="32"/>
      <c r="Q51" s="32"/>
      <c r="R51" s="32"/>
      <c r="S51" s="196">
        <f>SUM(O51:R51)</f>
        <v>0</v>
      </c>
      <c r="T51" s="32"/>
      <c r="U51" s="32"/>
      <c r="V51" s="40"/>
      <c r="W51" s="40"/>
      <c r="X51" s="196">
        <f t="shared" si="4"/>
        <v>0</v>
      </c>
      <c r="Y51" s="197" t="str">
        <f t="shared" si="5"/>
        <v>-</v>
      </c>
      <c r="Z51" s="198"/>
      <c r="AA51" s="29" t="s">
        <v>39</v>
      </c>
      <c r="AB51" s="29" t="s">
        <v>40</v>
      </c>
    </row>
    <row r="52" spans="1:28" ht="72" customHeight="1" x14ac:dyDescent="0.25">
      <c r="A52" s="24" t="s">
        <v>32</v>
      </c>
      <c r="B52" s="24" t="s">
        <v>68</v>
      </c>
      <c r="C52" s="24" t="s">
        <v>160</v>
      </c>
      <c r="D52" s="41" t="s">
        <v>161</v>
      </c>
      <c r="E52" s="42" t="s">
        <v>162</v>
      </c>
      <c r="F52" s="117">
        <v>2020680010103</v>
      </c>
      <c r="G52" s="119" t="s">
        <v>163</v>
      </c>
      <c r="H52" s="18" t="s">
        <v>164</v>
      </c>
      <c r="I52" s="19">
        <v>44228</v>
      </c>
      <c r="J52" s="19">
        <v>44561</v>
      </c>
      <c r="K52" s="30">
        <v>2</v>
      </c>
      <c r="L52" s="31">
        <v>1.5</v>
      </c>
      <c r="M52" s="28">
        <f t="shared" si="0"/>
        <v>0.75</v>
      </c>
      <c r="N52" s="90" t="s">
        <v>251</v>
      </c>
      <c r="O52" s="32">
        <v>23500000</v>
      </c>
      <c r="P52" s="32">
        <v>72000000</v>
      </c>
      <c r="Q52" s="32"/>
      <c r="R52" s="32"/>
      <c r="S52" s="196">
        <f>SUM(O52:R52)</f>
        <v>95500000</v>
      </c>
      <c r="T52" s="32"/>
      <c r="U52" s="32">
        <f>40500000+28000000</f>
        <v>68500000</v>
      </c>
      <c r="V52" s="40"/>
      <c r="W52" s="40"/>
      <c r="X52" s="196">
        <f t="shared" si="4"/>
        <v>68500000</v>
      </c>
      <c r="Y52" s="197">
        <f t="shared" si="5"/>
        <v>0.7172774869109948</v>
      </c>
      <c r="Z52" s="198"/>
      <c r="AA52" s="29" t="s">
        <v>39</v>
      </c>
      <c r="AB52" s="29" t="s">
        <v>40</v>
      </c>
    </row>
    <row r="53" spans="1:28" ht="59.4" customHeight="1" x14ac:dyDescent="0.25">
      <c r="A53" s="24" t="s">
        <v>32</v>
      </c>
      <c r="B53" s="24" t="s">
        <v>68</v>
      </c>
      <c r="C53" s="24" t="s">
        <v>160</v>
      </c>
      <c r="D53" s="41" t="s">
        <v>165</v>
      </c>
      <c r="E53" s="42" t="s">
        <v>166</v>
      </c>
      <c r="F53" s="118"/>
      <c r="G53" s="120"/>
      <c r="H53" s="18" t="s">
        <v>167</v>
      </c>
      <c r="I53" s="19">
        <v>44228</v>
      </c>
      <c r="J53" s="19">
        <v>44561</v>
      </c>
      <c r="K53" s="30">
        <v>1</v>
      </c>
      <c r="L53" s="35">
        <v>1</v>
      </c>
      <c r="M53" s="28">
        <f t="shared" si="0"/>
        <v>1</v>
      </c>
      <c r="N53" s="90" t="s">
        <v>250</v>
      </c>
      <c r="O53" s="32">
        <f>144000000+56000000</f>
        <v>200000000</v>
      </c>
      <c r="P53" s="32"/>
      <c r="Q53" s="32"/>
      <c r="R53" s="32"/>
      <c r="S53" s="196">
        <f>SUM(O53:R53)</f>
        <v>200000000</v>
      </c>
      <c r="T53" s="32">
        <v>144000000</v>
      </c>
      <c r="U53" s="32"/>
      <c r="V53" s="40"/>
      <c r="W53" s="40"/>
      <c r="X53" s="196">
        <f t="shared" si="4"/>
        <v>144000000</v>
      </c>
      <c r="Y53" s="197">
        <f t="shared" si="5"/>
        <v>0.72</v>
      </c>
      <c r="Z53" s="198"/>
      <c r="AA53" s="29" t="s">
        <v>39</v>
      </c>
      <c r="AB53" s="29" t="s">
        <v>40</v>
      </c>
    </row>
    <row r="54" spans="1:28" ht="94.2" customHeight="1" x14ac:dyDescent="0.25">
      <c r="A54" s="24" t="s">
        <v>32</v>
      </c>
      <c r="B54" s="24" t="s">
        <v>68</v>
      </c>
      <c r="C54" s="24" t="s">
        <v>168</v>
      </c>
      <c r="D54" s="41" t="s">
        <v>169</v>
      </c>
      <c r="E54" s="42" t="s">
        <v>170</v>
      </c>
      <c r="F54" s="43">
        <v>20200680010142</v>
      </c>
      <c r="G54" s="17" t="s">
        <v>171</v>
      </c>
      <c r="H54" s="18" t="s">
        <v>172</v>
      </c>
      <c r="I54" s="19"/>
      <c r="J54" s="19"/>
      <c r="K54" s="26">
        <v>1</v>
      </c>
      <c r="L54" s="27">
        <v>0.3</v>
      </c>
      <c r="M54" s="28">
        <f t="shared" si="0"/>
        <v>0.3</v>
      </c>
      <c r="N54" s="90" t="s">
        <v>256</v>
      </c>
      <c r="O54" s="32">
        <v>6400000</v>
      </c>
      <c r="P54" s="32">
        <v>57600000</v>
      </c>
      <c r="Q54" s="32"/>
      <c r="R54" s="32"/>
      <c r="S54" s="196">
        <f t="shared" si="6"/>
        <v>64000000</v>
      </c>
      <c r="T54" s="32"/>
      <c r="U54" s="32">
        <v>49750000</v>
      </c>
      <c r="V54" s="40"/>
      <c r="W54" s="40"/>
      <c r="X54" s="196">
        <f t="shared" si="4"/>
        <v>49750000</v>
      </c>
      <c r="Y54" s="197">
        <f t="shared" si="5"/>
        <v>0.77734375</v>
      </c>
      <c r="Z54" s="198"/>
      <c r="AA54" s="29" t="s">
        <v>39</v>
      </c>
      <c r="AB54" s="29" t="s">
        <v>40</v>
      </c>
    </row>
    <row r="55" spans="1:28" ht="91.2" customHeight="1" x14ac:dyDescent="0.25">
      <c r="A55" s="44" t="s">
        <v>32</v>
      </c>
      <c r="B55" s="44" t="s">
        <v>173</v>
      </c>
      <c r="C55" s="45" t="s">
        <v>174</v>
      </c>
      <c r="D55" s="46" t="s">
        <v>175</v>
      </c>
      <c r="E55" s="42" t="s">
        <v>176</v>
      </c>
      <c r="F55" s="47"/>
      <c r="G55" s="48" t="s">
        <v>43</v>
      </c>
      <c r="H55" s="49"/>
      <c r="I55" s="19"/>
      <c r="J55" s="19"/>
      <c r="K55" s="50">
        <v>1</v>
      </c>
      <c r="L55" s="51">
        <v>1</v>
      </c>
      <c r="M55" s="28">
        <f>IFERROR(IF(L55/K55&gt;100%,100%,L55/K55),"-")</f>
        <v>1</v>
      </c>
      <c r="N55" s="90"/>
      <c r="O55" s="32"/>
      <c r="P55" s="194"/>
      <c r="Q55" s="194"/>
      <c r="R55" s="194"/>
      <c r="S55" s="196">
        <f>SUM(O55:R55)</f>
        <v>0</v>
      </c>
      <c r="T55" s="32"/>
      <c r="U55" s="194"/>
      <c r="V55" s="194"/>
      <c r="W55" s="194"/>
      <c r="X55" s="196">
        <f>SUM(T55:W55)</f>
        <v>0</v>
      </c>
      <c r="Y55" s="197" t="str">
        <f>IFERROR(X55/S55,"-")</f>
        <v>-</v>
      </c>
      <c r="Z55" s="198"/>
      <c r="AA55" s="29" t="s">
        <v>39</v>
      </c>
      <c r="AB55" s="29" t="s">
        <v>40</v>
      </c>
    </row>
    <row r="56" spans="1:28" ht="76.95" customHeight="1" x14ac:dyDescent="0.25">
      <c r="A56" s="24" t="s">
        <v>177</v>
      </c>
      <c r="B56" s="24" t="s">
        <v>178</v>
      </c>
      <c r="C56" s="24" t="s">
        <v>179</v>
      </c>
      <c r="D56" s="41" t="s">
        <v>180</v>
      </c>
      <c r="E56" s="42" t="s">
        <v>181</v>
      </c>
      <c r="F56" s="117">
        <v>2020680010112</v>
      </c>
      <c r="G56" s="119" t="s">
        <v>182</v>
      </c>
      <c r="H56" s="18" t="s">
        <v>183</v>
      </c>
      <c r="I56" s="19">
        <v>44229</v>
      </c>
      <c r="J56" s="19">
        <v>44561</v>
      </c>
      <c r="K56" s="30">
        <v>1</v>
      </c>
      <c r="L56" s="31">
        <v>0.3</v>
      </c>
      <c r="M56" s="28">
        <f t="shared" si="0"/>
        <v>0.3</v>
      </c>
      <c r="N56" s="90" t="s">
        <v>184</v>
      </c>
      <c r="O56" s="32">
        <v>154000000</v>
      </c>
      <c r="P56" s="32"/>
      <c r="Q56" s="32"/>
      <c r="R56" s="32"/>
      <c r="S56" s="196">
        <f t="shared" si="6"/>
        <v>154000000</v>
      </c>
      <c r="T56" s="32">
        <v>154000000</v>
      </c>
      <c r="U56" s="32"/>
      <c r="V56" s="40"/>
      <c r="W56" s="40"/>
      <c r="X56" s="196">
        <f t="shared" si="4"/>
        <v>154000000</v>
      </c>
      <c r="Y56" s="197">
        <f t="shared" si="5"/>
        <v>1</v>
      </c>
      <c r="Z56" s="198"/>
      <c r="AA56" s="29" t="s">
        <v>39</v>
      </c>
      <c r="AB56" s="29" t="s">
        <v>40</v>
      </c>
    </row>
    <row r="57" spans="1:28" ht="86.4" customHeight="1" x14ac:dyDescent="0.25">
      <c r="A57" s="24" t="s">
        <v>177</v>
      </c>
      <c r="B57" s="24" t="s">
        <v>178</v>
      </c>
      <c r="C57" s="24" t="s">
        <v>179</v>
      </c>
      <c r="D57" s="41" t="s">
        <v>185</v>
      </c>
      <c r="E57" s="42" t="s">
        <v>186</v>
      </c>
      <c r="F57" s="135"/>
      <c r="G57" s="134"/>
      <c r="H57" s="18" t="s">
        <v>187</v>
      </c>
      <c r="I57" s="19">
        <v>44231</v>
      </c>
      <c r="J57" s="19">
        <v>44561</v>
      </c>
      <c r="K57" s="30">
        <v>1</v>
      </c>
      <c r="L57" s="31">
        <v>0.45</v>
      </c>
      <c r="M57" s="28">
        <f t="shared" si="0"/>
        <v>0.45</v>
      </c>
      <c r="N57" s="90" t="s">
        <v>188</v>
      </c>
      <c r="O57" s="32">
        <f>179100000+55244090+7643630</f>
        <v>241987720</v>
      </c>
      <c r="P57" s="32"/>
      <c r="Q57" s="32"/>
      <c r="R57" s="32"/>
      <c r="S57" s="196">
        <f t="shared" si="6"/>
        <v>241987720</v>
      </c>
      <c r="T57" s="32">
        <v>162200000</v>
      </c>
      <c r="U57" s="32"/>
      <c r="V57" s="40"/>
      <c r="W57" s="40"/>
      <c r="X57" s="196">
        <f t="shared" si="4"/>
        <v>162200000</v>
      </c>
      <c r="Y57" s="197">
        <f t="shared" si="5"/>
        <v>0.6702819465384442</v>
      </c>
      <c r="Z57" s="198"/>
      <c r="AA57" s="29" t="s">
        <v>39</v>
      </c>
      <c r="AB57" s="29" t="s">
        <v>40</v>
      </c>
    </row>
    <row r="58" spans="1:28" ht="130.19999999999999" customHeight="1" x14ac:dyDescent="0.25">
      <c r="A58" s="24" t="s">
        <v>177</v>
      </c>
      <c r="B58" s="24" t="s">
        <v>178</v>
      </c>
      <c r="C58" s="24" t="s">
        <v>179</v>
      </c>
      <c r="D58" s="41" t="s">
        <v>189</v>
      </c>
      <c r="E58" s="42" t="s">
        <v>190</v>
      </c>
      <c r="F58" s="135"/>
      <c r="G58" s="134"/>
      <c r="H58" s="18" t="s">
        <v>191</v>
      </c>
      <c r="I58" s="19">
        <v>44231</v>
      </c>
      <c r="J58" s="19">
        <v>44561</v>
      </c>
      <c r="K58" s="30">
        <v>1</v>
      </c>
      <c r="L58" s="31">
        <v>0.35</v>
      </c>
      <c r="M58" s="28">
        <f t="shared" si="0"/>
        <v>0.35</v>
      </c>
      <c r="N58" s="90" t="s">
        <v>184</v>
      </c>
      <c r="O58" s="32">
        <v>110000000</v>
      </c>
      <c r="P58" s="32"/>
      <c r="Q58" s="32"/>
      <c r="R58" s="32"/>
      <c r="S58" s="196">
        <f t="shared" si="6"/>
        <v>110000000</v>
      </c>
      <c r="T58" s="32">
        <v>105000000</v>
      </c>
      <c r="U58" s="32"/>
      <c r="V58" s="40"/>
      <c r="W58" s="40"/>
      <c r="X58" s="196">
        <f t="shared" si="4"/>
        <v>105000000</v>
      </c>
      <c r="Y58" s="197">
        <f t="shared" si="5"/>
        <v>0.95454545454545459</v>
      </c>
      <c r="Z58" s="198"/>
      <c r="AA58" s="29" t="s">
        <v>39</v>
      </c>
      <c r="AB58" s="29" t="s">
        <v>40</v>
      </c>
    </row>
    <row r="59" spans="1:28" ht="81" customHeight="1" x14ac:dyDescent="0.25">
      <c r="A59" s="128" t="s">
        <v>177</v>
      </c>
      <c r="B59" s="128" t="s">
        <v>178</v>
      </c>
      <c r="C59" s="128" t="s">
        <v>179</v>
      </c>
      <c r="D59" s="145" t="s">
        <v>192</v>
      </c>
      <c r="E59" s="130" t="s">
        <v>193</v>
      </c>
      <c r="F59" s="118"/>
      <c r="G59" s="120"/>
      <c r="H59" s="18" t="s">
        <v>194</v>
      </c>
      <c r="I59" s="19">
        <v>44232</v>
      </c>
      <c r="J59" s="19">
        <v>44561</v>
      </c>
      <c r="K59" s="147">
        <v>1</v>
      </c>
      <c r="L59" s="138">
        <v>0.18</v>
      </c>
      <c r="M59" s="125">
        <f t="shared" si="0"/>
        <v>0.18</v>
      </c>
      <c r="N59" s="90" t="s">
        <v>184</v>
      </c>
      <c r="O59" s="32">
        <v>103000000</v>
      </c>
      <c r="P59" s="32"/>
      <c r="Q59" s="32"/>
      <c r="R59" s="32"/>
      <c r="S59" s="188">
        <f>SUM(O59:R60)</f>
        <v>220907170.84999999</v>
      </c>
      <c r="T59" s="32">
        <v>67500000</v>
      </c>
      <c r="U59" s="32"/>
      <c r="V59" s="40"/>
      <c r="W59" s="40"/>
      <c r="X59" s="188">
        <f>SUM(T59:W60)</f>
        <v>67500000</v>
      </c>
      <c r="Y59" s="189">
        <f>IFERROR(X59/S59,"-")</f>
        <v>0.30555821135310152</v>
      </c>
      <c r="Z59" s="190"/>
      <c r="AA59" s="112" t="s">
        <v>39</v>
      </c>
      <c r="AB59" s="112" t="s">
        <v>40</v>
      </c>
    </row>
    <row r="60" spans="1:28" ht="31.2" customHeight="1" x14ac:dyDescent="0.25">
      <c r="A60" s="129"/>
      <c r="B60" s="129"/>
      <c r="C60" s="129"/>
      <c r="D60" s="146"/>
      <c r="E60" s="131"/>
      <c r="F60" s="52"/>
      <c r="G60" s="53"/>
      <c r="H60" s="18" t="s">
        <v>43</v>
      </c>
      <c r="I60" s="19"/>
      <c r="J60" s="19"/>
      <c r="K60" s="148"/>
      <c r="L60" s="139"/>
      <c r="M60" s="126"/>
      <c r="N60" s="90" t="s">
        <v>195</v>
      </c>
      <c r="O60" s="32">
        <f>855910+117051260.85</f>
        <v>117907170.84999999</v>
      </c>
      <c r="P60" s="32"/>
      <c r="Q60" s="32"/>
      <c r="R60" s="32"/>
      <c r="S60" s="191"/>
      <c r="T60" s="32"/>
      <c r="U60" s="32"/>
      <c r="V60" s="40"/>
      <c r="W60" s="40"/>
      <c r="X60" s="191"/>
      <c r="Y60" s="192"/>
      <c r="Z60" s="193"/>
      <c r="AA60" s="113"/>
      <c r="AB60" s="113"/>
    </row>
    <row r="61" spans="1:28" ht="119.4" customHeight="1" x14ac:dyDescent="0.25">
      <c r="A61" s="128" t="s">
        <v>177</v>
      </c>
      <c r="B61" s="128" t="s">
        <v>178</v>
      </c>
      <c r="C61" s="128" t="s">
        <v>196</v>
      </c>
      <c r="D61" s="145" t="s">
        <v>197</v>
      </c>
      <c r="E61" s="130" t="s">
        <v>198</v>
      </c>
      <c r="F61" s="54">
        <v>20210680010014</v>
      </c>
      <c r="G61" s="55" t="s">
        <v>199</v>
      </c>
      <c r="H61" s="56" t="s">
        <v>200</v>
      </c>
      <c r="I61" s="19"/>
      <c r="J61" s="19"/>
      <c r="K61" s="147">
        <v>1</v>
      </c>
      <c r="L61" s="138">
        <v>0.17</v>
      </c>
      <c r="M61" s="125">
        <f t="shared" si="0"/>
        <v>0.17</v>
      </c>
      <c r="N61" s="90" t="s">
        <v>201</v>
      </c>
      <c r="O61" s="32">
        <v>220815500</v>
      </c>
      <c r="P61" s="32"/>
      <c r="Q61" s="32"/>
      <c r="R61" s="32"/>
      <c r="S61" s="188">
        <f>SUM(O61:R62)</f>
        <v>221000000</v>
      </c>
      <c r="T61" s="32">
        <v>137966666</v>
      </c>
      <c r="U61" s="32"/>
      <c r="V61" s="40"/>
      <c r="W61" s="40"/>
      <c r="X61" s="188">
        <f>SUM(T61:W62)</f>
        <v>137966666</v>
      </c>
      <c r="Y61" s="189">
        <f t="shared" si="5"/>
        <v>0.62428355656108603</v>
      </c>
      <c r="Z61" s="190"/>
      <c r="AA61" s="112" t="s">
        <v>39</v>
      </c>
      <c r="AB61" s="112" t="s">
        <v>40</v>
      </c>
    </row>
    <row r="62" spans="1:28" ht="41.4" customHeight="1" x14ac:dyDescent="0.25">
      <c r="A62" s="129"/>
      <c r="B62" s="129"/>
      <c r="C62" s="129"/>
      <c r="D62" s="146"/>
      <c r="E62" s="131"/>
      <c r="F62" s="57"/>
      <c r="G62" s="23" t="s">
        <v>43</v>
      </c>
      <c r="H62" s="15" t="s">
        <v>43</v>
      </c>
      <c r="I62" s="19"/>
      <c r="J62" s="19"/>
      <c r="K62" s="148"/>
      <c r="L62" s="139"/>
      <c r="M62" s="126"/>
      <c r="N62" s="90"/>
      <c r="O62" s="32">
        <f>221000000-O61</f>
        <v>184500</v>
      </c>
      <c r="P62" s="32"/>
      <c r="Q62" s="32"/>
      <c r="R62" s="32"/>
      <c r="S62" s="191"/>
      <c r="T62" s="32"/>
      <c r="U62" s="58"/>
      <c r="V62" s="58"/>
      <c r="W62" s="58"/>
      <c r="X62" s="191"/>
      <c r="Y62" s="192"/>
      <c r="Z62" s="193"/>
      <c r="AA62" s="113"/>
      <c r="AB62" s="113"/>
    </row>
    <row r="63" spans="1:28" ht="124.2" customHeight="1" x14ac:dyDescent="0.25">
      <c r="A63" s="24" t="s">
        <v>177</v>
      </c>
      <c r="B63" s="24" t="s">
        <v>202</v>
      </c>
      <c r="C63" s="24" t="s">
        <v>203</v>
      </c>
      <c r="D63" s="41" t="s">
        <v>204</v>
      </c>
      <c r="E63" s="42" t="s">
        <v>205</v>
      </c>
      <c r="F63" s="117">
        <v>2021680010007</v>
      </c>
      <c r="G63" s="151" t="s">
        <v>206</v>
      </c>
      <c r="H63" s="154" t="s">
        <v>207</v>
      </c>
      <c r="I63" s="19"/>
      <c r="J63" s="19"/>
      <c r="K63" s="30">
        <v>1</v>
      </c>
      <c r="L63" s="31">
        <v>0.4</v>
      </c>
      <c r="M63" s="28">
        <f t="shared" si="0"/>
        <v>0.4</v>
      </c>
      <c r="N63" s="90" t="s">
        <v>208</v>
      </c>
      <c r="O63" s="32">
        <v>2428795496</v>
      </c>
      <c r="P63" s="32"/>
      <c r="Q63" s="32"/>
      <c r="R63" s="32"/>
      <c r="S63" s="196">
        <f>SUM(O63:R63)</f>
        <v>2428795496</v>
      </c>
      <c r="T63" s="32"/>
      <c r="U63" s="40"/>
      <c r="V63" s="40"/>
      <c r="W63" s="40"/>
      <c r="X63" s="196">
        <f>SUM(T63:W63)</f>
        <v>0</v>
      </c>
      <c r="Y63" s="197">
        <f t="shared" ref="Y63:Y72" si="7">IFERROR(X63/S63,"-")</f>
        <v>0</v>
      </c>
      <c r="Z63" s="198"/>
      <c r="AA63" s="29" t="s">
        <v>39</v>
      </c>
      <c r="AB63" s="29" t="s">
        <v>40</v>
      </c>
    </row>
    <row r="64" spans="1:28" ht="267.60000000000002" customHeight="1" x14ac:dyDescent="0.25">
      <c r="A64" s="24" t="s">
        <v>177</v>
      </c>
      <c r="B64" s="24" t="s">
        <v>202</v>
      </c>
      <c r="C64" s="24" t="s">
        <v>203</v>
      </c>
      <c r="D64" s="41" t="s">
        <v>209</v>
      </c>
      <c r="E64" s="42" t="s">
        <v>210</v>
      </c>
      <c r="F64" s="135"/>
      <c r="G64" s="152"/>
      <c r="H64" s="155"/>
      <c r="I64" s="19">
        <v>44229</v>
      </c>
      <c r="J64" s="19">
        <v>44561</v>
      </c>
      <c r="K64" s="30">
        <v>1</v>
      </c>
      <c r="L64" s="31">
        <v>0.3</v>
      </c>
      <c r="M64" s="28">
        <f t="shared" si="0"/>
        <v>0.3</v>
      </c>
      <c r="N64" s="90" t="s">
        <v>267</v>
      </c>
      <c r="O64" s="32">
        <v>160450000</v>
      </c>
      <c r="P64" s="32"/>
      <c r="Q64" s="32"/>
      <c r="R64" s="32"/>
      <c r="S64" s="196">
        <f>SUM(O64:R64)</f>
        <v>160450000</v>
      </c>
      <c r="T64" s="32">
        <v>130650000</v>
      </c>
      <c r="U64" s="40"/>
      <c r="V64" s="40"/>
      <c r="W64" s="40"/>
      <c r="X64" s="196">
        <f t="shared" ref="X64:X65" si="8">SUM(T64:W64)</f>
        <v>130650000</v>
      </c>
      <c r="Y64" s="197">
        <f t="shared" si="7"/>
        <v>0.81427235899033967</v>
      </c>
      <c r="Z64" s="198"/>
      <c r="AA64" s="29" t="s">
        <v>39</v>
      </c>
      <c r="AB64" s="29" t="s">
        <v>40</v>
      </c>
    </row>
    <row r="65" spans="1:28" ht="121.2" customHeight="1" x14ac:dyDescent="0.25">
      <c r="A65" s="24" t="s">
        <v>177</v>
      </c>
      <c r="B65" s="24" t="s">
        <v>202</v>
      </c>
      <c r="C65" s="24" t="s">
        <v>203</v>
      </c>
      <c r="D65" s="41" t="s">
        <v>211</v>
      </c>
      <c r="E65" s="42" t="s">
        <v>212</v>
      </c>
      <c r="F65" s="135"/>
      <c r="G65" s="152"/>
      <c r="H65" s="155"/>
      <c r="I65" s="19">
        <v>44229</v>
      </c>
      <c r="J65" s="19">
        <v>44561</v>
      </c>
      <c r="K65" s="30">
        <v>1</v>
      </c>
      <c r="L65" s="31">
        <v>0.4</v>
      </c>
      <c r="M65" s="28">
        <f t="shared" si="0"/>
        <v>0.4</v>
      </c>
      <c r="N65" s="90" t="s">
        <v>213</v>
      </c>
      <c r="O65" s="32">
        <f>297000000+482464070</f>
        <v>779464070</v>
      </c>
      <c r="P65" s="32"/>
      <c r="Q65" s="32"/>
      <c r="R65" s="32"/>
      <c r="S65" s="196">
        <f>SUM(O65:R65)</f>
        <v>779464070</v>
      </c>
      <c r="T65" s="32">
        <f>119400000+83250000</f>
        <v>202650000</v>
      </c>
      <c r="U65" s="40"/>
      <c r="V65" s="40"/>
      <c r="W65" s="40"/>
      <c r="X65" s="196">
        <f t="shared" si="8"/>
        <v>202650000</v>
      </c>
      <c r="Y65" s="197">
        <f t="shared" si="7"/>
        <v>0.25998632624592949</v>
      </c>
      <c r="Z65" s="198"/>
      <c r="AA65" s="29" t="s">
        <v>39</v>
      </c>
      <c r="AB65" s="29" t="s">
        <v>40</v>
      </c>
    </row>
    <row r="66" spans="1:28" ht="124.2" customHeight="1" x14ac:dyDescent="0.25">
      <c r="A66" s="128" t="s">
        <v>177</v>
      </c>
      <c r="B66" s="128" t="s">
        <v>202</v>
      </c>
      <c r="C66" s="128" t="s">
        <v>203</v>
      </c>
      <c r="D66" s="145" t="s">
        <v>214</v>
      </c>
      <c r="E66" s="130" t="s">
        <v>215</v>
      </c>
      <c r="F66" s="118"/>
      <c r="G66" s="153"/>
      <c r="H66" s="156"/>
      <c r="I66" s="19">
        <v>44229</v>
      </c>
      <c r="J66" s="19">
        <v>44561</v>
      </c>
      <c r="K66" s="147">
        <v>1</v>
      </c>
      <c r="L66" s="138">
        <v>0.3</v>
      </c>
      <c r="M66" s="125">
        <f>IFERROR(IF(L66/K66&gt;100%,100%,L66/K66),"-")</f>
        <v>0.3</v>
      </c>
      <c r="N66" s="90" t="s">
        <v>216</v>
      </c>
      <c r="O66" s="32">
        <v>11550000</v>
      </c>
      <c r="P66" s="32"/>
      <c r="Q66" s="32"/>
      <c r="R66" s="32"/>
      <c r="S66" s="188">
        <f>SUM(O66:R67)</f>
        <v>3096249023</v>
      </c>
      <c r="T66" s="32">
        <v>9450000</v>
      </c>
      <c r="U66" s="40"/>
      <c r="V66" s="40"/>
      <c r="W66" s="40"/>
      <c r="X66" s="188">
        <f>SUM(T66:W67)</f>
        <v>9450000</v>
      </c>
      <c r="Y66" s="189">
        <f>IFERROR(X66/S66,"-")</f>
        <v>3.0520800910398866E-3</v>
      </c>
      <c r="Z66" s="190"/>
      <c r="AA66" s="112" t="s">
        <v>39</v>
      </c>
      <c r="AB66" s="112" t="s">
        <v>40</v>
      </c>
    </row>
    <row r="67" spans="1:28" ht="74.400000000000006" customHeight="1" x14ac:dyDescent="0.25">
      <c r="A67" s="129"/>
      <c r="B67" s="129"/>
      <c r="C67" s="129"/>
      <c r="D67" s="146"/>
      <c r="E67" s="131"/>
      <c r="F67" s="52"/>
      <c r="G67" s="59"/>
      <c r="H67" s="106" t="s">
        <v>43</v>
      </c>
      <c r="I67" s="19"/>
      <c r="J67" s="19"/>
      <c r="K67" s="148"/>
      <c r="L67" s="139"/>
      <c r="M67" s="126"/>
      <c r="N67" s="90" t="s">
        <v>266</v>
      </c>
      <c r="O67" s="32">
        <f>3073132+3500000+2950125891+128000000</f>
        <v>3084699023</v>
      </c>
      <c r="P67" s="32"/>
      <c r="Q67" s="32"/>
      <c r="R67" s="32"/>
      <c r="S67" s="191"/>
      <c r="T67" s="32"/>
      <c r="U67" s="40"/>
      <c r="V67" s="40"/>
      <c r="W67" s="40"/>
      <c r="X67" s="191"/>
      <c r="Y67" s="192"/>
      <c r="Z67" s="193"/>
      <c r="AA67" s="113"/>
      <c r="AB67" s="113"/>
    </row>
    <row r="68" spans="1:28" ht="151.19999999999999" customHeight="1" x14ac:dyDescent="0.25">
      <c r="A68" s="60" t="s">
        <v>177</v>
      </c>
      <c r="B68" s="60" t="s">
        <v>202</v>
      </c>
      <c r="C68" s="60" t="s">
        <v>217</v>
      </c>
      <c r="D68" s="61" t="s">
        <v>218</v>
      </c>
      <c r="E68" s="60" t="s">
        <v>219</v>
      </c>
      <c r="F68" s="149">
        <v>20210680010019</v>
      </c>
      <c r="G68" s="119" t="s">
        <v>220</v>
      </c>
      <c r="H68" s="18" t="s">
        <v>221</v>
      </c>
      <c r="I68" s="19">
        <v>44264</v>
      </c>
      <c r="J68" s="19">
        <v>44561</v>
      </c>
      <c r="K68" s="62">
        <v>1</v>
      </c>
      <c r="L68" s="63">
        <v>0.35099999999999998</v>
      </c>
      <c r="M68" s="20">
        <f>IFERROR(IF(L68/K68&gt;100%,100%,L68/K68),"-")</f>
        <v>0.35099999999999998</v>
      </c>
      <c r="N68" s="90" t="s">
        <v>222</v>
      </c>
      <c r="O68" s="32">
        <v>204500000</v>
      </c>
      <c r="P68" s="32"/>
      <c r="Q68" s="32"/>
      <c r="R68" s="32"/>
      <c r="S68" s="206">
        <f>SUM(O68:R68)</f>
        <v>204500000</v>
      </c>
      <c r="T68" s="32">
        <v>192393333</v>
      </c>
      <c r="U68" s="40"/>
      <c r="V68" s="40"/>
      <c r="W68" s="40"/>
      <c r="X68" s="206">
        <f>SUM(T68:W68)</f>
        <v>192393333</v>
      </c>
      <c r="Y68" s="207">
        <f t="shared" si="7"/>
        <v>0.94079869437652808</v>
      </c>
      <c r="Z68" s="208"/>
      <c r="AA68" s="21" t="s">
        <v>39</v>
      </c>
      <c r="AB68" s="21" t="s">
        <v>40</v>
      </c>
    </row>
    <row r="69" spans="1:28" ht="69" customHeight="1" x14ac:dyDescent="0.25">
      <c r="A69" s="24" t="s">
        <v>177</v>
      </c>
      <c r="B69" s="24" t="s">
        <v>202</v>
      </c>
      <c r="C69" s="24" t="s">
        <v>217</v>
      </c>
      <c r="D69" s="41" t="s">
        <v>223</v>
      </c>
      <c r="E69" s="42" t="s">
        <v>224</v>
      </c>
      <c r="F69" s="150"/>
      <c r="G69" s="120"/>
      <c r="H69" s="64"/>
      <c r="I69" s="19"/>
      <c r="J69" s="19"/>
      <c r="K69" s="30">
        <v>0</v>
      </c>
      <c r="L69" s="35"/>
      <c r="M69" s="28" t="str">
        <f>IFERROR(IF(L69/K69&gt;100%,100%,L69/K69),"-")</f>
        <v>-</v>
      </c>
      <c r="N69" s="90"/>
      <c r="O69" s="32">
        <v>0</v>
      </c>
      <c r="P69" s="32"/>
      <c r="Q69" s="32"/>
      <c r="R69" s="32"/>
      <c r="S69" s="196">
        <f>SUM(O69:R69)</f>
        <v>0</v>
      </c>
      <c r="T69" s="32"/>
      <c r="U69" s="40"/>
      <c r="V69" s="40"/>
      <c r="W69" s="40"/>
      <c r="X69" s="196">
        <f>SUM(T69:W69)</f>
        <v>0</v>
      </c>
      <c r="Y69" s="197" t="str">
        <f t="shared" si="7"/>
        <v>-</v>
      </c>
      <c r="Z69" s="198"/>
      <c r="AA69" s="29" t="s">
        <v>39</v>
      </c>
      <c r="AB69" s="29" t="s">
        <v>40</v>
      </c>
    </row>
    <row r="70" spans="1:28" ht="111.6" customHeight="1" x14ac:dyDescent="0.25">
      <c r="A70" s="128" t="s">
        <v>177</v>
      </c>
      <c r="B70" s="128" t="s">
        <v>202</v>
      </c>
      <c r="C70" s="128" t="s">
        <v>225</v>
      </c>
      <c r="D70" s="186" t="s">
        <v>226</v>
      </c>
      <c r="E70" s="130" t="s">
        <v>227</v>
      </c>
      <c r="F70" s="16">
        <v>2021680010001</v>
      </c>
      <c r="G70" s="17" t="s">
        <v>228</v>
      </c>
      <c r="H70" s="18" t="s">
        <v>229</v>
      </c>
      <c r="I70" s="19">
        <v>44228</v>
      </c>
      <c r="J70" s="19" t="s">
        <v>230</v>
      </c>
      <c r="K70" s="147">
        <v>1</v>
      </c>
      <c r="L70" s="184">
        <v>0.35</v>
      </c>
      <c r="M70" s="125">
        <f>IFERROR(IF(L70/K70&gt;100%,100%,L70/K70),"-")</f>
        <v>0.35</v>
      </c>
      <c r="N70" s="90" t="s">
        <v>231</v>
      </c>
      <c r="O70" s="32">
        <v>731400000</v>
      </c>
      <c r="P70" s="32"/>
      <c r="Q70" s="32"/>
      <c r="R70" s="32"/>
      <c r="S70" s="188">
        <f>SUM(O70:R71)</f>
        <v>930256060</v>
      </c>
      <c r="T70" s="32">
        <v>352500000</v>
      </c>
      <c r="U70" s="32"/>
      <c r="V70" s="65"/>
      <c r="W70" s="65"/>
      <c r="X70" s="188">
        <f>SUM(T70:W71)</f>
        <v>352500000</v>
      </c>
      <c r="Y70" s="189">
        <f t="shared" si="7"/>
        <v>0.37892792657539903</v>
      </c>
      <c r="Z70" s="190"/>
      <c r="AA70" s="112" t="s">
        <v>39</v>
      </c>
      <c r="AB70" s="112" t="s">
        <v>40</v>
      </c>
    </row>
    <row r="71" spans="1:28" ht="66.599999999999994" customHeight="1" x14ac:dyDescent="0.25">
      <c r="A71" s="129"/>
      <c r="B71" s="129"/>
      <c r="C71" s="129"/>
      <c r="D71" s="187"/>
      <c r="E71" s="131"/>
      <c r="F71" s="16"/>
      <c r="G71" s="96" t="s">
        <v>43</v>
      </c>
      <c r="H71" s="18"/>
      <c r="I71" s="19"/>
      <c r="J71" s="19"/>
      <c r="K71" s="148"/>
      <c r="L71" s="185"/>
      <c r="M71" s="126"/>
      <c r="N71" s="90" t="s">
        <v>244</v>
      </c>
      <c r="O71" s="32">
        <v>198856060</v>
      </c>
      <c r="P71" s="32"/>
      <c r="Q71" s="32"/>
      <c r="R71" s="32"/>
      <c r="S71" s="191"/>
      <c r="T71" s="32"/>
      <c r="U71" s="32"/>
      <c r="V71" s="65"/>
      <c r="W71" s="65"/>
      <c r="X71" s="191"/>
      <c r="Y71" s="192"/>
      <c r="Z71" s="193"/>
      <c r="AA71" s="113"/>
      <c r="AB71" s="113"/>
    </row>
    <row r="72" spans="1:28" ht="59.4" customHeight="1" x14ac:dyDescent="0.25">
      <c r="A72" s="24" t="s">
        <v>232</v>
      </c>
      <c r="B72" s="24" t="s">
        <v>233</v>
      </c>
      <c r="C72" s="24" t="s">
        <v>234</v>
      </c>
      <c r="D72" s="41" t="s">
        <v>235</v>
      </c>
      <c r="E72" s="42" t="s">
        <v>236</v>
      </c>
      <c r="F72" s="33"/>
      <c r="G72" s="23" t="s">
        <v>63</v>
      </c>
      <c r="H72" s="18"/>
      <c r="I72" s="19"/>
      <c r="J72" s="19"/>
      <c r="K72" s="26">
        <v>1</v>
      </c>
      <c r="L72" s="27">
        <v>0</v>
      </c>
      <c r="M72" s="28">
        <f>IFERROR(IF(L72/K72&gt;100%,100%,L72/K72),"-")</f>
        <v>0</v>
      </c>
      <c r="N72" s="90"/>
      <c r="O72" s="32"/>
      <c r="P72" s="32"/>
      <c r="Q72" s="32"/>
      <c r="R72" s="32"/>
      <c r="S72" s="196">
        <f>SUM(O72:R72)</f>
        <v>0</v>
      </c>
      <c r="T72" s="32"/>
      <c r="U72" s="40"/>
      <c r="V72" s="40"/>
      <c r="W72" s="66"/>
      <c r="X72" s="196">
        <f>SUM(T72:W72)</f>
        <v>0</v>
      </c>
      <c r="Y72" s="197" t="str">
        <f t="shared" si="7"/>
        <v>-</v>
      </c>
      <c r="Z72" s="198"/>
      <c r="AA72" s="29" t="s">
        <v>39</v>
      </c>
      <c r="AB72" s="29" t="s">
        <v>40</v>
      </c>
    </row>
    <row r="73" spans="1:28" ht="27.75" customHeight="1" x14ac:dyDescent="0.25">
      <c r="A73" s="67"/>
      <c r="B73" s="68"/>
      <c r="C73" s="68"/>
      <c r="D73" s="68"/>
      <c r="E73" s="69"/>
      <c r="F73" s="70"/>
      <c r="G73" s="68"/>
      <c r="H73" s="71"/>
      <c r="I73" s="70"/>
      <c r="J73" s="70"/>
      <c r="K73" s="72"/>
      <c r="L73" s="73" t="s">
        <v>237</v>
      </c>
      <c r="M73" s="74">
        <f>AVERAGE(M6:M72)</f>
        <v>0.49451919083422857</v>
      </c>
      <c r="N73" s="104"/>
      <c r="O73" s="75">
        <f t="shared" ref="O73:X73" si="9">SUM(O6:O72)</f>
        <v>13252707469.710001</v>
      </c>
      <c r="P73" s="76">
        <f t="shared" si="9"/>
        <v>85983675666.149994</v>
      </c>
      <c r="Q73" s="77">
        <f t="shared" si="9"/>
        <v>0</v>
      </c>
      <c r="R73" s="78">
        <f t="shared" si="9"/>
        <v>188673423752.81998</v>
      </c>
      <c r="S73" s="79">
        <f>SUM(S6:S72)</f>
        <v>287909806888.67999</v>
      </c>
      <c r="T73" s="75">
        <f>SUM(T6:T72)</f>
        <v>2686384709</v>
      </c>
      <c r="U73" s="75">
        <f t="shared" si="9"/>
        <v>36464885797</v>
      </c>
      <c r="V73" s="75">
        <f t="shared" si="9"/>
        <v>0</v>
      </c>
      <c r="W73" s="75">
        <f t="shared" si="9"/>
        <v>61269833159.279999</v>
      </c>
      <c r="X73" s="80">
        <f t="shared" si="9"/>
        <v>100421103665.28</v>
      </c>
      <c r="Y73" s="81">
        <f>IFERROR(X73/S73,"-")</f>
        <v>0.34879361960778121</v>
      </c>
      <c r="Z73" s="79">
        <f>SUM(Z6:Z72)</f>
        <v>0</v>
      </c>
      <c r="AA73" s="82"/>
      <c r="AB73" s="83"/>
    </row>
    <row r="74" spans="1:28" customFormat="1" ht="13.8" x14ac:dyDescent="0.25"/>
    <row r="75" spans="1:28" customFormat="1" ht="62.25" customHeight="1" x14ac:dyDescent="0.25"/>
    <row r="76" spans="1:28" customFormat="1" ht="13.8" x14ac:dyDescent="0.25"/>
    <row r="77" spans="1:28" customFormat="1" ht="13.8" x14ac:dyDescent="0.25"/>
    <row r="78" spans="1:28" customFormat="1" ht="13.8" x14ac:dyDescent="0.25"/>
    <row r="79" spans="1:28" customFormat="1" ht="13.8" x14ac:dyDescent="0.25"/>
    <row r="80" spans="1:28" customFormat="1" ht="13.8" x14ac:dyDescent="0.25"/>
    <row r="81" spans="1:25" customFormat="1" ht="22.2" customHeight="1" x14ac:dyDescent="0.25"/>
    <row r="82" spans="1:25" customFormat="1" ht="13.8" x14ac:dyDescent="0.25"/>
    <row r="83" spans="1:25" x14ac:dyDescent="0.25">
      <c r="A83" s="84"/>
      <c r="B83" s="84"/>
      <c r="C83" s="84"/>
      <c r="D83" s="84"/>
      <c r="E83" s="85"/>
      <c r="G83" s="86"/>
      <c r="H83" s="87"/>
      <c r="I83" s="87"/>
      <c r="J83" s="87"/>
      <c r="K83" s="87"/>
      <c r="L83" s="88"/>
      <c r="M83" s="89"/>
      <c r="N83" s="105"/>
      <c r="O83"/>
      <c r="P83" s="95"/>
      <c r="Q83"/>
      <c r="R83"/>
      <c r="S83"/>
      <c r="T83"/>
      <c r="U83"/>
      <c r="V83"/>
      <c r="W83" s="110"/>
      <c r="X83" s="110"/>
      <c r="Y83" s="110"/>
    </row>
    <row r="84" spans="1:25" x14ac:dyDescent="0.25">
      <c r="N84" s="105"/>
      <c r="O84"/>
      <c r="P84"/>
      <c r="Q84"/>
      <c r="R84"/>
      <c r="S84"/>
      <c r="T84"/>
      <c r="U84"/>
      <c r="V84"/>
      <c r="W84" s="110"/>
      <c r="X84" s="111"/>
      <c r="Y84" s="110"/>
    </row>
    <row r="85" spans="1:25" x14ac:dyDescent="0.25">
      <c r="N85" s="105"/>
      <c r="O85"/>
      <c r="P85"/>
      <c r="Q85"/>
      <c r="R85"/>
      <c r="S85"/>
      <c r="T85"/>
      <c r="U85"/>
      <c r="V85"/>
      <c r="W85" s="110"/>
      <c r="X85" s="110"/>
      <c r="Y85" s="110"/>
    </row>
    <row r="86" spans="1:25" x14ac:dyDescent="0.25">
      <c r="N86" s="105"/>
      <c r="O86"/>
      <c r="P86"/>
      <c r="Q86"/>
      <c r="R86"/>
      <c r="S86"/>
      <c r="T86"/>
      <c r="U86"/>
      <c r="V86"/>
      <c r="W86" s="110"/>
      <c r="X86" s="110"/>
      <c r="Y86" s="110"/>
    </row>
    <row r="87" spans="1:25" x14ac:dyDescent="0.25">
      <c r="A87" s="84"/>
      <c r="B87" s="84"/>
      <c r="C87" s="84"/>
      <c r="D87" s="84"/>
      <c r="E87" s="85"/>
      <c r="G87" s="86"/>
      <c r="H87" s="87"/>
      <c r="I87" s="87"/>
      <c r="J87" s="87"/>
      <c r="K87" s="87"/>
      <c r="L87" s="92"/>
      <c r="M87" s="93"/>
      <c r="N87" s="105"/>
      <c r="O87"/>
      <c r="P87"/>
      <c r="Q87"/>
      <c r="R87"/>
      <c r="S87"/>
      <c r="T87"/>
      <c r="U87"/>
      <c r="V87"/>
      <c r="W87" s="110"/>
      <c r="X87" s="110"/>
      <c r="Y87" s="110"/>
    </row>
    <row r="88" spans="1:25" x14ac:dyDescent="0.25">
      <c r="N88" s="105"/>
      <c r="O88"/>
      <c r="P88"/>
      <c r="Q88"/>
      <c r="R88"/>
      <c r="S88"/>
      <c r="T88"/>
      <c r="U88"/>
      <c r="V88"/>
      <c r="W88"/>
      <c r="X88"/>
      <c r="Y88"/>
    </row>
    <row r="89" spans="1:25" x14ac:dyDescent="0.25">
      <c r="N89" s="105"/>
      <c r="O89"/>
      <c r="P89"/>
      <c r="Q89"/>
      <c r="R89"/>
      <c r="S89"/>
      <c r="T89"/>
      <c r="U89"/>
      <c r="V89"/>
      <c r="W89"/>
      <c r="X89"/>
      <c r="Y89"/>
    </row>
    <row r="90" spans="1:25" x14ac:dyDescent="0.25">
      <c r="N90" s="105"/>
      <c r="O90"/>
      <c r="P90"/>
      <c r="Q90"/>
      <c r="R90"/>
      <c r="S90"/>
      <c r="T90"/>
      <c r="U90"/>
      <c r="V90"/>
      <c r="W90"/>
      <c r="X90"/>
      <c r="Y90"/>
    </row>
    <row r="91" spans="1:25" x14ac:dyDescent="0.25">
      <c r="N91" s="105"/>
      <c r="O91"/>
      <c r="P91"/>
      <c r="Q91"/>
      <c r="R91"/>
      <c r="S91"/>
      <c r="T91"/>
      <c r="U91"/>
      <c r="V91"/>
      <c r="W91"/>
      <c r="X91"/>
      <c r="Y91"/>
    </row>
    <row r="92" spans="1:25" x14ac:dyDescent="0.25">
      <c r="N92" s="105"/>
      <c r="O92"/>
      <c r="P92"/>
      <c r="Q92"/>
      <c r="R92"/>
      <c r="S92"/>
      <c r="T92"/>
      <c r="U92"/>
      <c r="V92"/>
      <c r="W92"/>
      <c r="X92"/>
      <c r="Y92"/>
    </row>
    <row r="93" spans="1:25" x14ac:dyDescent="0.25">
      <c r="N93" s="105"/>
      <c r="O93"/>
      <c r="P93"/>
      <c r="Q93"/>
      <c r="R93"/>
      <c r="S93"/>
      <c r="T93"/>
      <c r="U93"/>
      <c r="V93"/>
      <c r="W93"/>
      <c r="X93"/>
      <c r="Y93"/>
    </row>
    <row r="94" spans="1:25" x14ac:dyDescent="0.25">
      <c r="N94" s="105"/>
      <c r="O94"/>
      <c r="P94"/>
      <c r="Q94"/>
      <c r="R94"/>
      <c r="S94"/>
      <c r="T94"/>
      <c r="U94"/>
      <c r="V94"/>
      <c r="W94"/>
      <c r="X94"/>
      <c r="Y94"/>
    </row>
    <row r="95" spans="1:25" x14ac:dyDescent="0.25">
      <c r="N95" s="105"/>
      <c r="O95"/>
      <c r="P95"/>
      <c r="Q95"/>
      <c r="R95"/>
      <c r="S95"/>
      <c r="T95"/>
      <c r="U95"/>
      <c r="V95"/>
      <c r="W95"/>
      <c r="X95"/>
      <c r="Y95"/>
    </row>
    <row r="96" spans="1:25" x14ac:dyDescent="0.25">
      <c r="N96" s="105"/>
      <c r="O96"/>
      <c r="P96"/>
      <c r="Q96"/>
      <c r="R96"/>
      <c r="S96"/>
      <c r="T96"/>
      <c r="U96"/>
      <c r="V96"/>
      <c r="W96"/>
      <c r="X96"/>
      <c r="Y96"/>
    </row>
    <row r="97" spans="14:25" x14ac:dyDescent="0.25">
      <c r="N97" s="105"/>
      <c r="O97"/>
      <c r="P97"/>
      <c r="Q97"/>
      <c r="R97"/>
      <c r="S97"/>
      <c r="T97"/>
      <c r="U97"/>
      <c r="V97"/>
      <c r="W97"/>
      <c r="X97"/>
      <c r="Y97"/>
    </row>
    <row r="98" spans="14:25" x14ac:dyDescent="0.25">
      <c r="N98" s="105"/>
      <c r="O98"/>
      <c r="P98"/>
      <c r="Q98"/>
      <c r="R98"/>
      <c r="S98"/>
      <c r="T98"/>
      <c r="U98"/>
      <c r="V98"/>
      <c r="W98"/>
      <c r="X98"/>
      <c r="Y98"/>
    </row>
  </sheetData>
  <mergeCells count="220">
    <mergeCell ref="H36:H42"/>
    <mergeCell ref="K28:K29"/>
    <mergeCell ref="AB70:AB71"/>
    <mergeCell ref="M70:M71"/>
    <mergeCell ref="L70:L71"/>
    <mergeCell ref="K70:K71"/>
    <mergeCell ref="A70:A71"/>
    <mergeCell ref="B70:B71"/>
    <mergeCell ref="C70:C71"/>
    <mergeCell ref="D70:D71"/>
    <mergeCell ref="E70:E71"/>
    <mergeCell ref="S70:S71"/>
    <mergeCell ref="X70:X71"/>
    <mergeCell ref="Y70:Y71"/>
    <mergeCell ref="AA70:AA71"/>
    <mergeCell ref="Z70:Z71"/>
    <mergeCell ref="D44:D45"/>
    <mergeCell ref="D49:D50"/>
    <mergeCell ref="C44:C45"/>
    <mergeCell ref="AB46:AB47"/>
    <mergeCell ref="Y49:Y50"/>
    <mergeCell ref="Z49:Z50"/>
    <mergeCell ref="AB49:AB50"/>
    <mergeCell ref="X46:X47"/>
    <mergeCell ref="A22:A25"/>
    <mergeCell ref="F48:F49"/>
    <mergeCell ref="G48:G49"/>
    <mergeCell ref="D28:D29"/>
    <mergeCell ref="E28:E29"/>
    <mergeCell ref="K22:K25"/>
    <mergeCell ref="F30:F34"/>
    <mergeCell ref="G30:G34"/>
    <mergeCell ref="F36:F42"/>
    <mergeCell ref="C49:C50"/>
    <mergeCell ref="B49:B50"/>
    <mergeCell ref="A49:A50"/>
    <mergeCell ref="K46:K47"/>
    <mergeCell ref="A28:A29"/>
    <mergeCell ref="B28:B29"/>
    <mergeCell ref="C28:C29"/>
    <mergeCell ref="E22:E25"/>
    <mergeCell ref="D22:D25"/>
    <mergeCell ref="C22:C25"/>
    <mergeCell ref="B22:B25"/>
    <mergeCell ref="G36:G42"/>
    <mergeCell ref="D46:D47"/>
    <mergeCell ref="C46:C47"/>
    <mergeCell ref="B46:B47"/>
    <mergeCell ref="F1:Q3"/>
    <mergeCell ref="Y1:Y3"/>
    <mergeCell ref="A4:E4"/>
    <mergeCell ref="F4:J4"/>
    <mergeCell ref="K4:M4"/>
    <mergeCell ref="N4:S4"/>
    <mergeCell ref="T4:X4"/>
    <mergeCell ref="Y4:Y5"/>
    <mergeCell ref="S8:S9"/>
    <mergeCell ref="X8:X9"/>
    <mergeCell ref="Y8:Y9"/>
    <mergeCell ref="K6:K7"/>
    <mergeCell ref="G9:G11"/>
    <mergeCell ref="F9:F11"/>
    <mergeCell ref="Y11:Y12"/>
    <mergeCell ref="S6:S7"/>
    <mergeCell ref="X6:X7"/>
    <mergeCell ref="Y6:Y7"/>
    <mergeCell ref="L6:L7"/>
    <mergeCell ref="D11:D12"/>
    <mergeCell ref="C11:C12"/>
    <mergeCell ref="B11:B12"/>
    <mergeCell ref="A11:A12"/>
    <mergeCell ref="S11:S12"/>
    <mergeCell ref="Z4:Z5"/>
    <mergeCell ref="AA4:AB4"/>
    <mergeCell ref="Z6:Z7"/>
    <mergeCell ref="AA6:AA7"/>
    <mergeCell ref="AB6:AB7"/>
    <mergeCell ref="A8:A9"/>
    <mergeCell ref="B8:B9"/>
    <mergeCell ref="C8:C9"/>
    <mergeCell ref="D8:D9"/>
    <mergeCell ref="E8:E9"/>
    <mergeCell ref="K8:K9"/>
    <mergeCell ref="L8:L9"/>
    <mergeCell ref="M8:M9"/>
    <mergeCell ref="E6:E7"/>
    <mergeCell ref="D6:D7"/>
    <mergeCell ref="C6:C7"/>
    <mergeCell ref="B6:B7"/>
    <mergeCell ref="A6:A7"/>
    <mergeCell ref="M6:M7"/>
    <mergeCell ref="S28:S29"/>
    <mergeCell ref="M44:M45"/>
    <mergeCell ref="S46:S47"/>
    <mergeCell ref="S49:S50"/>
    <mergeCell ref="Z8:Z9"/>
    <mergeCell ref="AA8:AA9"/>
    <mergeCell ref="AB8:AB9"/>
    <mergeCell ref="X11:X12"/>
    <mergeCell ref="Z11:Z12"/>
    <mergeCell ref="AA11:AA12"/>
    <mergeCell ref="AB11:AB12"/>
    <mergeCell ref="F68:F69"/>
    <mergeCell ref="G68:G69"/>
    <mergeCell ref="K66:K67"/>
    <mergeCell ref="L66:L67"/>
    <mergeCell ref="M66:M67"/>
    <mergeCell ref="S66:S67"/>
    <mergeCell ref="X66:X67"/>
    <mergeCell ref="Y66:Y67"/>
    <mergeCell ref="F63:F66"/>
    <mergeCell ref="G63:G66"/>
    <mergeCell ref="H63:H66"/>
    <mergeCell ref="AB66:AB67"/>
    <mergeCell ref="Z66:Z67"/>
    <mergeCell ref="L61:L62"/>
    <mergeCell ref="M61:M62"/>
    <mergeCell ref="L59:L60"/>
    <mergeCell ref="M59:M60"/>
    <mergeCell ref="A59:A60"/>
    <mergeCell ref="B59:B60"/>
    <mergeCell ref="C59:C60"/>
    <mergeCell ref="D59:D60"/>
    <mergeCell ref="E59:E60"/>
    <mergeCell ref="K59:K60"/>
    <mergeCell ref="F56:F59"/>
    <mergeCell ref="AB61:AB62"/>
    <mergeCell ref="AA59:AA60"/>
    <mergeCell ref="AB59:AB60"/>
    <mergeCell ref="AA66:AA67"/>
    <mergeCell ref="A66:A67"/>
    <mergeCell ref="B66:B67"/>
    <mergeCell ref="C66:C67"/>
    <mergeCell ref="D66:D67"/>
    <mergeCell ref="X59:X60"/>
    <mergeCell ref="Y59:Y60"/>
    <mergeCell ref="Z59:Z60"/>
    <mergeCell ref="AA61:AA62"/>
    <mergeCell ref="M46:M47"/>
    <mergeCell ref="L46:L47"/>
    <mergeCell ref="E44:E45"/>
    <mergeCell ref="E49:E50"/>
    <mergeCell ref="M49:M50"/>
    <mergeCell ref="L49:L50"/>
    <mergeCell ref="K49:K50"/>
    <mergeCell ref="X44:X45"/>
    <mergeCell ref="S44:S45"/>
    <mergeCell ref="Y44:Y45"/>
    <mergeCell ref="AA44:AA45"/>
    <mergeCell ref="AA49:AA50"/>
    <mergeCell ref="Y46:Y47"/>
    <mergeCell ref="Z46:Z47"/>
    <mergeCell ref="AA46:AA47"/>
    <mergeCell ref="L44:L45"/>
    <mergeCell ref="K44:K45"/>
    <mergeCell ref="E61:E62"/>
    <mergeCell ref="K61:K62"/>
    <mergeCell ref="S59:S60"/>
    <mergeCell ref="F52:F53"/>
    <mergeCell ref="G52:G53"/>
    <mergeCell ref="G56:G59"/>
    <mergeCell ref="A46:A47"/>
    <mergeCell ref="E66:E67"/>
    <mergeCell ref="S61:S62"/>
    <mergeCell ref="X61:X62"/>
    <mergeCell ref="Y61:Y62"/>
    <mergeCell ref="Z61:Z62"/>
    <mergeCell ref="A61:A62"/>
    <mergeCell ref="B61:B62"/>
    <mergeCell ref="C61:C62"/>
    <mergeCell ref="D61:D62"/>
    <mergeCell ref="X49:X50"/>
    <mergeCell ref="K11:K12"/>
    <mergeCell ref="L11:L12"/>
    <mergeCell ref="M11:M12"/>
    <mergeCell ref="G13:G14"/>
    <mergeCell ref="F13:F14"/>
    <mergeCell ref="E11:E12"/>
    <mergeCell ref="Z28:Z29"/>
    <mergeCell ref="AA28:AA29"/>
    <mergeCell ref="AB28:AB29"/>
    <mergeCell ref="X28:X29"/>
    <mergeCell ref="Y28:Y29"/>
    <mergeCell ref="F18:F19"/>
    <mergeCell ref="G18:G19"/>
    <mergeCell ref="Z20:Z21"/>
    <mergeCell ref="AA20:AA21"/>
    <mergeCell ref="L28:L29"/>
    <mergeCell ref="F27:F28"/>
    <mergeCell ref="G27:G28"/>
    <mergeCell ref="L22:L25"/>
    <mergeCell ref="M22:M25"/>
    <mergeCell ref="S22:S25"/>
    <mergeCell ref="X22:X25"/>
    <mergeCell ref="Y22:Y25"/>
    <mergeCell ref="M28:M29"/>
    <mergeCell ref="AB44:AB45"/>
    <mergeCell ref="Z44:Z45"/>
    <mergeCell ref="A20:A21"/>
    <mergeCell ref="B20:B21"/>
    <mergeCell ref="C20:C21"/>
    <mergeCell ref="D20:D21"/>
    <mergeCell ref="E20:E21"/>
    <mergeCell ref="AB20:AB21"/>
    <mergeCell ref="F21:F22"/>
    <mergeCell ref="G21:G22"/>
    <mergeCell ref="K20:K21"/>
    <mergeCell ref="L20:L21"/>
    <mergeCell ref="M20:M21"/>
    <mergeCell ref="S20:S21"/>
    <mergeCell ref="X20:X21"/>
    <mergeCell ref="Y20:Y21"/>
    <mergeCell ref="Z22:Z25"/>
    <mergeCell ref="AA22:AA25"/>
    <mergeCell ref="AB22:AB25"/>
    <mergeCell ref="B44:B45"/>
    <mergeCell ref="A44:A45"/>
    <mergeCell ref="G45:G46"/>
    <mergeCell ref="F45:F46"/>
    <mergeCell ref="E46:E47"/>
  </mergeCells>
  <conditionalFormatting sqref="M56:M70 M6 M72 M8:M11 M51:M54 M46 M48:M49 M13:M43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M55">
    <cfRule type="cellIs" dxfId="5" priority="4" operator="between">
      <formula>0.67</formula>
      <formula>1</formula>
    </cfRule>
    <cfRule type="cellIs" dxfId="4" priority="5" operator="between">
      <formula>0.34</formula>
      <formula>0.67</formula>
    </cfRule>
    <cfRule type="cellIs" dxfId="3" priority="6" operator="between">
      <formula>0</formula>
      <formula>0.34</formula>
    </cfRule>
  </conditionalFormatting>
  <conditionalFormatting sqref="M4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Sarmiento</dc:creator>
  <cp:lastModifiedBy>A</cp:lastModifiedBy>
  <dcterms:created xsi:type="dcterms:W3CDTF">2021-05-17T05:38:51Z</dcterms:created>
  <dcterms:modified xsi:type="dcterms:W3CDTF">2021-07-16T14:21:56Z</dcterms:modified>
</cp:coreProperties>
</file>