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5 - Mayo\Publicados\"/>
    </mc:Choice>
  </mc:AlternateContent>
  <xr:revisionPtr revIDLastSave="0" documentId="13_ncr:1_{FB18409A-5210-4365-B453-1C61B006E7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Y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8" i="1" l="1"/>
  <c r="X88" i="1"/>
  <c r="S88" i="1"/>
  <c r="M88" i="1"/>
  <c r="M87" i="1"/>
  <c r="M86" i="1"/>
  <c r="M84" i="1"/>
  <c r="M78" i="1"/>
  <c r="M77" i="1"/>
  <c r="M75" i="1"/>
  <c r="M73" i="1"/>
  <c r="M72" i="1"/>
  <c r="M69" i="1"/>
  <c r="M46" i="1"/>
  <c r="M45" i="1"/>
  <c r="M43" i="1"/>
  <c r="M39" i="1"/>
  <c r="M38" i="1"/>
  <c r="M37" i="1"/>
  <c r="M20" i="1"/>
  <c r="M15" i="1"/>
  <c r="M14" i="1"/>
  <c r="M13" i="1"/>
  <c r="M12" i="1"/>
  <c r="M8" i="1"/>
  <c r="M7" i="1"/>
  <c r="M6" i="1"/>
  <c r="P83" i="1"/>
  <c r="O83" i="1"/>
  <c r="P88" i="1"/>
  <c r="O16" i="1"/>
  <c r="O14" i="1"/>
  <c r="U88" i="1"/>
  <c r="V88" i="1"/>
  <c r="W88" i="1"/>
  <c r="T88" i="1"/>
  <c r="S14" i="1"/>
  <c r="S15" i="1"/>
  <c r="S78" i="1"/>
  <c r="O23" i="1"/>
  <c r="O35" i="1"/>
  <c r="O24" i="1"/>
  <c r="T18" i="1"/>
  <c r="O26" i="1"/>
  <c r="T27" i="1"/>
  <c r="S45" i="1"/>
  <c r="O44" i="1"/>
  <c r="S43" i="1"/>
  <c r="O52" i="1"/>
  <c r="O47" i="1"/>
  <c r="O48" i="1"/>
  <c r="O59" i="1"/>
  <c r="O60" i="1"/>
  <c r="O64" i="1"/>
  <c r="O67" i="1"/>
  <c r="S46" i="1"/>
  <c r="S6" i="1"/>
  <c r="S7" i="1"/>
  <c r="O10" i="1"/>
  <c r="S8" i="1"/>
  <c r="O12" i="1"/>
  <c r="S12" i="1"/>
  <c r="S13" i="1"/>
  <c r="O18" i="1"/>
  <c r="O19" i="1"/>
  <c r="O27" i="1"/>
  <c r="O33" i="1"/>
  <c r="S20" i="1"/>
  <c r="S37" i="1"/>
  <c r="S38" i="1"/>
  <c r="S39" i="1"/>
  <c r="O70" i="1"/>
  <c r="S69" i="1"/>
  <c r="S72" i="1"/>
  <c r="S73" i="1"/>
  <c r="O76" i="1"/>
  <c r="S75" i="1"/>
  <c r="S77" i="1"/>
  <c r="S84" i="1"/>
  <c r="S86" i="1"/>
  <c r="S87" i="1"/>
  <c r="O88" i="1"/>
  <c r="T59" i="1"/>
  <c r="X46" i="1"/>
  <c r="X73" i="1"/>
  <c r="Y73" i="1"/>
  <c r="Q88" i="1"/>
  <c r="R88" i="1"/>
  <c r="X75" i="1"/>
  <c r="T36" i="1"/>
  <c r="X69" i="1"/>
  <c r="T44" i="1"/>
  <c r="X44" i="1"/>
  <c r="T78" i="1"/>
  <c r="X87" i="1"/>
  <c r="X84" i="1"/>
  <c r="X86" i="1"/>
  <c r="Y87" i="1"/>
  <c r="Y86" i="1"/>
  <c r="Y84" i="1"/>
  <c r="X20" i="1"/>
  <c r="Z88" i="1"/>
  <c r="X78" i="1"/>
  <c r="X77" i="1"/>
  <c r="X72" i="1"/>
  <c r="X45" i="1"/>
  <c r="X43" i="1"/>
  <c r="X39" i="1"/>
  <c r="X38" i="1"/>
  <c r="X37" i="1"/>
  <c r="L20" i="1"/>
  <c r="X15" i="1"/>
  <c r="X14" i="1"/>
  <c r="X13" i="1"/>
  <c r="X12" i="1"/>
  <c r="X8" i="1"/>
  <c r="X7" i="1"/>
  <c r="X6" i="1"/>
  <c r="Y14" i="1"/>
  <c r="Y37" i="1"/>
  <c r="Y43" i="1"/>
  <c r="Y77" i="1"/>
  <c r="Y12" i="1"/>
  <c r="Y72" i="1"/>
  <c r="Y13" i="1"/>
  <c r="Y39" i="1"/>
  <c r="Y15" i="1"/>
  <c r="Y38" i="1"/>
  <c r="Y45" i="1"/>
  <c r="Y7" i="1"/>
  <c r="Y69" i="1"/>
  <c r="Y6" i="1"/>
  <c r="Y46" i="1"/>
  <c r="Y8" i="1"/>
  <c r="Y78" i="1"/>
  <c r="Y75" i="1"/>
  <c r="Y20" i="1"/>
</calcChain>
</file>

<file path=xl/sharedStrings.xml><?xml version="1.0" encoding="utf-8"?>
<sst xmlns="http://schemas.openxmlformats.org/spreadsheetml/2006/main" count="377" uniqueCount="247">
  <si>
    <t>FECHA DE CORTE</t>
  </si>
  <si>
    <t>PLAN DE ACCIÓN
SECRETARÍA DE INFRAESTRUCTURA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</si>
  <si>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</si>
  <si>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</si>
  <si>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</si>
  <si>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</si>
  <si>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</si>
  <si>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</si>
  <si>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</si>
  <si>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</si>
  <si>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</si>
  <si>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</si>
  <si>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</si>
  <si>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</si>
  <si>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</si>
  <si>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</si>
  <si>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</si>
  <si>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</si>
  <si>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</si>
  <si>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</si>
  <si>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</si>
  <si>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</si>
  <si>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</si>
  <si>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</si>
  <si>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</si>
  <si>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</si>
  <si>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</si>
  <si>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>OTROS</t>
  </si>
  <si>
    <t>TOTAL PROGRAMADO</t>
  </si>
  <si>
    <t>TOTAL EJECUTADO</t>
  </si>
  <si>
    <t>Dependencia</t>
  </si>
  <si>
    <t>Responsable</t>
  </si>
  <si>
    <t>BUCARAMANGA SOSTENIBLE: UNA REGIÓN CON FUTURO</t>
  </si>
  <si>
    <t>Bucaramanga Una Eco-Ciudad</t>
  </si>
  <si>
    <t>Gobernanza Del Agua, Nuestra Agua, Nuestra Vida</t>
  </si>
  <si>
    <t>Repotenciar 1 sistema de alcantarillado sanitario y pluvial.</t>
  </si>
  <si>
    <t>Porcentaje de avance en la repotenciación del alcantarillado sanitario y pluvial.</t>
  </si>
  <si>
    <t>Sec. Infraestructura</t>
  </si>
  <si>
    <t xml:space="preserve">Iván José Vargas </t>
  </si>
  <si>
    <t>Realizar los estudios y diseños del Sistema de Tratamiento de Aguas Residuales Bucaramanga metropolitana.</t>
  </si>
  <si>
    <t>Porcentaje de avance en la realización de los estudios y diseños del Sistema de Tratamiento de Aguas Residuales Bucaramanga metropolitana.</t>
  </si>
  <si>
    <t>BUCARAMANGA PRODUCTIVA Y COMPETITIVA: EMPRESAS INNOVADORAS, RESPONSABLES Y CONSCIENTES</t>
  </si>
  <si>
    <t>Conectividad Para Competitividad Y La Internacionalización</t>
  </si>
  <si>
    <t>Estudios Y Diseños De La Infraestructura</t>
  </si>
  <si>
    <t>Realizar el 100% de los estudios y/o diseños requeridos para el desarrollo de proyectos de infraestructura.</t>
  </si>
  <si>
    <t>Porcentaje de estudios y/o diseños requeridos realizados para el desarrollo de proyectos de infraestructura.</t>
  </si>
  <si>
    <t>2.3.2.02.02.008.2402118.201</t>
  </si>
  <si>
    <t>ESTUDIOS DE SUELOS, GEOLOGÍA Y GEOTECNIA EN DIFERENTES PUNTOS DEL MUNICIPIO DE BUCARAMANGA</t>
  </si>
  <si>
    <t>Realizar el 100% de los estudios y/o diseños requeridos para el desarrollo de obras de infraestructura</t>
  </si>
  <si>
    <t>Una Zona Rural Competitiva E Incluyente</t>
  </si>
  <si>
    <t>Desarrollo Del Campo</t>
  </si>
  <si>
    <t>Repotenciar 2 acueductos veredales.</t>
  </si>
  <si>
    <t>Número de acueductos veredales repotenciados.</t>
  </si>
  <si>
    <t>ADECUACIÓN Y OPTIMIZACIÓN DE ACUEDUCTOS VEREDALES MEDIANTE  EL DESARROLLO DE EJERCICIOS DE PRESUPUESTOS PARTICIPATIVOS DEL MUNICIPIO DE BUCARAMANGA</t>
  </si>
  <si>
    <t>Construir 1 acueducto veredal.</t>
  </si>
  <si>
    <t>Porcentaje de avance en la construcción del acueducto veredal.</t>
  </si>
  <si>
    <t>N/A</t>
  </si>
  <si>
    <t>Construir 50 pozos sépticos para el sector rural.</t>
  </si>
  <si>
    <t>Número de pozos sépticos construidos para el sector rural.</t>
  </si>
  <si>
    <t>POR DEFINIR</t>
  </si>
  <si>
    <t>BUCARAMANGA CIUDAD VITAL: LA VIDA ES SAGRADA</t>
  </si>
  <si>
    <t>Espacio Público Vital</t>
  </si>
  <si>
    <t>Mejoramiento Y Mantenimiento De Parques Y Zonas Verdes</t>
  </si>
  <si>
    <t>Mantener el 100% de los parques, zonas verdes y su mobiliario.</t>
  </si>
  <si>
    <t>Porcentaje de parques, zonas verdes y su mobiliario mantenido.</t>
  </si>
  <si>
    <t>MEJORAMIENTO DE PARQUES Y ZONAS VERDES DEL MUNICIPIO DE BUCARAMANGA</t>
  </si>
  <si>
    <t>Mantener y mejorar (165) parques y zonas verdes del municipio</t>
  </si>
  <si>
    <t>2.3.2.02.02.008.4002026.201</t>
  </si>
  <si>
    <t>ASESORIA E INTERVENTORÍA DEL PROYECTO CONSTRUCCIÓN DEL SENDERO DE LOS CAMINANTES EN LOS CERROS ORIENTALES EN EL MUNICIPIO DE BUCARAMANGA</t>
  </si>
  <si>
    <t>Mejorar el 100% de la calidad de la ejecución del proyecto de los Cerros Orientales</t>
  </si>
  <si>
    <t>2.3.2.02.02.008.4002004.201</t>
  </si>
  <si>
    <t>Equipamiento Comunitario</t>
  </si>
  <si>
    <t>Construir y/o mejorar 100.000 m2 de espacio espacio público y equipamiento urbano de la ciudad.</t>
  </si>
  <si>
    <t>Número de m2 de espacio público y equipamiento urbano de la ciudad consrtuido y/o mejorado.</t>
  </si>
  <si>
    <t>ADECUACIÓN DEL CENTRO VIDA DEL BARRIO ALVAREZ EN EL MUNICIPIO DE BUCARAMANGA</t>
  </si>
  <si>
    <t>Atender el 100% de los Adultos mayores residentes en el barrio Alvarez</t>
  </si>
  <si>
    <t>MEJORAMIENTO Y ADECUACION DE EQUIPAMIENTOS URBANOS, VIABILIZADOS MEDIANTE EL EJERCICIO DE PRESUPUESTOS PARTICIPATIVOS EN DIFERENTES SECTORES DEL MUNICIPIO DE BUCARAMANGA</t>
  </si>
  <si>
    <t>Mejorar y adecuar 7 bienes inmuebles que hacen parte del equipamiento municipal</t>
  </si>
  <si>
    <t>2.3.2.02.02.005.4301004.201</t>
  </si>
  <si>
    <t>ADECUACIÓN DE ANDENES, ESCALERAS Y PASAMANOS VIABILIZADOS POR EL EJERCICIO DE PRESUPUESTOS PARTICIPATIVOS EN DIFERENTES SECTORES DEL MUNICIPIO DE BUCARAMANGA - SANTANDER</t>
  </si>
  <si>
    <t>Intervenir 6.681 metros cuadrados de espacio público</t>
  </si>
  <si>
    <t>2.3.2.02.02.005.2402127.201</t>
  </si>
  <si>
    <t>ADECUACIÓN DE INFRAESTRUCTURA PARA EQUIPAMIENTOS COMUNITARIOS Y ESPACIOS PÚBLICOS ADYACENTES EN EL MUNICIPIO DE BUCARAMANGA</t>
  </si>
  <si>
    <t>Habilitar (1) espacio para el desarrollo de programas de formación artística y cultural</t>
  </si>
  <si>
    <t>POR DEFINIR PROYECTO DE ESPACIO PUBLICO</t>
  </si>
  <si>
    <t>ADECUACIÓN DE SALONES COMUNALES EN DIFERENTES SECTORES DEL MUNICIPIO DE BUCARMANGA</t>
  </si>
  <si>
    <t>2.3.2.02.02.005.4502003.201</t>
  </si>
  <si>
    <t>CONSTRUCCIÓN Y MEJORAMIENO DE LA INFRAESTRUCTURA CULTURAL "CASA GALÁN" DEL MUNICIPIO DE BUCARAMANGA, SANTANDER</t>
  </si>
  <si>
    <t>2.3.2.02.02.005.3301093.273</t>
  </si>
  <si>
    <t>MANTENIMIENTO Y ADECUACIÓN DE SALONES COMUNALES MEDIANTE EL EJERCICIO DE PRESUPUESTOS PARTICIPATIVOS EN DIFERENTES SECTORES DEL MUNICIPIO DE BUCARAMANGA</t>
  </si>
  <si>
    <t>2.3.2.02.02.005.4103027.273</t>
  </si>
  <si>
    <t>Adecacion de la infraestructura para equipamentos comunitarios y construccion de 3269,14 m2</t>
  </si>
  <si>
    <t>Realizar mejoramiento y/o mantenimiento a la infraestructura de 2 plaza de mercado a cargo del municipio.</t>
  </si>
  <si>
    <t>Número de plaza de mercados a cargo del municipio con acciones de mejoramiento y mantenimiento a la infraestructura.</t>
  </si>
  <si>
    <t>ADECUACIÓN Y MANTENIMIENTO DE LAS PLAZAS DE MERCADO DEL MUNICIPIO DE BUCARAMANGA</t>
  </si>
  <si>
    <t>2.3.2.02.02.005.1709112.201</t>
  </si>
  <si>
    <t>Infraestructura De Transporte</t>
  </si>
  <si>
    <t>Construir 15 kilómetros de cicloruta en el municipio diseñados bajo la implementación de la estrategia de la bicicleta.</t>
  </si>
  <si>
    <t>Número de kilómetros de cicloruta construídos en el municipio diseñados bajo la implementación de la estrategia de la bicicleta.</t>
  </si>
  <si>
    <t>Realizar mantenimiento o mejoramiento a 100.000 m2 de malla vial urbana.</t>
  </si>
  <si>
    <t xml:space="preserve">Número de m2 de malla vial urbana mantenidos o mejorados. </t>
  </si>
  <si>
    <t>2.3.2.02.02.008.2402107.201</t>
  </si>
  <si>
    <t>MANTENIMIENTO Y MEJORAMIENTO DE LA RED VIAL URBANA DEL MUNICIPIO DE BUCARAMANGA, SANTANDER</t>
  </si>
  <si>
    <t>Mejorar y mantener 130.000 metros cuadrados de red vial urbana</t>
  </si>
  <si>
    <t>Construir 3.000 metros líneales de placa huella en la zona rural.</t>
  </si>
  <si>
    <t>Número de metros lineales de placa huella construídos en la zona rural.</t>
  </si>
  <si>
    <t>CONSTRUCCIÓN DE PLACA HUELLAS EN EL SECTOR RURAL DEL MUNICIPIO MEDIANTE EL EJERCICIO DE PRESUPUESTOS PARTICIPATIVOS DEL MUNICIPIO DE BUCARAMANGA</t>
  </si>
  <si>
    <t>Realizar mantenimiento a 2 puente peatonal.</t>
  </si>
  <si>
    <t>Número de puentes peatonales con mantenimiento realizado.</t>
  </si>
  <si>
    <t>Alumbrado Público Urbano Y Rural</t>
  </si>
  <si>
    <t>Formular e implementar 1 programa de expansión y modernización del alumbrado público de la ciudad.</t>
  </si>
  <si>
    <t>Número de programas de expansión y modernización del alumbrado público de la ciudad formulados e implementados.</t>
  </si>
  <si>
    <t>CONSTRUCCIÓN DEL SISTEMA DE ALUMBRADO PÚBLICO EN TECNOLOGÍA LED PARA TRAMO 7 DEL CORREDOR VIAL CONCESIONADO DENTRO DEL ÁREA DE INFLUENCIA DEL MUNICIPIO DE BUCARAMANGA</t>
  </si>
  <si>
    <t>Realizar la adquisición e instalación de 107 luminarias</t>
  </si>
  <si>
    <t>2.3.2.02.02.009.2102010.226</t>
  </si>
  <si>
    <t>AMPLIACIÓN DEL ALUMBRADO PÚBLICO EN ZONAS RURALES DEL MUNICIPIO DE BUCARAMANGA</t>
  </si>
  <si>
    <t>Instalar 374 luminarias</t>
  </si>
  <si>
    <t>ELABORACIÓN DE UN PLAN ESTRATÉGICO DE CIUDAD INTELIGENTE E INCLUYENTE CON ÉNFASIS EN EL COMPONENTE DE ALUMBRADO PÚBLICO PARA LA CIUDAD DE BUCARAMANGA</t>
  </si>
  <si>
    <t>MODERNIZACIÓN DEL ALUMBRADO PÚBLICO DE PARQUES DE BUCARAMANGA</t>
  </si>
  <si>
    <t>MODERNIZACIÓN DE LA INFRAESTRUCTURA PERTENECIENTE AL ALUMBRADO PÚBLICO DEL MUNICIPIO BUCARAMANGA</t>
  </si>
  <si>
    <t>SUMINISTRO DE MATERIALES ELÉCTRICOS EN TECNOLOGÍA LED PARA EL ALUMBRADO PÚBLICO DEL MUNICIPIO DE BUCARAMANGA. FASE IV.</t>
  </si>
  <si>
    <t>Luminarias Suministradas LED 4.310,</t>
  </si>
  <si>
    <t>OBRAS DE INFRAESTRUCTURA Y ALUMBRADO PUBLICO PARA DIFERENTES SECTORES DEL MUNICIPIO DE BUCARAMANGA</t>
  </si>
  <si>
    <t xml:space="preserve">Realizar proyectos conjuntos entre Infraestructrua y Alumbrado Público. </t>
  </si>
  <si>
    <t>MODERNIZACIÓN DEL ALUMBRADO PÚBLICO DE CANCHAS DEL ARERA URBANA DEL BUCARAMANGA</t>
  </si>
  <si>
    <t>Se cambia por PARQUE: Modernización led, mantenimento de redes y postes  y modernización de tablero de control.</t>
  </si>
  <si>
    <t xml:space="preserve">Mantener el funcionamiento del 100% de las luminarias operativas. </t>
  </si>
  <si>
    <t xml:space="preserve">Porcentaje de luminarias operativas en funcionamiento. </t>
  </si>
  <si>
    <t>FORTALECIMIENTO DE LA ADMINISTRACIÓN Y OPERACIÓN DE ALUMBRADO PÚBLICO DE BUCARAMANGA</t>
  </si>
  <si>
    <t>El funcinamiento administrativo y operativo de la oficina de alumbrado publico para mantener el 100% de las luminarias en funcionamiento</t>
  </si>
  <si>
    <t>MANTENIMIENTO DEL SISTEMA DE ALUMBRADO PÚBLICO 2020-2023 DEL MUNICIPIO DE BUCARAMANGA</t>
  </si>
  <si>
    <t xml:space="preserve">Se realiza subasta de mariales electricos para le funcionamiento del 100% del alumbrado publico.  Despeje de luninarias. </t>
  </si>
  <si>
    <t>Implementar 1 herramienta que permita integrar la gestión y el control de la infraestructura del alumbrado público mediante las TIC.</t>
  </si>
  <si>
    <t>Porcentaje de avance en la implementación de la herramienta que permita integrar la gestión y el control de la infraestructura del alumbrado público mediante las TIC.</t>
  </si>
  <si>
    <t>IMPLEMENTACIÓN DE PUNTOS DE GESTIÓN INTELIGENTE Y MEDIDA PARA LA RED DE ALUMBRADO PÚBLICO DEL MUNICIPIO DE BUCARAMANGA</t>
  </si>
  <si>
    <t>Instalar 30.000 puntos de luminarias telegestionadas para construir una red de alumbrado público inteligente basado en sensórica y dispositivos interconectados para la telegestión.</t>
  </si>
  <si>
    <t>Número de puntos de luminarias telegestionadas instaladas para construir una red de alumbrado público inteligente basado en sensórica y dispositivos interconectados para la telegestión.</t>
  </si>
  <si>
    <t>2.3.2.02.02.009.4501007.226
2.3.2.02.02.009.4501007.253</t>
  </si>
  <si>
    <t>Implementar y mantener 1 sistema para adquisición, análisis, procesamiento y visualización de información de la red de alumbrado público inteligente e interoperable con otros sistemas.</t>
  </si>
  <si>
    <t>Número de sistemas implementados y mantenidos para adquisición, análisis, procesamiento y visualización de información de la red de alumbrado público inteligente e interoperable con otros sistemas.</t>
  </si>
  <si>
    <t>Implementar 1 centro de control y gestión que asegure la interoperabilidad, integración y el análisis de la información proveniente de la red de alumbrado público inteligente y otras.</t>
  </si>
  <si>
    <t>Porcentaje de avance en la implementación del centro de control y gestión que asegure la interoperabilidad, integración y el análisis de la información proveniente de la red de alumbrado público inteligente y otras.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</si>
  <si>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</si>
  <si>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</si>
  <si>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</si>
  <si>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</si>
  <si>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</si>
  <si>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FORTALECIMIENTO A LA EJECUCIÓN DE LOS PROCESOS TRANSVERSALES DE LA SECRETARÍA DE INFRAESTRUCTURA DEL MUNICIPIO DE BUCARAMANGA</t>
  </si>
  <si>
    <t>2.3.2.02.02.008.4599031.201</t>
  </si>
  <si>
    <t>FORTALECIMIENTO EN LA PLANIFICACIÓN DE LAS OBRAS DE INFRAESTRUCTURA DEL MUNICIPIO DE BUCARAMANGA</t>
  </si>
  <si>
    <t xml:space="preserve">Planificar y estructurar el 100% de Proyectos para obras </t>
  </si>
  <si>
    <t>SUBSIDIO DE LOS SERVICIOS DE ACUEDUCTO, ALCANTARILLADO Y ASEO A LA POBLACIÓN DE ESTRATO 1, 2 Y 3 DEL MUNICIPIO DE BUCARAMANGA</t>
  </si>
  <si>
    <t>Beneficiar el 100% de la población de estratos 1, 2 y 3 con subsidio de Acueducto, Alcantarillado y Aseo</t>
  </si>
  <si>
    <t>TOTALES</t>
  </si>
  <si>
    <t>2.3.2.02.02.005.2402114.201
2.3.2.02.02.005.2402114.273</t>
  </si>
  <si>
    <t>2.3.2.02.02.005.2402114.273</t>
  </si>
  <si>
    <t>PENDIENTE POR ADICIONAR</t>
  </si>
  <si>
    <t>LOS RECURSOS DE PAGO COMPENSADOS POR CUPO DE PARQUEO</t>
  </si>
  <si>
    <t>2.3.2.02.02.005.2402127.232</t>
  </si>
  <si>
    <t>2.3.2.02.02.005.2402042.201</t>
  </si>
  <si>
    <t>FORTALECIMIENTO INSTITUCIONALDE APOYO PROFESIONAL A LA SECRETARIA DE INFRAESTRUCTURA PARA EL DESARROLLO DE LAS OBRAS DE REACTIVACION ECONOMICA EN EL MUNICIPIO DE BUCARAMANGA</t>
  </si>
  <si>
    <t>SERVICIO DE INTERVENTORIA TECNICA, ADMINISTRATIVA, FINANCIERA Y AMBIENTAL PARA LA AMPLIACION DEL CORREDOR VIAL PRIMARIO BUCARAMANGA - FLORIDABLANCA SECTOR PUERTA DEL SOL - PUENTE PROVENZA DEL MUNICIPIO DE BUCARAMANGA.</t>
  </si>
  <si>
    <t>ACTUALIZACION DE ESTUDIOS Y DISEÑOS FASE I DE LA CONEXIÓN  VIAL ORIENTE - OCCIDENTE A TRAVÉS DEL CORREDOR COMPRENDIDO ENTRE CALLES 54 Y CALLE 56 DEL MUNICIPIO DE BUCARAMANGA</t>
  </si>
  <si>
    <t>2.3.2.02.02.008.2402118.230</t>
  </si>
  <si>
    <t xml:space="preserve">2.3.2.02.02.005.4502002.201
</t>
  </si>
  <si>
    <t>ADECUACION Y MEJORAMIENTO DE PARQUES Y ESPACIO PUBLICO DEL MUNICIPIO DE BUCARAMANGA</t>
  </si>
  <si>
    <t>2.3.2.02.02.005.4301012.273</t>
  </si>
  <si>
    <t>2.3.2.02.02.008.2408004.273</t>
  </si>
  <si>
    <t>MEJORAMIENTO DE LAS INSTALACIONES DEL INSTITUTO TECNOLOGICO DAMASO ZAPATA FASE I DEL MUNICIPIO DE BUCARAMANGA</t>
  </si>
  <si>
    <t>2.3.2.02.02.005.2201052.273</t>
  </si>
  <si>
    <t>ADECUACION DE LOS SALONES COMUNALES EN DIFERENTES SECTORES DEL MUNICIPIO DE BUCARAMANGA</t>
  </si>
  <si>
    <t>BUCARAMANGA EQUITATIVA E INCLUYENTE: UNA CIUDAD DE BIENESTAR</t>
  </si>
  <si>
    <t>Educación De Calidad, Garantía De Una Ciudad De Oportunidades</t>
  </si>
  <si>
    <t>Cobertura Y Equidad De La Educación Preescolar, Básica Y Media</t>
  </si>
  <si>
    <t>Realizar 25 intervenciones a colegios públicos de Bucaramanga.</t>
  </si>
  <si>
    <t>Número de intervenciones realizadas a colegios públicos de Bucaramanga.</t>
  </si>
  <si>
    <t>Capacidades Y Oportunidades Para Superar Brechas Sociales</t>
  </si>
  <si>
    <t>Primera Infancia El Centro De La Sociedad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</si>
  <si>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</si>
  <si>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</si>
  <si>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Sec. de Infraestructura</t>
  </si>
  <si>
    <t>Vida Cultural Y Bienestar Creativo Sostenible</t>
  </si>
  <si>
    <t>Patrimonio Cultural: Circuitos Culturales Y Creativos Para Todos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</si>
  <si>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</si>
  <si>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</si>
  <si>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ESTUDIO DE VALORACIÓN ESTRATEGICA PARA LA ADMINISTRACIÓN, OPERACIÓN Y MANTENIMIENTO DEL ALUMBRADO PÚBLICO DE BUCARAMANGA</t>
  </si>
  <si>
    <t>MANTENIMIENTO DE PARQUES Y ESPACIOS RECREODEPORTIVOS Y ZONAS VERDES EN DIFERENTES COMUNAS DEL MUNICIPIO DE BUCARAMANGA</t>
  </si>
  <si>
    <t>2.3.2.02.02.005.2402113.230
2.3.2.02.02.005.2402113.255
2.3.2.02.02.005.2402113.273 2.3.2.02.02.005.2402113.530</t>
  </si>
  <si>
    <t>MEJORAMIENTO DEL SENDERO DE LOS CAMINANTES EN LOS CERROS ORIENTALES EN EL MUNICIPIO DE BUCARAMANGA.</t>
  </si>
  <si>
    <t xml:space="preserve">POR DEFINIR RECURSOS  </t>
  </si>
  <si>
    <t xml:space="preserve">POR DEFINIR PROYECTO   </t>
  </si>
  <si>
    <t>2.3.2.02.02.005.4102005.516</t>
  </si>
  <si>
    <t>POR DEFINIR PROYECTOS DE PASIVOS EXIGIBLES</t>
  </si>
  <si>
    <t xml:space="preserve">2.3.2.02.02.008.2106003.226 </t>
  </si>
  <si>
    <t>PARQUE SANTANDER Y PARQUE SAN PIO : Modernización, mantenimento de redes y postes  y modernización de tablero de control.</t>
  </si>
  <si>
    <t>MODERNIZACIÓN DE TABLEROS , SUSTITUCION DEL CABLE DE LA CARRERA 15 Y MANTENIMIENTO A LOS TRANSFORMADORES DE ALUMBRADO PUBLICO DEL MUNICIPIO DE BUCARAMANGA</t>
  </si>
  <si>
    <t xml:space="preserve">2.3.2.02.02.009.2102013.526 </t>
  </si>
  <si>
    <t xml:space="preserve">2.3.2.02.02.009.2102012.526 </t>
  </si>
  <si>
    <t>MODERNIZACIÓN DEL ALUMBRADO PÚBLICO DE PARQUE SARRAPIOS Y PEATONALES CRA 40 DE BUCARAMANGA</t>
  </si>
  <si>
    <t>MODERNIZACIÓN DEL ALUMBRADO PÚBLICO DE PARQUE LA LOMA DE BUCARAMANGA</t>
  </si>
  <si>
    <t>Modernizacion Led, mantenimiento de redes y postes, y modernización de tableros de control.</t>
  </si>
  <si>
    <t>2.3.2.02.02.009.2102013.526</t>
  </si>
  <si>
    <t xml:space="preserve">Construcción  de S/E, redes subterraneas, postes e iluminacioón Led. </t>
  </si>
  <si>
    <t xml:space="preserve">2.3.2.02.02.009.4501007.526 </t>
  </si>
  <si>
    <t>MODERNIZACIÓN DEL ALUMBRADO PÚBLICO DE LA CALLE 56 DEL MUNICIPIO DE BUCARAMANGA - FASE I</t>
  </si>
  <si>
    <t>MODERNIZACIÓN DEL ALUMBRADO PÚBLICO ENTRE LAS CALLES 34 Y 37 Y ENTRE LAS CARRERAS 10 A LA 12 DEL MUNICIPIO DE BUCARAMANGA.</t>
  </si>
  <si>
    <t>INTERVENTORÍA A LAS OBRAS MODERNIZACIÓN DEL ALUMBRADO PÚBLICO PASARELA DE CALZADO (LA CARRERA 22 ENTRE CALLES 19 Y 20 Y CALLES 19,20,21 Y 22 ENTRE CARRERAS 21 Y 23) DEL MUNICIPIO DE BUCARAMANGA.</t>
  </si>
  <si>
    <t>MODERNIZACIÓN Y EXPANSIÓN DEL ALUMBRADO PÚBLICO PERIMETRAL DEL PARQUE ECOLÓGICO LA FLORA DEL MUNICIPIO DE BUCARAMANGA</t>
  </si>
  <si>
    <t>MODERNIZACIÓN DEL ALUMBRADO PÚBLICO DE LA CALLE DE LOS ESTUDIANTES ENTRE LA CALLE 54 A Y LA DIAGONAL 14 DEL MUNICIPIO DE BUCARAMANGA.</t>
  </si>
  <si>
    <t>CONSTRUCCION DEL ALUMBRADO PUBLICO DEL PARQUE LINEAL RIO DE ORO FASE II</t>
  </si>
  <si>
    <t>2.3.7.06.02.4599002.626</t>
  </si>
  <si>
    <t>31011/2021</t>
  </si>
  <si>
    <t xml:space="preserve">Instalar 12.722 puntos Inteligentes. </t>
  </si>
  <si>
    <t>2.3.2.02.02.005.2409042.501</t>
  </si>
  <si>
    <t>2.3.2.02.02.008.4599031.501</t>
  </si>
  <si>
    <t>MEJORAMIENTO DE LA MALLA VIAL VEREDAL DEL MUNICIPIO DE BUCARAMANGA”</t>
  </si>
  <si>
    <t>pasivos exigibles</t>
  </si>
  <si>
    <t>ADECUACION DEL TEATRINO DE LA ESCUELA DE ARTES MUNICIPAL ARTES (EMA) EN EL MUNICIPIO DE BUCARAMANGA”</t>
  </si>
  <si>
    <t>2.3.2.02.01.002.4599016.226
2.3.2.02.01.003.4599016.226
2.3.2.02.01.004.4599016.226
2.3.2.02.02.006.4599016.226
2.3.2.02.02.006.4599016.253
2.3.2.02.02.007.4599016.253
2.3.2.02.02.008.4599016.226
2.3.2.02.02.008.4599016.253
2.3.2.02.02.008.4599031.226
2.3.2.02.01.004.4599016.526
2.3.2.02.02.006.4599016.526
2.3.2.02.02.007.4599016.526
2.3.2.02.02.008.4599016.526
2.3.2.02.02.008.4599031.526
2.3.7.06.02.4599002.626</t>
  </si>
  <si>
    <t xml:space="preserve">2.3.2.02.02.008.4599016.226 </t>
  </si>
  <si>
    <t>2.3.2.02.02.008.4599016.526</t>
  </si>
  <si>
    <t>2.3.2.0202.005.3301038.201
2.3.2.02.02.005.4104002.201
2.3.2.02.02.005.4301004.201</t>
  </si>
  <si>
    <t>2.3.2.02.02.009.2102013.226
2.3.2.02.02.009.2102013.526</t>
  </si>
  <si>
    <t>2.3.2.02.02.009.2102010.226 
2.3.2.02.02.009.2102010.526</t>
  </si>
  <si>
    <t>2.3.7.06.02.4599002.601
2.3.2.02.02.005.3301038.201</t>
  </si>
  <si>
    <t>2.3.7.06.02.4599002.601
2.3.2.02.02.005.4502002.201
2.3.2.02.02.008.4502002.201</t>
  </si>
  <si>
    <t>2.3.7.06.02.4599002.673
2.3.7.06.02.4599002.601</t>
  </si>
  <si>
    <t>2.3.2.02.02.008.4002004.201
2.3.7.06.02.4599002.601
2.3.2.02.02.005.4002020.201</t>
  </si>
  <si>
    <t>MODERNIZACIÓN DEL ALUMBRADO PÚBLICO A TECNOLOGÍA LED DE LAS COMUNAS DEL MUNICIPIO DE BUCARAMANGA</t>
  </si>
  <si>
    <t>2.3.7.06.02.4599002.601 
2.3.7.06.02.4599002.682</t>
  </si>
  <si>
    <t>MODERNIZACIÓN DEL ALUMBRADO PUBLICO DEL PARQUE MORRORICO FASE III, DEL MUNICIPIO DE BUCARAMANGA</t>
  </si>
  <si>
    <t>2.3.7.06.02.4599002.626
2.3.7.06.02.4599002.601</t>
  </si>
  <si>
    <t>2.3.2.02.02.008.4599016.253 
2.3.2.02.02.008.4599016.526 
2.3.2.02.02.009.2102011.526</t>
  </si>
  <si>
    <t>2.3.2.02.02.008.2201039.501 
2.3.2.02.02.008.3205016.501</t>
  </si>
  <si>
    <t>2.3.2.02.02.005.4003017.201 
2.3.2.02.02.005.4003015.521 
2.3.2.02.02.005.4003015.604</t>
  </si>
  <si>
    <t>2.3.2.02.02.005.4003044.201 
2.3.2.02.02.005.4003045.515 
2.3.2.02.02.005.4003045.706</t>
  </si>
  <si>
    <t>2.3.2.02.02.008.4002026.501 
2.3.2.02.02.008.4002026.513</t>
  </si>
  <si>
    <t>2.3.2.02.02.005.4002022.201 
Pendiente por adicionar 88.550,95</t>
  </si>
  <si>
    <t>2.3.2.02.02.005.4104002.201
2.3.2.02.02.005.4104002.267</t>
  </si>
  <si>
    <t>Por adicionar</t>
  </si>
  <si>
    <t>2.3.2.02.02.005.4002020.501
2.3.2.02.02.005.4002020.588</t>
  </si>
  <si>
    <t>2.3.2.02.02.009.4501007.526
2.3.2.02.02.009.4501007.253</t>
  </si>
  <si>
    <t>2.3.7.06.02.4599002.601 
2.3.7.06.02.4599002.615
2.3.7.06.02.4599002.620 
2.3.7.06.02.4599002.630 
2.3.7.06.02.4599002.682
2.3.2.02.02.005.2402127.588</t>
  </si>
  <si>
    <t>Proyecto por archivar</t>
  </si>
  <si>
    <t>2.3.2.02.02.005.2402127.233
2.3.2.02.02.005.2402127.282 
2.3.2.02.02.005.2402127.605</t>
  </si>
  <si>
    <t>2.3.2.02.02.005.4301012.273
2.3.2.02.02.005.4103027.273</t>
  </si>
  <si>
    <t>2.3.2.02.02.009.4003047.201
2.3.2.02.02.009.4003047.215
2.3.2.02.02.009.4003047.260
2.3.2.02.02.009.4003047.268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</si>
</sst>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8" formatCode="_-&quot;$&quot;* #,##0_-;\-&quot;$&quot;* #,##0_-;_-&quot;$&quot;* &quot;-&quot;_-;_-@_-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7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14" fontId="3" fillId="0" borderId="1" xfId="0" applyNumberFormat="1" applyFont="1" applyBorder="1" applyAlignment="1">
      <alignment horizontal="center"/>
    </xf>
    <xf numFmtId="16" fontId="3" fillId="0" borderId="0" xfId="0" applyNumberFormat="1" applyFont="1"/>
    <xf numFmtId="0" fontId="3" fillId="0" borderId="0" xfId="0" applyFont="1" applyAlignment="1">
      <alignment horizontal="justify"/>
    </xf>
    <xf numFmtId="0" fontId="3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7" fillId="3" borderId="13" xfId="0" applyFont="1" applyFill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3" fillId="0" borderId="13" xfId="0" applyFont="1" applyBorder="1" applyAlignment="1">
      <alignment vertical="center"/>
    </xf>
    <xf numFmtId="0" fontId="3" fillId="0" borderId="13" xfId="0" applyFont="1" applyBorder="1"/>
    <xf numFmtId="164" fontId="3" fillId="0" borderId="14" xfId="0" applyNumberFormat="1" applyFont="1" applyBorder="1" applyAlignment="1">
      <alignment horizontal="center" vertical="center" wrapText="1"/>
    </xf>
    <xf numFmtId="9" fontId="8" fillId="0" borderId="13" xfId="0" applyNumberFormat="1" applyFont="1" applyBorder="1" applyAlignment="1">
      <alignment horizontal="center" vertical="center" wrapText="1"/>
    </xf>
    <xf numFmtId="9" fontId="8" fillId="3" borderId="13" xfId="0" applyNumberFormat="1" applyFont="1" applyFill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justify" vertical="center" wrapText="1"/>
    </xf>
    <xf numFmtId="5" fontId="6" fillId="0" borderId="13" xfId="1" applyNumberFormat="1" applyFont="1" applyFill="1" applyBorder="1" applyAlignment="1">
      <alignment horizontal="center" vertical="center" wrapText="1"/>
    </xf>
    <xf numFmtId="9" fontId="6" fillId="0" borderId="13" xfId="2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/>
    <xf numFmtId="164" fontId="3" fillId="0" borderId="23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25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 wrapText="1"/>
    </xf>
    <xf numFmtId="0" fontId="3" fillId="4" borderId="24" xfId="0" applyFont="1" applyFill="1" applyBorder="1" applyAlignment="1">
      <alignment horizontal="justify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3" fillId="0" borderId="10" xfId="0" applyFont="1" applyBorder="1"/>
    <xf numFmtId="0" fontId="3" fillId="0" borderId="6" xfId="0" applyFont="1" applyBorder="1" applyAlignment="1">
      <alignment vertical="center"/>
    </xf>
    <xf numFmtId="0" fontId="3" fillId="0" borderId="5" xfId="0" applyFont="1" applyBorder="1"/>
    <xf numFmtId="1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1" fontId="6" fillId="4" borderId="24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3" fillId="2" borderId="33" xfId="0" applyFont="1" applyFill="1" applyBorder="1" applyAlignment="1">
      <alignment horizontal="justify"/>
    </xf>
    <xf numFmtId="0" fontId="3" fillId="2" borderId="34" xfId="0" applyFont="1" applyFill="1" applyBorder="1"/>
    <xf numFmtId="0" fontId="3" fillId="2" borderId="33" xfId="0" applyFont="1" applyFill="1" applyBorder="1"/>
    <xf numFmtId="0" fontId="3" fillId="2" borderId="26" xfId="0" applyFont="1" applyFill="1" applyBorder="1"/>
    <xf numFmtId="0" fontId="11" fillId="2" borderId="26" xfId="0" applyFont="1" applyFill="1" applyBorder="1" applyAlignment="1">
      <alignment vertical="center"/>
    </xf>
    <xf numFmtId="9" fontId="11" fillId="2" borderId="25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vertical="center"/>
    </xf>
    <xf numFmtId="166" fontId="11" fillId="2" borderId="25" xfId="1" applyNumberFormat="1" applyFont="1" applyFill="1" applyBorder="1" applyAlignment="1">
      <alignment vertical="center"/>
    </xf>
    <xf numFmtId="9" fontId="11" fillId="2" borderId="33" xfId="2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/>
    <xf numFmtId="0" fontId="8" fillId="0" borderId="0" xfId="0" applyFont="1" applyAlignment="1">
      <alignment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justify" vertical="center" wrapText="1"/>
    </xf>
    <xf numFmtId="0" fontId="0" fillId="0" borderId="0" xfId="0" applyFont="1"/>
    <xf numFmtId="0" fontId="6" fillId="4" borderId="24" xfId="0" applyFont="1" applyFill="1" applyBorder="1" applyAlignment="1">
      <alignment horizontal="justify" vertical="center" wrapText="1"/>
    </xf>
    <xf numFmtId="0" fontId="3" fillId="4" borderId="33" xfId="0" applyFont="1" applyFill="1" applyBorder="1" applyAlignment="1">
      <alignment horizontal="justify" vertical="center" wrapText="1"/>
    </xf>
    <xf numFmtId="0" fontId="3" fillId="0" borderId="1" xfId="0" applyFont="1" applyBorder="1"/>
    <xf numFmtId="0" fontId="3" fillId="4" borderId="9" xfId="0" applyFont="1" applyFill="1" applyBorder="1" applyAlignment="1">
      <alignment vertical="center" wrapText="1"/>
    </xf>
    <xf numFmtId="164" fontId="6" fillId="0" borderId="9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justify" vertical="center" wrapText="1"/>
    </xf>
    <xf numFmtId="44" fontId="3" fillId="0" borderId="0" xfId="1" applyFont="1"/>
    <xf numFmtId="9" fontId="6" fillId="0" borderId="6" xfId="2" applyFont="1" applyFill="1" applyBorder="1" applyAlignment="1">
      <alignment horizontal="center" vertical="center" wrapText="1"/>
    </xf>
    <xf numFmtId="9" fontId="6" fillId="0" borderId="19" xfId="2" applyFont="1" applyFill="1" applyBorder="1" applyAlignment="1">
      <alignment horizontal="center" vertical="center" wrapText="1"/>
    </xf>
    <xf numFmtId="9" fontId="6" fillId="0" borderId="10" xfId="2" applyFont="1" applyFill="1" applyBorder="1" applyAlignment="1">
      <alignment horizontal="center" vertical="center" wrapText="1"/>
    </xf>
    <xf numFmtId="5" fontId="6" fillId="0" borderId="6" xfId="1" applyNumberFormat="1" applyFont="1" applyFill="1" applyBorder="1" applyAlignment="1">
      <alignment horizontal="center" vertical="center" wrapText="1"/>
    </xf>
    <xf numFmtId="5" fontId="6" fillId="0" borderId="10" xfId="1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  <xf numFmtId="9" fontId="8" fillId="3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9" xfId="0" applyFont="1" applyFill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168" fontId="3" fillId="0" borderId="0" xfId="0" applyNumberFormat="1" applyFont="1"/>
    <xf numFmtId="0" fontId="7" fillId="3" borderId="6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justify" vertical="center" wrapText="1"/>
    </xf>
    <xf numFmtId="44" fontId="3" fillId="0" borderId="0" xfId="0" applyNumberFormat="1" applyFont="1"/>
    <xf numFmtId="0" fontId="3" fillId="0" borderId="5" xfId="0" applyFont="1" applyBorder="1" applyAlignment="1">
      <alignment vertical="center"/>
    </xf>
    <xf numFmtId="166" fontId="6" fillId="3" borderId="9" xfId="1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justify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166" fontId="6" fillId="4" borderId="9" xfId="1" applyNumberFormat="1" applyFont="1" applyFill="1" applyBorder="1" applyAlignment="1">
      <alignment horizontal="center" vertical="center" wrapText="1"/>
    </xf>
    <xf numFmtId="166" fontId="6" fillId="4" borderId="5" xfId="1" applyNumberFormat="1" applyFont="1" applyFill="1" applyBorder="1" applyAlignment="1">
      <alignment horizontal="center" vertical="center" wrapText="1"/>
    </xf>
    <xf numFmtId="166" fontId="6" fillId="4" borderId="5" xfId="1" applyNumberFormat="1" applyFont="1" applyFill="1" applyBorder="1" applyAlignment="1">
      <alignment horizontal="center" vertical="center"/>
    </xf>
    <xf numFmtId="166" fontId="6" fillId="4" borderId="1" xfId="1" applyNumberFormat="1" applyFont="1" applyFill="1" applyBorder="1" applyAlignment="1">
      <alignment horizontal="center" vertical="center" wrapText="1"/>
    </xf>
    <xf numFmtId="166" fontId="2" fillId="4" borderId="9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1" fontId="9" fillId="4" borderId="25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9" fontId="6" fillId="0" borderId="5" xfId="2" applyFont="1" applyFill="1" applyBorder="1" applyAlignment="1">
      <alignment horizontal="center" vertical="center" wrapText="1"/>
    </xf>
    <xf numFmtId="9" fontId="6" fillId="0" borderId="9" xfId="2" applyFont="1" applyFill="1" applyBorder="1" applyAlignment="1">
      <alignment horizontal="center" vertical="center" wrapText="1"/>
    </xf>
    <xf numFmtId="9" fontId="3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5" fontId="6" fillId="0" borderId="5" xfId="1" applyNumberFormat="1" applyFont="1" applyFill="1" applyBorder="1" applyAlignment="1">
      <alignment horizontal="center" vertical="center" wrapText="1"/>
    </xf>
    <xf numFmtId="5" fontId="6" fillId="0" borderId="9" xfId="1" applyNumberFormat="1" applyFont="1" applyFill="1" applyBorder="1" applyAlignment="1">
      <alignment horizontal="center" vertical="center" wrapText="1"/>
    </xf>
    <xf numFmtId="9" fontId="6" fillId="0" borderId="19" xfId="2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5" fontId="6" fillId="0" borderId="19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9" xfId="0" applyFont="1" applyFill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justify" vertical="center" wrapText="1"/>
    </xf>
    <xf numFmtId="0" fontId="7" fillId="3" borderId="19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166" fontId="6" fillId="4" borderId="10" xfId="1" applyNumberFormat="1" applyFont="1" applyFill="1" applyBorder="1" applyAlignment="1">
      <alignment horizontal="center" vertical="center" wrapText="1"/>
    </xf>
    <xf numFmtId="168" fontId="14" fillId="0" borderId="1" xfId="3" applyNumberFormat="1" applyFont="1" applyBorder="1" applyAlignment="1">
      <alignment horizontal="center" vertical="center"/>
    </xf>
    <xf numFmtId="166" fontId="3" fillId="4" borderId="1" xfId="1" applyNumberFormat="1" applyFont="1" applyFill="1" applyBorder="1" applyAlignment="1">
      <alignment vertical="center" wrapText="1"/>
    </xf>
    <xf numFmtId="166" fontId="6" fillId="4" borderId="1" xfId="1" applyNumberFormat="1" applyFont="1" applyFill="1" applyBorder="1" applyAlignment="1">
      <alignment vertical="center" wrapText="1"/>
    </xf>
    <xf numFmtId="166" fontId="3" fillId="4" borderId="1" xfId="1" applyNumberFormat="1" applyFont="1" applyFill="1" applyBorder="1" applyAlignment="1">
      <alignment horizontal="right" vertical="center" wrapText="1"/>
    </xf>
    <xf numFmtId="166" fontId="3" fillId="4" borderId="1" xfId="1" applyNumberFormat="1" applyFont="1" applyFill="1" applyBorder="1" applyAlignment="1">
      <alignment horizontal="center" vertical="center" wrapText="1"/>
    </xf>
    <xf numFmtId="166" fontId="3" fillId="0" borderId="13" xfId="1" applyNumberFormat="1" applyFont="1" applyBorder="1" applyAlignment="1">
      <alignment horizontal="justify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166" fontId="2" fillId="0" borderId="13" xfId="1" applyNumberFormat="1" applyFont="1" applyBorder="1" applyAlignment="1">
      <alignment horizontal="center" vertical="center" wrapText="1"/>
    </xf>
    <xf numFmtId="166" fontId="6" fillId="3" borderId="13" xfId="1" applyNumberFormat="1" applyFont="1" applyFill="1" applyBorder="1" applyAlignment="1">
      <alignment horizontal="center" vertical="center" wrapText="1"/>
    </xf>
    <xf numFmtId="166" fontId="3" fillId="0" borderId="6" xfId="1" applyNumberFormat="1" applyFont="1" applyBorder="1" applyAlignment="1">
      <alignment horizontal="justify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2" fillId="0" borderId="6" xfId="1" applyNumberFormat="1" applyFont="1" applyBorder="1" applyAlignment="1">
      <alignment horizontal="center" vertical="center" wrapText="1"/>
    </xf>
    <xf numFmtId="166" fontId="6" fillId="4" borderId="6" xfId="1" applyNumberFormat="1" applyFont="1" applyFill="1" applyBorder="1" applyAlignment="1">
      <alignment horizontal="center" vertical="center" wrapText="1"/>
    </xf>
    <xf numFmtId="166" fontId="2" fillId="4" borderId="6" xfId="1" applyNumberFormat="1" applyFont="1" applyFill="1" applyBorder="1" applyAlignment="1">
      <alignment horizontal="center" vertical="center" wrapText="1"/>
    </xf>
    <xf numFmtId="166" fontId="3" fillId="4" borderId="5" xfId="1" applyNumberFormat="1" applyFont="1" applyFill="1" applyBorder="1" applyAlignment="1">
      <alignment horizontal="justify" vertical="center" wrapText="1"/>
    </xf>
    <xf numFmtId="166" fontId="2" fillId="4" borderId="5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Border="1" applyAlignment="1">
      <alignment horizontal="center" vertical="center" wrapText="1"/>
    </xf>
    <xf numFmtId="166" fontId="3" fillId="4" borderId="1" xfId="1" applyNumberFormat="1" applyFont="1" applyFill="1" applyBorder="1" applyAlignment="1">
      <alignment horizontal="justify" vertical="center" wrapText="1"/>
    </xf>
    <xf numFmtId="166" fontId="6" fillId="4" borderId="25" xfId="1" applyNumberFormat="1" applyFont="1" applyFill="1" applyBorder="1" applyAlignment="1">
      <alignment horizontal="center" vertical="center" wrapText="1"/>
    </xf>
    <xf numFmtId="166" fontId="2" fillId="4" borderId="25" xfId="1" applyNumberFormat="1" applyFont="1" applyFill="1" applyBorder="1" applyAlignment="1">
      <alignment horizontal="center" vertical="center" wrapText="1"/>
    </xf>
    <xf numFmtId="166" fontId="2" fillId="0" borderId="25" xfId="1" applyNumberFormat="1" applyFont="1" applyBorder="1" applyAlignment="1">
      <alignment horizontal="center" vertical="center" wrapText="1"/>
    </xf>
    <xf numFmtId="166" fontId="3" fillId="4" borderId="9" xfId="1" applyNumberFormat="1" applyFont="1" applyFill="1" applyBorder="1" applyAlignment="1">
      <alignment horizontal="justify" vertical="center" wrapText="1"/>
    </xf>
    <xf numFmtId="166" fontId="6" fillId="6" borderId="9" xfId="1" applyNumberFormat="1" applyFont="1" applyFill="1" applyBorder="1" applyAlignment="1">
      <alignment horizontal="center" vertical="center" wrapText="1"/>
    </xf>
    <xf numFmtId="166" fontId="3" fillId="4" borderId="10" xfId="1" applyNumberFormat="1" applyFont="1" applyFill="1" applyBorder="1" applyAlignment="1">
      <alignment horizontal="justify" vertical="center" wrapText="1"/>
    </xf>
    <xf numFmtId="166" fontId="2" fillId="4" borderId="10" xfId="1" applyNumberFormat="1" applyFont="1" applyFill="1" applyBorder="1" applyAlignment="1">
      <alignment horizontal="center" vertical="center" wrapText="1"/>
    </xf>
    <xf numFmtId="166" fontId="6" fillId="3" borderId="10" xfId="1" applyNumberFormat="1" applyFont="1" applyFill="1" applyBorder="1" applyAlignment="1">
      <alignment horizontal="center" vertical="center" wrapText="1"/>
    </xf>
    <xf numFmtId="166" fontId="3" fillId="4" borderId="13" xfId="1" applyNumberFormat="1" applyFont="1" applyFill="1" applyBorder="1" applyAlignment="1">
      <alignment horizontal="justify" vertical="center" wrapText="1"/>
    </xf>
    <xf numFmtId="166" fontId="6" fillId="4" borderId="13" xfId="1" applyNumberFormat="1" applyFont="1" applyFill="1" applyBorder="1" applyAlignment="1">
      <alignment horizontal="center" vertical="center" wrapText="1"/>
    </xf>
    <xf numFmtId="166" fontId="2" fillId="4" borderId="13" xfId="1" applyNumberFormat="1" applyFont="1" applyFill="1" applyBorder="1" applyAlignment="1">
      <alignment horizontal="center" vertical="center" wrapText="1"/>
    </xf>
    <xf numFmtId="166" fontId="3" fillId="4" borderId="6" xfId="1" applyNumberFormat="1" applyFont="1" applyFill="1" applyBorder="1" applyAlignment="1">
      <alignment horizontal="justify" vertical="center" wrapText="1"/>
    </xf>
    <xf numFmtId="166" fontId="6" fillId="4" borderId="5" xfId="1" applyNumberFormat="1" applyFont="1" applyFill="1" applyBorder="1" applyAlignment="1">
      <alignment vertical="center" wrapText="1"/>
    </xf>
    <xf numFmtId="166" fontId="6" fillId="4" borderId="19" xfId="1" applyNumberFormat="1" applyFont="1" applyFill="1" applyBorder="1" applyAlignment="1">
      <alignment horizontal="center" vertical="center" wrapText="1"/>
    </xf>
    <xf numFmtId="166" fontId="6" fillId="4" borderId="25" xfId="1" applyNumberFormat="1" applyFont="1" applyFill="1" applyBorder="1" applyAlignment="1">
      <alignment vertical="center" wrapText="1"/>
    </xf>
    <xf numFmtId="166" fontId="3" fillId="4" borderId="1" xfId="1" applyNumberFormat="1" applyFont="1" applyFill="1" applyBorder="1" applyAlignment="1">
      <alignment wrapText="1"/>
    </xf>
    <xf numFmtId="166" fontId="3" fillId="4" borderId="24" xfId="1" applyNumberFormat="1" applyFont="1" applyFill="1" applyBorder="1" applyAlignment="1">
      <alignment horizontal="center" vertical="center" wrapText="1"/>
    </xf>
    <xf numFmtId="166" fontId="3" fillId="4" borderId="9" xfId="1" applyNumberFormat="1" applyFont="1" applyFill="1" applyBorder="1" applyAlignment="1">
      <alignment vertical="center" wrapText="1"/>
    </xf>
    <xf numFmtId="166" fontId="3" fillId="4" borderId="9" xfId="1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6" fontId="2" fillId="4" borderId="19" xfId="1" applyNumberFormat="1" applyFont="1" applyFill="1" applyBorder="1" applyAlignment="1">
      <alignment horizontal="center" vertical="center" wrapText="1"/>
    </xf>
    <xf numFmtId="166" fontId="6" fillId="3" borderId="19" xfId="1" applyNumberFormat="1" applyFont="1" applyFill="1" applyBorder="1" applyAlignment="1">
      <alignment horizontal="center" vertical="center" wrapText="1"/>
    </xf>
    <xf numFmtId="166" fontId="3" fillId="4" borderId="25" xfId="1" applyNumberFormat="1" applyFont="1" applyFill="1" applyBorder="1" applyAlignment="1">
      <alignment horizontal="justify" vertical="center" wrapText="1"/>
    </xf>
    <xf numFmtId="166" fontId="3" fillId="4" borderId="19" xfId="1" applyNumberFormat="1" applyFont="1" applyFill="1" applyBorder="1" applyAlignment="1">
      <alignment horizontal="justify" vertical="center" wrapText="1"/>
    </xf>
    <xf numFmtId="166" fontId="6" fillId="4" borderId="1" xfId="1" applyNumberFormat="1" applyFont="1" applyFill="1" applyBorder="1" applyAlignment="1">
      <alignment horizontal="justify" vertical="center" wrapText="1"/>
    </xf>
    <xf numFmtId="166" fontId="3" fillId="4" borderId="24" xfId="1" applyNumberFormat="1" applyFont="1" applyFill="1" applyBorder="1" applyAlignment="1">
      <alignment horizontal="justify" vertical="center" wrapText="1"/>
    </xf>
    <xf numFmtId="166" fontId="6" fillId="4" borderId="24" xfId="1" applyNumberFormat="1" applyFont="1" applyFill="1" applyBorder="1" applyAlignment="1">
      <alignment horizontal="center" vertical="center" wrapText="1"/>
    </xf>
    <xf numFmtId="166" fontId="6" fillId="4" borderId="13" xfId="1" applyNumberFormat="1" applyFont="1" applyFill="1" applyBorder="1" applyAlignment="1">
      <alignment vertical="center" wrapText="1"/>
    </xf>
    <xf numFmtId="166" fontId="6" fillId="6" borderId="5" xfId="1" applyNumberFormat="1" applyFont="1" applyFill="1" applyBorder="1" applyAlignment="1">
      <alignment vertical="center" wrapText="1"/>
    </xf>
    <xf numFmtId="166" fontId="6" fillId="6" borderId="1" xfId="1" applyNumberFormat="1" applyFont="1" applyFill="1" applyBorder="1" applyAlignment="1">
      <alignment vertical="center" wrapText="1"/>
    </xf>
    <xf numFmtId="166" fontId="3" fillId="4" borderId="5" xfId="1" applyNumberFormat="1" applyFont="1" applyFill="1" applyBorder="1"/>
    <xf numFmtId="166" fontId="3" fillId="4" borderId="5" xfId="1" applyNumberFormat="1" applyFont="1" applyFill="1" applyBorder="1" applyAlignment="1">
      <alignment vertical="center"/>
    </xf>
    <xf numFmtId="166" fontId="3" fillId="4" borderId="25" xfId="1" applyNumberFormat="1" applyFont="1" applyFill="1" applyBorder="1" applyAlignment="1">
      <alignment vertical="center" wrapText="1"/>
    </xf>
    <xf numFmtId="1" fontId="9" fillId="4" borderId="25" xfId="0" applyNumberFormat="1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5" fillId="0" borderId="25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1" fontId="3" fillId="0" borderId="25" xfId="0" applyNumberFormat="1" applyFont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166" fontId="6" fillId="4" borderId="9" xfId="1" applyNumberFormat="1" applyFont="1" applyFill="1" applyBorder="1" applyAlignment="1">
      <alignment vertical="center" wrapText="1"/>
    </xf>
    <xf numFmtId="166" fontId="6" fillId="6" borderId="1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0" fontId="3" fillId="4" borderId="5" xfId="1" applyNumberFormat="1" applyFont="1" applyFill="1" applyBorder="1" applyAlignment="1">
      <alignment horizontal="justify" vertical="center" wrapText="1"/>
    </xf>
    <xf numFmtId="166" fontId="3" fillId="6" borderId="1" xfId="1" applyNumberFormat="1" applyFont="1" applyFill="1" applyBorder="1" applyAlignment="1">
      <alignment vertical="center" wrapText="1"/>
    </xf>
    <xf numFmtId="166" fontId="6" fillId="6" borderId="25" xfId="1" applyNumberFormat="1" applyFont="1" applyFill="1" applyBorder="1" applyAlignment="1">
      <alignment horizontal="center" vertical="center" wrapText="1"/>
    </xf>
    <xf numFmtId="166" fontId="3" fillId="6" borderId="1" xfId="1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3" fontId="8" fillId="0" borderId="25" xfId="0" applyNumberFormat="1" applyFont="1" applyBorder="1" applyAlignment="1">
      <alignment vertical="center" wrapText="1"/>
    </xf>
    <xf numFmtId="166" fontId="3" fillId="6" borderId="25" xfId="1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66" fontId="6" fillId="6" borderId="5" xfId="1" applyNumberFormat="1" applyFont="1" applyFill="1" applyBorder="1" applyAlignment="1">
      <alignment horizontal="center" vertical="center" wrapText="1"/>
    </xf>
    <xf numFmtId="166" fontId="6" fillId="6" borderId="9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justify" vertical="center" wrapText="1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justify" vertical="center" wrapText="1"/>
    </xf>
    <xf numFmtId="166" fontId="3" fillId="6" borderId="9" xfId="1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25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justify" vertical="center" wrapText="1"/>
    </xf>
    <xf numFmtId="1" fontId="5" fillId="0" borderId="24" xfId="0" applyNumberFormat="1" applyFont="1" applyBorder="1" applyAlignment="1">
      <alignment horizontal="center" vertical="center"/>
    </xf>
    <xf numFmtId="0" fontId="3" fillId="0" borderId="25" xfId="0" applyFont="1" applyFill="1" applyBorder="1" applyAlignment="1">
      <alignment horizontal="justify" vertical="center" wrapText="1"/>
    </xf>
    <xf numFmtId="166" fontId="6" fillId="6" borderId="19" xfId="1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" fontId="5" fillId="4" borderId="24" xfId="0" applyNumberFormat="1" applyFont="1" applyFill="1" applyBorder="1" applyAlignment="1">
      <alignment horizontal="center" vertical="center"/>
    </xf>
    <xf numFmtId="1" fontId="5" fillId="4" borderId="25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justify" vertical="center" wrapText="1"/>
    </xf>
    <xf numFmtId="164" fontId="3" fillId="0" borderId="24" xfId="0" applyNumberFormat="1" applyFont="1" applyBorder="1" applyAlignment="1">
      <alignment horizontal="justify" vertical="center" wrapText="1"/>
    </xf>
    <xf numFmtId="166" fontId="2" fillId="4" borderId="24" xfId="1" applyNumberFormat="1" applyFont="1" applyFill="1" applyBorder="1" applyAlignment="1">
      <alignment horizontal="center" vertical="center" wrapText="1"/>
    </xf>
    <xf numFmtId="166" fontId="6" fillId="3" borderId="24" xfId="1" applyNumberFormat="1" applyFont="1" applyFill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66" fontId="6" fillId="4" borderId="5" xfId="1" applyNumberFormat="1" applyFont="1" applyFill="1" applyBorder="1" applyAlignment="1">
      <alignment horizontal="justify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66" fontId="6" fillId="4" borderId="9" xfId="1" applyNumberFormat="1" applyFont="1" applyFill="1" applyBorder="1" applyAlignment="1">
      <alignment horizontal="justify" vertical="center" wrapText="1"/>
    </xf>
    <xf numFmtId="166" fontId="13" fillId="2" borderId="25" xfId="1" applyNumberFormat="1" applyFont="1" applyFill="1" applyBorder="1" applyAlignment="1">
      <alignment vertical="center"/>
    </xf>
    <xf numFmtId="1" fontId="8" fillId="4" borderId="13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justify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6" fillId="4" borderId="13" xfId="0" applyNumberFormat="1" applyFont="1" applyFill="1" applyBorder="1" applyAlignment="1">
      <alignment horizontal="center" vertical="center"/>
    </xf>
    <xf numFmtId="0" fontId="3" fillId="0" borderId="25" xfId="0" applyFont="1" applyBorder="1"/>
    <xf numFmtId="166" fontId="3" fillId="0" borderId="1" xfId="1" applyNumberFormat="1" applyFont="1" applyFill="1" applyBorder="1" applyAlignment="1">
      <alignment horizontal="justify" vertical="center" wrapText="1"/>
    </xf>
    <xf numFmtId="166" fontId="6" fillId="0" borderId="25" xfId="1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0" fontId="0" fillId="0" borderId="9" xfId="0" applyBorder="1"/>
    <xf numFmtId="164" fontId="3" fillId="0" borderId="9" xfId="0" applyNumberFormat="1" applyFont="1" applyBorder="1" applyAlignment="1">
      <alignment vertical="center" wrapText="1"/>
    </xf>
    <xf numFmtId="166" fontId="3" fillId="4" borderId="9" xfId="1" applyNumberFormat="1" applyFont="1" applyFill="1" applyBorder="1"/>
    <xf numFmtId="166" fontId="6" fillId="4" borderId="9" xfId="1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>
      <alignment horizontal="justify" vertical="center" wrapText="1"/>
    </xf>
    <xf numFmtId="1" fontId="5" fillId="4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 vertical="center" wrapText="1"/>
    </xf>
    <xf numFmtId="9" fontId="6" fillId="5" borderId="13" xfId="0" applyNumberFormat="1" applyFont="1" applyFill="1" applyBorder="1" applyAlignment="1">
      <alignment horizontal="center" vertical="center"/>
    </xf>
    <xf numFmtId="166" fontId="3" fillId="4" borderId="13" xfId="1" applyNumberFormat="1" applyFont="1" applyFill="1" applyBorder="1" applyAlignment="1">
      <alignment vertical="center" wrapText="1"/>
    </xf>
    <xf numFmtId="166" fontId="3" fillId="6" borderId="13" xfId="1" applyNumberFormat="1" applyFont="1" applyFill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166" fontId="6" fillId="0" borderId="9" xfId="1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1" fontId="5" fillId="0" borderId="25" xfId="0" applyNumberFormat="1" applyFont="1" applyFill="1" applyBorder="1" applyAlignment="1">
      <alignment horizontal="center" vertical="center"/>
    </xf>
    <xf numFmtId="166" fontId="10" fillId="6" borderId="25" xfId="1" applyNumberFormat="1" applyFont="1" applyFill="1" applyBorder="1" applyAlignment="1">
      <alignment vertical="center" wrapText="1"/>
    </xf>
    <xf numFmtId="3" fontId="8" fillId="0" borderId="13" xfId="0" applyNumberFormat="1" applyFont="1" applyFill="1" applyBorder="1" applyAlignment="1">
      <alignment horizontal="center" vertical="center" wrapText="1"/>
    </xf>
    <xf numFmtId="166" fontId="3" fillId="0" borderId="0" xfId="1" applyNumberFormat="1" applyFont="1"/>
    <xf numFmtId="2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9" fontId="8" fillId="3" borderId="6" xfId="0" applyNumberFormat="1" applyFont="1" applyFill="1" applyBorder="1" applyAlignment="1">
      <alignment horizontal="center" vertical="center" wrapText="1"/>
    </xf>
    <xf numFmtId="9" fontId="8" fillId="3" borderId="10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19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6" fillId="4" borderId="6" xfId="0" applyFont="1" applyFill="1" applyBorder="1" applyAlignment="1">
      <alignment horizontal="justify" vertical="center" wrapText="1"/>
    </xf>
    <xf numFmtId="0" fontId="6" fillId="4" borderId="19" xfId="0" applyFont="1" applyFill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justify" vertical="center" wrapText="1"/>
    </xf>
    <xf numFmtId="9" fontId="3" fillId="0" borderId="19" xfId="0" applyNumberFormat="1" applyFont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3" borderId="19" xfId="1" applyNumberFormat="1" applyFont="1" applyFill="1" applyBorder="1" applyAlignment="1">
      <alignment horizontal="center" vertical="center" wrapText="1"/>
    </xf>
    <xf numFmtId="166" fontId="6" fillId="3" borderId="10" xfId="1" applyNumberFormat="1" applyFont="1" applyFill="1" applyBorder="1" applyAlignment="1">
      <alignment horizontal="center" vertical="center" wrapText="1"/>
    </xf>
    <xf numFmtId="166" fontId="6" fillId="3" borderId="25" xfId="1" applyNumberFormat="1" applyFont="1" applyFill="1" applyBorder="1" applyAlignment="1">
      <alignment horizontal="center" vertical="center" wrapText="1"/>
    </xf>
    <xf numFmtId="166" fontId="6" fillId="3" borderId="9" xfId="1" applyNumberFormat="1" applyFont="1" applyFill="1" applyBorder="1" applyAlignment="1">
      <alignment horizontal="center" vertical="center" wrapText="1"/>
    </xf>
    <xf numFmtId="9" fontId="6" fillId="0" borderId="25" xfId="2" applyFont="1" applyFill="1" applyBorder="1" applyAlignment="1">
      <alignment horizontal="center" vertical="center" wrapText="1"/>
    </xf>
    <xf numFmtId="9" fontId="6" fillId="0" borderId="9" xfId="2" applyFont="1" applyFill="1" applyBorder="1" applyAlignment="1">
      <alignment horizontal="center" vertical="center" wrapText="1"/>
    </xf>
    <xf numFmtId="9" fontId="6" fillId="0" borderId="6" xfId="2" applyFont="1" applyFill="1" applyBorder="1" applyAlignment="1">
      <alignment horizontal="center" vertical="center" wrapText="1"/>
    </xf>
    <xf numFmtId="9" fontId="6" fillId="0" borderId="10" xfId="2" applyFont="1" applyFill="1" applyBorder="1" applyAlignment="1">
      <alignment horizontal="center" vertical="center" wrapText="1"/>
    </xf>
    <xf numFmtId="5" fontId="6" fillId="0" borderId="6" xfId="1" applyNumberFormat="1" applyFont="1" applyFill="1" applyBorder="1" applyAlignment="1">
      <alignment horizontal="center" vertical="center" wrapText="1"/>
    </xf>
    <xf numFmtId="5" fontId="6" fillId="0" borderId="10" xfId="1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5" fontId="6" fillId="0" borderId="19" xfId="1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9" fontId="6" fillId="0" borderId="19" xfId="2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35" xfId="0" applyFont="1" applyBorder="1" applyAlignment="1">
      <alignment horizontal="justify" vertical="center" wrapText="1"/>
    </xf>
    <xf numFmtId="0" fontId="6" fillId="0" borderId="30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9" fontId="8" fillId="3" borderId="19" xfId="0" applyNumberFormat="1" applyFont="1" applyFill="1" applyBorder="1" applyAlignment="1">
      <alignment horizontal="center" vertical="center" wrapText="1"/>
    </xf>
    <xf numFmtId="9" fontId="8" fillId="0" borderId="19" xfId="0" applyNumberFormat="1" applyFont="1" applyBorder="1" applyAlignment="1">
      <alignment horizontal="center" vertical="center" wrapText="1"/>
    </xf>
    <xf numFmtId="9" fontId="8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9" fontId="6" fillId="0" borderId="5" xfId="2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7" fillId="3" borderId="25" xfId="0" applyFont="1" applyFill="1" applyBorder="1" applyAlignment="1">
      <alignment horizontal="justify" vertical="center" wrapText="1"/>
    </xf>
    <xf numFmtId="0" fontId="7" fillId="3" borderId="9" xfId="0" applyFont="1" applyFill="1" applyBorder="1" applyAlignment="1">
      <alignment horizontal="justify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9" fontId="8" fillId="0" borderId="25" xfId="0" applyNumberFormat="1" applyFont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center" vertical="center" wrapText="1"/>
    </xf>
    <xf numFmtId="9" fontId="8" fillId="3" borderId="5" xfId="0" applyNumberFormat="1" applyFont="1" applyFill="1" applyBorder="1" applyAlignment="1">
      <alignment horizontal="center" vertical="center" wrapText="1"/>
    </xf>
    <xf numFmtId="9" fontId="8" fillId="3" borderId="25" xfId="0" applyNumberFormat="1" applyFont="1" applyFill="1" applyBorder="1" applyAlignment="1">
      <alignment horizontal="center" vertical="center" wrapText="1"/>
    </xf>
    <xf numFmtId="9" fontId="8" fillId="3" borderId="9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/>
    </xf>
    <xf numFmtId="9" fontId="3" fillId="0" borderId="25" xfId="0" applyNumberFormat="1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3" borderId="24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5" fontId="6" fillId="0" borderId="5" xfId="1" applyNumberFormat="1" applyFont="1" applyFill="1" applyBorder="1" applyAlignment="1">
      <alignment horizontal="center" vertical="center" wrapText="1"/>
    </xf>
    <xf numFmtId="5" fontId="6" fillId="0" borderId="25" xfId="1" applyNumberFormat="1" applyFont="1" applyFill="1" applyBorder="1" applyAlignment="1">
      <alignment horizontal="center" vertical="center" wrapText="1"/>
    </xf>
    <xf numFmtId="5" fontId="6" fillId="0" borderId="9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6" fontId="3" fillId="3" borderId="19" xfId="1" applyNumberFormat="1" applyFont="1" applyFill="1" applyBorder="1" applyAlignment="1">
      <alignment horizontal="center" vertical="center" wrapText="1"/>
    </xf>
    <xf numFmtId="166" fontId="3" fillId="3" borderId="10" xfId="1" applyNumberFormat="1" applyFont="1" applyFill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justify" vertical="center" wrapText="1"/>
    </xf>
    <xf numFmtId="0" fontId="6" fillId="0" borderId="25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4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9" fontId="3" fillId="0" borderId="1" xfId="0" applyNumberFormat="1" applyFont="1" applyBorder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3" fontId="8" fillId="0" borderId="25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166" fontId="6" fillId="3" borderId="1" xfId="1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justify" vertical="center" wrapText="1"/>
    </xf>
    <xf numFmtId="0" fontId="3" fillId="0" borderId="3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9" xfId="0" applyFont="1" applyFill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3" borderId="9" xfId="0" applyFont="1" applyFill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9" fontId="6" fillId="0" borderId="1" xfId="2" applyFont="1" applyFill="1" applyBorder="1" applyAlignment="1">
      <alignment horizontal="center" vertical="center" wrapText="1"/>
    </xf>
    <xf numFmtId="5" fontId="6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justify" vertical="center" wrapText="1"/>
    </xf>
    <xf numFmtId="0" fontId="7" fillId="4" borderId="25" xfId="0" applyFont="1" applyFill="1" applyBorder="1" applyAlignment="1">
      <alignment horizontal="justify" vertical="center" wrapText="1"/>
    </xf>
    <xf numFmtId="0" fontId="6" fillId="4" borderId="25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justify" vertical="center"/>
    </xf>
    <xf numFmtId="9" fontId="5" fillId="3" borderId="9" xfId="0" applyNumberFormat="1" applyFont="1" applyFill="1" applyBorder="1" applyAlignment="1">
      <alignment horizontal="justify" vertical="center"/>
    </xf>
    <xf numFmtId="1" fontId="9" fillId="4" borderId="24" xfId="0" applyNumberFormat="1" applyFont="1" applyFill="1" applyBorder="1" applyAlignment="1">
      <alignment horizontal="justify" vertical="center" wrapText="1"/>
    </xf>
    <xf numFmtId="1" fontId="9" fillId="4" borderId="25" xfId="0" applyNumberFormat="1" applyFont="1" applyFill="1" applyBorder="1" applyAlignment="1">
      <alignment horizontal="justify" vertical="center" wrapText="1"/>
    </xf>
  </cellXfs>
  <cellStyles count="4">
    <cellStyle name="Moneda" xfId="1" builtinId="4"/>
    <cellStyle name="Moneda [0]" xfId="3" builtinId="7"/>
    <cellStyle name="Normal" xfId="0" builtinId="0"/>
    <cellStyle name="Porcentaje" xfId="2" builtinId="5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948647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9131" y="23811"/>
          <a:ext cx="1822566" cy="523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2"/>
  <sheetViews>
    <sheetView showGridLines="0" tabSelected="1" zoomScale="40" zoomScaleNormal="40" zoomScaleSheetLayoutView="90" workbookViewId="0">
      <pane ySplit="5" topLeftCell="A79" activePane="bottomLeft" state="frozen"/>
      <selection activeCell="D1" sqref="D1"/>
      <selection pane="bottomLeft" activeCell="C90" sqref="A90:XFD94"/>
    </sheetView>
  </sheetViews>
  <sheetFormatPr baseColWidth="10" defaultColWidth="11" defaultRowHeight="15" x14ac:dyDescent="0.25"/>
  <cols>
    <col min="1" max="1" width="23" style="6" customWidth="1"/>
    <col min="2" max="3" width="23" style="2" customWidth="1"/>
    <col min="4" max="4" width="39.3984375" style="6" customWidth="1"/>
    <col min="5" max="5" width="39.3984375" style="2" customWidth="1"/>
    <col min="6" max="6" width="22.19921875" style="238" customWidth="1"/>
    <col min="7" max="7" width="49.8984375" style="2" customWidth="1"/>
    <col min="8" max="8" width="40.19921875" style="2" customWidth="1"/>
    <col min="9" max="9" width="14.8984375" style="2" customWidth="1"/>
    <col min="10" max="13" width="17.5" style="2" customWidth="1"/>
    <col min="14" max="14" width="30.5" style="2" bestFit="1" customWidth="1"/>
    <col min="15" max="15" width="27.19921875" style="2" bestFit="1" customWidth="1"/>
    <col min="16" max="18" width="24.5" style="2" customWidth="1"/>
    <col min="19" max="19" width="29.5" style="2" customWidth="1"/>
    <col min="20" max="23" width="24.5" style="2" customWidth="1"/>
    <col min="24" max="24" width="27.69921875" style="2" customWidth="1"/>
    <col min="25" max="25" width="19.3984375" style="2" customWidth="1"/>
    <col min="26" max="26" width="25" style="2" customWidth="1"/>
    <col min="27" max="27" width="24.8984375" style="3" customWidth="1"/>
    <col min="28" max="28" width="18.19921875" style="2" customWidth="1"/>
    <col min="29" max="16384" width="11" style="2"/>
  </cols>
  <sheetData>
    <row r="1" spans="1:28" ht="15.6" x14ac:dyDescent="0.25">
      <c r="A1" s="1" t="s">
        <v>0</v>
      </c>
      <c r="F1" s="393" t="s">
        <v>1</v>
      </c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Y1" s="368"/>
      <c r="Z1" s="115"/>
    </row>
    <row r="2" spans="1:28" ht="15" customHeight="1" x14ac:dyDescent="0.25">
      <c r="A2" s="4">
        <v>44347</v>
      </c>
      <c r="B2" s="5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Y2" s="368"/>
      <c r="Z2" s="115"/>
    </row>
    <row r="3" spans="1:28" ht="16.2" thickBot="1" x14ac:dyDescent="0.3"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Y3" s="368"/>
      <c r="Z3" s="115"/>
    </row>
    <row r="4" spans="1:28" s="7" customFormat="1" ht="23.25" customHeight="1" x14ac:dyDescent="0.25">
      <c r="A4" s="369" t="s">
        <v>2</v>
      </c>
      <c r="B4" s="370"/>
      <c r="C4" s="370"/>
      <c r="D4" s="370"/>
      <c r="E4" s="370"/>
      <c r="F4" s="371" t="s">
        <v>3</v>
      </c>
      <c r="G4" s="370"/>
      <c r="H4" s="370"/>
      <c r="I4" s="370"/>
      <c r="J4" s="370"/>
      <c r="K4" s="372" t="s">
        <v>4</v>
      </c>
      <c r="L4" s="372"/>
      <c r="M4" s="372"/>
      <c r="N4" s="372" t="s">
        <v>5</v>
      </c>
      <c r="O4" s="372"/>
      <c r="P4" s="372"/>
      <c r="Q4" s="372"/>
      <c r="R4" s="372"/>
      <c r="S4" s="372"/>
      <c r="T4" s="372" t="s">
        <v>6</v>
      </c>
      <c r="U4" s="372"/>
      <c r="V4" s="372"/>
      <c r="W4" s="372"/>
      <c r="X4" s="372"/>
      <c r="Y4" s="373" t="s">
        <v>7</v>
      </c>
      <c r="Z4" s="373" t="s">
        <v>8</v>
      </c>
      <c r="AA4" s="399" t="s">
        <v>9</v>
      </c>
      <c r="AB4" s="400"/>
    </row>
    <row r="5" spans="1:28" ht="42" customHeight="1" thickBot="1" x14ac:dyDescent="0.3">
      <c r="A5" s="8" t="s">
        <v>10</v>
      </c>
      <c r="B5" s="9" t="s">
        <v>11</v>
      </c>
      <c r="C5" s="9" t="s">
        <v>12</v>
      </c>
      <c r="D5" s="9" t="s">
        <v>13</v>
      </c>
      <c r="E5" s="10" t="s">
        <v>14</v>
      </c>
      <c r="F5" s="10" t="s">
        <v>15</v>
      </c>
      <c r="G5" s="87" t="s">
        <v>16</v>
      </c>
      <c r="H5" s="10" t="s">
        <v>17</v>
      </c>
      <c r="I5" s="10" t="s">
        <v>18</v>
      </c>
      <c r="J5" s="10" t="s">
        <v>19</v>
      </c>
      <c r="K5" s="10" t="s">
        <v>20</v>
      </c>
      <c r="L5" s="10" t="s">
        <v>21</v>
      </c>
      <c r="M5" s="10" t="s">
        <v>22</v>
      </c>
      <c r="N5" s="9" t="s">
        <v>23</v>
      </c>
      <c r="O5" s="10" t="s">
        <v>24</v>
      </c>
      <c r="P5" s="10" t="s">
        <v>25</v>
      </c>
      <c r="Q5" s="10" t="s">
        <v>26</v>
      </c>
      <c r="R5" s="10" t="s">
        <v>27</v>
      </c>
      <c r="S5" s="10" t="s">
        <v>28</v>
      </c>
      <c r="T5" s="10" t="s">
        <v>24</v>
      </c>
      <c r="U5" s="10" t="s">
        <v>25</v>
      </c>
      <c r="V5" s="10" t="s">
        <v>26</v>
      </c>
      <c r="W5" s="10" t="s">
        <v>27</v>
      </c>
      <c r="X5" s="10" t="s">
        <v>29</v>
      </c>
      <c r="Y5" s="374"/>
      <c r="Z5" s="374"/>
      <c r="AA5" s="10" t="s">
        <v>30</v>
      </c>
      <c r="AB5" s="11" t="s">
        <v>31</v>
      </c>
    </row>
    <row r="6" spans="1:28" ht="84.6" customHeight="1" thickBot="1" x14ac:dyDescent="0.3">
      <c r="A6" s="12" t="s">
        <v>32</v>
      </c>
      <c r="B6" s="13" t="s">
        <v>33</v>
      </c>
      <c r="C6" s="13" t="s">
        <v>34</v>
      </c>
      <c r="D6" s="14" t="s">
        <v>35</v>
      </c>
      <c r="E6" s="15" t="s">
        <v>36</v>
      </c>
      <c r="F6" s="226"/>
      <c r="G6" s="134"/>
      <c r="H6" s="17"/>
      <c r="I6" s="18"/>
      <c r="J6" s="18"/>
      <c r="K6" s="19">
        <v>0</v>
      </c>
      <c r="L6" s="20"/>
      <c r="M6" s="21" t="str">
        <f>IFERROR(IF(L6/K6&gt;100%,100%,L6/K6),"-")</f>
        <v>-</v>
      </c>
      <c r="N6" s="179"/>
      <c r="O6" s="180"/>
      <c r="P6" s="181"/>
      <c r="Q6" s="181"/>
      <c r="R6" s="181"/>
      <c r="S6" s="182">
        <f>SUM(O6:R6)</f>
        <v>0</v>
      </c>
      <c r="T6" s="180"/>
      <c r="U6" s="181"/>
      <c r="V6" s="181"/>
      <c r="W6" s="181"/>
      <c r="X6" s="182">
        <f>SUM(T6:W6)</f>
        <v>0</v>
      </c>
      <c r="Y6" s="24" t="str">
        <f>IFERROR(X6/S6,"-")</f>
        <v>-</v>
      </c>
      <c r="Z6" s="23">
        <v>0</v>
      </c>
      <c r="AA6" s="25" t="s">
        <v>37</v>
      </c>
      <c r="AB6" s="26" t="s">
        <v>38</v>
      </c>
    </row>
    <row r="7" spans="1:28" ht="104.4" customHeight="1" thickBot="1" x14ac:dyDescent="0.3">
      <c r="A7" s="34" t="s">
        <v>32</v>
      </c>
      <c r="B7" s="35" t="s">
        <v>33</v>
      </c>
      <c r="C7" s="35" t="s">
        <v>34</v>
      </c>
      <c r="D7" s="124" t="s">
        <v>39</v>
      </c>
      <c r="E7" s="114" t="s">
        <v>40</v>
      </c>
      <c r="F7" s="56"/>
      <c r="G7" s="57"/>
      <c r="H7" s="57"/>
      <c r="I7" s="37"/>
      <c r="J7" s="37"/>
      <c r="K7" s="110">
        <v>0</v>
      </c>
      <c r="L7" s="111"/>
      <c r="M7" s="106" t="str">
        <f>IFERROR(IF(L7/K7&gt;100%,100%,L7/K7),"-")</f>
        <v>-</v>
      </c>
      <c r="N7" s="183"/>
      <c r="O7" s="184"/>
      <c r="P7" s="185"/>
      <c r="Q7" s="185"/>
      <c r="R7" s="185"/>
      <c r="S7" s="164">
        <f>SUM(O7:R7)</f>
        <v>0</v>
      </c>
      <c r="T7" s="186"/>
      <c r="U7" s="187"/>
      <c r="V7" s="187"/>
      <c r="W7" s="185"/>
      <c r="X7" s="164">
        <f>SUM(T7:W7)</f>
        <v>0</v>
      </c>
      <c r="Y7" s="99" t="str">
        <f>IFERROR(X7/S7,"-")</f>
        <v>-</v>
      </c>
      <c r="Z7" s="102">
        <v>0</v>
      </c>
      <c r="AA7" s="108" t="s">
        <v>37</v>
      </c>
      <c r="AB7" s="104" t="s">
        <v>38</v>
      </c>
    </row>
    <row r="8" spans="1:28" ht="108" customHeight="1" x14ac:dyDescent="0.25">
      <c r="A8" s="377" t="s">
        <v>41</v>
      </c>
      <c r="B8" s="378" t="s">
        <v>42</v>
      </c>
      <c r="C8" s="378" t="s">
        <v>43</v>
      </c>
      <c r="D8" s="381" t="s">
        <v>44</v>
      </c>
      <c r="E8" s="378" t="s">
        <v>45</v>
      </c>
      <c r="F8" s="262">
        <v>20210680010026</v>
      </c>
      <c r="G8" s="250" t="s">
        <v>162</v>
      </c>
      <c r="H8" s="121"/>
      <c r="I8" s="29"/>
      <c r="J8" s="29"/>
      <c r="K8" s="384">
        <v>1</v>
      </c>
      <c r="L8" s="387">
        <v>1</v>
      </c>
      <c r="M8" s="390">
        <f>IFERROR(IF(L8/K8&gt;100%,100%,L8/K8),"-")</f>
        <v>1</v>
      </c>
      <c r="N8" s="188" t="s">
        <v>163</v>
      </c>
      <c r="O8" s="256">
        <v>1114130436</v>
      </c>
      <c r="P8" s="189"/>
      <c r="Q8" s="189"/>
      <c r="R8" s="189"/>
      <c r="S8" s="335">
        <f>SUM(O8:R11)</f>
        <v>1349408297</v>
      </c>
      <c r="T8" s="136"/>
      <c r="U8" s="189"/>
      <c r="V8" s="189"/>
      <c r="W8" s="190"/>
      <c r="X8" s="375">
        <f>SUM(T8:W11)</f>
        <v>69408297</v>
      </c>
      <c r="Y8" s="376">
        <f>IFERROR(X8/S8,"-")</f>
        <v>5.1436097698753069E-2</v>
      </c>
      <c r="Z8" s="401">
        <v>0</v>
      </c>
      <c r="AA8" s="404" t="s">
        <v>37</v>
      </c>
      <c r="AB8" s="407" t="s">
        <v>38</v>
      </c>
    </row>
    <row r="9" spans="1:28" ht="51.75" customHeight="1" x14ac:dyDescent="0.25">
      <c r="A9" s="362"/>
      <c r="B9" s="379"/>
      <c r="C9" s="379"/>
      <c r="D9" s="382"/>
      <c r="E9" s="379"/>
      <c r="F9" s="263"/>
      <c r="G9" s="266" t="s">
        <v>59</v>
      </c>
      <c r="H9" s="117"/>
      <c r="I9" s="116"/>
      <c r="J9" s="116"/>
      <c r="K9" s="385"/>
      <c r="L9" s="388"/>
      <c r="M9" s="391"/>
      <c r="N9" s="191" t="s">
        <v>163</v>
      </c>
      <c r="O9" s="192">
        <v>85869564</v>
      </c>
      <c r="P9" s="193"/>
      <c r="Q9" s="193"/>
      <c r="R9" s="193"/>
      <c r="S9" s="336"/>
      <c r="T9" s="192"/>
      <c r="U9" s="193"/>
      <c r="V9" s="193"/>
      <c r="W9" s="194"/>
      <c r="X9" s="338"/>
      <c r="Y9" s="340"/>
      <c r="Z9" s="402"/>
      <c r="AA9" s="405"/>
      <c r="AB9" s="408"/>
    </row>
    <row r="10" spans="1:28" ht="51.75" customHeight="1" x14ac:dyDescent="0.25">
      <c r="A10" s="362"/>
      <c r="B10" s="379"/>
      <c r="C10" s="379"/>
      <c r="D10" s="382"/>
      <c r="E10" s="379"/>
      <c r="F10" s="142"/>
      <c r="G10" s="41" t="s">
        <v>59</v>
      </c>
      <c r="H10" s="141"/>
      <c r="I10" s="116"/>
      <c r="J10" s="116"/>
      <c r="K10" s="385"/>
      <c r="L10" s="388"/>
      <c r="M10" s="391"/>
      <c r="N10" s="287" t="s">
        <v>233</v>
      </c>
      <c r="O10" s="288">
        <f>40000000+40000000</f>
        <v>80000000</v>
      </c>
      <c r="P10" s="193"/>
      <c r="Q10" s="193"/>
      <c r="R10" s="193"/>
      <c r="S10" s="336"/>
      <c r="T10" s="192"/>
      <c r="U10" s="193"/>
      <c r="V10" s="193"/>
      <c r="W10" s="194"/>
      <c r="X10" s="338"/>
      <c r="Y10" s="340"/>
      <c r="Z10" s="402"/>
      <c r="AA10" s="405"/>
      <c r="AB10" s="408"/>
    </row>
    <row r="11" spans="1:28" ht="75" customHeight="1" thickBot="1" x14ac:dyDescent="0.3">
      <c r="A11" s="364"/>
      <c r="B11" s="380"/>
      <c r="C11" s="380"/>
      <c r="D11" s="383"/>
      <c r="E11" s="380"/>
      <c r="F11" s="227">
        <v>20200680010180</v>
      </c>
      <c r="G11" s="31" t="s">
        <v>47</v>
      </c>
      <c r="H11" s="120" t="s">
        <v>48</v>
      </c>
      <c r="I11" s="32">
        <v>44243</v>
      </c>
      <c r="J11" s="32">
        <v>44271</v>
      </c>
      <c r="K11" s="386"/>
      <c r="L11" s="389"/>
      <c r="M11" s="392"/>
      <c r="N11" s="195" t="s">
        <v>46</v>
      </c>
      <c r="O11" s="196">
        <v>69408297</v>
      </c>
      <c r="P11" s="139"/>
      <c r="Q11" s="139"/>
      <c r="R11" s="139"/>
      <c r="S11" s="337"/>
      <c r="T11" s="135">
        <v>69408297</v>
      </c>
      <c r="U11" s="139"/>
      <c r="V11" s="139"/>
      <c r="W11" s="139"/>
      <c r="X11" s="339"/>
      <c r="Y11" s="341"/>
      <c r="Z11" s="403"/>
      <c r="AA11" s="406"/>
      <c r="AB11" s="409"/>
    </row>
    <row r="12" spans="1:28" ht="122.4" customHeight="1" thickBot="1" x14ac:dyDescent="0.3">
      <c r="A12" s="51" t="s">
        <v>41</v>
      </c>
      <c r="B12" s="52" t="s">
        <v>49</v>
      </c>
      <c r="C12" s="52" t="s">
        <v>50</v>
      </c>
      <c r="D12" s="125" t="s">
        <v>51</v>
      </c>
      <c r="E12" s="113" t="s">
        <v>52</v>
      </c>
      <c r="F12" s="228"/>
      <c r="G12" s="86" t="s">
        <v>53</v>
      </c>
      <c r="H12" s="53"/>
      <c r="I12" s="50"/>
      <c r="J12" s="50"/>
      <c r="K12" s="84">
        <v>1</v>
      </c>
      <c r="L12" s="83"/>
      <c r="M12" s="107">
        <f>IFERROR(IF(L12/K12&gt;100%,100%,L12/K12),"-")</f>
        <v>0</v>
      </c>
      <c r="N12" s="197" t="s">
        <v>234</v>
      </c>
      <c r="O12" s="173">
        <f>128000000+451451357.3+700000000</f>
        <v>1279451357.3</v>
      </c>
      <c r="P12" s="198"/>
      <c r="Q12" s="198"/>
      <c r="R12" s="198"/>
      <c r="S12" s="199">
        <f>SUM(O12:R12)</f>
        <v>1279451357.3</v>
      </c>
      <c r="T12" s="173"/>
      <c r="U12" s="198"/>
      <c r="V12" s="198"/>
      <c r="W12" s="198"/>
      <c r="X12" s="199">
        <f>SUM(T12:W12)</f>
        <v>0</v>
      </c>
      <c r="Y12" s="101">
        <f>IFERROR(X12/S12,"-")</f>
        <v>0</v>
      </c>
      <c r="Z12" s="103">
        <v>0</v>
      </c>
      <c r="AA12" s="109" t="s">
        <v>37</v>
      </c>
      <c r="AB12" s="105" t="s">
        <v>38</v>
      </c>
    </row>
    <row r="13" spans="1:28" ht="114" customHeight="1" thickBot="1" x14ac:dyDescent="0.3">
      <c r="A13" s="12" t="s">
        <v>41</v>
      </c>
      <c r="B13" s="13" t="s">
        <v>49</v>
      </c>
      <c r="C13" s="13" t="s">
        <v>50</v>
      </c>
      <c r="D13" s="14" t="s">
        <v>54</v>
      </c>
      <c r="E13" s="15" t="s">
        <v>55</v>
      </c>
      <c r="F13" s="229"/>
      <c r="G13" s="16" t="s">
        <v>56</v>
      </c>
      <c r="H13" s="17"/>
      <c r="I13" s="18"/>
      <c r="J13" s="18"/>
      <c r="K13" s="19">
        <v>0</v>
      </c>
      <c r="L13" s="20"/>
      <c r="M13" s="21" t="str">
        <f>IFERROR(IF(L13/K13&gt;100%,100%,L13/K13),"-")</f>
        <v>-</v>
      </c>
      <c r="N13" s="200"/>
      <c r="O13" s="201"/>
      <c r="P13" s="202"/>
      <c r="Q13" s="202"/>
      <c r="R13" s="202"/>
      <c r="S13" s="182">
        <f>SUM(O13:R13)</f>
        <v>0</v>
      </c>
      <c r="T13" s="201"/>
      <c r="U13" s="202"/>
      <c r="V13" s="202"/>
      <c r="W13" s="202"/>
      <c r="X13" s="182">
        <f>SUM(T13:W13)</f>
        <v>0</v>
      </c>
      <c r="Y13" s="24" t="str">
        <f>IFERROR(X13/S13,"-")</f>
        <v>-</v>
      </c>
      <c r="Z13" s="23">
        <v>0</v>
      </c>
      <c r="AA13" s="25" t="s">
        <v>37</v>
      </c>
      <c r="AB13" s="26" t="s">
        <v>38</v>
      </c>
    </row>
    <row r="14" spans="1:28" ht="120.75" customHeight="1" thickBot="1" x14ac:dyDescent="0.3">
      <c r="A14" s="12" t="s">
        <v>41</v>
      </c>
      <c r="B14" s="13" t="s">
        <v>49</v>
      </c>
      <c r="C14" s="13" t="s">
        <v>50</v>
      </c>
      <c r="D14" s="14" t="s">
        <v>57</v>
      </c>
      <c r="E14" s="15" t="s">
        <v>58</v>
      </c>
      <c r="F14" s="229"/>
      <c r="G14" s="16" t="s">
        <v>59</v>
      </c>
      <c r="H14" s="17"/>
      <c r="I14" s="18"/>
      <c r="J14" s="18"/>
      <c r="K14" s="309">
        <v>50</v>
      </c>
      <c r="L14" s="33"/>
      <c r="M14" s="21">
        <f>IFERROR(IF(L14/K14&gt;100%,100%,L14/K14),"-")</f>
        <v>0</v>
      </c>
      <c r="N14" s="200" t="s">
        <v>235</v>
      </c>
      <c r="O14" s="201">
        <f>22204778+1040743</f>
        <v>23245521</v>
      </c>
      <c r="P14" s="201">
        <v>186255799.66</v>
      </c>
      <c r="Q14" s="202"/>
      <c r="R14" s="202"/>
      <c r="S14" s="182">
        <f>SUM(O14:R14)</f>
        <v>209501320.66</v>
      </c>
      <c r="T14" s="201"/>
      <c r="U14" s="202"/>
      <c r="V14" s="202"/>
      <c r="W14" s="202"/>
      <c r="X14" s="182">
        <f>SUM(T14:W14)</f>
        <v>0</v>
      </c>
      <c r="Y14" s="24">
        <f>IFERROR(X14/S14,"-")</f>
        <v>0</v>
      </c>
      <c r="Z14" s="23">
        <v>0</v>
      </c>
      <c r="AA14" s="25" t="s">
        <v>37</v>
      </c>
      <c r="AB14" s="26" t="s">
        <v>38</v>
      </c>
    </row>
    <row r="15" spans="1:28" ht="67.95" customHeight="1" x14ac:dyDescent="0.25">
      <c r="A15" s="362" t="s">
        <v>60</v>
      </c>
      <c r="B15" s="359" t="s">
        <v>61</v>
      </c>
      <c r="C15" s="359" t="s">
        <v>62</v>
      </c>
      <c r="D15" s="382" t="s">
        <v>63</v>
      </c>
      <c r="E15" s="359" t="s">
        <v>64</v>
      </c>
      <c r="F15" s="307">
        <v>20210680010015</v>
      </c>
      <c r="G15" s="264" t="s">
        <v>65</v>
      </c>
      <c r="H15" s="41" t="s">
        <v>66</v>
      </c>
      <c r="I15" s="116"/>
      <c r="J15" s="116"/>
      <c r="K15" s="366">
        <v>1</v>
      </c>
      <c r="L15" s="365">
        <v>1</v>
      </c>
      <c r="M15" s="330">
        <f>IFERROR(IF(L15/K15&gt;100%,100%,L15/K15),"-")</f>
        <v>1</v>
      </c>
      <c r="N15" s="214" t="s">
        <v>67</v>
      </c>
      <c r="O15" s="308">
        <v>1746983198.8499999</v>
      </c>
      <c r="P15" s="206"/>
      <c r="Q15" s="206"/>
      <c r="R15" s="206"/>
      <c r="S15" s="336">
        <f>SUM(O15:R19)</f>
        <v>7660865761.0799999</v>
      </c>
      <c r="T15" s="206">
        <v>1434700926</v>
      </c>
      <c r="U15" s="206"/>
      <c r="V15" s="206"/>
      <c r="W15" s="206"/>
      <c r="X15" s="336">
        <f>SUM(T15:W18)</f>
        <v>3158826839.0900002</v>
      </c>
      <c r="Y15" s="355">
        <f>IFERROR(X15/S15,"-")</f>
        <v>0.41233287954711279</v>
      </c>
      <c r="Z15" s="352">
        <v>0</v>
      </c>
      <c r="AA15" s="353" t="s">
        <v>37</v>
      </c>
      <c r="AB15" s="354" t="s">
        <v>38</v>
      </c>
    </row>
    <row r="16" spans="1:28" ht="43.2" customHeight="1" x14ac:dyDescent="0.25">
      <c r="A16" s="363"/>
      <c r="B16" s="360"/>
      <c r="C16" s="360"/>
      <c r="D16" s="395"/>
      <c r="E16" s="360"/>
      <c r="F16" s="170"/>
      <c r="G16" s="155" t="s">
        <v>189</v>
      </c>
      <c r="H16" s="158"/>
      <c r="I16" s="45"/>
      <c r="J16" s="45"/>
      <c r="K16" s="366"/>
      <c r="L16" s="365"/>
      <c r="M16" s="330"/>
      <c r="N16" s="287" t="s">
        <v>236</v>
      </c>
      <c r="O16" s="269">
        <f>2730083857.68</f>
        <v>2730083857.6799998</v>
      </c>
      <c r="P16" s="176">
        <v>769916142.32000005</v>
      </c>
      <c r="Q16" s="176"/>
      <c r="R16" s="176"/>
      <c r="S16" s="336"/>
      <c r="T16" s="176"/>
      <c r="U16" s="176"/>
      <c r="V16" s="176"/>
      <c r="W16" s="176"/>
      <c r="X16" s="336"/>
      <c r="Y16" s="355"/>
      <c r="Z16" s="352"/>
      <c r="AA16" s="353"/>
      <c r="AB16" s="354"/>
    </row>
    <row r="17" spans="1:28" ht="91.95" customHeight="1" x14ac:dyDescent="0.25">
      <c r="A17" s="363"/>
      <c r="B17" s="360"/>
      <c r="C17" s="360"/>
      <c r="D17" s="395"/>
      <c r="E17" s="360"/>
      <c r="F17" s="170">
        <v>20200680010059</v>
      </c>
      <c r="G17" s="42" t="s">
        <v>68</v>
      </c>
      <c r="H17" s="158" t="s">
        <v>69</v>
      </c>
      <c r="I17" s="45"/>
      <c r="J17" s="45"/>
      <c r="K17" s="366"/>
      <c r="L17" s="365"/>
      <c r="M17" s="330"/>
      <c r="N17" s="191" t="s">
        <v>70</v>
      </c>
      <c r="O17" s="221">
        <v>80261243</v>
      </c>
      <c r="P17" s="176"/>
      <c r="Q17" s="176"/>
      <c r="R17" s="176"/>
      <c r="S17" s="336"/>
      <c r="T17" s="176">
        <v>80261243</v>
      </c>
      <c r="U17" s="176"/>
      <c r="V17" s="176"/>
      <c r="W17" s="176"/>
      <c r="X17" s="336"/>
      <c r="Y17" s="355"/>
      <c r="Z17" s="352"/>
      <c r="AA17" s="353"/>
      <c r="AB17" s="354"/>
    </row>
    <row r="18" spans="1:28" ht="69.599999999999994" customHeight="1" x14ac:dyDescent="0.25">
      <c r="A18" s="363"/>
      <c r="B18" s="360"/>
      <c r="C18" s="360"/>
      <c r="D18" s="395"/>
      <c r="E18" s="360"/>
      <c r="F18" s="170">
        <v>20210680010033</v>
      </c>
      <c r="G18" s="42" t="s">
        <v>188</v>
      </c>
      <c r="H18" s="158"/>
      <c r="I18" s="45"/>
      <c r="J18" s="45"/>
      <c r="K18" s="366"/>
      <c r="L18" s="365"/>
      <c r="M18" s="330"/>
      <c r="N18" s="191" t="s">
        <v>227</v>
      </c>
      <c r="O18" s="221">
        <f>36720621+133285804.41+1553614893.82</f>
        <v>1723621319.23</v>
      </c>
      <c r="P18" s="176"/>
      <c r="Q18" s="176"/>
      <c r="R18" s="176"/>
      <c r="S18" s="336"/>
      <c r="T18" s="176">
        <f>1473858244.68+36720621+133285804.41</f>
        <v>1643864670.0900002</v>
      </c>
      <c r="U18" s="176"/>
      <c r="V18" s="176"/>
      <c r="W18" s="176"/>
      <c r="X18" s="336"/>
      <c r="Y18" s="355"/>
      <c r="Z18" s="352"/>
      <c r="AA18" s="353"/>
      <c r="AB18" s="354"/>
    </row>
    <row r="19" spans="1:28" ht="88.2" customHeight="1" thickBot="1" x14ac:dyDescent="0.3">
      <c r="A19" s="364"/>
      <c r="B19" s="361"/>
      <c r="C19" s="361"/>
      <c r="D19" s="383"/>
      <c r="E19" s="361"/>
      <c r="F19" s="227">
        <v>20210680010037</v>
      </c>
      <c r="G19" s="31" t="s">
        <v>186</v>
      </c>
      <c r="H19" s="159"/>
      <c r="I19" s="32"/>
      <c r="J19" s="49"/>
      <c r="K19" s="367"/>
      <c r="L19" s="315"/>
      <c r="M19" s="313"/>
      <c r="N19" s="209" t="s">
        <v>237</v>
      </c>
      <c r="O19" s="261">
        <f>609911449.05+88550.95</f>
        <v>610000000</v>
      </c>
      <c r="P19" s="210"/>
      <c r="Q19" s="210"/>
      <c r="R19" s="210"/>
      <c r="S19" s="337"/>
      <c r="T19" s="210"/>
      <c r="U19" s="210"/>
      <c r="V19" s="210"/>
      <c r="W19" s="210"/>
      <c r="X19" s="337"/>
      <c r="Y19" s="343"/>
      <c r="Z19" s="345"/>
      <c r="AA19" s="347"/>
      <c r="AB19" s="349"/>
    </row>
    <row r="20" spans="1:28" ht="63" customHeight="1" x14ac:dyDescent="0.25">
      <c r="A20" s="362" t="s">
        <v>60</v>
      </c>
      <c r="B20" s="420" t="s">
        <v>61</v>
      </c>
      <c r="C20" s="359" t="s">
        <v>71</v>
      </c>
      <c r="D20" s="382" t="s">
        <v>72</v>
      </c>
      <c r="E20" s="350" t="s">
        <v>73</v>
      </c>
      <c r="F20" s="231">
        <v>20200680010083</v>
      </c>
      <c r="G20" s="251" t="s">
        <v>74</v>
      </c>
      <c r="H20" s="41" t="s">
        <v>75</v>
      </c>
      <c r="I20" s="116"/>
      <c r="J20" s="252"/>
      <c r="K20" s="431">
        <v>40000</v>
      </c>
      <c r="L20" s="428">
        <f>2672+1601</f>
        <v>4273</v>
      </c>
      <c r="M20" s="391">
        <f>IFERROR(IF(L20/K20&gt;100%,100%,L20/K20),"-")</f>
        <v>0.106825</v>
      </c>
      <c r="N20" s="224" t="s">
        <v>238</v>
      </c>
      <c r="O20" s="253">
        <v>389814494</v>
      </c>
      <c r="P20" s="253">
        <v>88687399.159999996</v>
      </c>
      <c r="Q20" s="224"/>
      <c r="R20" s="224"/>
      <c r="S20" s="335">
        <f>SUM(O20:R36)</f>
        <v>38699131038.569992</v>
      </c>
      <c r="T20" s="224">
        <v>355292091</v>
      </c>
      <c r="U20" s="224">
        <v>56565934</v>
      </c>
      <c r="V20" s="224"/>
      <c r="W20" s="224"/>
      <c r="X20" s="410">
        <f>SUM(T20:W36)</f>
        <v>4192971754.9500008</v>
      </c>
      <c r="Y20" s="355">
        <f>IFERROR(X20/S20,"-")</f>
        <v>0.10834795620529621</v>
      </c>
      <c r="Z20" s="412">
        <v>0</v>
      </c>
      <c r="AA20" s="353" t="s">
        <v>37</v>
      </c>
      <c r="AB20" s="354" t="s">
        <v>38</v>
      </c>
    </row>
    <row r="21" spans="1:28" ht="100.2" customHeight="1" x14ac:dyDescent="0.25">
      <c r="A21" s="363"/>
      <c r="B21" s="421"/>
      <c r="C21" s="360"/>
      <c r="D21" s="395"/>
      <c r="E21" s="397"/>
      <c r="F21" s="170">
        <v>20200680010089</v>
      </c>
      <c r="G21" s="42" t="s">
        <v>76</v>
      </c>
      <c r="H21" s="119" t="s">
        <v>77</v>
      </c>
      <c r="I21" s="45"/>
      <c r="J21" s="46"/>
      <c r="K21" s="432"/>
      <c r="L21" s="429"/>
      <c r="M21" s="425"/>
      <c r="N21" s="175" t="s">
        <v>78</v>
      </c>
      <c r="O21" s="221">
        <v>732098782</v>
      </c>
      <c r="P21" s="175"/>
      <c r="Q21" s="174"/>
      <c r="R21" s="175"/>
      <c r="S21" s="336"/>
      <c r="T21" s="175">
        <v>658085546</v>
      </c>
      <c r="U21" s="175"/>
      <c r="V21" s="175"/>
      <c r="W21" s="175"/>
      <c r="X21" s="410"/>
      <c r="Y21" s="355"/>
      <c r="Z21" s="412"/>
      <c r="AA21" s="353"/>
      <c r="AB21" s="354"/>
    </row>
    <row r="22" spans="1:28" ht="102" customHeight="1" x14ac:dyDescent="0.25">
      <c r="A22" s="363"/>
      <c r="B22" s="421"/>
      <c r="C22" s="360"/>
      <c r="D22" s="395"/>
      <c r="E22" s="397"/>
      <c r="F22" s="170">
        <v>20200680010093</v>
      </c>
      <c r="G22" s="42" t="s">
        <v>79</v>
      </c>
      <c r="H22" s="119" t="s">
        <v>80</v>
      </c>
      <c r="I22" s="45"/>
      <c r="J22" s="46"/>
      <c r="K22" s="432"/>
      <c r="L22" s="429"/>
      <c r="M22" s="425"/>
      <c r="N22" s="175" t="s">
        <v>81</v>
      </c>
      <c r="O22" s="246">
        <v>867728401</v>
      </c>
      <c r="P22" s="175"/>
      <c r="Q22" s="175"/>
      <c r="R22" s="175"/>
      <c r="S22" s="336"/>
      <c r="T22" s="175">
        <v>829015863.20000005</v>
      </c>
      <c r="U22" s="175"/>
      <c r="V22" s="175"/>
      <c r="W22" s="175"/>
      <c r="X22" s="410"/>
      <c r="Y22" s="355"/>
      <c r="Z22" s="412"/>
      <c r="AA22" s="353"/>
      <c r="AB22" s="354"/>
    </row>
    <row r="23" spans="1:28" ht="55.8" customHeight="1" x14ac:dyDescent="0.25">
      <c r="A23" s="363"/>
      <c r="B23" s="421"/>
      <c r="C23" s="360"/>
      <c r="D23" s="395"/>
      <c r="E23" s="397"/>
      <c r="F23" s="232"/>
      <c r="G23" s="118" t="s">
        <v>59</v>
      </c>
      <c r="H23" s="119"/>
      <c r="I23" s="45"/>
      <c r="J23" s="46"/>
      <c r="K23" s="432"/>
      <c r="L23" s="429"/>
      <c r="M23" s="425"/>
      <c r="N23" s="175" t="s">
        <v>221</v>
      </c>
      <c r="O23" s="175">
        <f>23609.15+50860045+96486764</f>
        <v>147370418.15000001</v>
      </c>
      <c r="P23" s="175"/>
      <c r="Q23" s="175"/>
      <c r="R23" s="175"/>
      <c r="S23" s="336"/>
      <c r="T23" s="175"/>
      <c r="U23" s="175"/>
      <c r="V23" s="175"/>
      <c r="W23" s="175"/>
      <c r="X23" s="410"/>
      <c r="Y23" s="355"/>
      <c r="Z23" s="412"/>
      <c r="AA23" s="353"/>
      <c r="AB23" s="354"/>
    </row>
    <row r="24" spans="1:28" ht="49.95" customHeight="1" x14ac:dyDescent="0.25">
      <c r="A24" s="363"/>
      <c r="B24" s="421"/>
      <c r="C24" s="360"/>
      <c r="D24" s="395"/>
      <c r="E24" s="397"/>
      <c r="F24" s="232"/>
      <c r="G24" s="118" t="s">
        <v>84</v>
      </c>
      <c r="H24" s="119"/>
      <c r="I24" s="45"/>
      <c r="J24" s="46"/>
      <c r="K24" s="432"/>
      <c r="L24" s="429"/>
      <c r="M24" s="425"/>
      <c r="N24" s="176" t="s">
        <v>244</v>
      </c>
      <c r="O24" s="175">
        <f>47990790+1098509998.86+1788940976.47</f>
        <v>2935441765.3299999</v>
      </c>
      <c r="P24" s="175"/>
      <c r="Q24" s="175"/>
      <c r="R24" s="175"/>
      <c r="S24" s="336"/>
      <c r="T24" s="175"/>
      <c r="U24" s="175"/>
      <c r="V24" s="175"/>
      <c r="W24" s="175"/>
      <c r="X24" s="410"/>
      <c r="Y24" s="355"/>
      <c r="Z24" s="412"/>
      <c r="AA24" s="353"/>
      <c r="AB24" s="354"/>
    </row>
    <row r="25" spans="1:28" ht="60" customHeight="1" x14ac:dyDescent="0.25">
      <c r="A25" s="363"/>
      <c r="B25" s="421"/>
      <c r="C25" s="360"/>
      <c r="D25" s="395"/>
      <c r="E25" s="397"/>
      <c r="F25" s="232"/>
      <c r="G25" s="118" t="s">
        <v>85</v>
      </c>
      <c r="H25" s="119"/>
      <c r="I25" s="45"/>
      <c r="J25" s="46"/>
      <c r="K25" s="432"/>
      <c r="L25" s="429"/>
      <c r="M25" s="425"/>
      <c r="N25" s="175" t="s">
        <v>86</v>
      </c>
      <c r="O25" s="177">
        <v>530557116</v>
      </c>
      <c r="P25" s="178"/>
      <c r="Q25" s="178"/>
      <c r="R25" s="178"/>
      <c r="S25" s="336"/>
      <c r="T25" s="178"/>
      <c r="U25" s="178"/>
      <c r="V25" s="178"/>
      <c r="W25" s="178"/>
      <c r="X25" s="410"/>
      <c r="Y25" s="355"/>
      <c r="Z25" s="412"/>
      <c r="AA25" s="353"/>
      <c r="AB25" s="354"/>
    </row>
    <row r="26" spans="1:28" ht="108.6" customHeight="1" x14ac:dyDescent="0.25">
      <c r="A26" s="363"/>
      <c r="B26" s="421"/>
      <c r="C26" s="360"/>
      <c r="D26" s="395"/>
      <c r="E26" s="397"/>
      <c r="F26" s="233"/>
      <c r="G26" s="133" t="s">
        <v>192</v>
      </c>
      <c r="H26" s="119"/>
      <c r="I26" s="45"/>
      <c r="J26" s="46"/>
      <c r="K26" s="432"/>
      <c r="L26" s="429"/>
      <c r="M26" s="425"/>
      <c r="N26" s="175" t="s">
        <v>242</v>
      </c>
      <c r="O26" s="290">
        <f>4171498836+439408481</f>
        <v>4610907317</v>
      </c>
      <c r="P26" s="290">
        <v>427067817.00999999</v>
      </c>
      <c r="Q26" s="178"/>
      <c r="R26" s="178"/>
      <c r="S26" s="336"/>
      <c r="T26" s="178"/>
      <c r="U26" s="178"/>
      <c r="V26" s="178"/>
      <c r="W26" s="178"/>
      <c r="X26" s="410"/>
      <c r="Y26" s="355"/>
      <c r="Z26" s="412"/>
      <c r="AA26" s="353"/>
      <c r="AB26" s="354"/>
    </row>
    <row r="27" spans="1:28" ht="65.25" customHeight="1" x14ac:dyDescent="0.25">
      <c r="A27" s="363"/>
      <c r="B27" s="421"/>
      <c r="C27" s="360"/>
      <c r="D27" s="395"/>
      <c r="E27" s="397"/>
      <c r="F27" s="233">
        <v>20210680010013</v>
      </c>
      <c r="G27" s="133" t="s">
        <v>217</v>
      </c>
      <c r="H27" s="158" t="s">
        <v>83</v>
      </c>
      <c r="I27" s="45"/>
      <c r="J27" s="46"/>
      <c r="K27" s="432"/>
      <c r="L27" s="429"/>
      <c r="M27" s="425"/>
      <c r="N27" s="175" t="s">
        <v>224</v>
      </c>
      <c r="O27" s="248">
        <f>792492405.84+94976390.85</f>
        <v>887468796.69000006</v>
      </c>
      <c r="P27" s="178"/>
      <c r="Q27" s="178"/>
      <c r="R27" s="178"/>
      <c r="S27" s="336"/>
      <c r="T27" s="178">
        <f>792492406+94976390.85</f>
        <v>887468796.85000002</v>
      </c>
      <c r="U27" s="178"/>
      <c r="V27" s="178"/>
      <c r="W27" s="178"/>
      <c r="X27" s="410"/>
      <c r="Y27" s="355"/>
      <c r="Z27" s="412"/>
      <c r="AA27" s="353"/>
      <c r="AB27" s="354"/>
    </row>
    <row r="28" spans="1:28" ht="74.400000000000006" customHeight="1" x14ac:dyDescent="0.25">
      <c r="A28" s="363"/>
      <c r="B28" s="421"/>
      <c r="C28" s="360"/>
      <c r="D28" s="395"/>
      <c r="E28" s="397"/>
      <c r="F28" s="233">
        <v>20210680010028</v>
      </c>
      <c r="G28" s="133" t="s">
        <v>87</v>
      </c>
      <c r="H28" s="119" t="s">
        <v>239</v>
      </c>
      <c r="I28" s="45"/>
      <c r="J28" s="46"/>
      <c r="K28" s="432"/>
      <c r="L28" s="429"/>
      <c r="M28" s="425"/>
      <c r="N28" s="175" t="s">
        <v>88</v>
      </c>
      <c r="O28" s="178">
        <v>97314088.140000001</v>
      </c>
      <c r="P28" s="178"/>
      <c r="Q28" s="178"/>
      <c r="R28" s="178"/>
      <c r="S28" s="336"/>
      <c r="T28" s="178"/>
      <c r="U28" s="178"/>
      <c r="V28" s="178"/>
      <c r="W28" s="178"/>
      <c r="X28" s="410"/>
      <c r="Y28" s="355"/>
      <c r="Z28" s="412"/>
      <c r="AA28" s="353"/>
      <c r="AB28" s="354"/>
    </row>
    <row r="29" spans="1:28" ht="75" customHeight="1" x14ac:dyDescent="0.25">
      <c r="A29" s="363"/>
      <c r="B29" s="421"/>
      <c r="C29" s="360"/>
      <c r="D29" s="395"/>
      <c r="E29" s="397"/>
      <c r="F29" s="232"/>
      <c r="G29" s="118" t="s">
        <v>89</v>
      </c>
      <c r="H29" s="119"/>
      <c r="I29" s="45"/>
      <c r="J29" s="46"/>
      <c r="K29" s="432"/>
      <c r="L29" s="429"/>
      <c r="M29" s="425"/>
      <c r="N29" s="175"/>
      <c r="O29" s="178"/>
      <c r="P29" s="178"/>
      <c r="Q29" s="178"/>
      <c r="R29" s="178"/>
      <c r="S29" s="336"/>
      <c r="T29" s="178"/>
      <c r="U29" s="178"/>
      <c r="V29" s="178"/>
      <c r="W29" s="178"/>
      <c r="X29" s="410"/>
      <c r="Y29" s="355"/>
      <c r="Z29" s="412"/>
      <c r="AA29" s="353"/>
      <c r="AB29" s="354"/>
    </row>
    <row r="30" spans="1:28" ht="32.4" customHeight="1" x14ac:dyDescent="0.25">
      <c r="A30" s="363"/>
      <c r="B30" s="421"/>
      <c r="C30" s="360"/>
      <c r="D30" s="395"/>
      <c r="E30" s="397"/>
      <c r="F30" s="232"/>
      <c r="G30" s="118" t="s">
        <v>59</v>
      </c>
      <c r="H30" s="119"/>
      <c r="I30" s="45"/>
      <c r="J30" s="46"/>
      <c r="K30" s="432"/>
      <c r="L30" s="429"/>
      <c r="M30" s="425"/>
      <c r="N30" s="175" t="s">
        <v>167</v>
      </c>
      <c r="O30" s="178">
        <v>1555449996</v>
      </c>
      <c r="P30" s="178"/>
      <c r="Q30" s="178"/>
      <c r="R30" s="178"/>
      <c r="S30" s="336"/>
      <c r="T30" s="178"/>
      <c r="U30" s="178"/>
      <c r="V30" s="178"/>
      <c r="W30" s="178"/>
      <c r="X30" s="410"/>
      <c r="Y30" s="355"/>
      <c r="Z30" s="412"/>
      <c r="AA30" s="353"/>
      <c r="AB30" s="354"/>
    </row>
    <row r="31" spans="1:28" ht="74.400000000000006" customHeight="1" x14ac:dyDescent="0.25">
      <c r="A31" s="363"/>
      <c r="B31" s="421"/>
      <c r="C31" s="360"/>
      <c r="D31" s="395"/>
      <c r="E31" s="397"/>
      <c r="F31" s="254">
        <v>20210680010024</v>
      </c>
      <c r="G31" s="255" t="s">
        <v>165</v>
      </c>
      <c r="H31" s="119"/>
      <c r="I31" s="45"/>
      <c r="J31" s="46"/>
      <c r="K31" s="432"/>
      <c r="L31" s="429"/>
      <c r="M31" s="425"/>
      <c r="N31" s="175" t="s">
        <v>166</v>
      </c>
      <c r="O31" s="248">
        <v>17240869934</v>
      </c>
      <c r="P31" s="178"/>
      <c r="Q31" s="178"/>
      <c r="R31" s="178"/>
      <c r="S31" s="336"/>
      <c r="T31" s="178"/>
      <c r="U31" s="178"/>
      <c r="V31" s="178"/>
      <c r="W31" s="178"/>
      <c r="X31" s="410"/>
      <c r="Y31" s="355"/>
      <c r="Z31" s="412"/>
      <c r="AA31" s="353"/>
      <c r="AB31" s="354"/>
    </row>
    <row r="32" spans="1:28" ht="39.75" customHeight="1" x14ac:dyDescent="0.25">
      <c r="A32" s="363"/>
      <c r="B32" s="421"/>
      <c r="C32" s="360"/>
      <c r="D32" s="395"/>
      <c r="E32" s="397"/>
      <c r="F32" s="254"/>
      <c r="G32" s="258" t="s">
        <v>59</v>
      </c>
      <c r="H32" s="119"/>
      <c r="I32" s="45"/>
      <c r="J32" s="46"/>
      <c r="K32" s="432"/>
      <c r="L32" s="429"/>
      <c r="M32" s="425"/>
      <c r="N32" s="175" t="s">
        <v>245</v>
      </c>
      <c r="O32" s="178">
        <v>563789262</v>
      </c>
      <c r="P32" s="178"/>
      <c r="Q32" s="178"/>
      <c r="R32" s="178">
        <v>248371795</v>
      </c>
      <c r="S32" s="336"/>
      <c r="T32" s="178"/>
      <c r="U32" s="178"/>
      <c r="V32" s="178"/>
      <c r="W32" s="178"/>
      <c r="X32" s="410"/>
      <c r="Y32" s="355"/>
      <c r="Z32" s="412"/>
      <c r="AA32" s="353"/>
      <c r="AB32" s="354"/>
    </row>
    <row r="33" spans="1:28" ht="54" customHeight="1" x14ac:dyDescent="0.25">
      <c r="A33" s="363"/>
      <c r="B33" s="421"/>
      <c r="C33" s="360"/>
      <c r="D33" s="395"/>
      <c r="E33" s="397"/>
      <c r="F33" s="170"/>
      <c r="G33" s="155" t="s">
        <v>59</v>
      </c>
      <c r="H33" s="131"/>
      <c r="I33" s="45"/>
      <c r="J33" s="46"/>
      <c r="K33" s="432"/>
      <c r="L33" s="429"/>
      <c r="M33" s="425"/>
      <c r="N33" s="175" t="s">
        <v>240</v>
      </c>
      <c r="O33" s="178">
        <f>20000000+2160000000</f>
        <v>2180000000</v>
      </c>
      <c r="P33" s="178"/>
      <c r="Q33" s="178"/>
      <c r="R33" s="178"/>
      <c r="S33" s="336"/>
      <c r="T33" s="178"/>
      <c r="U33" s="178"/>
      <c r="V33" s="178"/>
      <c r="W33" s="178"/>
      <c r="X33" s="410"/>
      <c r="Y33" s="355"/>
      <c r="Z33" s="412"/>
      <c r="AA33" s="353"/>
      <c r="AB33" s="354"/>
    </row>
    <row r="34" spans="1:28" ht="70.95" customHeight="1" x14ac:dyDescent="0.25">
      <c r="A34" s="363"/>
      <c r="B34" s="421"/>
      <c r="C34" s="360"/>
      <c r="D34" s="395"/>
      <c r="E34" s="397"/>
      <c r="F34" s="170">
        <v>2021680010011</v>
      </c>
      <c r="G34" s="42" t="s">
        <v>82</v>
      </c>
      <c r="H34" s="119" t="s">
        <v>91</v>
      </c>
      <c r="I34" s="45"/>
      <c r="J34" s="46"/>
      <c r="K34" s="432"/>
      <c r="L34" s="429"/>
      <c r="M34" s="425"/>
      <c r="N34" s="175" t="s">
        <v>90</v>
      </c>
      <c r="O34" s="178"/>
      <c r="P34" s="178"/>
      <c r="Q34" s="178"/>
      <c r="R34" s="248">
        <v>3726948730</v>
      </c>
      <c r="S34" s="336"/>
      <c r="T34" s="178"/>
      <c r="U34" s="178"/>
      <c r="V34" s="178"/>
      <c r="W34" s="178"/>
      <c r="X34" s="410"/>
      <c r="Y34" s="355"/>
      <c r="Z34" s="412"/>
      <c r="AA34" s="353"/>
      <c r="AB34" s="354"/>
    </row>
    <row r="35" spans="1:28" ht="45" customHeight="1" x14ac:dyDescent="0.25">
      <c r="A35" s="419"/>
      <c r="B35" s="422"/>
      <c r="C35" s="424"/>
      <c r="D35" s="396"/>
      <c r="E35" s="398"/>
      <c r="F35" s="170"/>
      <c r="G35" s="155" t="s">
        <v>59</v>
      </c>
      <c r="H35" s="47"/>
      <c r="I35" s="45"/>
      <c r="J35" s="46"/>
      <c r="K35" s="432"/>
      <c r="L35" s="429"/>
      <c r="M35" s="425"/>
      <c r="N35" s="207" t="s">
        <v>164</v>
      </c>
      <c r="O35" s="178">
        <f>52448733.09+12325900</f>
        <v>64774633.090000004</v>
      </c>
      <c r="P35" s="178"/>
      <c r="Q35" s="208"/>
      <c r="R35" s="208"/>
      <c r="S35" s="336"/>
      <c r="T35" s="208">
        <v>12325921.029999999</v>
      </c>
      <c r="U35" s="208"/>
      <c r="V35" s="208"/>
      <c r="W35" s="208"/>
      <c r="X35" s="410"/>
      <c r="Y35" s="355"/>
      <c r="Z35" s="412"/>
      <c r="AA35" s="353"/>
      <c r="AB35" s="354"/>
    </row>
    <row r="36" spans="1:28" ht="68.400000000000006" customHeight="1" thickBot="1" x14ac:dyDescent="0.3">
      <c r="A36" s="364"/>
      <c r="B36" s="423"/>
      <c r="C36" s="361"/>
      <c r="D36" s="383"/>
      <c r="E36" s="351"/>
      <c r="F36" s="259">
        <v>20210680010025</v>
      </c>
      <c r="G36" s="260" t="s">
        <v>170</v>
      </c>
      <c r="H36" s="120"/>
      <c r="I36" s="32"/>
      <c r="J36" s="49"/>
      <c r="K36" s="433"/>
      <c r="L36" s="430"/>
      <c r="M36" s="392"/>
      <c r="N36" s="209" t="s">
        <v>225</v>
      </c>
      <c r="O36" s="261">
        <v>1404470294</v>
      </c>
      <c r="P36" s="210"/>
      <c r="Q36" s="210"/>
      <c r="R36" s="210"/>
      <c r="S36" s="337"/>
      <c r="T36" s="210">
        <f>72536490.97+1321681111.9</f>
        <v>1394217602.8700001</v>
      </c>
      <c r="U36" s="210"/>
      <c r="V36" s="210"/>
      <c r="W36" s="210"/>
      <c r="X36" s="411"/>
      <c r="Y36" s="343"/>
      <c r="Z36" s="413"/>
      <c r="AA36" s="347"/>
      <c r="AB36" s="349"/>
    </row>
    <row r="37" spans="1:28" ht="118.2" customHeight="1" thickBot="1" x14ac:dyDescent="0.3">
      <c r="A37" s="51" t="s">
        <v>60</v>
      </c>
      <c r="B37" s="52" t="s">
        <v>61</v>
      </c>
      <c r="C37" s="52" t="s">
        <v>71</v>
      </c>
      <c r="D37" s="125" t="s">
        <v>92</v>
      </c>
      <c r="E37" s="113" t="s">
        <v>93</v>
      </c>
      <c r="F37" s="228"/>
      <c r="G37" s="86" t="s">
        <v>94</v>
      </c>
      <c r="H37" s="53"/>
      <c r="I37" s="50"/>
      <c r="J37" s="50"/>
      <c r="K37" s="84">
        <v>2</v>
      </c>
      <c r="L37" s="83"/>
      <c r="M37" s="107">
        <f>IFERROR(IF(L37/K37&gt;100%,100%,L37/K37),"-")</f>
        <v>0</v>
      </c>
      <c r="N37" s="197" t="s">
        <v>95</v>
      </c>
      <c r="O37" s="173">
        <v>530557116</v>
      </c>
      <c r="P37" s="198"/>
      <c r="Q37" s="198"/>
      <c r="R37" s="198"/>
      <c r="S37" s="199">
        <f>SUM(O37:R37)</f>
        <v>530557116</v>
      </c>
      <c r="T37" s="173"/>
      <c r="U37" s="198"/>
      <c r="V37" s="198"/>
      <c r="W37" s="198"/>
      <c r="X37" s="199">
        <f>SUM(T37:W37)</f>
        <v>0</v>
      </c>
      <c r="Y37" s="101">
        <f>IFERROR(X37/S37,"-")</f>
        <v>0</v>
      </c>
      <c r="Z37" s="103">
        <v>0</v>
      </c>
      <c r="AA37" s="109" t="s">
        <v>37</v>
      </c>
      <c r="AB37" s="105" t="s">
        <v>38</v>
      </c>
    </row>
    <row r="38" spans="1:28" ht="136.94999999999999" customHeight="1" thickBot="1" x14ac:dyDescent="0.3">
      <c r="A38" s="34" t="s">
        <v>60</v>
      </c>
      <c r="B38" s="35" t="s">
        <v>61</v>
      </c>
      <c r="C38" s="35" t="s">
        <v>96</v>
      </c>
      <c r="D38" s="124" t="s">
        <v>97</v>
      </c>
      <c r="E38" s="112" t="s">
        <v>98</v>
      </c>
      <c r="F38" s="230"/>
      <c r="G38" s="54" t="s">
        <v>56</v>
      </c>
      <c r="H38" s="36"/>
      <c r="I38" s="37"/>
      <c r="J38" s="37"/>
      <c r="K38" s="38">
        <v>0</v>
      </c>
      <c r="L38" s="39"/>
      <c r="M38" s="106" t="str">
        <f>IFERROR(IF(L38/K38&gt;100%,100%,L38/K38),"-")</f>
        <v>-</v>
      </c>
      <c r="N38" s="203"/>
      <c r="O38" s="186"/>
      <c r="P38" s="187"/>
      <c r="Q38" s="187"/>
      <c r="R38" s="187"/>
      <c r="S38" s="164">
        <f>SUM(O38:R38)</f>
        <v>0</v>
      </c>
      <c r="T38" s="186"/>
      <c r="U38" s="187"/>
      <c r="V38" s="187"/>
      <c r="W38" s="187"/>
      <c r="X38" s="164">
        <f>SUM(T38:W38)</f>
        <v>0</v>
      </c>
      <c r="Y38" s="100" t="str">
        <f>IFERROR(X38/S38,"-")</f>
        <v>-</v>
      </c>
      <c r="Z38" s="102">
        <v>0</v>
      </c>
      <c r="AA38" s="108" t="s">
        <v>37</v>
      </c>
      <c r="AB38" s="104" t="s">
        <v>38</v>
      </c>
    </row>
    <row r="39" spans="1:28" ht="137.25" customHeight="1" x14ac:dyDescent="0.25">
      <c r="A39" s="416" t="s">
        <v>60</v>
      </c>
      <c r="B39" s="378" t="s">
        <v>61</v>
      </c>
      <c r="C39" s="378" t="s">
        <v>96</v>
      </c>
      <c r="D39" s="381" t="s">
        <v>99</v>
      </c>
      <c r="E39" s="378" t="s">
        <v>100</v>
      </c>
      <c r="F39" s="249">
        <v>20210680010029</v>
      </c>
      <c r="G39" s="250" t="s">
        <v>161</v>
      </c>
      <c r="H39" s="55"/>
      <c r="I39" s="29"/>
      <c r="J39" s="29"/>
      <c r="K39" s="316">
        <v>24500</v>
      </c>
      <c r="L39" s="331">
        <v>130000</v>
      </c>
      <c r="M39" s="312">
        <f>IFERROR(IF(L39/K39&gt;100%,100%,L39/K39),"-")</f>
        <v>1</v>
      </c>
      <c r="N39" s="188" t="s">
        <v>101</v>
      </c>
      <c r="O39" s="256">
        <v>481911706</v>
      </c>
      <c r="P39" s="189"/>
      <c r="Q39" s="189"/>
      <c r="R39" s="189"/>
      <c r="S39" s="335">
        <f>SUM(O39:R42)</f>
        <v>29249510337.559998</v>
      </c>
      <c r="T39" s="136">
        <v>481911706</v>
      </c>
      <c r="U39" s="189"/>
      <c r="V39" s="189"/>
      <c r="W39" s="189"/>
      <c r="X39" s="375">
        <f>SUM(T39:W42)</f>
        <v>19738836040</v>
      </c>
      <c r="Y39" s="342">
        <f>IFERROR(X39/S39,"-")</f>
        <v>0.67484329864670889</v>
      </c>
      <c r="Z39" s="344">
        <v>0</v>
      </c>
      <c r="AA39" s="346" t="s">
        <v>37</v>
      </c>
      <c r="AB39" s="348" t="s">
        <v>38</v>
      </c>
    </row>
    <row r="40" spans="1:28" ht="67.5" customHeight="1" x14ac:dyDescent="0.25">
      <c r="A40" s="417"/>
      <c r="B40" s="414"/>
      <c r="C40" s="414"/>
      <c r="D40" s="395"/>
      <c r="E40" s="414"/>
      <c r="F40" s="234"/>
      <c r="G40" s="118" t="s">
        <v>59</v>
      </c>
      <c r="H40" s="92"/>
      <c r="I40" s="45"/>
      <c r="J40" s="45"/>
      <c r="K40" s="334"/>
      <c r="L40" s="332"/>
      <c r="M40" s="330"/>
      <c r="N40" s="191" t="s">
        <v>187</v>
      </c>
      <c r="O40" s="269">
        <v>3631235458.3099999</v>
      </c>
      <c r="P40" s="211"/>
      <c r="Q40" s="211"/>
      <c r="R40" s="138">
        <v>2841000462</v>
      </c>
      <c r="S40" s="336"/>
      <c r="T40" s="138"/>
      <c r="U40" s="211"/>
      <c r="V40" s="211"/>
      <c r="W40" s="211"/>
      <c r="X40" s="434"/>
      <c r="Y40" s="355"/>
      <c r="Z40" s="352"/>
      <c r="AA40" s="353"/>
      <c r="AB40" s="354"/>
    </row>
    <row r="41" spans="1:28" ht="77.400000000000006" customHeight="1" x14ac:dyDescent="0.25">
      <c r="A41" s="417"/>
      <c r="B41" s="414"/>
      <c r="C41" s="414"/>
      <c r="D41" s="395"/>
      <c r="E41" s="414"/>
      <c r="F41" s="170">
        <v>20210680010004</v>
      </c>
      <c r="G41" s="42" t="s">
        <v>102</v>
      </c>
      <c r="H41" s="119" t="s">
        <v>103</v>
      </c>
      <c r="I41" s="45"/>
      <c r="J41" s="45"/>
      <c r="K41" s="334"/>
      <c r="L41" s="332"/>
      <c r="M41" s="330"/>
      <c r="N41" s="191" t="s">
        <v>155</v>
      </c>
      <c r="O41" s="138"/>
      <c r="P41" s="211"/>
      <c r="Q41" s="211"/>
      <c r="R41" s="243">
        <v>20296361142</v>
      </c>
      <c r="S41" s="336"/>
      <c r="T41" s="138"/>
      <c r="U41" s="211"/>
      <c r="V41" s="211"/>
      <c r="W41" s="138">
        <v>19256924334</v>
      </c>
      <c r="X41" s="434"/>
      <c r="Y41" s="355"/>
      <c r="Z41" s="352"/>
      <c r="AA41" s="353"/>
      <c r="AB41" s="354"/>
    </row>
    <row r="42" spans="1:28" ht="44.4" customHeight="1" thickBot="1" x14ac:dyDescent="0.3">
      <c r="A42" s="418"/>
      <c r="B42" s="415"/>
      <c r="C42" s="415"/>
      <c r="D42" s="396"/>
      <c r="E42" s="415"/>
      <c r="F42" s="265"/>
      <c r="G42" s="272" t="s">
        <v>59</v>
      </c>
      <c r="H42" s="273"/>
      <c r="I42" s="48"/>
      <c r="J42" s="48"/>
      <c r="K42" s="334"/>
      <c r="L42" s="332"/>
      <c r="M42" s="330"/>
      <c r="N42" s="217" t="s">
        <v>154</v>
      </c>
      <c r="O42" s="218">
        <v>1998998496.25</v>
      </c>
      <c r="P42" s="274"/>
      <c r="Q42" s="274"/>
      <c r="R42" s="218">
        <v>3073</v>
      </c>
      <c r="S42" s="337"/>
      <c r="T42" s="218"/>
      <c r="U42" s="274"/>
      <c r="V42" s="274"/>
      <c r="W42" s="274"/>
      <c r="X42" s="275"/>
      <c r="Y42" s="355"/>
      <c r="Z42" s="352"/>
      <c r="AA42" s="353"/>
      <c r="AB42" s="354"/>
    </row>
    <row r="43" spans="1:28" ht="81" customHeight="1" x14ac:dyDescent="0.25">
      <c r="A43" s="435" t="s">
        <v>60</v>
      </c>
      <c r="B43" s="437" t="s">
        <v>61</v>
      </c>
      <c r="C43" s="437" t="s">
        <v>96</v>
      </c>
      <c r="D43" s="439" t="s">
        <v>104</v>
      </c>
      <c r="E43" s="437" t="s">
        <v>105</v>
      </c>
      <c r="F43" s="277"/>
      <c r="G43" s="306" t="s">
        <v>106</v>
      </c>
      <c r="H43" s="160"/>
      <c r="I43" s="29"/>
      <c r="J43" s="29"/>
      <c r="K43" s="441">
        <v>1500</v>
      </c>
      <c r="L43" s="442"/>
      <c r="M43" s="312">
        <f>IFERROR(IF(L43/K43&gt;100%,100%,L43/K43),"-")</f>
        <v>0</v>
      </c>
      <c r="N43" s="278" t="s">
        <v>159</v>
      </c>
      <c r="O43" s="136">
        <v>1339525016</v>
      </c>
      <c r="P43" s="189"/>
      <c r="Q43" s="189"/>
      <c r="R43" s="189"/>
      <c r="S43" s="335">
        <f>SUM(O43:R44)</f>
        <v>1479342877.1700001</v>
      </c>
      <c r="T43" s="136">
        <v>5134940.1100000003</v>
      </c>
      <c r="U43" s="189"/>
      <c r="V43" s="189"/>
      <c r="W43" s="189"/>
      <c r="X43" s="244">
        <f>SUM(T43:W43)</f>
        <v>5134940.1100000003</v>
      </c>
      <c r="Y43" s="342">
        <f>IFERROR(X43/S43,"-")</f>
        <v>3.4710953013294657E-3</v>
      </c>
      <c r="Z43" s="344">
        <v>0</v>
      </c>
      <c r="AA43" s="346" t="s">
        <v>37</v>
      </c>
      <c r="AB43" s="348" t="s">
        <v>38</v>
      </c>
    </row>
    <row r="44" spans="1:28" ht="57" customHeight="1" thickBot="1" x14ac:dyDescent="0.3">
      <c r="A44" s="436"/>
      <c r="B44" s="438"/>
      <c r="C44" s="438"/>
      <c r="D44" s="440"/>
      <c r="E44" s="438"/>
      <c r="F44" s="279">
        <v>2020680010169</v>
      </c>
      <c r="G44" s="31" t="s">
        <v>215</v>
      </c>
      <c r="H44" s="161" t="s">
        <v>216</v>
      </c>
      <c r="I44" s="32"/>
      <c r="J44" s="32"/>
      <c r="K44" s="433"/>
      <c r="L44" s="430"/>
      <c r="M44" s="313"/>
      <c r="N44" s="280" t="s">
        <v>226</v>
      </c>
      <c r="O44" s="196">
        <f>122396604.85+17421256.32</f>
        <v>139817861.16999999</v>
      </c>
      <c r="P44" s="139"/>
      <c r="Q44" s="139"/>
      <c r="R44" s="139"/>
      <c r="S44" s="337"/>
      <c r="T44" s="135">
        <f>17420779.11+122396604.85</f>
        <v>139817383.95999998</v>
      </c>
      <c r="U44" s="139"/>
      <c r="V44" s="139"/>
      <c r="W44" s="139"/>
      <c r="X44" s="128">
        <f>+T44</f>
        <v>139817383.95999998</v>
      </c>
      <c r="Y44" s="343"/>
      <c r="Z44" s="345"/>
      <c r="AA44" s="347"/>
      <c r="AB44" s="349"/>
    </row>
    <row r="45" spans="1:28" ht="75" customHeight="1" thickBot="1" x14ac:dyDescent="0.3">
      <c r="A45" s="64" t="s">
        <v>60</v>
      </c>
      <c r="B45" s="65" t="s">
        <v>61</v>
      </c>
      <c r="C45" s="65" t="s">
        <v>96</v>
      </c>
      <c r="D45" s="166" t="s">
        <v>107</v>
      </c>
      <c r="E45" s="148" t="s">
        <v>108</v>
      </c>
      <c r="F45" s="276"/>
      <c r="G45" s="144"/>
      <c r="H45" s="144"/>
      <c r="I45" s="44"/>
      <c r="J45" s="44"/>
      <c r="K45" s="163">
        <v>1</v>
      </c>
      <c r="L45" s="162"/>
      <c r="M45" s="147">
        <f>IFERROR(IF(L45/K45&gt;100%,100%,L45/K45),"-")</f>
        <v>0</v>
      </c>
      <c r="N45" s="197" t="s">
        <v>213</v>
      </c>
      <c r="O45" s="173">
        <v>117329833</v>
      </c>
      <c r="P45" s="212"/>
      <c r="Q45" s="212"/>
      <c r="R45" s="212"/>
      <c r="S45" s="213">
        <f>SUM(O45:R45)</f>
        <v>117329833</v>
      </c>
      <c r="T45" s="205"/>
      <c r="U45" s="212"/>
      <c r="V45" s="212"/>
      <c r="W45" s="212"/>
      <c r="X45" s="213">
        <f>SUM(T45:W45)</f>
        <v>0</v>
      </c>
      <c r="Y45" s="100">
        <f>IFERROR(X45/S45,"-")</f>
        <v>0</v>
      </c>
      <c r="Z45" s="154">
        <v>0</v>
      </c>
      <c r="AA45" s="153" t="s">
        <v>37</v>
      </c>
      <c r="AB45" s="149" t="s">
        <v>38</v>
      </c>
    </row>
    <row r="46" spans="1:28" ht="120" customHeight="1" x14ac:dyDescent="0.25">
      <c r="A46" s="327" t="s">
        <v>60</v>
      </c>
      <c r="B46" s="324" t="s">
        <v>61</v>
      </c>
      <c r="C46" s="321" t="s">
        <v>109</v>
      </c>
      <c r="D46" s="318" t="s">
        <v>110</v>
      </c>
      <c r="E46" s="356" t="s">
        <v>111</v>
      </c>
      <c r="F46" s="171">
        <v>20200680010113</v>
      </c>
      <c r="G46" s="28" t="s">
        <v>112</v>
      </c>
      <c r="H46" s="40" t="s">
        <v>113</v>
      </c>
      <c r="I46" s="29">
        <v>44306</v>
      </c>
      <c r="J46" s="29">
        <v>44530</v>
      </c>
      <c r="K46" s="316">
        <v>1</v>
      </c>
      <c r="L46" s="331">
        <v>1</v>
      </c>
      <c r="M46" s="312">
        <f>IFERROR(IF(L46/K46&gt;100%,100%,L46/K46),"-")</f>
        <v>1</v>
      </c>
      <c r="N46" s="214" t="s">
        <v>114</v>
      </c>
      <c r="O46" s="247">
        <v>1876850815.48</v>
      </c>
      <c r="P46" s="204"/>
      <c r="Q46" s="204"/>
      <c r="R46" s="204"/>
      <c r="S46" s="335">
        <f>SUM(O46:R68)</f>
        <v>25670040789.07</v>
      </c>
      <c r="T46" s="204">
        <v>1827225023</v>
      </c>
      <c r="U46" s="204"/>
      <c r="V46" s="204"/>
      <c r="W46" s="204"/>
      <c r="X46" s="335">
        <f>SUM(T46:W68)</f>
        <v>4231345144.48</v>
      </c>
      <c r="Y46" s="342">
        <f>IFERROR(X46/S46,"-")</f>
        <v>0.16483593381283823</v>
      </c>
      <c r="Z46" s="344">
        <v>0</v>
      </c>
      <c r="AA46" s="346" t="s">
        <v>37</v>
      </c>
      <c r="AB46" s="348" t="s">
        <v>38</v>
      </c>
    </row>
    <row r="47" spans="1:28" ht="48.75" customHeight="1" x14ac:dyDescent="0.25">
      <c r="A47" s="328"/>
      <c r="B47" s="325"/>
      <c r="C47" s="322"/>
      <c r="D47" s="319"/>
      <c r="E47" s="357"/>
      <c r="F47" s="235"/>
      <c r="G47" s="85" t="s">
        <v>156</v>
      </c>
      <c r="H47" s="91"/>
      <c r="I47" s="45"/>
      <c r="J47" s="45"/>
      <c r="K47" s="334"/>
      <c r="L47" s="332"/>
      <c r="M47" s="330"/>
      <c r="N47" s="214" t="s">
        <v>223</v>
      </c>
      <c r="O47" s="192">
        <f>19283285.3799999+100000000</f>
        <v>119283285.37999991</v>
      </c>
      <c r="P47" s="206"/>
      <c r="Q47" s="206"/>
      <c r="R47" s="206"/>
      <c r="S47" s="336"/>
      <c r="T47" s="206"/>
      <c r="U47" s="206"/>
      <c r="V47" s="206"/>
      <c r="W47" s="206"/>
      <c r="X47" s="336"/>
      <c r="Y47" s="355"/>
      <c r="Z47" s="352"/>
      <c r="AA47" s="353"/>
      <c r="AB47" s="354"/>
    </row>
    <row r="48" spans="1:28" ht="68.400000000000006" customHeight="1" x14ac:dyDescent="0.25">
      <c r="A48" s="328"/>
      <c r="B48" s="325"/>
      <c r="C48" s="322"/>
      <c r="D48" s="319"/>
      <c r="E48" s="357"/>
      <c r="F48" s="170">
        <v>20200680010067</v>
      </c>
      <c r="G48" s="42" t="s">
        <v>115</v>
      </c>
      <c r="H48" s="43" t="s">
        <v>116</v>
      </c>
      <c r="I48" s="30">
        <v>44237</v>
      </c>
      <c r="J48" s="30">
        <v>44356</v>
      </c>
      <c r="K48" s="334"/>
      <c r="L48" s="332"/>
      <c r="M48" s="330"/>
      <c r="N48" s="215" t="s">
        <v>222</v>
      </c>
      <c r="O48" s="243">
        <f>527557672.8+399999941.93</f>
        <v>927557614.73000002</v>
      </c>
      <c r="P48" s="176"/>
      <c r="Q48" s="176"/>
      <c r="R48" s="176"/>
      <c r="S48" s="336"/>
      <c r="T48" s="206">
        <v>527557672.80000001</v>
      </c>
      <c r="U48" s="176"/>
      <c r="V48" s="176"/>
      <c r="W48" s="176"/>
      <c r="X48" s="336"/>
      <c r="Y48" s="355"/>
      <c r="Z48" s="352"/>
      <c r="AA48" s="353"/>
      <c r="AB48" s="354"/>
    </row>
    <row r="49" spans="1:28" ht="96.6" customHeight="1" x14ac:dyDescent="0.25">
      <c r="A49" s="328"/>
      <c r="B49" s="325"/>
      <c r="C49" s="322"/>
      <c r="D49" s="319"/>
      <c r="E49" s="357"/>
      <c r="F49" s="170">
        <v>20210680010012</v>
      </c>
      <c r="G49" s="140" t="s">
        <v>117</v>
      </c>
      <c r="H49" s="43" t="s">
        <v>243</v>
      </c>
      <c r="I49" s="45"/>
      <c r="J49" s="45"/>
      <c r="K49" s="334"/>
      <c r="L49" s="332"/>
      <c r="M49" s="330"/>
      <c r="N49" s="191"/>
      <c r="O49" s="138"/>
      <c r="P49" s="176"/>
      <c r="Q49" s="176"/>
      <c r="R49" s="176"/>
      <c r="S49" s="336"/>
      <c r="T49" s="176"/>
      <c r="U49" s="176"/>
      <c r="V49" s="176"/>
      <c r="W49" s="176"/>
      <c r="X49" s="336"/>
      <c r="Y49" s="355"/>
      <c r="Z49" s="352"/>
      <c r="AA49" s="353"/>
      <c r="AB49" s="354"/>
    </row>
    <row r="50" spans="1:28" ht="96.6" customHeight="1" x14ac:dyDescent="0.25">
      <c r="A50" s="328"/>
      <c r="B50" s="325"/>
      <c r="C50" s="322"/>
      <c r="D50" s="319"/>
      <c r="E50" s="357"/>
      <c r="F50" s="170">
        <v>20210680010036</v>
      </c>
      <c r="G50" s="42" t="s">
        <v>185</v>
      </c>
      <c r="H50" s="130"/>
      <c r="I50" s="45"/>
      <c r="J50" s="45"/>
      <c r="K50" s="334"/>
      <c r="L50" s="332"/>
      <c r="M50" s="330"/>
      <c r="N50" s="191" t="s">
        <v>193</v>
      </c>
      <c r="O50" s="267">
        <v>76000000</v>
      </c>
      <c r="P50" s="176"/>
      <c r="Q50" s="176"/>
      <c r="R50" s="176"/>
      <c r="S50" s="336"/>
      <c r="T50" s="176"/>
      <c r="U50" s="176"/>
      <c r="V50" s="176"/>
      <c r="W50" s="176"/>
      <c r="X50" s="336"/>
      <c r="Y50" s="355"/>
      <c r="Z50" s="352"/>
      <c r="AA50" s="353"/>
      <c r="AB50" s="354"/>
    </row>
    <row r="51" spans="1:28" ht="67.2" customHeight="1" x14ac:dyDescent="0.25">
      <c r="A51" s="328"/>
      <c r="B51" s="325"/>
      <c r="C51" s="322"/>
      <c r="D51" s="319"/>
      <c r="E51" s="357"/>
      <c r="F51" s="58">
        <v>20200680010127</v>
      </c>
      <c r="G51" s="90" t="s">
        <v>118</v>
      </c>
      <c r="H51" s="59" t="s">
        <v>194</v>
      </c>
      <c r="I51" s="60">
        <v>44348</v>
      </c>
      <c r="J51" s="60">
        <v>44469</v>
      </c>
      <c r="K51" s="334"/>
      <c r="L51" s="332"/>
      <c r="M51" s="330"/>
      <c r="N51" s="216" t="s">
        <v>196</v>
      </c>
      <c r="O51" s="138">
        <v>3067049999.9999995</v>
      </c>
      <c r="P51" s="138"/>
      <c r="Q51" s="138"/>
      <c r="R51" s="138"/>
      <c r="S51" s="336"/>
      <c r="T51" s="138"/>
      <c r="U51" s="138"/>
      <c r="V51" s="138"/>
      <c r="W51" s="138"/>
      <c r="X51" s="336"/>
      <c r="Y51" s="355"/>
      <c r="Z51" s="352"/>
      <c r="AA51" s="353"/>
      <c r="AB51" s="354"/>
    </row>
    <row r="52" spans="1:28" ht="100.2" customHeight="1" x14ac:dyDescent="0.25">
      <c r="A52" s="328"/>
      <c r="B52" s="325"/>
      <c r="C52" s="322"/>
      <c r="D52" s="319"/>
      <c r="E52" s="357"/>
      <c r="F52" s="58">
        <v>20200680010126</v>
      </c>
      <c r="G52" s="90" t="s">
        <v>119</v>
      </c>
      <c r="H52" s="61" t="s">
        <v>195</v>
      </c>
      <c r="I52" s="60">
        <v>44378</v>
      </c>
      <c r="J52" s="60" t="s">
        <v>211</v>
      </c>
      <c r="K52" s="334"/>
      <c r="L52" s="332"/>
      <c r="M52" s="330"/>
      <c r="N52" s="191" t="s">
        <v>232</v>
      </c>
      <c r="O52" s="138">
        <f>53364831+2812394000+926394000</f>
        <v>3792152831</v>
      </c>
      <c r="P52" s="138"/>
      <c r="Q52" s="138"/>
      <c r="R52" s="138"/>
      <c r="S52" s="336"/>
      <c r="T52" s="138"/>
      <c r="U52" s="138"/>
      <c r="V52" s="138"/>
      <c r="W52" s="138"/>
      <c r="X52" s="336"/>
      <c r="Y52" s="355"/>
      <c r="Z52" s="352"/>
      <c r="AA52" s="353"/>
      <c r="AB52" s="354"/>
    </row>
    <row r="53" spans="1:28" ht="67.2" customHeight="1" x14ac:dyDescent="0.25">
      <c r="A53" s="328"/>
      <c r="B53" s="325"/>
      <c r="C53" s="322"/>
      <c r="D53" s="319"/>
      <c r="E53" s="357"/>
      <c r="F53" s="236"/>
      <c r="G53" s="43" t="s">
        <v>120</v>
      </c>
      <c r="H53" s="43" t="s">
        <v>121</v>
      </c>
      <c r="I53" s="45"/>
      <c r="J53" s="45"/>
      <c r="K53" s="334"/>
      <c r="L53" s="332"/>
      <c r="M53" s="330"/>
      <c r="N53" s="216" t="s">
        <v>196</v>
      </c>
      <c r="O53" s="138">
        <v>6939100000</v>
      </c>
      <c r="P53" s="138"/>
      <c r="Q53" s="138"/>
      <c r="R53" s="138"/>
      <c r="S53" s="336"/>
      <c r="T53" s="138"/>
      <c r="U53" s="138"/>
      <c r="V53" s="138"/>
      <c r="W53" s="138"/>
      <c r="X53" s="336"/>
      <c r="Y53" s="355"/>
      <c r="Z53" s="352"/>
      <c r="AA53" s="353"/>
      <c r="AB53" s="354"/>
    </row>
    <row r="54" spans="1:28" ht="67.2" customHeight="1" x14ac:dyDescent="0.25">
      <c r="A54" s="328"/>
      <c r="B54" s="325"/>
      <c r="C54" s="322"/>
      <c r="D54" s="319"/>
      <c r="E54" s="357"/>
      <c r="F54" s="236"/>
      <c r="G54" s="43" t="s">
        <v>122</v>
      </c>
      <c r="H54" s="43" t="s">
        <v>123</v>
      </c>
      <c r="I54" s="45"/>
      <c r="J54" s="45"/>
      <c r="K54" s="334"/>
      <c r="L54" s="332"/>
      <c r="M54" s="330"/>
      <c r="N54" s="216"/>
      <c r="O54" s="138">
        <v>0</v>
      </c>
      <c r="P54" s="138"/>
      <c r="Q54" s="138"/>
      <c r="R54" s="138"/>
      <c r="S54" s="336"/>
      <c r="T54" s="138"/>
      <c r="U54" s="138"/>
      <c r="V54" s="138"/>
      <c r="W54" s="138"/>
      <c r="X54" s="336"/>
      <c r="Y54" s="355"/>
      <c r="Z54" s="352"/>
      <c r="AA54" s="353"/>
      <c r="AB54" s="354"/>
    </row>
    <row r="55" spans="1:28" ht="67.2" customHeight="1" x14ac:dyDescent="0.25">
      <c r="A55" s="328"/>
      <c r="B55" s="325"/>
      <c r="C55" s="322"/>
      <c r="D55" s="319"/>
      <c r="E55" s="357"/>
      <c r="F55" s="236"/>
      <c r="G55" s="43" t="s">
        <v>124</v>
      </c>
      <c r="H55" s="43" t="s">
        <v>125</v>
      </c>
      <c r="I55" s="45"/>
      <c r="J55" s="45"/>
      <c r="K55" s="334"/>
      <c r="L55" s="332"/>
      <c r="M55" s="330"/>
      <c r="N55" s="216"/>
      <c r="O55" s="138">
        <v>0</v>
      </c>
      <c r="P55" s="138"/>
      <c r="Q55" s="138"/>
      <c r="R55" s="138"/>
      <c r="S55" s="336"/>
      <c r="T55" s="138"/>
      <c r="U55" s="138"/>
      <c r="V55" s="138"/>
      <c r="W55" s="138"/>
      <c r="X55" s="336"/>
      <c r="Y55" s="355"/>
      <c r="Z55" s="352"/>
      <c r="AA55" s="353"/>
      <c r="AB55" s="354"/>
    </row>
    <row r="56" spans="1:28" ht="82.5" customHeight="1" x14ac:dyDescent="0.25">
      <c r="A56" s="328"/>
      <c r="B56" s="325"/>
      <c r="C56" s="322"/>
      <c r="D56" s="319"/>
      <c r="E56" s="357"/>
      <c r="F56" s="236"/>
      <c r="G56" s="90" t="s">
        <v>199</v>
      </c>
      <c r="H56" s="132" t="s">
        <v>200</v>
      </c>
      <c r="I56" s="45"/>
      <c r="J56" s="45"/>
      <c r="K56" s="334"/>
      <c r="L56" s="332"/>
      <c r="M56" s="330"/>
      <c r="N56" s="216" t="s">
        <v>197</v>
      </c>
      <c r="O56" s="138">
        <v>1648640000</v>
      </c>
      <c r="P56" s="138"/>
      <c r="Q56" s="138"/>
      <c r="R56" s="138"/>
      <c r="S56" s="336"/>
      <c r="T56" s="176"/>
      <c r="U56" s="176"/>
      <c r="V56" s="176"/>
      <c r="W56" s="176"/>
      <c r="X56" s="336"/>
      <c r="Y56" s="355"/>
      <c r="Z56" s="352"/>
      <c r="AA56" s="353"/>
      <c r="AB56" s="354"/>
    </row>
    <row r="57" spans="1:28" ht="67.2" customHeight="1" x14ac:dyDescent="0.25">
      <c r="A57" s="328"/>
      <c r="B57" s="325"/>
      <c r="C57" s="322"/>
      <c r="D57" s="319"/>
      <c r="E57" s="357"/>
      <c r="F57" s="236"/>
      <c r="G57" s="90" t="s">
        <v>198</v>
      </c>
      <c r="H57" s="132" t="s">
        <v>200</v>
      </c>
      <c r="I57" s="45"/>
      <c r="J57" s="45"/>
      <c r="K57" s="334"/>
      <c r="L57" s="332"/>
      <c r="M57" s="330"/>
      <c r="N57" s="216" t="s">
        <v>201</v>
      </c>
      <c r="O57" s="138">
        <v>1665545058</v>
      </c>
      <c r="P57" s="138"/>
      <c r="Q57" s="138"/>
      <c r="R57" s="138"/>
      <c r="S57" s="336"/>
      <c r="T57" s="176"/>
      <c r="U57" s="176"/>
      <c r="V57" s="176"/>
      <c r="W57" s="176"/>
      <c r="X57" s="336"/>
      <c r="Y57" s="355"/>
      <c r="Z57" s="352"/>
      <c r="AA57" s="353"/>
      <c r="AB57" s="354"/>
    </row>
    <row r="58" spans="1:28" ht="67.2" customHeight="1" x14ac:dyDescent="0.25">
      <c r="A58" s="328"/>
      <c r="B58" s="325"/>
      <c r="C58" s="322"/>
      <c r="D58" s="319"/>
      <c r="E58" s="357"/>
      <c r="F58" s="236"/>
      <c r="G58" s="132" t="s">
        <v>204</v>
      </c>
      <c r="H58" s="132" t="s">
        <v>202</v>
      </c>
      <c r="I58" s="45"/>
      <c r="J58" s="45"/>
      <c r="K58" s="334"/>
      <c r="L58" s="332"/>
      <c r="M58" s="330"/>
      <c r="N58" s="216" t="s">
        <v>197</v>
      </c>
      <c r="O58" s="138">
        <v>1466710000</v>
      </c>
      <c r="P58" s="138"/>
      <c r="Q58" s="138"/>
      <c r="R58" s="138"/>
      <c r="S58" s="336"/>
      <c r="T58" s="176"/>
      <c r="U58" s="176"/>
      <c r="V58" s="176"/>
      <c r="W58" s="176"/>
      <c r="X58" s="336"/>
      <c r="Y58" s="355"/>
      <c r="Z58" s="352"/>
      <c r="AA58" s="353"/>
      <c r="AB58" s="354"/>
    </row>
    <row r="59" spans="1:28" ht="76.8" customHeight="1" x14ac:dyDescent="0.25">
      <c r="A59" s="328"/>
      <c r="B59" s="325"/>
      <c r="C59" s="322"/>
      <c r="D59" s="319"/>
      <c r="E59" s="357"/>
      <c r="F59" s="270">
        <v>2020680010167</v>
      </c>
      <c r="G59" s="42" t="s">
        <v>230</v>
      </c>
      <c r="H59" s="132"/>
      <c r="I59" s="45"/>
      <c r="J59" s="45"/>
      <c r="K59" s="334"/>
      <c r="L59" s="332"/>
      <c r="M59" s="330"/>
      <c r="N59" s="216" t="s">
        <v>231</v>
      </c>
      <c r="O59" s="243">
        <f>114236490.4+63861922.84</f>
        <v>178098413.24000001</v>
      </c>
      <c r="P59" s="138"/>
      <c r="Q59" s="138"/>
      <c r="R59" s="138"/>
      <c r="S59" s="336"/>
      <c r="T59" s="176">
        <f>114236490.45+63861925</f>
        <v>178098415.44999999</v>
      </c>
      <c r="U59" s="176"/>
      <c r="V59" s="176"/>
      <c r="W59" s="176"/>
      <c r="X59" s="336"/>
      <c r="Y59" s="355"/>
      <c r="Z59" s="352"/>
      <c r="AA59" s="353"/>
      <c r="AB59" s="354"/>
    </row>
    <row r="60" spans="1:28" ht="67.2" customHeight="1" x14ac:dyDescent="0.25">
      <c r="A60" s="328"/>
      <c r="B60" s="325"/>
      <c r="C60" s="322"/>
      <c r="D60" s="319"/>
      <c r="E60" s="357"/>
      <c r="F60" s="236">
        <v>20200680010029</v>
      </c>
      <c r="G60" s="132" t="s">
        <v>205</v>
      </c>
      <c r="H60" s="132"/>
      <c r="I60" s="45"/>
      <c r="J60" s="45"/>
      <c r="K60" s="334"/>
      <c r="L60" s="332"/>
      <c r="M60" s="330"/>
      <c r="N60" s="216" t="s">
        <v>210</v>
      </c>
      <c r="O60" s="138">
        <f>549583669.81</f>
        <v>549583669.80999994</v>
      </c>
      <c r="P60" s="138"/>
      <c r="Q60" s="138"/>
      <c r="R60" s="138"/>
      <c r="S60" s="336"/>
      <c r="T60" s="176"/>
      <c r="U60" s="176"/>
      <c r="V60" s="176"/>
      <c r="W60" s="176"/>
      <c r="X60" s="336"/>
      <c r="Y60" s="355"/>
      <c r="Z60" s="352"/>
      <c r="AA60" s="353"/>
      <c r="AB60" s="354"/>
    </row>
    <row r="61" spans="1:28" ht="107.25" customHeight="1" x14ac:dyDescent="0.25">
      <c r="A61" s="328"/>
      <c r="B61" s="325"/>
      <c r="C61" s="322"/>
      <c r="D61" s="319"/>
      <c r="E61" s="357"/>
      <c r="F61" s="236">
        <v>20200680010029</v>
      </c>
      <c r="G61" s="132" t="s">
        <v>206</v>
      </c>
      <c r="H61" s="132"/>
      <c r="I61" s="45"/>
      <c r="J61" s="45"/>
      <c r="K61" s="334"/>
      <c r="L61" s="332"/>
      <c r="M61" s="330"/>
      <c r="N61" s="216" t="s">
        <v>210</v>
      </c>
      <c r="O61" s="138">
        <v>11397677</v>
      </c>
      <c r="P61" s="138"/>
      <c r="Q61" s="138"/>
      <c r="R61" s="138"/>
      <c r="S61" s="336"/>
      <c r="T61" s="176"/>
      <c r="U61" s="176"/>
      <c r="V61" s="176"/>
      <c r="W61" s="176"/>
      <c r="X61" s="336"/>
      <c r="Y61" s="355"/>
      <c r="Z61" s="352"/>
      <c r="AA61" s="353"/>
      <c r="AB61" s="354"/>
    </row>
    <row r="62" spans="1:28" ht="94.5" customHeight="1" x14ac:dyDescent="0.25">
      <c r="A62" s="328"/>
      <c r="B62" s="325"/>
      <c r="C62" s="322"/>
      <c r="D62" s="319"/>
      <c r="E62" s="357"/>
      <c r="F62" s="233">
        <v>2020680010051</v>
      </c>
      <c r="G62" s="133" t="s">
        <v>207</v>
      </c>
      <c r="H62" s="132"/>
      <c r="I62" s="45"/>
      <c r="J62" s="45"/>
      <c r="K62" s="334"/>
      <c r="L62" s="332"/>
      <c r="M62" s="330"/>
      <c r="N62" s="216" t="s">
        <v>210</v>
      </c>
      <c r="O62" s="243">
        <v>227581715</v>
      </c>
      <c r="P62" s="138"/>
      <c r="Q62" s="138"/>
      <c r="R62" s="138"/>
      <c r="S62" s="336"/>
      <c r="T62" s="176">
        <v>227581714.81999999</v>
      </c>
      <c r="U62" s="176"/>
      <c r="V62" s="176"/>
      <c r="W62" s="176"/>
      <c r="X62" s="336"/>
      <c r="Y62" s="355"/>
      <c r="Z62" s="352"/>
      <c r="AA62" s="353"/>
      <c r="AB62" s="354"/>
    </row>
    <row r="63" spans="1:28" ht="41.4" customHeight="1" x14ac:dyDescent="0.25">
      <c r="A63" s="328"/>
      <c r="B63" s="325"/>
      <c r="C63" s="322"/>
      <c r="D63" s="319"/>
      <c r="E63" s="357"/>
      <c r="F63" s="233"/>
      <c r="G63" s="158" t="s">
        <v>59</v>
      </c>
      <c r="H63" s="158"/>
      <c r="I63" s="45"/>
      <c r="J63" s="45"/>
      <c r="K63" s="334"/>
      <c r="L63" s="332"/>
      <c r="M63" s="330"/>
      <c r="N63" s="216" t="s">
        <v>210</v>
      </c>
      <c r="O63" s="138">
        <v>240342435.40999997</v>
      </c>
      <c r="P63" s="138"/>
      <c r="Q63" s="138"/>
      <c r="R63" s="138"/>
      <c r="S63" s="336"/>
      <c r="T63" s="176"/>
      <c r="U63" s="176"/>
      <c r="V63" s="176"/>
      <c r="W63" s="176"/>
      <c r="X63" s="336"/>
      <c r="Y63" s="355"/>
      <c r="Z63" s="352"/>
      <c r="AA63" s="353"/>
      <c r="AB63" s="354"/>
    </row>
    <row r="64" spans="1:28" ht="81" customHeight="1" x14ac:dyDescent="0.25">
      <c r="A64" s="328"/>
      <c r="B64" s="325"/>
      <c r="C64" s="322"/>
      <c r="D64" s="319"/>
      <c r="E64" s="357"/>
      <c r="F64" s="233">
        <v>2020680010105</v>
      </c>
      <c r="G64" s="133" t="s">
        <v>208</v>
      </c>
      <c r="H64" s="132"/>
      <c r="I64" s="45"/>
      <c r="J64" s="45"/>
      <c r="K64" s="334"/>
      <c r="L64" s="332"/>
      <c r="M64" s="330"/>
      <c r="N64" s="216" t="s">
        <v>229</v>
      </c>
      <c r="O64" s="243">
        <f>197507450.99+232210009.36</f>
        <v>429717460.35000002</v>
      </c>
      <c r="P64" s="138"/>
      <c r="Q64" s="138"/>
      <c r="R64" s="138"/>
      <c r="S64" s="336"/>
      <c r="T64" s="176">
        <v>424022853.41000003</v>
      </c>
      <c r="U64" s="176"/>
      <c r="V64" s="176"/>
      <c r="W64" s="176"/>
      <c r="X64" s="336"/>
      <c r="Y64" s="355"/>
      <c r="Z64" s="352"/>
      <c r="AA64" s="353"/>
      <c r="AB64" s="354"/>
    </row>
    <row r="65" spans="1:28" ht="67.2" customHeight="1" x14ac:dyDescent="0.25">
      <c r="A65" s="328"/>
      <c r="B65" s="325"/>
      <c r="C65" s="322"/>
      <c r="D65" s="319"/>
      <c r="E65" s="357"/>
      <c r="F65" s="233">
        <v>2020680010128</v>
      </c>
      <c r="G65" s="133" t="s">
        <v>228</v>
      </c>
      <c r="H65" s="132"/>
      <c r="I65" s="45"/>
      <c r="J65" s="45"/>
      <c r="K65" s="334"/>
      <c r="L65" s="332"/>
      <c r="M65" s="330"/>
      <c r="N65" s="216" t="s">
        <v>210</v>
      </c>
      <c r="O65" s="243">
        <v>1046859515</v>
      </c>
      <c r="P65" s="269"/>
      <c r="Q65" s="138"/>
      <c r="R65" s="138"/>
      <c r="S65" s="336"/>
      <c r="T65" s="176">
        <v>1046859465</v>
      </c>
      <c r="U65" s="176"/>
      <c r="V65" s="176"/>
      <c r="W65" s="176"/>
      <c r="X65" s="336"/>
      <c r="Y65" s="355"/>
      <c r="Z65" s="352"/>
      <c r="AA65" s="353"/>
      <c r="AB65" s="354"/>
    </row>
    <row r="66" spans="1:28" ht="34.200000000000003" customHeight="1" x14ac:dyDescent="0.25">
      <c r="A66" s="328"/>
      <c r="B66" s="325"/>
      <c r="C66" s="322"/>
      <c r="D66" s="319"/>
      <c r="E66" s="357"/>
      <c r="F66" s="233"/>
      <c r="G66" s="158" t="s">
        <v>156</v>
      </c>
      <c r="H66" s="158"/>
      <c r="I66" s="45"/>
      <c r="J66" s="45"/>
      <c r="K66" s="334"/>
      <c r="L66" s="332"/>
      <c r="M66" s="330"/>
      <c r="N66" s="216" t="s">
        <v>210</v>
      </c>
      <c r="O66" s="269">
        <v>182466217</v>
      </c>
      <c r="P66" s="269"/>
      <c r="Q66" s="138"/>
      <c r="R66" s="138"/>
      <c r="S66" s="336"/>
      <c r="T66" s="176"/>
      <c r="U66" s="176"/>
      <c r="V66" s="176"/>
      <c r="W66" s="176"/>
      <c r="X66" s="336"/>
      <c r="Y66" s="355"/>
      <c r="Z66" s="352"/>
      <c r="AA66" s="353"/>
      <c r="AB66" s="354"/>
    </row>
    <row r="67" spans="1:28" ht="67.2" customHeight="1" x14ac:dyDescent="0.25">
      <c r="A67" s="328"/>
      <c r="B67" s="325"/>
      <c r="C67" s="322"/>
      <c r="D67" s="319"/>
      <c r="E67" s="357"/>
      <c r="F67" s="233">
        <v>20200680010029</v>
      </c>
      <c r="G67" s="132" t="s">
        <v>209</v>
      </c>
      <c r="H67" s="132"/>
      <c r="I67" s="45"/>
      <c r="J67" s="45"/>
      <c r="K67" s="334"/>
      <c r="L67" s="332"/>
      <c r="M67" s="330"/>
      <c r="N67" s="216" t="s">
        <v>210</v>
      </c>
      <c r="O67" s="138">
        <f>66785190.7+26457310.87</f>
        <v>93242501.570000008</v>
      </c>
      <c r="P67" s="138"/>
      <c r="Q67" s="138"/>
      <c r="R67" s="138"/>
      <c r="S67" s="336"/>
      <c r="T67" s="176"/>
      <c r="U67" s="176"/>
      <c r="V67" s="176"/>
      <c r="W67" s="176"/>
      <c r="X67" s="336"/>
      <c r="Y67" s="355"/>
      <c r="Z67" s="352"/>
      <c r="AA67" s="353"/>
      <c r="AB67" s="354"/>
    </row>
    <row r="68" spans="1:28" ht="38.4" customHeight="1" thickBot="1" x14ac:dyDescent="0.3">
      <c r="A68" s="329"/>
      <c r="B68" s="326"/>
      <c r="C68" s="323"/>
      <c r="D68" s="320"/>
      <c r="E68" s="358"/>
      <c r="F68" s="271"/>
      <c r="G68" s="41" t="s">
        <v>59</v>
      </c>
      <c r="H68" s="41"/>
      <c r="I68" s="116"/>
      <c r="J68" s="116"/>
      <c r="K68" s="317"/>
      <c r="L68" s="333"/>
      <c r="M68" s="313"/>
      <c r="N68" s="216" t="s">
        <v>210</v>
      </c>
      <c r="O68" s="288">
        <v>1131861580.1000004</v>
      </c>
      <c r="P68" s="192"/>
      <c r="Q68" s="192"/>
      <c r="R68" s="192"/>
      <c r="S68" s="337"/>
      <c r="T68" s="206"/>
      <c r="U68" s="206"/>
      <c r="V68" s="206"/>
      <c r="W68" s="206"/>
      <c r="X68" s="337"/>
      <c r="Y68" s="343"/>
      <c r="Z68" s="345"/>
      <c r="AA68" s="347"/>
      <c r="AB68" s="349"/>
    </row>
    <row r="69" spans="1:28" ht="263.39999999999998" customHeight="1" x14ac:dyDescent="0.25">
      <c r="A69" s="327" t="s">
        <v>60</v>
      </c>
      <c r="B69" s="324" t="s">
        <v>61</v>
      </c>
      <c r="C69" s="321" t="s">
        <v>109</v>
      </c>
      <c r="D69" s="318" t="s">
        <v>126</v>
      </c>
      <c r="E69" s="356" t="s">
        <v>127</v>
      </c>
      <c r="F69" s="171">
        <v>20200680010029</v>
      </c>
      <c r="G69" s="28" t="s">
        <v>128</v>
      </c>
      <c r="H69" s="172" t="s">
        <v>129</v>
      </c>
      <c r="I69" s="29">
        <v>44197</v>
      </c>
      <c r="J69" s="29">
        <v>44561</v>
      </c>
      <c r="K69" s="384">
        <v>1</v>
      </c>
      <c r="L69" s="387">
        <v>1</v>
      </c>
      <c r="M69" s="390">
        <f>IFERROR(IF(L69/K69&gt;100%,100%,L69/K69),"-")</f>
        <v>1</v>
      </c>
      <c r="N69" s="245" t="s">
        <v>218</v>
      </c>
      <c r="O69" s="256">
        <v>19566670524.849998</v>
      </c>
      <c r="P69" s="204"/>
      <c r="Q69" s="204"/>
      <c r="R69" s="204"/>
      <c r="S69" s="335">
        <f>SUM(O69:R71)</f>
        <v>24986681354.849998</v>
      </c>
      <c r="T69" s="204">
        <v>6237699843.0799999</v>
      </c>
      <c r="U69" s="136"/>
      <c r="V69" s="136"/>
      <c r="W69" s="136"/>
      <c r="X69" s="335">
        <f>SUM(T69:W71)</f>
        <v>7134796372.7093697</v>
      </c>
      <c r="Y69" s="342">
        <f>IFERROR(X69/S69,"-")</f>
        <v>0.28554397726469111</v>
      </c>
      <c r="Z69" s="344">
        <v>0</v>
      </c>
      <c r="AA69" s="346" t="s">
        <v>37</v>
      </c>
      <c r="AB69" s="348" t="s">
        <v>38</v>
      </c>
    </row>
    <row r="70" spans="1:28" ht="64.2" customHeight="1" x14ac:dyDescent="0.25">
      <c r="A70" s="328"/>
      <c r="B70" s="325"/>
      <c r="C70" s="322"/>
      <c r="D70" s="319"/>
      <c r="E70" s="357"/>
      <c r="F70" s="170">
        <v>20200680010114</v>
      </c>
      <c r="G70" s="167" t="s">
        <v>130</v>
      </c>
      <c r="H70" s="168" t="s">
        <v>131</v>
      </c>
      <c r="I70" s="169">
        <v>44336</v>
      </c>
      <c r="J70" s="169">
        <v>44545</v>
      </c>
      <c r="K70" s="427"/>
      <c r="L70" s="426"/>
      <c r="M70" s="425"/>
      <c r="N70" s="191" t="s">
        <v>219</v>
      </c>
      <c r="O70" s="243">
        <f>4221454300</f>
        <v>4221454300</v>
      </c>
      <c r="P70" s="176"/>
      <c r="Q70" s="176"/>
      <c r="R70" s="176"/>
      <c r="S70" s="336"/>
      <c r="T70" s="176">
        <v>897096529.62936938</v>
      </c>
      <c r="U70" s="138"/>
      <c r="V70" s="138"/>
      <c r="W70" s="138"/>
      <c r="X70" s="336"/>
      <c r="Y70" s="355"/>
      <c r="Z70" s="352"/>
      <c r="AA70" s="353"/>
      <c r="AB70" s="354"/>
    </row>
    <row r="71" spans="1:28" ht="79.8" customHeight="1" thickBot="1" x14ac:dyDescent="0.3">
      <c r="A71" s="329"/>
      <c r="B71" s="326"/>
      <c r="C71" s="323"/>
      <c r="D71" s="320"/>
      <c r="E71" s="358"/>
      <c r="F71" s="240"/>
      <c r="G71" s="241" t="s">
        <v>156</v>
      </c>
      <c r="H71" s="93"/>
      <c r="I71" s="94"/>
      <c r="J71" s="94"/>
      <c r="K71" s="386"/>
      <c r="L71" s="389"/>
      <c r="M71" s="392"/>
      <c r="N71" s="195" t="s">
        <v>220</v>
      </c>
      <c r="O71" s="305">
        <v>1198556530</v>
      </c>
      <c r="P71" s="242"/>
      <c r="Q71" s="242"/>
      <c r="R71" s="242"/>
      <c r="S71" s="337"/>
      <c r="T71" s="242"/>
      <c r="U71" s="135"/>
      <c r="V71" s="135"/>
      <c r="W71" s="135"/>
      <c r="X71" s="337"/>
      <c r="Y71" s="343"/>
      <c r="Z71" s="345"/>
      <c r="AA71" s="347"/>
      <c r="AB71" s="349"/>
    </row>
    <row r="72" spans="1:28" ht="118.2" customHeight="1" thickBot="1" x14ac:dyDescent="0.3">
      <c r="A72" s="122" t="s">
        <v>60</v>
      </c>
      <c r="B72" s="95" t="s">
        <v>61</v>
      </c>
      <c r="C72" s="96" t="s">
        <v>109</v>
      </c>
      <c r="D72" s="14" t="s">
        <v>132</v>
      </c>
      <c r="E72" s="27" t="s">
        <v>133</v>
      </c>
      <c r="F72" s="285"/>
      <c r="G72" s="88"/>
      <c r="H72" s="97"/>
      <c r="I72" s="18"/>
      <c r="J72" s="18"/>
      <c r="K72" s="19">
        <v>0.5</v>
      </c>
      <c r="L72" s="20"/>
      <c r="M72" s="21">
        <f>IFERROR(IF(L72/K72&gt;100%,100%,L72/K72),"-")</f>
        <v>0</v>
      </c>
      <c r="N72" s="200" t="s">
        <v>203</v>
      </c>
      <c r="O72" s="201">
        <v>2000000000</v>
      </c>
      <c r="P72" s="201"/>
      <c r="Q72" s="201"/>
      <c r="R72" s="201"/>
      <c r="S72" s="182">
        <f>SUM(O72:R72)</f>
        <v>2000000000</v>
      </c>
      <c r="T72" s="219"/>
      <c r="U72" s="219"/>
      <c r="V72" s="219"/>
      <c r="W72" s="219"/>
      <c r="X72" s="182">
        <f>SUM(T72:W72)</f>
        <v>0</v>
      </c>
      <c r="Y72" s="24">
        <f>IFERROR(X72/S72,"-")</f>
        <v>0</v>
      </c>
      <c r="Z72" s="23">
        <v>0</v>
      </c>
      <c r="AA72" s="25" t="s">
        <v>37</v>
      </c>
      <c r="AB72" s="26" t="s">
        <v>38</v>
      </c>
    </row>
    <row r="73" spans="1:28" ht="36" customHeight="1" x14ac:dyDescent="0.25">
      <c r="A73" s="464" t="s">
        <v>60</v>
      </c>
      <c r="B73" s="464" t="s">
        <v>61</v>
      </c>
      <c r="C73" s="464" t="s">
        <v>109</v>
      </c>
      <c r="D73" s="382" t="s">
        <v>135</v>
      </c>
      <c r="E73" s="350" t="s">
        <v>136</v>
      </c>
      <c r="F73" s="225"/>
      <c r="G73" s="165" t="s">
        <v>156</v>
      </c>
      <c r="H73" s="41"/>
      <c r="I73" s="116"/>
      <c r="J73" s="116"/>
      <c r="K73" s="316">
        <v>10000</v>
      </c>
      <c r="L73" s="314"/>
      <c r="M73" s="312">
        <f>IFERROR(IF(L73/K73&gt;100%,100%,L73/K73),"-")</f>
        <v>0</v>
      </c>
      <c r="N73" s="214" t="s">
        <v>203</v>
      </c>
      <c r="O73" s="192">
        <v>3510214757.5799999</v>
      </c>
      <c r="P73" s="192"/>
      <c r="Q73" s="192"/>
      <c r="R73" s="192"/>
      <c r="S73" s="336">
        <f>SUM(O73:R74)</f>
        <v>19307126695.139999</v>
      </c>
      <c r="T73" s="206"/>
      <c r="U73" s="206"/>
      <c r="V73" s="206"/>
      <c r="W73" s="206"/>
      <c r="X73" s="336">
        <f>SUM(T73:W74)</f>
        <v>0</v>
      </c>
      <c r="Y73" s="355">
        <f>IFERROR(X73/S73,"-")</f>
        <v>0</v>
      </c>
      <c r="Z73" s="352">
        <v>0</v>
      </c>
      <c r="AA73" s="353" t="s">
        <v>37</v>
      </c>
      <c r="AB73" s="354" t="s">
        <v>38</v>
      </c>
    </row>
    <row r="74" spans="1:28" ht="142.19999999999999" customHeight="1" thickBot="1" x14ac:dyDescent="0.3">
      <c r="A74" s="465"/>
      <c r="B74" s="465"/>
      <c r="C74" s="465"/>
      <c r="D74" s="383"/>
      <c r="E74" s="351"/>
      <c r="F74" s="470">
        <v>20200680010119</v>
      </c>
      <c r="G74" s="462" t="s">
        <v>134</v>
      </c>
      <c r="H74" s="159" t="s">
        <v>212</v>
      </c>
      <c r="I74" s="32">
        <v>44348</v>
      </c>
      <c r="J74" s="32">
        <v>44561</v>
      </c>
      <c r="K74" s="317"/>
      <c r="L74" s="315"/>
      <c r="M74" s="313"/>
      <c r="N74" s="195" t="s">
        <v>137</v>
      </c>
      <c r="O74" s="196">
        <v>15796911937.559999</v>
      </c>
      <c r="P74" s="242"/>
      <c r="Q74" s="242"/>
      <c r="R74" s="242"/>
      <c r="S74" s="337"/>
      <c r="T74" s="242"/>
      <c r="U74" s="242"/>
      <c r="V74" s="242"/>
      <c r="W74" s="242"/>
      <c r="X74" s="337"/>
      <c r="Y74" s="343"/>
      <c r="Z74" s="345"/>
      <c r="AA74" s="347"/>
      <c r="AB74" s="349"/>
    </row>
    <row r="75" spans="1:28" ht="55.8" customHeight="1" x14ac:dyDescent="0.25">
      <c r="A75" s="363" t="s">
        <v>60</v>
      </c>
      <c r="B75" s="360" t="s">
        <v>61</v>
      </c>
      <c r="C75" s="464" t="s">
        <v>109</v>
      </c>
      <c r="D75" s="382" t="s">
        <v>138</v>
      </c>
      <c r="E75" s="350" t="s">
        <v>139</v>
      </c>
      <c r="F75" s="471"/>
      <c r="G75" s="463"/>
      <c r="H75" s="41" t="s">
        <v>212</v>
      </c>
      <c r="I75" s="116">
        <v>44348</v>
      </c>
      <c r="J75" s="116">
        <v>44561</v>
      </c>
      <c r="K75" s="431">
        <v>1</v>
      </c>
      <c r="L75" s="428"/>
      <c r="M75" s="391">
        <f>IFERROR(IF(L75/K75&gt;100%,100%,L75/K75),"-")</f>
        <v>0</v>
      </c>
      <c r="N75" s="286"/>
      <c r="O75" s="286"/>
      <c r="P75" s="206"/>
      <c r="Q75" s="206"/>
      <c r="R75" s="206"/>
      <c r="S75" s="338">
        <f>SUM(O75:R76)</f>
        <v>2000000000.4200001</v>
      </c>
      <c r="T75" s="192"/>
      <c r="U75" s="206"/>
      <c r="V75" s="206"/>
      <c r="W75" s="206"/>
      <c r="X75" s="338">
        <f>SUM(T75:W76)</f>
        <v>0</v>
      </c>
      <c r="Y75" s="340">
        <f>IFERROR(X75/S75,"-")</f>
        <v>0</v>
      </c>
      <c r="Z75" s="402">
        <v>0</v>
      </c>
      <c r="AA75" s="405" t="s">
        <v>37</v>
      </c>
      <c r="AB75" s="408" t="s">
        <v>38</v>
      </c>
    </row>
    <row r="76" spans="1:28" ht="70.8" customHeight="1" thickBot="1" x14ac:dyDescent="0.3">
      <c r="A76" s="364"/>
      <c r="B76" s="361"/>
      <c r="C76" s="465"/>
      <c r="D76" s="383"/>
      <c r="E76" s="351"/>
      <c r="F76" s="284"/>
      <c r="G76" s="156" t="s">
        <v>156</v>
      </c>
      <c r="H76" s="159"/>
      <c r="I76" s="32"/>
      <c r="J76" s="32"/>
      <c r="K76" s="433"/>
      <c r="L76" s="430"/>
      <c r="M76" s="392"/>
      <c r="N76" s="195" t="s">
        <v>241</v>
      </c>
      <c r="O76" s="242">
        <f>1989785242.42+10214758</f>
        <v>2000000000.4200001</v>
      </c>
      <c r="P76" s="242"/>
      <c r="Q76" s="242"/>
      <c r="R76" s="242"/>
      <c r="S76" s="339"/>
      <c r="T76" s="135"/>
      <c r="U76" s="242"/>
      <c r="V76" s="242"/>
      <c r="W76" s="242"/>
      <c r="X76" s="339"/>
      <c r="Y76" s="341"/>
      <c r="Z76" s="403"/>
      <c r="AA76" s="406"/>
      <c r="AB76" s="409"/>
    </row>
    <row r="77" spans="1:28" ht="141" customHeight="1" thickBot="1" x14ac:dyDescent="0.3">
      <c r="A77" s="12" t="s">
        <v>60</v>
      </c>
      <c r="B77" s="13" t="s">
        <v>61</v>
      </c>
      <c r="C77" s="63" t="s">
        <v>109</v>
      </c>
      <c r="D77" s="14" t="s">
        <v>140</v>
      </c>
      <c r="E77" s="27" t="s">
        <v>141</v>
      </c>
      <c r="F77" s="282"/>
      <c r="G77" s="88" t="s">
        <v>134</v>
      </c>
      <c r="H77" s="283"/>
      <c r="I77" s="18"/>
      <c r="J77" s="18"/>
      <c r="K77" s="19">
        <v>0.3</v>
      </c>
      <c r="L77" s="20"/>
      <c r="M77" s="21">
        <f>IFERROR(IF(L77/K77&gt;100%,100%,L77/K77),"-")</f>
        <v>0</v>
      </c>
      <c r="N77" s="200"/>
      <c r="O77" s="219"/>
      <c r="P77" s="219"/>
      <c r="Q77" s="219"/>
      <c r="R77" s="219"/>
      <c r="S77" s="182">
        <f>SUM(O77:R77)</f>
        <v>0</v>
      </c>
      <c r="T77" s="219"/>
      <c r="U77" s="219"/>
      <c r="V77" s="219"/>
      <c r="W77" s="219"/>
      <c r="X77" s="182">
        <f>SUM(T77:W77)</f>
        <v>0</v>
      </c>
      <c r="Y77" s="24" t="str">
        <f>IFERROR(X77/S77,"-")</f>
        <v>-</v>
      </c>
      <c r="Z77" s="23">
        <v>0</v>
      </c>
      <c r="AA77" s="25" t="s">
        <v>37</v>
      </c>
      <c r="AB77" s="26" t="s">
        <v>38</v>
      </c>
    </row>
    <row r="78" spans="1:28" ht="86.4" customHeight="1" x14ac:dyDescent="0.25">
      <c r="A78" s="444" t="s">
        <v>142</v>
      </c>
      <c r="B78" s="447" t="s">
        <v>143</v>
      </c>
      <c r="C78" s="450" t="s">
        <v>144</v>
      </c>
      <c r="D78" s="453" t="s">
        <v>145</v>
      </c>
      <c r="E78" s="456" t="s">
        <v>146</v>
      </c>
      <c r="F78" s="171">
        <v>20200680010031</v>
      </c>
      <c r="G78" s="28" t="s">
        <v>147</v>
      </c>
      <c r="H78" s="157" t="s">
        <v>145</v>
      </c>
      <c r="I78" s="29">
        <v>44208</v>
      </c>
      <c r="J78" s="29">
        <v>44450</v>
      </c>
      <c r="K78" s="384">
        <v>1</v>
      </c>
      <c r="L78" s="387">
        <v>1</v>
      </c>
      <c r="M78" s="390">
        <f>IFERROR(IF(L78/K78&gt;100%,100%,L78/K78),"-")</f>
        <v>1</v>
      </c>
      <c r="N78" s="188" t="s">
        <v>148</v>
      </c>
      <c r="O78" s="220">
        <v>1410505863</v>
      </c>
      <c r="P78" s="204"/>
      <c r="Q78" s="204"/>
      <c r="R78" s="204"/>
      <c r="S78" s="375">
        <f>SUM(O78:R83)</f>
        <v>12983033669.529999</v>
      </c>
      <c r="T78" s="204">
        <f>1361416667+3300000</f>
        <v>1364716667</v>
      </c>
      <c r="U78" s="204"/>
      <c r="V78" s="204"/>
      <c r="W78" s="204"/>
      <c r="X78" s="375">
        <f>SUM(T78:W83)</f>
        <v>7613889970</v>
      </c>
      <c r="Y78" s="376">
        <f>IFERROR(X78/S78,"-")</f>
        <v>0.58644922009785039</v>
      </c>
      <c r="Z78" s="401">
        <v>0</v>
      </c>
      <c r="AA78" s="404" t="s">
        <v>37</v>
      </c>
      <c r="AB78" s="407" t="s">
        <v>38</v>
      </c>
    </row>
    <row r="79" spans="1:28" ht="84.6" customHeight="1" x14ac:dyDescent="0.25">
      <c r="A79" s="445"/>
      <c r="B79" s="448"/>
      <c r="C79" s="451"/>
      <c r="D79" s="454"/>
      <c r="E79" s="457"/>
      <c r="F79" s="170">
        <v>20200680010098</v>
      </c>
      <c r="G79" s="42" t="s">
        <v>149</v>
      </c>
      <c r="H79" s="158" t="s">
        <v>150</v>
      </c>
      <c r="I79" s="45">
        <v>44208</v>
      </c>
      <c r="J79" s="45">
        <v>44450</v>
      </c>
      <c r="K79" s="427"/>
      <c r="L79" s="426"/>
      <c r="M79" s="425"/>
      <c r="N79" s="191" t="s">
        <v>148</v>
      </c>
      <c r="O79" s="221">
        <v>2163305863</v>
      </c>
      <c r="P79" s="176"/>
      <c r="Q79" s="176"/>
      <c r="R79" s="176"/>
      <c r="S79" s="434"/>
      <c r="T79" s="176">
        <v>2136239196</v>
      </c>
      <c r="U79" s="176"/>
      <c r="V79" s="176"/>
      <c r="W79" s="176"/>
      <c r="X79" s="434"/>
      <c r="Y79" s="459"/>
      <c r="Z79" s="460"/>
      <c r="AA79" s="461"/>
      <c r="AB79" s="443"/>
    </row>
    <row r="80" spans="1:28" ht="99.75" customHeight="1" x14ac:dyDescent="0.25">
      <c r="A80" s="445"/>
      <c r="B80" s="448"/>
      <c r="C80" s="451"/>
      <c r="D80" s="454"/>
      <c r="E80" s="457"/>
      <c r="F80" s="254">
        <v>20210680010031</v>
      </c>
      <c r="G80" s="255" t="s">
        <v>160</v>
      </c>
      <c r="H80" s="158"/>
      <c r="I80" s="45"/>
      <c r="J80" s="45"/>
      <c r="K80" s="427"/>
      <c r="L80" s="426"/>
      <c r="M80" s="425"/>
      <c r="N80" s="191" t="s">
        <v>148</v>
      </c>
      <c r="O80" s="221">
        <v>600000000</v>
      </c>
      <c r="P80" s="176"/>
      <c r="Q80" s="176"/>
      <c r="R80" s="176"/>
      <c r="S80" s="434"/>
      <c r="T80" s="176">
        <v>508377470</v>
      </c>
      <c r="U80" s="176"/>
      <c r="V80" s="176"/>
      <c r="W80" s="176"/>
      <c r="X80" s="434"/>
      <c r="Y80" s="459"/>
      <c r="Z80" s="460"/>
      <c r="AA80" s="461"/>
      <c r="AB80" s="443"/>
    </row>
    <row r="81" spans="1:28" ht="45" customHeight="1" x14ac:dyDescent="0.25">
      <c r="A81" s="445"/>
      <c r="B81" s="448"/>
      <c r="C81" s="451"/>
      <c r="D81" s="454"/>
      <c r="E81" s="457"/>
      <c r="F81" s="233"/>
      <c r="G81" s="158" t="s">
        <v>190</v>
      </c>
      <c r="H81" s="158"/>
      <c r="I81" s="45"/>
      <c r="J81" s="45"/>
      <c r="K81" s="427"/>
      <c r="L81" s="426"/>
      <c r="M81" s="425"/>
      <c r="N81" s="191" t="s">
        <v>214</v>
      </c>
      <c r="O81" s="176">
        <v>1000000000</v>
      </c>
      <c r="P81" s="176"/>
      <c r="Q81" s="176"/>
      <c r="R81" s="176"/>
      <c r="S81" s="434"/>
      <c r="T81" s="176"/>
      <c r="U81" s="176"/>
      <c r="V81" s="176"/>
      <c r="W81" s="176"/>
      <c r="X81" s="434"/>
      <c r="Y81" s="459"/>
      <c r="Z81" s="460"/>
      <c r="AA81" s="461"/>
      <c r="AB81" s="443"/>
    </row>
    <row r="82" spans="1:28" ht="45.6" customHeight="1" x14ac:dyDescent="0.25">
      <c r="A82" s="445"/>
      <c r="B82" s="448"/>
      <c r="C82" s="451"/>
      <c r="D82" s="454"/>
      <c r="E82" s="457"/>
      <c r="F82" s="232"/>
      <c r="G82" s="155" t="s">
        <v>157</v>
      </c>
      <c r="H82" s="158"/>
      <c r="I82" s="45"/>
      <c r="J82" s="45"/>
      <c r="K82" s="427"/>
      <c r="L82" s="426"/>
      <c r="M82" s="425"/>
      <c r="N82" s="191" t="s">
        <v>158</v>
      </c>
      <c r="O82" s="176">
        <v>208691582</v>
      </c>
      <c r="P82" s="176"/>
      <c r="Q82" s="176"/>
      <c r="R82" s="176"/>
      <c r="S82" s="434"/>
      <c r="T82" s="176"/>
      <c r="U82" s="176"/>
      <c r="V82" s="176"/>
      <c r="W82" s="176"/>
      <c r="X82" s="434"/>
      <c r="Y82" s="459"/>
      <c r="Z82" s="460"/>
      <c r="AA82" s="461"/>
      <c r="AB82" s="443"/>
    </row>
    <row r="83" spans="1:28" ht="100.8" customHeight="1" thickBot="1" x14ac:dyDescent="0.3">
      <c r="A83" s="446"/>
      <c r="B83" s="449"/>
      <c r="C83" s="452"/>
      <c r="D83" s="455"/>
      <c r="E83" s="458"/>
      <c r="F83" s="227">
        <v>20210680010018</v>
      </c>
      <c r="G83" s="31" t="s">
        <v>151</v>
      </c>
      <c r="H83" s="159" t="s">
        <v>152</v>
      </c>
      <c r="I83" s="32"/>
      <c r="J83" s="32"/>
      <c r="K83" s="386"/>
      <c r="L83" s="389"/>
      <c r="M83" s="392"/>
      <c r="N83" s="195" t="s">
        <v>246</v>
      </c>
      <c r="O83" s="257">
        <f>331060322</f>
        <v>331060322</v>
      </c>
      <c r="P83" s="196">
        <f>7269470039.53</f>
        <v>7269470039.5299997</v>
      </c>
      <c r="Q83" s="135"/>
      <c r="R83" s="135"/>
      <c r="S83" s="339"/>
      <c r="T83" s="135"/>
      <c r="U83" s="135">
        <v>3604556637</v>
      </c>
      <c r="V83" s="135"/>
      <c r="W83" s="135"/>
      <c r="X83" s="339"/>
      <c r="Y83" s="341"/>
      <c r="Z83" s="403"/>
      <c r="AA83" s="406"/>
      <c r="AB83" s="409"/>
    </row>
    <row r="84" spans="1:28" ht="76.2" customHeight="1" x14ac:dyDescent="0.25">
      <c r="A84" s="444" t="s">
        <v>171</v>
      </c>
      <c r="B84" s="447" t="s">
        <v>172</v>
      </c>
      <c r="C84" s="447" t="s">
        <v>173</v>
      </c>
      <c r="D84" s="468" t="s">
        <v>174</v>
      </c>
      <c r="E84" s="456" t="s">
        <v>175</v>
      </c>
      <c r="F84" s="171">
        <v>20210680010021</v>
      </c>
      <c r="G84" s="28" t="s">
        <v>168</v>
      </c>
      <c r="H84" s="127"/>
      <c r="I84" s="127"/>
      <c r="J84" s="127"/>
      <c r="K84" s="466">
        <v>1</v>
      </c>
      <c r="L84" s="442">
        <v>1</v>
      </c>
      <c r="M84" s="390">
        <f>IFERROR(IF(L84/K84&gt;100%,100%,L84/K84),"-")</f>
        <v>1</v>
      </c>
      <c r="N84" s="188" t="s">
        <v>169</v>
      </c>
      <c r="O84" s="222"/>
      <c r="P84" s="223"/>
      <c r="Q84" s="223"/>
      <c r="R84" s="220">
        <v>11035245074</v>
      </c>
      <c r="S84" s="375">
        <f>SUM(O84:R85)</f>
        <v>11046667966</v>
      </c>
      <c r="T84" s="136"/>
      <c r="U84" s="137"/>
      <c r="V84" s="137"/>
      <c r="W84" s="137">
        <v>10161443099</v>
      </c>
      <c r="X84" s="375">
        <f>SUM(T84:W85)</f>
        <v>10161443099</v>
      </c>
      <c r="Y84" s="145">
        <f t="shared" ref="Y84" si="0">IFERROR(X84/S84,"-")</f>
        <v>0.91986498827297147</v>
      </c>
      <c r="Z84" s="150">
        <v>0</v>
      </c>
      <c r="AA84" s="404" t="s">
        <v>37</v>
      </c>
      <c r="AB84" s="407" t="s">
        <v>38</v>
      </c>
    </row>
    <row r="85" spans="1:28" ht="16.95" customHeight="1" thickBot="1" x14ac:dyDescent="0.3">
      <c r="A85" s="446"/>
      <c r="B85" s="449"/>
      <c r="C85" s="449"/>
      <c r="D85" s="469"/>
      <c r="E85" s="458"/>
      <c r="F85" s="227"/>
      <c r="G85" s="268" t="s">
        <v>59</v>
      </c>
      <c r="H85" s="291"/>
      <c r="I85" s="292"/>
      <c r="J85" s="292"/>
      <c r="K85" s="467"/>
      <c r="L85" s="430"/>
      <c r="M85" s="392"/>
      <c r="N85" s="195" t="s">
        <v>169</v>
      </c>
      <c r="O85" s="293"/>
      <c r="P85" s="293"/>
      <c r="Q85" s="293"/>
      <c r="R85" s="242">
        <v>11422892</v>
      </c>
      <c r="S85" s="339"/>
      <c r="T85" s="135"/>
      <c r="U85" s="294"/>
      <c r="V85" s="294"/>
      <c r="W85" s="294"/>
      <c r="X85" s="339"/>
      <c r="Y85" s="146"/>
      <c r="Z85" s="151"/>
      <c r="AA85" s="406"/>
      <c r="AB85" s="409"/>
    </row>
    <row r="86" spans="1:28" ht="75.599999999999994" thickBot="1" x14ac:dyDescent="0.3">
      <c r="A86" s="289" t="s">
        <v>171</v>
      </c>
      <c r="B86" s="143" t="s">
        <v>176</v>
      </c>
      <c r="C86" s="143" t="s">
        <v>177</v>
      </c>
      <c r="D86" s="166" t="s">
        <v>178</v>
      </c>
      <c r="E86" s="148" t="s">
        <v>179</v>
      </c>
      <c r="F86" s="62"/>
      <c r="G86" s="65" t="s">
        <v>59</v>
      </c>
      <c r="H86" s="295"/>
      <c r="I86" s="30"/>
      <c r="J86" s="30"/>
      <c r="K86" s="163">
        <v>1</v>
      </c>
      <c r="L86" s="162">
        <v>0</v>
      </c>
      <c r="M86" s="147">
        <f>IFERROR(IF(L86/K86&gt;100%,100%,L86/K86),"-")</f>
        <v>0</v>
      </c>
      <c r="N86" s="215" t="s">
        <v>191</v>
      </c>
      <c r="O86" s="205"/>
      <c r="P86" s="205">
        <v>266733201.66</v>
      </c>
      <c r="Q86" s="212"/>
      <c r="R86" s="212"/>
      <c r="S86" s="213">
        <f>SUM(O86:R86)</f>
        <v>266733201.66</v>
      </c>
      <c r="T86" s="205"/>
      <c r="U86" s="205"/>
      <c r="V86" s="205"/>
      <c r="W86" s="205"/>
      <c r="X86" s="213">
        <f>SUM(T86:W86)</f>
        <v>0</v>
      </c>
      <c r="Y86" s="152">
        <f>IFERROR(X86/S86,"-")</f>
        <v>0</v>
      </c>
      <c r="Z86" s="154"/>
      <c r="AA86" s="153" t="s">
        <v>180</v>
      </c>
      <c r="AB86" s="149" t="s">
        <v>38</v>
      </c>
    </row>
    <row r="87" spans="1:28" ht="134.4" customHeight="1" thickBot="1" x14ac:dyDescent="0.3">
      <c r="A87" s="122" t="s">
        <v>171</v>
      </c>
      <c r="B87" s="15" t="s">
        <v>181</v>
      </c>
      <c r="C87" s="15" t="s">
        <v>182</v>
      </c>
      <c r="D87" s="14" t="s">
        <v>183</v>
      </c>
      <c r="E87" s="15" t="s">
        <v>184</v>
      </c>
      <c r="F87" s="296">
        <v>20210680010028</v>
      </c>
      <c r="G87" s="297" t="s">
        <v>87</v>
      </c>
      <c r="H87" s="22"/>
      <c r="I87" s="298"/>
      <c r="J87" s="298"/>
      <c r="K87" s="299">
        <v>1</v>
      </c>
      <c r="L87" s="300">
        <v>0</v>
      </c>
      <c r="M87" s="301">
        <f>IFERROR(IF(L87/K87&gt;100%,100%,L87/K87),"-")</f>
        <v>0</v>
      </c>
      <c r="N87" s="302" t="s">
        <v>88</v>
      </c>
      <c r="O87" s="303">
        <v>1234550713.8599999</v>
      </c>
      <c r="P87" s="201"/>
      <c r="Q87" s="201"/>
      <c r="R87" s="201"/>
      <c r="S87" s="182">
        <f>SUM(O87:R87)</f>
        <v>1234550713.8599999</v>
      </c>
      <c r="T87" s="201"/>
      <c r="U87" s="202"/>
      <c r="V87" s="202"/>
      <c r="W87" s="202"/>
      <c r="X87" s="182">
        <f t="shared" ref="X87" si="1">SUM(T87:W87)</f>
        <v>0</v>
      </c>
      <c r="Y87" s="24">
        <f t="shared" ref="Y87" si="2">IFERROR(X87/S87,"-")</f>
        <v>0</v>
      </c>
      <c r="Z87" s="304"/>
      <c r="AA87" s="25" t="s">
        <v>180</v>
      </c>
      <c r="AB87" s="26" t="s">
        <v>38</v>
      </c>
    </row>
    <row r="88" spans="1:28" ht="27.75" customHeight="1" x14ac:dyDescent="0.25">
      <c r="A88" s="66"/>
      <c r="B88" s="67"/>
      <c r="C88" s="67"/>
      <c r="D88" s="129"/>
      <c r="E88" s="67"/>
      <c r="F88" s="237"/>
      <c r="G88" s="67"/>
      <c r="H88" s="68"/>
      <c r="I88" s="67"/>
      <c r="J88" s="67"/>
      <c r="K88" s="69"/>
      <c r="L88" s="70" t="s">
        <v>153</v>
      </c>
      <c r="M88" s="71">
        <f>AVERAGE(M6:M87)</f>
        <v>0.37404342105263161</v>
      </c>
      <c r="N88" s="72"/>
      <c r="O88" s="281">
        <f t="shared" ref="O88:T88" si="3">SUM(O6:O87)</f>
        <v>132902448761.53001</v>
      </c>
      <c r="P88" s="281">
        <f t="shared" si="3"/>
        <v>9008130399.3400002</v>
      </c>
      <c r="Q88" s="281">
        <f t="shared" si="3"/>
        <v>0</v>
      </c>
      <c r="R88" s="281">
        <f t="shared" si="3"/>
        <v>38159353168</v>
      </c>
      <c r="S88" s="73">
        <f>SUM(S6:S87)</f>
        <v>180069932328.86996</v>
      </c>
      <c r="T88" s="281">
        <f t="shared" si="3"/>
        <v>23366979837.299366</v>
      </c>
      <c r="U88" s="281">
        <f t="shared" ref="U88:W88" si="4">SUM(U6:U87)</f>
        <v>3661122571</v>
      </c>
      <c r="V88" s="281">
        <f t="shared" si="4"/>
        <v>0</v>
      </c>
      <c r="W88" s="281">
        <f t="shared" si="4"/>
        <v>29418367433</v>
      </c>
      <c r="X88" s="73">
        <f>SUM(X6:X87)</f>
        <v>56446469841.29937</v>
      </c>
      <c r="Y88" s="74">
        <f>IFERROR(X88/S88,"-")</f>
        <v>0.31346971207946367</v>
      </c>
      <c r="Z88" s="73">
        <f>SUM(Z6:Z83)</f>
        <v>0</v>
      </c>
      <c r="AA88" s="75"/>
      <c r="AB88" s="76"/>
    </row>
    <row r="89" spans="1:28" x14ac:dyDescent="0.25">
      <c r="A89" s="77"/>
      <c r="B89" s="78"/>
      <c r="C89" s="78"/>
      <c r="D89" s="77"/>
      <c r="E89" s="78"/>
      <c r="G89" s="79"/>
      <c r="H89" s="79"/>
      <c r="I89" s="79"/>
      <c r="J89" s="79"/>
      <c r="K89" s="79"/>
      <c r="L89" s="80"/>
      <c r="M89" s="80"/>
      <c r="N89" s="79"/>
      <c r="S89" s="81"/>
    </row>
    <row r="90" spans="1:28" customFormat="1" ht="53.4" customHeight="1" x14ac:dyDescent="0.25"/>
    <row r="91" spans="1:28" customFormat="1" ht="13.8" x14ac:dyDescent="0.25"/>
    <row r="92" spans="1:28" customFormat="1" ht="13.8" x14ac:dyDescent="0.25"/>
    <row r="93" spans="1:28" customFormat="1" ht="13.8" x14ac:dyDescent="0.25"/>
    <row r="94" spans="1:28" customFormat="1" ht="13.8" x14ac:dyDescent="0.25"/>
    <row r="95" spans="1:28" x14ac:dyDescent="0.25">
      <c r="F95" s="239"/>
      <c r="G95" s="89"/>
      <c r="H95"/>
      <c r="I95"/>
      <c r="O95" s="126"/>
      <c r="S95" s="123"/>
    </row>
    <row r="96" spans="1:28" x14ac:dyDescent="0.25">
      <c r="F96" s="239"/>
      <c r="G96" s="89"/>
      <c r="H96"/>
      <c r="I96"/>
      <c r="K96" s="311"/>
      <c r="O96" s="98"/>
      <c r="S96" s="123"/>
    </row>
    <row r="97" spans="1:27" x14ac:dyDescent="0.25">
      <c r="F97" s="239"/>
      <c r="G97" s="89"/>
      <c r="H97"/>
      <c r="I97"/>
      <c r="O97" s="98"/>
      <c r="S97" s="123"/>
    </row>
    <row r="98" spans="1:27" x14ac:dyDescent="0.25">
      <c r="A98" s="77"/>
      <c r="B98" s="78"/>
      <c r="C98" s="78"/>
      <c r="D98" s="77"/>
      <c r="E98" s="78"/>
      <c r="F98" s="239"/>
      <c r="G98" s="89"/>
      <c r="H98"/>
      <c r="I98"/>
      <c r="J98" s="79"/>
      <c r="K98" s="311"/>
      <c r="L98" s="82"/>
      <c r="M98" s="82"/>
      <c r="N98" s="79"/>
      <c r="O98" s="98"/>
      <c r="S98" s="98"/>
    </row>
    <row r="99" spans="1:27" x14ac:dyDescent="0.25">
      <c r="F99" s="239"/>
      <c r="G99" s="89"/>
      <c r="H99"/>
      <c r="I99"/>
      <c r="O99" s="126"/>
      <c r="S99" s="310"/>
      <c r="X99" s="98"/>
    </row>
    <row r="100" spans="1:27" x14ac:dyDescent="0.25">
      <c r="F100" s="239"/>
      <c r="G100" s="89"/>
      <c r="H100"/>
      <c r="I100"/>
      <c r="O100" s="126"/>
      <c r="S100" s="98"/>
    </row>
    <row r="101" spans="1:27" x14ac:dyDescent="0.25">
      <c r="F101" s="239"/>
      <c r="G101" s="89"/>
      <c r="H101"/>
      <c r="I101"/>
      <c r="S101" s="98"/>
    </row>
    <row r="102" spans="1:27" x14ac:dyDescent="0.25">
      <c r="A102" s="2"/>
      <c r="F102" s="239"/>
      <c r="G102" s="89"/>
      <c r="H102"/>
      <c r="I102"/>
      <c r="S102" s="98"/>
      <c r="AA102" s="2"/>
    </row>
    <row r="103" spans="1:27" x14ac:dyDescent="0.25">
      <c r="A103" s="2"/>
      <c r="F103" s="239"/>
      <c r="G103" s="89"/>
      <c r="H103"/>
      <c r="I103"/>
      <c r="S103" s="126"/>
      <c r="AA103" s="2"/>
    </row>
    <row r="104" spans="1:27" x14ac:dyDescent="0.25">
      <c r="A104" s="2"/>
      <c r="F104" s="239"/>
      <c r="G104" s="89"/>
      <c r="H104"/>
      <c r="I104"/>
      <c r="S104" s="126"/>
      <c r="AA104" s="2"/>
    </row>
    <row r="105" spans="1:27" x14ac:dyDescent="0.25">
      <c r="A105" s="2"/>
      <c r="F105" s="239"/>
      <c r="G105" s="89"/>
      <c r="H105"/>
      <c r="I105"/>
      <c r="AA105" s="2"/>
    </row>
    <row r="106" spans="1:27" x14ac:dyDescent="0.25">
      <c r="A106" s="2"/>
      <c r="F106" s="239"/>
      <c r="G106" s="89"/>
      <c r="H106"/>
      <c r="I106"/>
      <c r="AA106" s="2"/>
    </row>
    <row r="107" spans="1:27" x14ac:dyDescent="0.25">
      <c r="A107" s="2"/>
      <c r="F107" s="239"/>
      <c r="G107" s="89"/>
      <c r="H107"/>
      <c r="I107"/>
      <c r="AA107" s="2"/>
    </row>
    <row r="108" spans="1:27" x14ac:dyDescent="0.25">
      <c r="A108" s="2"/>
      <c r="F108" s="239"/>
      <c r="G108" s="89"/>
      <c r="H108"/>
      <c r="I108"/>
      <c r="AA108" s="2"/>
    </row>
    <row r="109" spans="1:27" x14ac:dyDescent="0.25">
      <c r="A109" s="2"/>
      <c r="F109" s="239"/>
      <c r="G109" s="89"/>
      <c r="H109"/>
      <c r="I109"/>
      <c r="AA109" s="2"/>
    </row>
    <row r="110" spans="1:27" x14ac:dyDescent="0.25">
      <c r="A110" s="2"/>
      <c r="F110" s="239"/>
      <c r="G110" s="89"/>
      <c r="H110"/>
      <c r="I110"/>
      <c r="AA110" s="2"/>
    </row>
    <row r="111" spans="1:27" x14ac:dyDescent="0.25">
      <c r="A111" s="2"/>
      <c r="F111" s="239"/>
      <c r="G111" s="89"/>
      <c r="H111"/>
      <c r="I111"/>
      <c r="AA111" s="2"/>
    </row>
    <row r="112" spans="1:27" x14ac:dyDescent="0.25">
      <c r="A112" s="2"/>
      <c r="F112" s="239"/>
      <c r="G112" s="89"/>
      <c r="H112"/>
      <c r="I112"/>
      <c r="AA112" s="2"/>
    </row>
  </sheetData>
  <mergeCells count="163">
    <mergeCell ref="AB84:AB85"/>
    <mergeCell ref="K84:K85"/>
    <mergeCell ref="L84:L85"/>
    <mergeCell ref="M84:M85"/>
    <mergeCell ref="E84:E85"/>
    <mergeCell ref="D84:D85"/>
    <mergeCell ref="C84:C85"/>
    <mergeCell ref="B84:B85"/>
    <mergeCell ref="A84:A85"/>
    <mergeCell ref="C75:C76"/>
    <mergeCell ref="B75:B76"/>
    <mergeCell ref="A75:A76"/>
    <mergeCell ref="M75:M76"/>
    <mergeCell ref="L75:L76"/>
    <mergeCell ref="K75:K76"/>
    <mergeCell ref="S84:S85"/>
    <mergeCell ref="X84:X85"/>
    <mergeCell ref="AA84:AA85"/>
    <mergeCell ref="F74:F75"/>
    <mergeCell ref="E75:E76"/>
    <mergeCell ref="D75:D76"/>
    <mergeCell ref="D73:D74"/>
    <mergeCell ref="C73:C74"/>
    <mergeCell ref="B73:B74"/>
    <mergeCell ref="A73:A74"/>
    <mergeCell ref="AB78:AB83"/>
    <mergeCell ref="A78:A83"/>
    <mergeCell ref="B78:B83"/>
    <mergeCell ref="C78:C83"/>
    <mergeCell ref="D78:D83"/>
    <mergeCell ref="E78:E83"/>
    <mergeCell ref="X78:X83"/>
    <mergeCell ref="Y78:Y83"/>
    <mergeCell ref="Z78:Z83"/>
    <mergeCell ref="AA78:AA83"/>
    <mergeCell ref="K78:K83"/>
    <mergeCell ref="L78:L83"/>
    <mergeCell ref="M78:M83"/>
    <mergeCell ref="S78:S83"/>
    <mergeCell ref="A20:A36"/>
    <mergeCell ref="B20:B36"/>
    <mergeCell ref="C20:C36"/>
    <mergeCell ref="M69:M71"/>
    <mergeCell ref="L69:L71"/>
    <mergeCell ref="K69:K71"/>
    <mergeCell ref="S69:S71"/>
    <mergeCell ref="X69:X71"/>
    <mergeCell ref="Y69:Y71"/>
    <mergeCell ref="M20:M36"/>
    <mergeCell ref="L20:L36"/>
    <mergeCell ref="K20:K36"/>
    <mergeCell ref="X39:X41"/>
    <mergeCell ref="S39:S42"/>
    <mergeCell ref="M39:M42"/>
    <mergeCell ref="L39:L42"/>
    <mergeCell ref="K39:K42"/>
    <mergeCell ref="A43:A44"/>
    <mergeCell ref="B43:B44"/>
    <mergeCell ref="C43:C44"/>
    <mergeCell ref="D43:D44"/>
    <mergeCell ref="E43:E44"/>
    <mergeCell ref="K43:K44"/>
    <mergeCell ref="L43:L44"/>
    <mergeCell ref="B39:B42"/>
    <mergeCell ref="C39:C42"/>
    <mergeCell ref="D39:D42"/>
    <mergeCell ref="E39:E42"/>
    <mergeCell ref="Y39:Y42"/>
    <mergeCell ref="Z39:Z42"/>
    <mergeCell ref="AA39:AA42"/>
    <mergeCell ref="AB39:AB42"/>
    <mergeCell ref="A39:A42"/>
    <mergeCell ref="D20:D36"/>
    <mergeCell ref="E20:E36"/>
    <mergeCell ref="Z4:Z5"/>
    <mergeCell ref="AA4:AB4"/>
    <mergeCell ref="S20:S36"/>
    <mergeCell ref="AB20:AB36"/>
    <mergeCell ref="Z8:Z11"/>
    <mergeCell ref="AA8:AA11"/>
    <mergeCell ref="AB8:AB11"/>
    <mergeCell ref="X20:X36"/>
    <mergeCell ref="Y20:Y36"/>
    <mergeCell ref="Z20:Z36"/>
    <mergeCell ref="AA20:AA36"/>
    <mergeCell ref="E15:E19"/>
    <mergeCell ref="D15:D19"/>
    <mergeCell ref="AB15:AB19"/>
    <mergeCell ref="Y1:Y3"/>
    <mergeCell ref="A4:E4"/>
    <mergeCell ref="F4:J4"/>
    <mergeCell ref="K4:M4"/>
    <mergeCell ref="N4:S4"/>
    <mergeCell ref="T4:X4"/>
    <mergeCell ref="Y4:Y5"/>
    <mergeCell ref="S8:S11"/>
    <mergeCell ref="X8:X11"/>
    <mergeCell ref="Y8:Y11"/>
    <mergeCell ref="A8:A11"/>
    <mergeCell ref="B8:B11"/>
    <mergeCell ref="C8:C11"/>
    <mergeCell ref="D8:D11"/>
    <mergeCell ref="E8:E11"/>
    <mergeCell ref="K8:K11"/>
    <mergeCell ref="L8:L11"/>
    <mergeCell ref="M8:M11"/>
    <mergeCell ref="F1:Q3"/>
    <mergeCell ref="C15:C19"/>
    <mergeCell ref="B15:B19"/>
    <mergeCell ref="A15:A19"/>
    <mergeCell ref="M15:M19"/>
    <mergeCell ref="L15:L19"/>
    <mergeCell ref="K15:K19"/>
    <mergeCell ref="S15:S19"/>
    <mergeCell ref="X15:X19"/>
    <mergeCell ref="AA15:AA19"/>
    <mergeCell ref="Z15:Z19"/>
    <mergeCell ref="Y15:Y19"/>
    <mergeCell ref="M43:M44"/>
    <mergeCell ref="S73:S74"/>
    <mergeCell ref="X73:X74"/>
    <mergeCell ref="Y73:Y74"/>
    <mergeCell ref="Z73:Z74"/>
    <mergeCell ref="AA73:AA74"/>
    <mergeCell ref="AB73:AB74"/>
    <mergeCell ref="E46:E68"/>
    <mergeCell ref="Y46:Y68"/>
    <mergeCell ref="Z46:Z68"/>
    <mergeCell ref="AA46:AA68"/>
    <mergeCell ref="AB46:AB68"/>
    <mergeCell ref="G74:G75"/>
    <mergeCell ref="E69:E71"/>
    <mergeCell ref="S46:S68"/>
    <mergeCell ref="X46:X68"/>
    <mergeCell ref="S75:S76"/>
    <mergeCell ref="X75:X76"/>
    <mergeCell ref="Y75:Y76"/>
    <mergeCell ref="Y43:Y44"/>
    <mergeCell ref="Z43:Z44"/>
    <mergeCell ref="AA43:AA44"/>
    <mergeCell ref="AB43:AB44"/>
    <mergeCell ref="S43:S44"/>
    <mergeCell ref="Z69:Z71"/>
    <mergeCell ref="AA69:AA71"/>
    <mergeCell ref="AB69:AB71"/>
    <mergeCell ref="Z75:Z76"/>
    <mergeCell ref="AA75:AA76"/>
    <mergeCell ref="AB75:AB76"/>
    <mergeCell ref="M73:M74"/>
    <mergeCell ref="L73:L74"/>
    <mergeCell ref="K73:K74"/>
    <mergeCell ref="D46:D68"/>
    <mergeCell ref="C46:C68"/>
    <mergeCell ref="B46:B68"/>
    <mergeCell ref="A46:A68"/>
    <mergeCell ref="M46:M68"/>
    <mergeCell ref="L46:L68"/>
    <mergeCell ref="K46:K68"/>
    <mergeCell ref="E73:E74"/>
    <mergeCell ref="D69:D71"/>
    <mergeCell ref="C69:C71"/>
    <mergeCell ref="B69:B71"/>
    <mergeCell ref="A69:A71"/>
  </mergeCells>
  <conditionalFormatting sqref="M20 M12:M15 M6:M10 M43 M37:M39 M69 M77:M78 M75 M72:M73 M45:M46">
    <cfRule type="cellIs" dxfId="8" priority="13" operator="between">
      <formula>0.67</formula>
      <formula>1</formula>
    </cfRule>
    <cfRule type="cellIs" dxfId="7" priority="14" operator="between">
      <formula>0.34</formula>
      <formula>0.66</formula>
    </cfRule>
    <cfRule type="cellIs" dxfId="6" priority="15" operator="between">
      <formula>0</formula>
      <formula>0.33</formula>
    </cfRule>
  </conditionalFormatting>
  <conditionalFormatting sqref="M84 M86">
    <cfRule type="cellIs" dxfId="5" priority="4" operator="between">
      <formula>0.67</formula>
      <formula>1</formula>
    </cfRule>
    <cfRule type="cellIs" dxfId="4" priority="5" operator="between">
      <formula>0.33</formula>
      <formula>0.67</formula>
    </cfRule>
    <cfRule type="cellIs" dxfId="3" priority="6" operator="between">
      <formula>0</formula>
      <formula>0.33</formula>
    </cfRule>
  </conditionalFormatting>
  <conditionalFormatting sqref="M87">
    <cfRule type="cellIs" dxfId="2" priority="1" operator="between">
      <formula>0.67</formula>
      <formula>1</formula>
    </cfRule>
    <cfRule type="cellIs" dxfId="1" priority="2" operator="between">
      <formula>0.34</formula>
      <formula>0.67</formula>
    </cfRule>
    <cfRule type="cellIs" dxfId="0" priority="3" operator="between">
      <formula>0</formula>
      <formula>0.34</formula>
    </cfRule>
  </conditionalFormatting>
  <pageMargins left="0.25" right="0.25" top="0.75" bottom="0.75" header="0.3" footer="0.3"/>
  <pageSetup paperSize="14" scale="10" orientation="landscape" r:id="rId1"/>
  <ignoredErrors>
    <ignoredError sqref="X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Sarmiento</dc:creator>
  <cp:lastModifiedBy>A</cp:lastModifiedBy>
  <dcterms:created xsi:type="dcterms:W3CDTF">2021-03-11T22:39:18Z</dcterms:created>
  <dcterms:modified xsi:type="dcterms:W3CDTF">2021-07-16T14:20:27Z</dcterms:modified>
</cp:coreProperties>
</file>