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Plan de Acción\05 - Mayo\"/>
    </mc:Choice>
  </mc:AlternateContent>
  <xr:revisionPtr revIDLastSave="0" documentId="13_ncr:1_{67CFFDBF-C106-40DC-958A-4A90ACFBEE5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1" sheetId="12" r:id="rId1"/>
  </sheets>
  <calcPr calcId="181029" concurrentCalc="0"/>
</workbook>
</file>

<file path=xl/calcChain.xml><?xml version="1.0" encoding="utf-8"?>
<calcChain xmlns="http://schemas.openxmlformats.org/spreadsheetml/2006/main">
  <c r="M87" i="12" l="1"/>
  <c r="M85" i="12"/>
  <c r="M84" i="12"/>
  <c r="M82" i="12"/>
  <c r="M80" i="12"/>
  <c r="M78" i="12"/>
  <c r="M76" i="12"/>
  <c r="M75" i="12"/>
  <c r="M74" i="12"/>
  <c r="M72" i="12"/>
  <c r="M70" i="12"/>
  <c r="X68" i="12"/>
  <c r="S68" i="12"/>
  <c r="X72" i="12"/>
  <c r="O72" i="12"/>
  <c r="S72" i="12"/>
  <c r="Y72" i="12"/>
  <c r="P56" i="12"/>
  <c r="M6" i="12"/>
  <c r="M7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5" i="12"/>
  <c r="M26" i="12"/>
  <c r="M27" i="12"/>
  <c r="M29" i="12"/>
  <c r="M30" i="12"/>
  <c r="M31" i="12"/>
  <c r="M32" i="12"/>
  <c r="M34" i="12"/>
  <c r="M35" i="12"/>
  <c r="M37" i="12"/>
  <c r="M39" i="12"/>
  <c r="M40" i="12"/>
  <c r="M41" i="12"/>
  <c r="M42" i="12"/>
  <c r="M43" i="12"/>
  <c r="M44" i="12"/>
  <c r="M45" i="12"/>
  <c r="M46" i="12"/>
  <c r="M48" i="12"/>
  <c r="M49" i="12"/>
  <c r="M50" i="12"/>
  <c r="M51" i="12"/>
  <c r="M52" i="12"/>
  <c r="M53" i="12"/>
  <c r="M54" i="12"/>
  <c r="M55" i="12"/>
  <c r="M57" i="12"/>
  <c r="M59" i="12"/>
  <c r="M60" i="12"/>
  <c r="M61" i="12"/>
  <c r="M63" i="12"/>
  <c r="M65" i="12"/>
  <c r="M66" i="12"/>
  <c r="M67" i="12"/>
  <c r="M68" i="12"/>
  <c r="T57" i="12"/>
  <c r="X57" i="12"/>
  <c r="O57" i="12"/>
  <c r="P57" i="12"/>
  <c r="O58" i="12"/>
  <c r="S57" i="12"/>
  <c r="Y57" i="12"/>
  <c r="X46" i="12"/>
  <c r="O46" i="12"/>
  <c r="S46" i="12"/>
  <c r="Y46" i="12"/>
  <c r="T7" i="12"/>
  <c r="X7" i="12"/>
  <c r="S7" i="12"/>
  <c r="Y7" i="12"/>
  <c r="X63" i="12"/>
  <c r="O63" i="12"/>
  <c r="S63" i="12"/>
  <c r="Y63" i="12"/>
  <c r="O83" i="12"/>
  <c r="O82" i="12"/>
  <c r="S80" i="12"/>
  <c r="O78" i="12"/>
  <c r="S78" i="12"/>
  <c r="X45" i="12"/>
  <c r="T44" i="12"/>
  <c r="X44" i="12"/>
  <c r="X43" i="12"/>
  <c r="X42" i="12"/>
  <c r="T41" i="12"/>
  <c r="X41" i="12"/>
  <c r="X40" i="12"/>
  <c r="T39" i="12"/>
  <c r="X39" i="12"/>
  <c r="T37" i="12"/>
  <c r="X37" i="12"/>
  <c r="T35" i="12"/>
  <c r="X35" i="12"/>
  <c r="T34" i="12"/>
  <c r="X34" i="12"/>
  <c r="T32" i="12"/>
  <c r="X32" i="12"/>
  <c r="O32" i="12"/>
  <c r="R32" i="12"/>
  <c r="O33" i="12"/>
  <c r="S32" i="12"/>
  <c r="O35" i="12"/>
  <c r="S35" i="12"/>
  <c r="T78" i="12"/>
  <c r="T85" i="12"/>
  <c r="T48" i="12"/>
  <c r="O48" i="12"/>
  <c r="O44" i="12"/>
  <c r="T80" i="12"/>
  <c r="U56" i="12"/>
  <c r="O55" i="12"/>
  <c r="T65" i="12"/>
  <c r="T86" i="12"/>
  <c r="O77" i="12"/>
  <c r="O27" i="12"/>
  <c r="O86" i="12"/>
  <c r="O28" i="12"/>
  <c r="S27" i="12"/>
  <c r="O26" i="12"/>
  <c r="O15" i="12"/>
  <c r="O24" i="12"/>
  <c r="O16" i="12"/>
  <c r="O30" i="12"/>
  <c r="T29" i="12"/>
  <c r="U60" i="12"/>
  <c r="O65" i="12"/>
  <c r="O34" i="12"/>
  <c r="T31" i="12"/>
  <c r="T9" i="12"/>
  <c r="T19" i="12"/>
  <c r="T74" i="12"/>
  <c r="O85" i="12"/>
  <c r="S85" i="12"/>
  <c r="S84" i="12"/>
  <c r="X84" i="12"/>
  <c r="Y84" i="12"/>
  <c r="S82" i="12"/>
  <c r="X82" i="12"/>
  <c r="Y82" i="12"/>
  <c r="S76" i="12"/>
  <c r="S75" i="12"/>
  <c r="S74" i="12"/>
  <c r="O71" i="12"/>
  <c r="S70" i="12"/>
  <c r="X70" i="12"/>
  <c r="Y70" i="12"/>
  <c r="S67" i="12"/>
  <c r="S66" i="12"/>
  <c r="S65" i="12"/>
  <c r="O62" i="12"/>
  <c r="S61" i="12"/>
  <c r="S60" i="12"/>
  <c r="S59" i="12"/>
  <c r="X59" i="12"/>
  <c r="Y59" i="12"/>
  <c r="S55" i="12"/>
  <c r="S54" i="12"/>
  <c r="X54" i="12"/>
  <c r="Y54" i="12"/>
  <c r="S53" i="12"/>
  <c r="S52" i="12"/>
  <c r="S51" i="12"/>
  <c r="X51" i="12"/>
  <c r="Y51" i="12"/>
  <c r="S50" i="12"/>
  <c r="S49" i="12"/>
  <c r="T49" i="12"/>
  <c r="X49" i="12"/>
  <c r="Y49" i="12"/>
  <c r="S48" i="12"/>
  <c r="S45" i="12"/>
  <c r="S44" i="12"/>
  <c r="Y44" i="12"/>
  <c r="S43" i="12"/>
  <c r="Y43" i="12"/>
  <c r="S42" i="12"/>
  <c r="S41" i="12"/>
  <c r="S40" i="12"/>
  <c r="Y40" i="12"/>
  <c r="S39" i="12"/>
  <c r="O37" i="12"/>
  <c r="S37" i="12"/>
  <c r="Y35" i="12"/>
  <c r="S34" i="12"/>
  <c r="O31" i="12"/>
  <c r="S31" i="12"/>
  <c r="S30" i="12"/>
  <c r="S29" i="12"/>
  <c r="S26" i="12"/>
  <c r="X26" i="12"/>
  <c r="Y26" i="12"/>
  <c r="S25" i="12"/>
  <c r="S23" i="12"/>
  <c r="T23" i="12"/>
  <c r="X23" i="12"/>
  <c r="Y23" i="12"/>
  <c r="O22" i="12"/>
  <c r="S22" i="12"/>
  <c r="T22" i="12"/>
  <c r="X22" i="12"/>
  <c r="Y22" i="12"/>
  <c r="S21" i="12"/>
  <c r="X21" i="12"/>
  <c r="Y21" i="12"/>
  <c r="S20" i="12"/>
  <c r="T20" i="12"/>
  <c r="X20" i="12"/>
  <c r="Y20" i="12"/>
  <c r="S19" i="12"/>
  <c r="O18" i="12"/>
  <c r="S18" i="12"/>
  <c r="S17" i="12"/>
  <c r="X17" i="12"/>
  <c r="Y17" i="12"/>
  <c r="S16" i="12"/>
  <c r="X16" i="12"/>
  <c r="Y16" i="12"/>
  <c r="S15" i="12"/>
  <c r="T15" i="12"/>
  <c r="X15" i="12"/>
  <c r="Y15" i="12"/>
  <c r="S14" i="12"/>
  <c r="X14" i="12"/>
  <c r="Y14" i="12"/>
  <c r="O13" i="12"/>
  <c r="S13" i="12"/>
  <c r="T13" i="12"/>
  <c r="X13" i="12"/>
  <c r="Y13" i="12"/>
  <c r="O12" i="12"/>
  <c r="S12" i="12"/>
  <c r="S11" i="12"/>
  <c r="S10" i="12"/>
  <c r="O9" i="12"/>
  <c r="S9" i="12"/>
  <c r="O6" i="12"/>
  <c r="S6" i="12"/>
  <c r="X74" i="12"/>
  <c r="Y74" i="12"/>
  <c r="Y68" i="12"/>
  <c r="X66" i="12"/>
  <c r="Y66" i="12"/>
  <c r="T62" i="12"/>
  <c r="X61" i="12"/>
  <c r="Y61" i="12"/>
  <c r="X53" i="12"/>
  <c r="Y53" i="12"/>
  <c r="X52" i="12"/>
  <c r="Y52" i="12"/>
  <c r="Y45" i="12"/>
  <c r="X27" i="12"/>
  <c r="Y27" i="12"/>
  <c r="T18" i="12"/>
  <c r="X18" i="12"/>
  <c r="Y18" i="12"/>
  <c r="T6" i="12"/>
  <c r="X6" i="12"/>
  <c r="Y6" i="12"/>
  <c r="O87" i="12"/>
  <c r="W87" i="12"/>
  <c r="U87" i="12"/>
  <c r="T10" i="12"/>
  <c r="T12" i="12"/>
  <c r="T67" i="12"/>
  <c r="T87" i="12"/>
  <c r="R87" i="12"/>
  <c r="Q87" i="12"/>
  <c r="P87" i="12"/>
  <c r="X67" i="12"/>
  <c r="Y67" i="12"/>
  <c r="X50" i="12"/>
  <c r="Y50" i="12"/>
  <c r="Y42" i="12"/>
  <c r="X25" i="12"/>
  <c r="Y25" i="12"/>
  <c r="X11" i="12"/>
  <c r="Y11" i="12"/>
  <c r="X10" i="12"/>
  <c r="Y10" i="12"/>
  <c r="X85" i="12"/>
  <c r="Y85" i="12"/>
  <c r="X76" i="12"/>
  <c r="X75" i="12"/>
  <c r="Y75" i="12"/>
  <c r="X60" i="12"/>
  <c r="Y60" i="12"/>
  <c r="X55" i="12"/>
  <c r="X30" i="12"/>
  <c r="X29" i="12"/>
  <c r="Y29" i="12"/>
  <c r="X19" i="12"/>
  <c r="Z87" i="12"/>
  <c r="Y55" i="12"/>
  <c r="S87" i="12"/>
  <c r="Y30" i="12"/>
  <c r="Y19" i="12"/>
  <c r="Y76" i="12"/>
  <c r="X9" i="12"/>
  <c r="Y9" i="12"/>
  <c r="X12" i="12"/>
  <c r="Y12" i="12"/>
  <c r="Y41" i="12"/>
  <c r="Y39" i="12"/>
  <c r="V87" i="12"/>
  <c r="X80" i="12"/>
  <c r="Y80" i="12"/>
  <c r="X78" i="12"/>
  <c r="Y78" i="12"/>
  <c r="X65" i="12"/>
  <c r="Y65" i="12"/>
  <c r="X48" i="12"/>
  <c r="Y48" i="12"/>
  <c r="Y37" i="12"/>
  <c r="Y34" i="12"/>
  <c r="X31" i="12"/>
  <c r="Y31" i="12"/>
  <c r="X87" i="12"/>
  <c r="Y32" i="12"/>
  <c r="Y87" i="12"/>
</calcChain>
</file>

<file path=xl/sharedStrings.xml><?xml version="1.0" encoding="utf-8"?>
<sst xmlns="http://schemas.openxmlformats.org/spreadsheetml/2006/main" count="612" uniqueCount="260">
  <si>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</si>
  <si>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</si>
  <si>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</si>
  <si>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</si>
  <si>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</si>
  <si>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</si>
  <si>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</si>
  <si>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</si>
  <si>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</si>
  <si>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</si>
  <si>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</si>
  <si>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</si>
  <si>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RECURSOS PROPIOS</t>
  </si>
  <si>
    <t>OTROS</t>
  </si>
  <si>
    <t>Dependencia</t>
  </si>
  <si>
    <t>Responsable</t>
  </si>
  <si>
    <t>Código BPIM</t>
  </si>
  <si>
    <t>Actividades</t>
  </si>
  <si>
    <t>FECHA DE CORTE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</si>
  <si>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</si>
  <si>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</si>
  <si>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</si>
  <si>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</si>
  <si>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</si>
  <si>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</si>
  <si>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</si>
  <si>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</si>
  <si>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</si>
  <si>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VIGENCIA 2021</t>
  </si>
  <si>
    <t>CUMPLIMIENTO DE META</t>
  </si>
  <si>
    <t>BUCARAMANGA EQUITATIVA E INCLUYENTE: UNA CIUDAD DE BIENESTAR</t>
  </si>
  <si>
    <t>BUCARAMANGA CIUDAD VITAL: LA VIDA ES SAGRADA</t>
  </si>
  <si>
    <t>PLAN DE ACCIÓN
SECRETARÍA DE DESARROLLO SOCIAL</t>
  </si>
  <si>
    <t>Capacidades Y Oportunidades Para Superar Brechas Sociales</t>
  </si>
  <si>
    <t>Primera Infancia El Centro De La Sociedad</t>
  </si>
  <si>
    <t>Formular e implementar 1 estrategia para el fortalecimiento de padres/madres y/o cuidadores en pautas de crianza y vínculos afectivos tanto en el ámbito familiar como comunitario que permita disminuir las violencias en primera infancia.</t>
  </si>
  <si>
    <t>Número de estrategias formuladas e implementadas para el fortalecimiento de padres/madres y/o cuidadores en pautas de crianza y vinculos afectivos  tanto en el ámbito familiar como comunitario que permitan disminuir las violencias en primera infancia.</t>
  </si>
  <si>
    <t>Formular e implementar 1 programa de prevención, detección y atención de violencias (violencia intrafamiliar, abuso y violencia sexual, violencia psicológica y física, negligencia y agresividad en los niños) en el entorno familiar, educativo y comunitario dirigido a primera infancia e infancia.</t>
  </si>
  <si>
    <t>Número de programas formulados e implementados para la prevención, detección y atención de violencias (violencia intrafamiliar, abuso y violencia sexual, violencia psicológica y física, negligencia y agresividad en los niños) en el entorno familiar, educativo y comunitario dirigido a primera infancia e infancia.</t>
  </si>
  <si>
    <t>Entregar 4 dotaciones a espacios para la primera infancia con enfoque de inclusión que permita el desarrollo de habilidades.</t>
  </si>
  <si>
    <t>Número de dotaciones entregadas a espacios para la primera infancia con enfoque de inclusión que permitan el desarrollo de habilidades.</t>
  </si>
  <si>
    <t>Construir y/o adecuar 4 Centros de Desarrollo Infantil - CDI o Espacios para la Primera Infancia.</t>
  </si>
  <si>
    <t>Número de Centros de Desarrollo Infantil - CDI o Espacios para la Primera Infancia construídos o adecuados.</t>
  </si>
  <si>
    <t xml:space="preserve">Crece Conmigo: Una Infancia Feliz </t>
  </si>
  <si>
    <t>Formular e implementar 1 estrategia de corresponsabilidad en la garantía de derechos, la prevención de vulneración, amenaza o riesgo en el ámbito familiar, comunitario e institucional.</t>
  </si>
  <si>
    <t>Número de estrategias de corresponsabilidad en la garantía de derechos, la prevención de vulneración, amenaza o riesgo en el ámbito familiar, comunitario e institucional formuladas e implementadas.</t>
  </si>
  <si>
    <t>Implementar 4 iniciativas que promueva la participación activa de niños y niñas desde la primera infancia en espacios de interés privados y públicos en los que se fortalezcan  habilidades para la vida, preparación para el proyecto de vida y el ejercicio de sus derechos.</t>
  </si>
  <si>
    <t>Número de iniciativas implementadas que promueva la participación activa de niños y niñas desde la primera infancia en espacios de interés privados y públicos en los que se fortalezcan  habilidades para la vida, preparación para el proyecto de vida y el ejercicio de sus derechos.</t>
  </si>
  <si>
    <t>Formular e implementar 1 programa para el reconocimiento de la construcción de la identidad de niños y niñas con una perspectiva de género dirigido a padres/madres y educadores.</t>
  </si>
  <si>
    <t>Número de programas formulados e implementados para el reconocimiento de la construcción de la identidad de niños y niñas con una perspectiva de género  dirigido a padres/madres y educadores.</t>
  </si>
  <si>
    <t>Formular e implementar 1 estrategia para el fomento de prácticas de autoprotección y cuidado en niños y niñas para la prevención de conductas de riesgo (consumo de SPA, acciones delictivas, abandono familiar y escolar).</t>
  </si>
  <si>
    <t>Número de estrategias formuladas e implementadas para el fomento de prácticas de autoprotección y cuidado en niños y niñas para la prevención de conductas de riesgo (consumo de SPA, acciones delictivas, abandono familiar y escolar).</t>
  </si>
  <si>
    <t>Formular e implementar 1 estrategia comunitaria y familiar para la prevención y erradicación del trabajo infantil en niños, niñas y adolescentes de acuerdo a los lineamientos del Plan Nacional  de Erradicación del trabajo infantil y sus peores formas.</t>
  </si>
  <si>
    <t>Número de estrategias comunitarias y familiares formuladas e implementadas para la prevención y erradicación del trabajo infantil en niños, niñas y adolescentes de acuerdo a los lineamientos del Plan Nacional  de Erradicación del trabajo infantil y sus peores formas.</t>
  </si>
  <si>
    <t>Implementar y mantener la Ruta de Prevención, Detección y Atención Interinstitucional frente casos de niños, niñas y adolescentes victimas de bullying, abuso, acoso y/o explotación sexual.</t>
  </si>
  <si>
    <t>Número de Rutas de Prevención, Detección y Atención Interinstitucional implementadas y mantenidas frente casos de niños, niñas y adolescentes victimas de bullying, abuso, acoso y/o explotación sexual.</t>
  </si>
  <si>
    <t>Realizar 4 jornadas de conmemoración del día de la niñez.</t>
  </si>
  <si>
    <t>Número de jornadas de conmemoración del día de la niñez realizadas.</t>
  </si>
  <si>
    <t>Formular e implementar 1 ruta de atención integral para niños, niñas, adolescentes refugiados y migrantes y sus familias.</t>
  </si>
  <si>
    <t>Número de rutas de atención integral formuladas e implementadas para niños, niñas, adolescentes refugiados y migrantes y sus familias.</t>
  </si>
  <si>
    <t>Construcción De Entornos Para Una Adolescencia Sana</t>
  </si>
  <si>
    <t>Formular e implementar 1 programa de familias fuertes: amor y límite que permita fortalecer a las familias como agente protector ante las conductas de riesgo en los adolescentes.</t>
  </si>
  <si>
    <t>Número de programas formulados e implementados de familias fuertes: amor y límite que permitan fortalecer a las familias como agente protector ante las conductas de riesgo en los adolescentes.</t>
  </si>
  <si>
    <t>Brindar 150.000 entradas gratuitas de niñas, niños y adolescentes y sus familias a  eventos artísticos, culturales, lúdicos y recreativos.</t>
  </si>
  <si>
    <t>Número de entradas gratuitas brindadas a niñas, niños y adolescentes y sus familias a  eventos artísticos, culturales, lúdicos y recreativos.</t>
  </si>
  <si>
    <t>Desarrollar 3 jornadas de uso creativo del tiempo y emprendimiento que potencien sus competencias y motiven continuar en diferentes niveles de educación superior.</t>
  </si>
  <si>
    <t>Número de jornadas desarrolladas de uso creativo del tiempo y emprendimiento que potencien sus competencias y motiven continuar en diferentes niveles de educación superior.</t>
  </si>
  <si>
    <t xml:space="preserve">Mantener el servicio exequial al 100% de los niños, niñas y adolescentes en extrema vulnerabilidad que fallezcan y que sus familias así lo requieran. </t>
  </si>
  <si>
    <t>Porcentaje de niños, niñas y adolescentes en extrema vulnerabilidad fallecidos con servicio exequial requerido por sus familias.</t>
  </si>
  <si>
    <t>Implementar y mantener 1 proceso de liderazgo b-learning orientada al fortalecimiento de la participación de niños, niñas, adolescentes y jóvenes.</t>
  </si>
  <si>
    <t>Número de procesos de liderazgo b-learning implementados mantenidos orientada al fortalecimiento de la participación de niños, niñas, adolescentes y jóvenes.</t>
  </si>
  <si>
    <t>Sistematizar 4 buenas prácticas que aporten al desarrollo de las realizaciones establecidas para los niños, niñas y adolescentes en el marco del proceso de rendición pública de cuentas.</t>
  </si>
  <si>
    <t>Número de sistematizaciones realizadas de buenas prácticas que aporten al desarrollo de las realizaciones establecidas para los niños, niñas y adolescentes en el marco del proceso de rendición pública de cuentas.</t>
  </si>
  <si>
    <t>Adulto Mayor Y Digno</t>
  </si>
  <si>
    <t>Beneficiar y mantener a 11.000 personas mayores con el programa Colombia Mayor.</t>
  </si>
  <si>
    <t>Número de personas mayores beneficiados y mantenidos con el programa Colombia Mayor.</t>
  </si>
  <si>
    <t>Proveer 25.000 ayudas alimentarias anuales mediante complementos nutricionales para personas mayores en condición de pobreza y vulnerabilidad mejorando su calidad de vida a través de la seguridad alimentaria.</t>
  </si>
  <si>
    <t>Número de ayudas alimentarias anuales proveídas mediante complementos nutricionales para personas mayores en condición de pobreza y vulnerabilidad mejorando su calidad de vida a través de la seguridad alimentaria.</t>
  </si>
  <si>
    <t>Beneficiar a 7.000 personas mayores vulnerables de los diferentes barrios del municipio con la oferta de servicios de atencion primaria en salud, recreacion y aprovechamiento del tiempo libre.</t>
  </si>
  <si>
    <t>Número de personas mayores vulnerables de los diferentes barrios del municipio beneficiados con la oferta de servicios de atencion primaria en salud, recreacion y aprovechamiento del tiempo libre.</t>
  </si>
  <si>
    <t>Mantener el servicio exequial al 100% de las personas mayores fallecidas en condición de pobreza, vulnerabilidad y sin red familiar de apoyo.</t>
  </si>
  <si>
    <t>Porcentaje de personas mayores fallecidas en condición de pobreza, vulnerabilidad y sin red familiar de apoyo con servicio exequial.</t>
  </si>
  <si>
    <t>Mantener a 1.656 personas mayores vulnerables con atencion integral en instituciones especializadas a través de las modalidades centros vida y centros de bienestar en el marco de la Ley 1276 de 2009.</t>
  </si>
  <si>
    <t>Número de personas mayores vulnerables mantenidas con atencion integral en instituciones especializadas a través de las modalidades centros vida y centros de bienestar en el marco de la Ley 1276 de 2009.</t>
  </si>
  <si>
    <t>Mantener en funcionamiento los 3 Centros Vida con la prestacion de servicios integrales y/o dotacion de los mismos cumpliendo con la oferta institucional.</t>
  </si>
  <si>
    <t>Número de Centros Vida mantenidos en funcionamiento con la prestacion de servicios integrales y/o dotacion de los mismos cumpliendo con la oferta institucional.</t>
  </si>
  <si>
    <t>Mantener el servicio atención primaria en salud, atención psicosocial que promueva la salud física, salud mental y el bienestar social de las personas mayores en los centros vida.</t>
  </si>
  <si>
    <t>Número de servicios mantenidos de atención primaria en salud, atención psicosocial que promueva la salud física, salud mental y el bienestar social de las personas mayores en los centros vida.</t>
  </si>
  <si>
    <t>Formular y implementar 1 estrategia que promueva  las actividades psicosociales, actividades artísticas y culturales,   actividades físicas y recreación y actividades productivas en las personas mayores.</t>
  </si>
  <si>
    <t>Número de estrategias formuladas e implementadas que promueva  las actividades psicosociales, actividades artísticas y culturales,   actividades físicas y recreación y actividades productivas en las personas mayores.</t>
  </si>
  <si>
    <t>Aceleradores De Desarrollo Social</t>
  </si>
  <si>
    <t>Formular e implementar 1 estrategia que promueva la democratización familiar apoyada en el componente de bienestar comunitario del programa Familias en Acción con impacto en barrios priorizados por NBI.</t>
  </si>
  <si>
    <t>Número de estrategias formuladas e implementadas que promuevan la democratización familiar apoyada en el componente de bienestar comunitario del programa Familias en Acción con impacto en barrios priorizados por NBI.</t>
  </si>
  <si>
    <t>Mantener el servicio de acceso gratuito a espacios de recreación y cultura a familias inscritas en el programa Familias en Acción.</t>
  </si>
  <si>
    <t>Número de servicios mantenidos de acceso gratuito a espacios de recreación y cultura a familias inscritas en el programa Familias en Acción.</t>
  </si>
  <si>
    <t>Mantener el 100% del apoyo logístico a las familias beneficiadas del programa Familias en Acción.</t>
  </si>
  <si>
    <t>Porcentaje de apoyo logístico mantenido a las familias beneficiadas del programa Familias en Acción.</t>
  </si>
  <si>
    <t>Más Equidad Para Las Mujeres</t>
  </si>
  <si>
    <t>Potenciar la Escuela de Liderazgo y Participación Política de Mujeres con cobertura en zona rural y urbana.</t>
  </si>
  <si>
    <t>Número de Escuelas de Liderazgo y participación Política para Mujeres mantenidas con cobertura en zona rural y urbana.</t>
  </si>
  <si>
    <t>Atender y mantener de manera integral desde el componente psicosociojurídico y social a 600 mujeres, niñas y personas considerando los enfoques diferenciales y diversidad sexual.</t>
  </si>
  <si>
    <t>Número de mujeres, niñas y/o personas atendidas y mantenidas integralmente desde el componente psicosociojurídico y social considerando los enfoques diferenciales y diversidad sexual.</t>
  </si>
  <si>
    <t>Mantener y fortalecer la ruta de atención a víctimas de acoso sexual y violencia de género a través redes comunitarias de prevención en zonas priorizadas del área rural y urbana de la ciudad y consolidación de alianzas con otras entidades.</t>
  </si>
  <si>
    <t>Número de rutas de atención a víctimas de acoso sexual y violengia de género mantenidas y fortalecidas a través redes comunitarias de prevención en zonas priorizadas del área rural y urbana de la ciudad y consolidación de alianzas con otras entidades.</t>
  </si>
  <si>
    <t>Mantener la garantía de las medidas de atención y protección al 100% de mujeres y sus hijos víctimas de violencia de género con especial situación de riesgos.</t>
  </si>
  <si>
    <t>Porcentaje de mujeres y sus hijos víctmas de violencia de género con especial situación de riesgos con medidas de atención y protección mantenidas.</t>
  </si>
  <si>
    <t>Mantener la estrategia de prevención con hombres de contextos públicos y privados mediante procesos de intervención colectiva en torno a la resignificación crítica de la masculinidad hegemónica y tradicional.</t>
  </si>
  <si>
    <t>Número de estrategias mantenidas de prevención con hombres de contextos públicos y privados mediante procesos de intervención colectiva en torno a la resignificación crítica de la masculinidad hegemónica y tradicional.</t>
  </si>
  <si>
    <t>Mantener el Centro Integral de la Mujer a fin de garantizar el fortalecimiento de los procesos de atención y empoderamiento femenino.</t>
  </si>
  <si>
    <t>Número de Centros Integrales de la Mujer mantenidos a fin de garantizar el fortalecimiento de los procesos de atención y empoderamiento femenino.</t>
  </si>
  <si>
    <t>Actualizar e implementar la Política Pública de Mujer.</t>
  </si>
  <si>
    <t>Número de Políticas Públicas de Mujer actualizadas e implementadas.</t>
  </si>
  <si>
    <t>Bucaramanga Hábitat Para El Cuidado Y La Corresponsabilidad</t>
  </si>
  <si>
    <t>Formular e implementar 1 política pública para la población con orientación sexual e identidad de género diversa.</t>
  </si>
  <si>
    <t>Número de políticas públicas formuladas e implementadas para la población con orientación sexual e identidad de género diversa.</t>
  </si>
  <si>
    <t>Diseñar y ejecutar 14 campañas comunicativas en espacios públicos y medios masivos de transporte orientadas a la promoción de derechos y a la eliminación de diferentes formas de violencia y discriminación de mujeres y población con orientación sexual e identidad de género diversa.</t>
  </si>
  <si>
    <t>Número de campañas comunicativas diseñadas y ejecutadas en espacios públicos y medios masivos de transporte orientadas a la promoción de derechos y a la eliminación de diferentes formas de violencia y discriminación de mujeres y población con orientación sexual e identidad de género diversa.</t>
  </si>
  <si>
    <t>Establecer el centro para la atención integral de mujeres y población con orientaciones sexuales e identidades de género diversas a fin de garantizar el fortalecimiento de los procesos de atención, encuentro y empoderamiento.</t>
  </si>
  <si>
    <t>Número de centros para la atención integral de mujeres y población con orientaciones sexuales e identidades de género diversas mantenidos a fin de garantizar el fortalecimiento de los procesos de atención, encuentro y empoderamiento.</t>
  </si>
  <si>
    <t>Atender el 100% de la solicitudes realizadas por éste grupo poblacional y sus familias con orientación psicosocial y jurídica.</t>
  </si>
  <si>
    <t>Porcentaje de solicitudes realizadas por éste grupo poblacional y sus familias con orientación psicosocial y jurídica atendidas.</t>
  </si>
  <si>
    <t>Habitantes En Situación De Calle</t>
  </si>
  <si>
    <t xml:space="preserve">Mantener la identificación, caracterización y seguimiento de la situación de cada habitante de calle atendido por la Secretaría de Desarrollo Social. </t>
  </si>
  <si>
    <t xml:space="preserve">Número de identificaciones, caracterizaciones y seguimientos mantenidos de la situación de cada habitante de calle atendido por la Secretaría de Desarrollo Social. </t>
  </si>
  <si>
    <t>Mantener a 284 habitantes de calle con atención integral en la cual se incluya la prestación de servicios básicos.</t>
  </si>
  <si>
    <t>Número de habitantes de calle mantenidos con atención integral en la cual se incluya la prestación de servicios básicos.</t>
  </si>
  <si>
    <t>Formular e implementar 1 política pública para habitante de calle.</t>
  </si>
  <si>
    <t>Número de políticas públicas para habitante de calle formuladas e implementadas.</t>
  </si>
  <si>
    <t>Mantener el servicio exequial al 100% de los habitantes de calle fallecidos registrados dentro del censo municipal.</t>
  </si>
  <si>
    <t>Porcentaje de habitantes de calle fallecidos registrados dentro del censo municipal mantenidos con servicio exequial.</t>
  </si>
  <si>
    <t>Población Con Discapacidad</t>
  </si>
  <si>
    <t>Garantizar y mantener la atención integral en procesos de habilitación y rehabilitación a 250 niñas, niños y adolescentes con discapacidad del sector urbano y rural en extrema vulnerabilidad.</t>
  </si>
  <si>
    <t>Número de niñas, niños y adolescentes con discapacidad del serctor urbano y rural en extrema vulnerabilidad mantenidos con atención integral en procesos de habilitación y rehabilitación.</t>
  </si>
  <si>
    <t>Mantener el banco de ayudas técnicas, tecnológicas e informáticas para personas con discapacidad que se encuentren en el registro de localización y caracterización.</t>
  </si>
  <si>
    <t>Número de bancos de ayudas técnicas, tecnológicas e informáticas mantenidas para personas con discapacidad que se encuentren en el registro de localización y caracterización.</t>
  </si>
  <si>
    <t>Formular e implementar 1 estrategia de orientación ocupacional, aprovechamiento del tiempo libre, formación y esparcimiento cultural y actividades que mejoren la calidad de vida dirigidas a personas con discapacidad.</t>
  </si>
  <si>
    <t>Número de estrategias formuladas e implementadas  de orientación ocupacional, aprovechamiento del tiempo libre, formación y esparcimiento cultural y actividades que mejoren la calidad de vida dirigidas a personas con discapacidad.</t>
  </si>
  <si>
    <t>Beneficiar anualmente a 200 familias de personas con discapacidad con una canasta básica alimentaria que según su situación socioeconómica se encuentran en extrema vulnerabilidad.</t>
  </si>
  <si>
    <t>Número de familias de personas con discapacidad beneficiadas anualmente con una canasta básica alimentaria que según su situación socioeconómica se encuentran en extrema vulnerabilidad.</t>
  </si>
  <si>
    <t>Implementar 1 estrategia de apoyo técnico y jurídico para las solicitudes de ayudas técnicas requeridas por personas vulnerables en condición de discapacidad.</t>
  </si>
  <si>
    <t>Número de estrategias implementadas de apoyo técnico y jurídico para las solicitudes de ayudas técnicas requeridas por personas vulnerables en condición de discapacidad.</t>
  </si>
  <si>
    <t>BUCARAMANGA PRODUCTIVA Y COMPETITIVA: EMPRESAS INNOVADORAS, RESPONSABLES Y CONSCIENTES</t>
  </si>
  <si>
    <t>Una Zona Rural Competitiva E Incluyente</t>
  </si>
  <si>
    <t>Desarrollo Del Campo</t>
  </si>
  <si>
    <t>Instalar 200 sistemas de riego por goteo en la zona rural.</t>
  </si>
  <si>
    <t>Número de sistemas de riego por goteo instalados en la zona rural.</t>
  </si>
  <si>
    <t>Mantener 2 ciclos de vacunación contra fiebre aftosa y brucelosis en vacunos según normatividad del ICA.</t>
  </si>
  <si>
    <t>Número de ciclos de vacunación mantenidas contra fiebre aftosa y brucelosis en vacunos según normatividad del ICA.</t>
  </si>
  <si>
    <t>Realizar 12 proyectos productivos agrícolas o pecuarios.</t>
  </si>
  <si>
    <t>Número de proyectos productivos agrícolas o pecuarios realizados.</t>
  </si>
  <si>
    <t>Mantener 4 mercadillos campesinos.</t>
  </si>
  <si>
    <t>Número de mercadillos campesinos mantenidos.</t>
  </si>
  <si>
    <t>Mantener el Plan General de Asistencia Técnica.</t>
  </si>
  <si>
    <t>Número de Planes Generales de Asistencia Técnica actualizados e mantenidos.</t>
  </si>
  <si>
    <t>Desarrollar procesos agroindustriales con 20 unidades productivas del sector rural.</t>
  </si>
  <si>
    <t>Número de unidades productivas del sector rural con procesos agroindustriales desarrollados.</t>
  </si>
  <si>
    <t>Bucaramanga Segura</t>
  </si>
  <si>
    <t>Prevención Del Delito</t>
  </si>
  <si>
    <t>Mantener la estrategia para la prevención, detección y atención de las violencias en adolescentes.</t>
  </si>
  <si>
    <t>Número de estrategias mantenidas para la prevención, detección y atención de las violencias en adolescentes.</t>
  </si>
  <si>
    <t>BUCARAMANGA TERRITORIO LIBRE DE CORRUPCIÓN: INSTITUCIONES SÓLIDAS Y CONFIABLES</t>
  </si>
  <si>
    <t>Acceso A La Información Y Participación</t>
  </si>
  <si>
    <t>Fortalecimiento De Las Instituciones Democráticas Y Ciudadanía Participativa</t>
  </si>
  <si>
    <t>Formular e implementar 1 estrategia que fortalezca la democracia participativa (Ley 1757 de 2015).</t>
  </si>
  <si>
    <t>Número de estrategias formuladas e implementadas que fortalezca la democracia participativa (Ley 1757 de 2015).</t>
  </si>
  <si>
    <t>Construir y/o dotar 10 salones comunales con el programa Ágoras.</t>
  </si>
  <si>
    <t>Número de salones comunales con el programa Ágoras construidos y/o dotados.</t>
  </si>
  <si>
    <t>Mantener en funcionamiento el 100% de los salones comunales que hacen parte del programa Ágoras.</t>
  </si>
  <si>
    <t>Porcentaje de salones comunales mantenidos en funcionamiento que hacen parte del programa Ágoras.</t>
  </si>
  <si>
    <t>Mantener el beneficio al 100% de los ediles con pago de EPS, ARL, póliza de vida y dotación.</t>
  </si>
  <si>
    <t>Porcentaje de ediles mantenidos con el beneficio del pago de EPS, Pensión, ARL, póliza de vida y dotación.</t>
  </si>
  <si>
    <t>Sec. Desarrollo Social</t>
  </si>
  <si>
    <t>MEJORAMIENTO DE LOS PROCESOS TRANSVERSALES PARA UNA ADMINISTRACIÓN PUBLICA MODERNA Y EFICIENTE EN LA SECRETARÍA DE DESARROLLO SOCIAL DEL MUNICIPIO BUCARAMANGA</t>
  </si>
  <si>
    <t>IMPLEMENTACIÓN DE ACCIONES TENDIENTES A MEJORAR LAS CONDICIONES DE LOS ADULTOS MAYORES DEL MUNICIPIO DE BUCARAMANGA</t>
  </si>
  <si>
    <t>FORTALECIMIENTO DE LA DEMOCRACIA PARTICIPATIVA EN EL MUNICIPIO DE BUCARAMANGA</t>
  </si>
  <si>
    <t>APOYO A LA OPERATIVIDAD DEL PROGRAMA NACIONAL MÁS FAMILIAS EN ACCIÓN EN EL MUNICIPIO DE BUCARAMANGA</t>
  </si>
  <si>
    <t>IMPLEMENTACIÓN DE ESTRATEGIAS PSICOPEDAGÓGICAS PARA LA DISMINUCIÓN DE FACTORES DE RIESGO EN NIÑOS, NIÑAS Y ADOLESCENTES EN EL MUNICIPIO DE BUCARAMANGA</t>
  </si>
  <si>
    <t>FORTALECIMIENTO DE ESPACIOS DE PARTICIPACIÓN Y PREVENCIÓN DE VIOLENCIAS EN MUJERES Y POBLACIÓN CON ORIENTACIONES SEXUALES E IDENTIDADES DE GÉNERO DIVERSAS DEL MUNICIPIO DE BUCARAMANGA</t>
  </si>
  <si>
    <t>DESARROLLO DE ACCIONES ENCAMINADAS A GENERAR ATENCIÓN INTEGRAL HACIA LA POBLACIÓN HABITANTES EN SITUACIÓN DE CALLE DEL MUNICIPIO DE BUCARAMANGA</t>
  </si>
  <si>
    <t>FORTALECIMIENTO DE LA PRODUCTIVIDAD Y COMPETITIVIDAD AGROPECUARIA EN EL SECTOR RURAL DEL MUNICIPIO DE BUCARAMANGA</t>
  </si>
  <si>
    <t>Administración Pública Moderna E Innovadora</t>
  </si>
  <si>
    <t>Gobierno Fortalecido Para Ser Y Hacer</t>
  </si>
  <si>
    <t>Mantener el 100% de los programas que desarrolla la Administración Central.</t>
  </si>
  <si>
    <t>Porcentaje de programas que desarrolla la Administración Central mantenidos.</t>
  </si>
  <si>
    <t>Atender a 75.600 personas en los servicios y programas que adelanta la Secretaría de Desarrollo Social</t>
  </si>
  <si>
    <t>John Carlos Pabón Mantilla</t>
  </si>
  <si>
    <t>Formular e implementar 1 estrategia para brindar asistencia social a la población afectada por las diferentes emergencias y particularmente COVID-19.</t>
  </si>
  <si>
    <t>Número de estrategias formuladas e implementadas para brindar asistencia social a la población afectada por las diferentes emergencias y particularmente COVID-19.</t>
  </si>
  <si>
    <t>Beneficiar al 100% de los Ediles con póliza. EPS. Pensión y Seguro de vida</t>
  </si>
  <si>
    <t>Beneficiar 14.000 familias en condición de vulnerabilidad a través del programas Más Familias en Acción</t>
  </si>
  <si>
    <t>Atender a 750 Personas con discapacidad con servicios integrales</t>
  </si>
  <si>
    <t>Atender y mantener de manera integral desde el componente psicosociojurídico y social a 600 mujeres. niñas y personas considerando los enfoques diferenciales y diversidad sexual.</t>
  </si>
  <si>
    <t>Brindar atención integral a 284 personas en habitancia de calle</t>
  </si>
  <si>
    <t xml:space="preserve">Atender 500 Unidades productivas con los componentes de asistencia técnica y empresarial,mejoramiento de procesos de cosecha. poscosecha y comercialización. </t>
  </si>
  <si>
    <t>RECURSOS GESTIONADOS</t>
  </si>
  <si>
    <t>DESARROLLO DE ACCIONES DE BIENESTAR SOCIAL EN EL MARCO DE LA EMERGENCIA SANITARIA A CAUSA DEL COVID-19 FOCALIZADAS A LA POBLACIÓN VULNERABLE DEL MUNICIPIO DE BUCARAMANGA</t>
  </si>
  <si>
    <t xml:space="preserve">PREVENCIÓN DEL CONTAGIO Y PROPAGACION DE LA FIEBRE AFTOSA Y BRUCELOSIS EN LA ESPECIE BOVINA DEL MUNICIPIO DE BUCARAMANGA </t>
  </si>
  <si>
    <t xml:space="preserve">DOTACION DE SALONES COMUNALES PARA FOMENTAR LA INTEGRACION COMUNITARIA Y LA CIUDADANIA PARTICIPATIVA EN EL MUNICIPIO DE BUCARAMANGA </t>
  </si>
  <si>
    <t xml:space="preserve">DOTACION DE CENTROS VIDA PARA LA PRESTACION DE SERVICIOS INTEGRALES A LA POBLACION ADULTOS MAYORES EN EL MUNICIPIO DE BUCARAMANGA </t>
  </si>
  <si>
    <t>TOTAL EJECUTADO</t>
  </si>
  <si>
    <t>SGR</t>
  </si>
  <si>
    <t>Atención virtual y precensial a mujeres y población diversa en temas de violencia sexual, intrafamiliar, domestica, cpacitación en temas de liderazgo y empoderamiento</t>
  </si>
  <si>
    <t>Actividades relacionadas con capmapañsas de prevención de violencia en la mujer, igual de derechos, la equidad en las tareas, eliminación del machismo y fenimismo.</t>
  </si>
  <si>
    <t>Se busca proteger a la mujer y su familia en caso de vulneración de derechos, en situaciónes de riesgo critico de violencia y riesgo de muerte, entre otras.</t>
  </si>
  <si>
    <t>Activar los diferentes mecanismos de protección, articulando los diferentes establecimientos y secretarias a fin de lograr la protección de la mujer y sean restablecidos sus derechos.</t>
  </si>
  <si>
    <t>Acciones relacionadas con el componenete social, en cuanto a asistencias humanitarias, seguridad alimentaria, bioseguridad, entre otros</t>
  </si>
  <si>
    <t>2.3.2.02.02.009.4502038.201</t>
  </si>
  <si>
    <t>2.3.2.02.02.009.4104008.201</t>
  </si>
  <si>
    <t>2.3.2.02.02.009.4104008.220</t>
  </si>
  <si>
    <t>2.3.2.02.01.000.1702010.201</t>
  </si>
  <si>
    <t>2.3.2.02.01.000.1707042.201</t>
  </si>
  <si>
    <t>2.3.2.02.02.009.1702010.201</t>
  </si>
  <si>
    <t>2.3.2.02.02.009.4502001.201</t>
  </si>
  <si>
    <t>2.3.2.02.02.009.4104027.213</t>
  </si>
  <si>
    <t>2.3.2.02.02.009.4104020.201</t>
  </si>
  <si>
    <t xml:space="preserve">Coadyuvar en el segumiento, registro, incorporación, retiros y novedades de adultos mayores con posibilidad de ser beneficiarios del programa colombia mayor de prosperidad social </t>
  </si>
  <si>
    <t>Beneficiar a los adultos mayores de centros vida públicos con  la oferta institucional en el marco de la ley 1276 de 2009</t>
  </si>
  <si>
    <t>Beneficiar a los adultos mayores de centros vida públicos con  la oferta institucional en el marco de la ley 1276 de 2009, y que cuenten con instalaciones idoneas para el desarrollo de las diferentes actividades recreativas, ludicas, sano espacrmirnto, atención primaria en salud, higiene, etc</t>
  </si>
  <si>
    <t>2.3.2.02.02.009.4103050.201</t>
  </si>
  <si>
    <t>2.3.2.02.02.009.4102043.201</t>
  </si>
  <si>
    <t>2.3.2.02.02.009.4102043.213</t>
  </si>
  <si>
    <t xml:space="preserve">2.3.2.02.02.009.4102043.201 </t>
  </si>
  <si>
    <t>PENDIENTE POR DEFINIR</t>
  </si>
  <si>
    <t>2.3.2.02.02.009.4599031.201</t>
  </si>
  <si>
    <t>2.3.2.02.02.009.4102021.201 $12.000.000
2.3.2.02.02.009.4102043.201 $12.000.000</t>
  </si>
  <si>
    <t>2.3.2.02.02.009.4599006.201 $300.000.000
2.3.2.02.02.009.4599031.201 $440.000.000</t>
  </si>
  <si>
    <t xml:space="preserve">2.3.2.02.01.002.4104008.201 </t>
  </si>
  <si>
    <t>2.3.2.02.02.009.4104020.201
2.3.2.02.02.009.4104020.213</t>
  </si>
  <si>
    <t>2.3.2.02.02.009.4104027.201
2.3.2.02.02.009.4104027.213</t>
  </si>
  <si>
    <t>PENDIENTE POR ADICIONAR</t>
  </si>
  <si>
    <t>2.3.2.02.01.002.4104008.220 $603.350.727
2.3.2.02.01.002.4104008.201 $46.000.000
2.3.2.02.01.002.4104008.288</t>
  </si>
  <si>
    <t>2.3.2.02.02.009.4104008.201 $130.000.000
2.3.2.02.02.009.4104008.220 $199.091.000</t>
  </si>
  <si>
    <t>2.3.2.02.02.009.4104008.201 $40.000.000
2.3.2.02.02.009.4104008.220 $120.799.850</t>
  </si>
  <si>
    <t>2.3.2.02.02.009.4103050.501</t>
  </si>
  <si>
    <t>2.3.2.02.02.009.4104008.501: 300.000.000</t>
  </si>
  <si>
    <t>2.3.2.02.02.009.4502001.501: 200.000.000</t>
  </si>
  <si>
    <t>2.3.2.02.01.000.1702010.201
2.3.2.02.02.009.1702010.201</t>
  </si>
  <si>
    <t>2.3.2.02.02.009.4502001.201
2.3.2.02.02.009.3301053.201</t>
  </si>
  <si>
    <t>2.3.2.02.02.009.4102043.201
2.3.2.02.01.003.4102043.201</t>
  </si>
  <si>
    <t>2.3.2.02.02.009.4102038.201
2.3.2.02.02.009.4102043.201
2.3.2.02.02.009.4102021.201 $28.000.000</t>
  </si>
  <si>
    <t>2.3.2.02.02.009.4102043.201
2.3.2.02.02.009.4102021.201
2.3.2.02.02.009.4102043.213</t>
  </si>
  <si>
    <t>2.3.2.02.02.009.4102043.201
2.3.2.02.02.009.4102021.201</t>
  </si>
  <si>
    <t>2.3.2.02.02.009.4102016.201
2.3.2.02.02.009.4102043.201
2.3.2.02.02.009.4102021.201</t>
  </si>
  <si>
    <t>2.3.2.02.02.009.4102043.201: 252.000.000,00 
2.3.2.01.01.004.4103031.201: 374.200.000,00 
2.3.2.02.02.009.4102043.297:            28.189,13
2.3.2.02.02.009.4102043.298:      5.349 132,00
2.3.2.02.02.009.4102043.299:    11.995.542,14</t>
  </si>
  <si>
    <t>2.3.2.02.01.002.4104008.201:     200.000.000
2.3.2.02.02.009.4103050.501:     800.000.000
2.3.2.02.02.009.4104008.520: 1.134.339.181,01</t>
  </si>
  <si>
    <t>2.3.2.02.02.009.4104027.201: 519.616.480
2.3.2.02.02.009.4104027.501: 281.400.000</t>
  </si>
  <si>
    <t>POR ADICIONAR</t>
  </si>
  <si>
    <t xml:space="preserve">2.3.2.02.02.009.4104008.220 $2.559.196.618
2.3.2.02.02.009.4104008.258 $101.429.564,34
2.3.2.02.02.009.4104008.201 $904.000.000,00
</t>
  </si>
  <si>
    <t>2.3.2.02.02.009.4104008.558 $  56.264.221,14</t>
  </si>
  <si>
    <t>2.3.2.02.02.009.4104008.201 $32.000.000</t>
  </si>
  <si>
    <t>2.3.2.02.02.009.4104008.201 $30.000.000
2.3.2.02.02.009.4104008.220 $68.000.000</t>
  </si>
  <si>
    <t>2.3.2.02.02.009.4502001.501</t>
  </si>
  <si>
    <t>APOYO A LA OPERATIVIDAD DE LOS PROGRAMAS DE ATENCIÓN INTEGRAL A LAS PERSONAS CON DISCAPACIDAD, FAMILIARES Y/O CUIDADORES DEL MUNICIPIO DE BUCARAMANGA</t>
  </si>
  <si>
    <t>2.3.2.02.02.009.4104020.201: 26.000.000</t>
  </si>
  <si>
    <t>2.3.2.02.02.009.4104020.501: 25.000.000</t>
  </si>
  <si>
    <t>2.3.2.02.01.003.4102043.201</t>
  </si>
  <si>
    <t>2.3.2.02.02.009.4502038.501: 65.000.000</t>
  </si>
  <si>
    <t>2.3.2.02.02.009.4502038.201: 20.000.000</t>
  </si>
  <si>
    <t xml:space="preserve">2.3.2.02.02.009.4104027.201: 190.000.000
2.3.2.02.02.009.4104027.213  119.000.000 </t>
  </si>
  <si>
    <t>2.3.2.02.02.009.4104027.501:   45.000.000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</si>
</sst>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\ #,##0;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#,##0.0"/>
    <numFmt numFmtId="167" formatCode="_-* #,##0_-;\-* #,##0_-;_-* &quot;-&quot;??_-;_-@_-"/>
  </numFmts>
  <fonts count="16" x14ac:knownFonts="1">
    <font>
      <sz val="11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i/>
      <sz val="12"/>
      <color theme="1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4"/>
      <color theme="1"/>
      <name val="Arial"/>
      <family val="2"/>
    </font>
    <font>
      <b/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10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17">
    <xf numFmtId="0" fontId="0" fillId="0" borderId="0" xfId="0"/>
    <xf numFmtId="0" fontId="2" fillId="0" borderId="0" xfId="0" applyFont="1"/>
    <xf numFmtId="0" fontId="3" fillId="0" borderId="2" xfId="0" applyFont="1" applyFill="1" applyBorder="1" applyAlignment="1">
      <alignment horizontal="justify" vertical="center" wrapText="1"/>
    </xf>
    <xf numFmtId="9" fontId="2" fillId="0" borderId="2" xfId="0" applyNumberFormat="1" applyFont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justify" vertical="center" wrapText="1"/>
    </xf>
    <xf numFmtId="165" fontId="1" fillId="0" borderId="2" xfId="108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/>
    <xf numFmtId="165" fontId="2" fillId="0" borderId="2" xfId="108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justify"/>
    </xf>
    <xf numFmtId="0" fontId="2" fillId="0" borderId="0" xfId="0" applyFont="1" applyBorder="1" applyAlignment="1">
      <alignment horizontal="justify"/>
    </xf>
    <xf numFmtId="0" fontId="2" fillId="0" borderId="0" xfId="0" applyFont="1" applyBorder="1"/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16" fontId="2" fillId="0" borderId="0" xfId="0" applyNumberFormat="1" applyFont="1"/>
    <xf numFmtId="14" fontId="2" fillId="0" borderId="2" xfId="0" applyNumberFormat="1" applyFont="1" applyBorder="1" applyAlignment="1">
      <alignment horizontal="center"/>
    </xf>
    <xf numFmtId="5" fontId="1" fillId="0" borderId="2" xfId="108" applyNumberFormat="1" applyFont="1" applyFill="1" applyBorder="1" applyAlignment="1">
      <alignment horizontal="center" vertical="center" wrapText="1"/>
    </xf>
    <xf numFmtId="9" fontId="1" fillId="0" borderId="2" xfId="107" applyFont="1" applyFill="1" applyBorder="1" applyAlignment="1">
      <alignment horizontal="center" vertical="center" wrapText="1"/>
    </xf>
    <xf numFmtId="9" fontId="9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165" fontId="9" fillId="2" borderId="2" xfId="108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justify"/>
    </xf>
    <xf numFmtId="0" fontId="2" fillId="2" borderId="5" xfId="0" applyFont="1" applyFill="1" applyBorder="1"/>
    <xf numFmtId="0" fontId="2" fillId="2" borderId="3" xfId="0" applyFont="1" applyFill="1" applyBorder="1"/>
    <xf numFmtId="9" fontId="9" fillId="2" borderId="4" xfId="107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justify" vertical="center" wrapText="1"/>
    </xf>
    <xf numFmtId="0" fontId="2" fillId="2" borderId="6" xfId="0" applyFont="1" applyFill="1" applyBorder="1"/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2" fillId="0" borderId="3" xfId="0" applyNumberFormat="1" applyFont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/>
    </xf>
    <xf numFmtId="0" fontId="2" fillId="2" borderId="4" xfId="0" applyFont="1" applyFill="1" applyBorder="1"/>
    <xf numFmtId="0" fontId="2" fillId="0" borderId="2" xfId="0" applyFont="1" applyBorder="1" applyAlignment="1">
      <alignment horizontal="justify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vertical="center" wrapText="1"/>
    </xf>
    <xf numFmtId="1" fontId="1" fillId="0" borderId="8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justify" vertical="center" wrapText="1"/>
    </xf>
    <xf numFmtId="0" fontId="8" fillId="0" borderId="0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justify" vertical="center" wrapText="1"/>
    </xf>
    <xf numFmtId="0" fontId="13" fillId="4" borderId="4" xfId="0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justify" vertical="center" wrapText="1"/>
    </xf>
    <xf numFmtId="0" fontId="1" fillId="3" borderId="2" xfId="0" applyFont="1" applyFill="1" applyBorder="1" applyAlignment="1">
      <alignment horizontal="justify" vertical="center" wrapText="1"/>
    </xf>
    <xf numFmtId="0" fontId="8" fillId="0" borderId="6" xfId="0" applyFont="1" applyBorder="1" applyAlignment="1">
      <alignment vertical="center"/>
    </xf>
    <xf numFmtId="3" fontId="3" fillId="4" borderId="2" xfId="0" applyNumberFormat="1" applyFont="1" applyFill="1" applyBorder="1" applyAlignment="1">
      <alignment horizontal="center" vertical="center" wrapText="1"/>
    </xf>
    <xf numFmtId="165" fontId="7" fillId="2" borderId="2" xfId="108" applyNumberFormat="1" applyFont="1" applyFill="1" applyBorder="1" applyAlignment="1">
      <alignment vertical="center"/>
    </xf>
    <xf numFmtId="166" fontId="3" fillId="4" borderId="2" xfId="0" applyNumberFormat="1" applyFont="1" applyFill="1" applyBorder="1" applyAlignment="1">
      <alignment horizontal="center" vertical="center" wrapText="1"/>
    </xf>
    <xf numFmtId="4" fontId="3" fillId="4" borderId="2" xfId="0" applyNumberFormat="1" applyFont="1" applyFill="1" applyBorder="1" applyAlignment="1">
      <alignment horizontal="center" vertical="center" wrapText="1"/>
    </xf>
    <xf numFmtId="44" fontId="2" fillId="0" borderId="2" xfId="108" applyFont="1" applyBorder="1" applyAlignment="1">
      <alignment horizontal="justify" vertical="center" wrapText="1"/>
    </xf>
    <xf numFmtId="9" fontId="3" fillId="4" borderId="2" xfId="107" applyFont="1" applyFill="1" applyBorder="1" applyAlignment="1">
      <alignment horizontal="center" vertical="center" wrapText="1"/>
    </xf>
    <xf numFmtId="43" fontId="2" fillId="0" borderId="0" xfId="109" applyFont="1" applyBorder="1"/>
    <xf numFmtId="43" fontId="2" fillId="0" borderId="0" xfId="109" applyFont="1"/>
    <xf numFmtId="0" fontId="2" fillId="3" borderId="8" xfId="0" applyFont="1" applyFill="1" applyBorder="1" applyAlignment="1">
      <alignment horizontal="justify" vertical="center" wrapText="1"/>
    </xf>
    <xf numFmtId="0" fontId="1" fillId="0" borderId="8" xfId="0" applyFont="1" applyFill="1" applyBorder="1" applyAlignment="1">
      <alignment horizontal="justify" vertical="center" wrapText="1"/>
    </xf>
    <xf numFmtId="0" fontId="1" fillId="0" borderId="7" xfId="0" applyFont="1" applyFill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justify" vertical="center" wrapText="1"/>
    </xf>
    <xf numFmtId="164" fontId="2" fillId="0" borderId="7" xfId="0" applyNumberFormat="1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167" fontId="0" fillId="0" borderId="0" xfId="0" applyNumberFormat="1"/>
    <xf numFmtId="164" fontId="2" fillId="0" borderId="9" xfId="0" applyNumberFormat="1" applyFont="1" applyBorder="1" applyAlignment="1">
      <alignment horizontal="center" vertical="center" wrapText="1"/>
    </xf>
    <xf numFmtId="167" fontId="14" fillId="0" borderId="0" xfId="109" applyNumberFormat="1" applyFont="1"/>
    <xf numFmtId="164" fontId="2" fillId="0" borderId="2" xfId="0" applyNumberFormat="1" applyFont="1" applyBorder="1" applyAlignment="1">
      <alignment horizontal="left" vertical="center" wrapText="1"/>
    </xf>
    <xf numFmtId="43" fontId="2" fillId="0" borderId="0" xfId="0" applyNumberFormat="1" applyFont="1" applyBorder="1"/>
    <xf numFmtId="10" fontId="2" fillId="0" borderId="0" xfId="107" applyNumberFormat="1" applyFont="1" applyBorder="1"/>
    <xf numFmtId="4" fontId="3" fillId="4" borderId="2" xfId="0" quotePrefix="1" applyNumberFormat="1" applyFont="1" applyFill="1" applyBorder="1" applyAlignment="1">
      <alignment horizontal="center" vertical="center" wrapText="1"/>
    </xf>
    <xf numFmtId="5" fontId="1" fillId="0" borderId="1" xfId="108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1" fillId="0" borderId="1" xfId="107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8" xfId="0" applyFont="1" applyFill="1" applyBorder="1" applyAlignment="1">
      <alignment horizontal="justify" vertical="center" wrapText="1"/>
    </xf>
    <xf numFmtId="165" fontId="2" fillId="0" borderId="0" xfId="0" applyNumberFormat="1" applyFont="1" applyBorder="1"/>
    <xf numFmtId="0" fontId="2" fillId="0" borderId="2" xfId="0" applyFont="1" applyFill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justify" vertical="center" wrapText="1"/>
    </xf>
    <xf numFmtId="1" fontId="8" fillId="0" borderId="2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7" fillId="0" borderId="2" xfId="108" applyNumberFormat="1" applyFont="1" applyFill="1" applyBorder="1" applyAlignment="1">
      <alignment horizontal="center" vertical="center" wrapText="1"/>
    </xf>
    <xf numFmtId="165" fontId="1" fillId="5" borderId="2" xfId="108" applyNumberFormat="1" applyFont="1" applyFill="1" applyBorder="1" applyAlignment="1">
      <alignment horizontal="center" vertical="center" wrapText="1"/>
    </xf>
    <xf numFmtId="165" fontId="2" fillId="0" borderId="2" xfId="108" applyNumberFormat="1" applyFont="1" applyBorder="1"/>
    <xf numFmtId="165" fontId="15" fillId="0" borderId="2" xfId="108" applyNumberFormat="1" applyFont="1" applyFill="1" applyBorder="1" applyAlignment="1">
      <alignment horizontal="center" vertical="center" wrapText="1"/>
    </xf>
    <xf numFmtId="165" fontId="12" fillId="0" borderId="2" xfId="108" applyNumberFormat="1" applyFont="1" applyFill="1" applyBorder="1" applyAlignment="1">
      <alignment horizontal="center" vertical="center" wrapText="1"/>
    </xf>
    <xf numFmtId="165" fontId="1" fillId="0" borderId="2" xfId="108" applyNumberFormat="1" applyFont="1" applyBorder="1"/>
    <xf numFmtId="165" fontId="1" fillId="0" borderId="7" xfId="108" applyNumberFormat="1" applyFont="1" applyFill="1" applyBorder="1" applyAlignment="1">
      <alignment horizontal="center" vertical="center" wrapText="1"/>
    </xf>
    <xf numFmtId="165" fontId="7" fillId="0" borderId="7" xfId="108" applyNumberFormat="1" applyFont="1" applyFill="1" applyBorder="1" applyAlignment="1">
      <alignment horizontal="center" vertical="center" wrapText="1"/>
    </xf>
    <xf numFmtId="165" fontId="12" fillId="0" borderId="7" xfId="108" applyNumberFormat="1" applyFont="1" applyFill="1" applyBorder="1" applyAlignment="1">
      <alignment horizontal="center" vertical="center" wrapText="1"/>
    </xf>
    <xf numFmtId="165" fontId="2" fillId="0" borderId="7" xfId="108" applyNumberFormat="1" applyFont="1" applyBorder="1" applyAlignment="1">
      <alignment vertical="center"/>
    </xf>
    <xf numFmtId="165" fontId="2" fillId="0" borderId="7" xfId="108" applyNumberFormat="1" applyFont="1" applyBorder="1"/>
    <xf numFmtId="165" fontId="2" fillId="0" borderId="2" xfId="108" applyNumberFormat="1" applyFont="1" applyBorder="1" applyAlignment="1">
      <alignment vertical="center"/>
    </xf>
    <xf numFmtId="164" fontId="2" fillId="0" borderId="7" xfId="0" applyNumberFormat="1" applyFont="1" applyBorder="1" applyAlignment="1">
      <alignment horizontal="left" vertical="center" wrapText="1"/>
    </xf>
    <xf numFmtId="0" fontId="2" fillId="0" borderId="2" xfId="108" applyNumberFormat="1" applyFont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165" fontId="1" fillId="4" borderId="2" xfId="108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164" fontId="2" fillId="0" borderId="7" xfId="0" applyNumberFormat="1" applyFont="1" applyBorder="1" applyAlignment="1">
      <alignment vertical="center" wrapText="1"/>
    </xf>
    <xf numFmtId="164" fontId="2" fillId="0" borderId="8" xfId="0" applyNumberFormat="1" applyFont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167" fontId="0" fillId="0" borderId="0" xfId="109" applyNumberFormat="1" applyFont="1"/>
    <xf numFmtId="0" fontId="12" fillId="3" borderId="2" xfId="0" applyFont="1" applyFill="1" applyBorder="1" applyAlignment="1">
      <alignment horizontal="justify" vertical="center" wrapText="1"/>
    </xf>
    <xf numFmtId="1" fontId="12" fillId="0" borderId="2" xfId="0" applyNumberFormat="1" applyFont="1" applyFill="1" applyBorder="1" applyAlignment="1">
      <alignment horizontal="center" vertical="center" wrapText="1"/>
    </xf>
    <xf numFmtId="1" fontId="12" fillId="0" borderId="8" xfId="0" applyNumberFormat="1" applyFont="1" applyFill="1" applyBorder="1" applyAlignment="1">
      <alignment horizontal="center" vertical="center" wrapText="1"/>
    </xf>
    <xf numFmtId="1" fontId="12" fillId="0" borderId="7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3" fontId="3" fillId="4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center" vertical="center" wrapText="1"/>
    </xf>
    <xf numFmtId="167" fontId="1" fillId="4" borderId="2" xfId="109" applyNumberFormat="1" applyFont="1" applyFill="1" applyBorder="1" applyAlignment="1">
      <alignment horizontal="center" vertical="center" wrapText="1"/>
    </xf>
    <xf numFmtId="167" fontId="1" fillId="4" borderId="1" xfId="109" applyNumberFormat="1" applyFont="1" applyFill="1" applyBorder="1" applyAlignment="1">
      <alignment horizontal="center" vertical="center" wrapText="1"/>
    </xf>
    <xf numFmtId="1" fontId="12" fillId="0" borderId="2" xfId="0" applyNumberFormat="1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justify" vertical="center" wrapText="1"/>
    </xf>
    <xf numFmtId="0" fontId="13" fillId="4" borderId="1" xfId="0" applyFont="1" applyFill="1" applyBorder="1" applyAlignment="1">
      <alignment horizontal="justify" vertical="center" wrapText="1"/>
    </xf>
    <xf numFmtId="0" fontId="13" fillId="4" borderId="7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7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165" fontId="1" fillId="4" borderId="1" xfId="108" applyNumberFormat="1" applyFont="1" applyFill="1" applyBorder="1" applyAlignment="1">
      <alignment horizontal="center" vertical="center" wrapText="1"/>
    </xf>
    <xf numFmtId="165" fontId="1" fillId="4" borderId="7" xfId="108" applyNumberFormat="1" applyFont="1" applyFill="1" applyBorder="1" applyAlignment="1">
      <alignment horizontal="center" vertical="center" wrapText="1"/>
    </xf>
    <xf numFmtId="167" fontId="1" fillId="4" borderId="1" xfId="109" applyNumberFormat="1" applyFont="1" applyFill="1" applyBorder="1" applyAlignment="1">
      <alignment horizontal="center" vertical="center" wrapText="1"/>
    </xf>
    <xf numFmtId="167" fontId="1" fillId="4" borderId="7" xfId="109" applyNumberFormat="1" applyFont="1" applyFill="1" applyBorder="1" applyAlignment="1">
      <alignment horizontal="center" vertical="center" wrapText="1"/>
    </xf>
    <xf numFmtId="9" fontId="1" fillId="0" borderId="1" xfId="107" applyFont="1" applyFill="1" applyBorder="1" applyAlignment="1">
      <alignment horizontal="center" vertical="center" wrapText="1"/>
    </xf>
    <xf numFmtId="9" fontId="1" fillId="0" borderId="7" xfId="107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5" fontId="1" fillId="0" borderId="1" xfId="108" applyNumberFormat="1" applyFont="1" applyFill="1" applyBorder="1" applyAlignment="1">
      <alignment horizontal="center" vertical="center" wrapText="1"/>
    </xf>
    <xf numFmtId="5" fontId="1" fillId="0" borderId="7" xfId="108" applyNumberFormat="1" applyFont="1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9" fontId="2" fillId="0" borderId="7" xfId="0" applyNumberFormat="1" applyFont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 wrapText="1"/>
    </xf>
    <xf numFmtId="3" fontId="3" fillId="4" borderId="7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166" fontId="3" fillId="4" borderId="1" xfId="0" applyNumberFormat="1" applyFont="1" applyFill="1" applyBorder="1" applyAlignment="1">
      <alignment horizontal="center" vertical="center" wrapText="1"/>
    </xf>
    <xf numFmtId="166" fontId="3" fillId="4" borderId="7" xfId="0" applyNumberFormat="1" applyFont="1" applyFill="1" applyBorder="1" applyAlignment="1">
      <alignment horizontal="center" vertical="center" wrapText="1"/>
    </xf>
    <xf numFmtId="1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justify" vertical="center" wrapText="1"/>
    </xf>
    <xf numFmtId="0" fontId="2" fillId="3" borderId="2" xfId="0" applyFont="1" applyFill="1" applyBorder="1" applyAlignment="1">
      <alignment horizontal="justify" vertical="center" wrapText="1"/>
    </xf>
    <xf numFmtId="164" fontId="2" fillId="0" borderId="2" xfId="0" applyNumberFormat="1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justify" vertical="center" wrapText="1"/>
    </xf>
    <xf numFmtId="164" fontId="2" fillId="0" borderId="8" xfId="0" applyNumberFormat="1" applyFont="1" applyBorder="1" applyAlignment="1">
      <alignment horizontal="justify" vertical="center" wrapText="1"/>
    </xf>
    <xf numFmtId="164" fontId="2" fillId="0" borderId="7" xfId="0" applyNumberFormat="1" applyFont="1" applyBorder="1" applyAlignment="1">
      <alignment horizontal="justify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3" fillId="4" borderId="7" xfId="0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justify" vertical="center" wrapText="1"/>
    </xf>
    <xf numFmtId="0" fontId="2" fillId="3" borderId="2" xfId="0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1" fontId="12" fillId="0" borderId="8" xfId="0" applyNumberFormat="1" applyFont="1" applyFill="1" applyBorder="1" applyAlignment="1">
      <alignment horizontal="center" vertical="center" wrapText="1"/>
    </xf>
    <xf numFmtId="1" fontId="12" fillId="0" borderId="7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justify" vertical="center" wrapText="1"/>
    </xf>
    <xf numFmtId="0" fontId="12" fillId="3" borderId="8" xfId="0" applyFont="1" applyFill="1" applyBorder="1" applyAlignment="1">
      <alignment horizontal="justify" vertical="center" wrapText="1"/>
    </xf>
    <xf numFmtId="0" fontId="12" fillId="3" borderId="7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9" fontId="3" fillId="4" borderId="1" xfId="107" applyFont="1" applyFill="1" applyBorder="1" applyAlignment="1">
      <alignment horizontal="center" vertical="center" wrapText="1"/>
    </xf>
    <xf numFmtId="9" fontId="3" fillId="4" borderId="7" xfId="107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9" fontId="3" fillId="0" borderId="7" xfId="0" applyNumberFormat="1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12" fillId="4" borderId="7" xfId="0" applyFont="1" applyFill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justify" vertical="center" wrapText="1"/>
    </xf>
    <xf numFmtId="164" fontId="8" fillId="4" borderId="2" xfId="0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7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3" fontId="3" fillId="4" borderId="2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2" fillId="0" borderId="7" xfId="0" applyFont="1" applyFill="1" applyBorder="1" applyAlignment="1">
      <alignment horizontal="justify" vertical="center" wrapText="1"/>
    </xf>
    <xf numFmtId="0" fontId="12" fillId="0" borderId="8" xfId="0" applyFont="1" applyFill="1" applyBorder="1" applyAlignment="1">
      <alignment horizontal="justify" vertical="center" wrapText="1"/>
    </xf>
  </cellXfs>
  <cellStyles count="110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09" builtinId="3"/>
    <cellStyle name="Moneda" xfId="108" builtinId="4"/>
    <cellStyle name="Normal" xfId="0" builtinId="0"/>
    <cellStyle name="Porcentaje" xfId="107" builtinId="5"/>
  </cellStyles>
  <dxfs count="6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5"/>
      <color rgb="FFFF714F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821531</xdr:colOff>
      <xdr:row>0</xdr:row>
      <xdr:rowOff>23811</xdr:rowOff>
    </xdr:from>
    <xdr:to>
      <xdr:col>6</xdr:col>
      <xdr:colOff>850194</xdr:colOff>
      <xdr:row>2</xdr:row>
      <xdr:rowOff>166687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72625" y="23811"/>
          <a:ext cx="1809502" cy="535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13"/>
  <sheetViews>
    <sheetView showGridLines="0" tabSelected="1" topLeftCell="L1" zoomScale="50" zoomScaleNormal="50" zoomScaleSheetLayoutView="50" workbookViewId="0">
      <pane ySplit="5" topLeftCell="A77" activePane="bottomLeft" state="frozen"/>
      <selection activeCell="D1" sqref="D1"/>
      <selection pane="bottomLeft" activeCell="C84" sqref="C84"/>
    </sheetView>
  </sheetViews>
  <sheetFormatPr baseColWidth="10" defaultColWidth="11" defaultRowHeight="15" x14ac:dyDescent="0.25"/>
  <cols>
    <col min="1" max="1" width="23.59765625" style="12" customWidth="1"/>
    <col min="2" max="3" width="23" style="1" customWidth="1"/>
    <col min="4" max="4" width="53.09765625" style="1" customWidth="1"/>
    <col min="5" max="5" width="53.09765625" style="1" hidden="1" customWidth="1"/>
    <col min="6" max="6" width="23.5" style="95" customWidth="1"/>
    <col min="7" max="7" width="40.59765625" style="1" customWidth="1"/>
    <col min="8" max="8" width="39.8984375" style="1" customWidth="1"/>
    <col min="9" max="9" width="14.8984375" style="1" customWidth="1"/>
    <col min="10" max="10" width="17.8984375" style="1" customWidth="1"/>
    <col min="11" max="11" width="18" style="1" customWidth="1"/>
    <col min="12" max="13" width="17.5" style="1" customWidth="1"/>
    <col min="14" max="14" width="34.5" style="1" customWidth="1"/>
    <col min="15" max="15" width="28.09765625" style="1" bestFit="1" customWidth="1"/>
    <col min="16" max="16" width="22" style="1" customWidth="1"/>
    <col min="17" max="17" width="12" style="1" customWidth="1"/>
    <col min="18" max="18" width="22" style="1" customWidth="1"/>
    <col min="19" max="19" width="26.09765625" style="1" customWidth="1"/>
    <col min="20" max="23" width="24.59765625" style="1" customWidth="1"/>
    <col min="24" max="24" width="26.69921875" style="1" customWidth="1"/>
    <col min="25" max="25" width="22.5" style="1" customWidth="1"/>
    <col min="26" max="26" width="22.69921875" style="1" customWidth="1"/>
    <col min="27" max="27" width="19.09765625" style="1" customWidth="1"/>
    <col min="28" max="28" width="18.19921875" style="1" customWidth="1"/>
    <col min="29" max="16384" width="11" style="1"/>
  </cols>
  <sheetData>
    <row r="1" spans="1:28" ht="15.6" x14ac:dyDescent="0.25">
      <c r="A1" s="4" t="s">
        <v>18</v>
      </c>
      <c r="C1"/>
      <c r="F1" s="199" t="s">
        <v>32</v>
      </c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Y1" s="202" t="s">
        <v>28</v>
      </c>
      <c r="Z1" s="202"/>
    </row>
    <row r="2" spans="1:28" ht="15" customHeight="1" x14ac:dyDescent="0.25">
      <c r="A2" s="22">
        <v>44347</v>
      </c>
      <c r="B2" s="21"/>
      <c r="C2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Y2" s="202"/>
      <c r="Z2" s="202"/>
    </row>
    <row r="3" spans="1:28" ht="15.6" x14ac:dyDescent="0.25"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Y3" s="57"/>
      <c r="Z3" s="51"/>
    </row>
    <row r="4" spans="1:28" s="37" customFormat="1" ht="23.25" customHeight="1" x14ac:dyDescent="0.25">
      <c r="A4" s="194" t="s">
        <v>10</v>
      </c>
      <c r="B4" s="195"/>
      <c r="C4" s="195"/>
      <c r="D4" s="195"/>
      <c r="E4" s="195"/>
      <c r="F4" s="194" t="s">
        <v>11</v>
      </c>
      <c r="G4" s="195"/>
      <c r="H4" s="195"/>
      <c r="I4" s="195"/>
      <c r="J4" s="195"/>
      <c r="K4" s="196" t="s">
        <v>29</v>
      </c>
      <c r="L4" s="196"/>
      <c r="M4" s="196"/>
      <c r="N4" s="196" t="s">
        <v>26</v>
      </c>
      <c r="O4" s="196"/>
      <c r="P4" s="196"/>
      <c r="Q4" s="196"/>
      <c r="R4" s="196"/>
      <c r="S4" s="196"/>
      <c r="T4" s="194" t="s">
        <v>20</v>
      </c>
      <c r="U4" s="195"/>
      <c r="V4" s="195"/>
      <c r="W4" s="195"/>
      <c r="X4" s="210"/>
      <c r="Y4" s="205" t="s">
        <v>21</v>
      </c>
      <c r="Z4" s="205" t="s">
        <v>194</v>
      </c>
      <c r="AA4" s="209" t="s">
        <v>27</v>
      </c>
      <c r="AB4" s="209"/>
    </row>
    <row r="5" spans="1:28" ht="42" customHeight="1" x14ac:dyDescent="0.25">
      <c r="A5" s="5" t="s">
        <v>1</v>
      </c>
      <c r="B5" s="5" t="s">
        <v>6</v>
      </c>
      <c r="C5" s="5" t="s">
        <v>2</v>
      </c>
      <c r="D5" s="5" t="s">
        <v>7</v>
      </c>
      <c r="E5" s="36" t="s">
        <v>22</v>
      </c>
      <c r="F5" s="129" t="s">
        <v>16</v>
      </c>
      <c r="G5" s="6" t="s">
        <v>3</v>
      </c>
      <c r="H5" s="6" t="s">
        <v>17</v>
      </c>
      <c r="I5" s="20" t="s">
        <v>24</v>
      </c>
      <c r="J5" s="20" t="s">
        <v>25</v>
      </c>
      <c r="K5" s="6" t="s">
        <v>4</v>
      </c>
      <c r="L5" s="6" t="s">
        <v>5</v>
      </c>
      <c r="M5" s="20" t="s">
        <v>0</v>
      </c>
      <c r="N5" s="5" t="s">
        <v>9</v>
      </c>
      <c r="O5" s="6" t="s">
        <v>12</v>
      </c>
      <c r="P5" s="6" t="s">
        <v>8</v>
      </c>
      <c r="Q5" s="52" t="s">
        <v>200</v>
      </c>
      <c r="R5" s="6" t="s">
        <v>13</v>
      </c>
      <c r="S5" s="6" t="s">
        <v>23</v>
      </c>
      <c r="T5" s="52" t="s">
        <v>12</v>
      </c>
      <c r="U5" s="52" t="s">
        <v>8</v>
      </c>
      <c r="V5" s="52" t="s">
        <v>200</v>
      </c>
      <c r="W5" s="52" t="s">
        <v>13</v>
      </c>
      <c r="X5" s="52" t="s">
        <v>199</v>
      </c>
      <c r="Y5" s="206"/>
      <c r="Z5" s="206"/>
      <c r="AA5" s="6" t="s">
        <v>14</v>
      </c>
      <c r="AB5" s="6" t="s">
        <v>15</v>
      </c>
    </row>
    <row r="6" spans="1:28" s="10" customFormat="1" ht="97.8" customHeight="1" x14ac:dyDescent="0.25">
      <c r="A6" s="41" t="s">
        <v>30</v>
      </c>
      <c r="B6" s="41" t="s">
        <v>33</v>
      </c>
      <c r="C6" s="90" t="s">
        <v>34</v>
      </c>
      <c r="D6" s="53" t="s">
        <v>35</v>
      </c>
      <c r="E6" s="34" t="s">
        <v>36</v>
      </c>
      <c r="F6" s="169">
        <v>20210680010003</v>
      </c>
      <c r="G6" s="214" t="s">
        <v>176</v>
      </c>
      <c r="H6" s="7"/>
      <c r="I6" s="38">
        <v>44197</v>
      </c>
      <c r="J6" s="38">
        <v>44561</v>
      </c>
      <c r="K6" s="42">
        <v>1</v>
      </c>
      <c r="L6" s="61">
        <v>0.5</v>
      </c>
      <c r="M6" s="3">
        <f>IFERROR(IF(L6/K6&gt;100%,100%,L6/K6),"-")</f>
        <v>0.5</v>
      </c>
      <c r="N6" s="7" t="s">
        <v>224</v>
      </c>
      <c r="O6" s="8">
        <f>24000000</f>
        <v>24000000</v>
      </c>
      <c r="P6" s="96"/>
      <c r="Q6" s="96"/>
      <c r="R6" s="96"/>
      <c r="S6" s="111">
        <f t="shared" ref="S6:S22" si="0">SUM(O6:R6)</f>
        <v>24000000</v>
      </c>
      <c r="T6" s="8">
        <f>12000000+12000000</f>
        <v>24000000</v>
      </c>
      <c r="U6" s="8"/>
      <c r="V6" s="8"/>
      <c r="W6" s="8"/>
      <c r="X6" s="130">
        <f t="shared" ref="X6:X22" si="1">SUM(T6:W6)</f>
        <v>24000000</v>
      </c>
      <c r="Y6" s="24">
        <f t="shared" ref="Y6:Y23" si="2">IFERROR(X6/S6,"-")</f>
        <v>1</v>
      </c>
      <c r="Z6" s="23"/>
      <c r="AA6" s="9" t="s">
        <v>171</v>
      </c>
      <c r="AB6" s="9" t="s">
        <v>185</v>
      </c>
    </row>
    <row r="7" spans="1:28" s="10" customFormat="1" ht="115.8" customHeight="1" x14ac:dyDescent="0.25">
      <c r="A7" s="138" t="s">
        <v>30</v>
      </c>
      <c r="B7" s="138" t="s">
        <v>33</v>
      </c>
      <c r="C7" s="136" t="s">
        <v>34</v>
      </c>
      <c r="D7" s="182" t="s">
        <v>37</v>
      </c>
      <c r="E7" s="34" t="s">
        <v>38</v>
      </c>
      <c r="F7" s="171"/>
      <c r="G7" s="215"/>
      <c r="H7" s="7"/>
      <c r="I7" s="38">
        <v>44197</v>
      </c>
      <c r="J7" s="38">
        <v>44561</v>
      </c>
      <c r="K7" s="154">
        <v>1</v>
      </c>
      <c r="L7" s="165">
        <v>0.6</v>
      </c>
      <c r="M7" s="150">
        <f t="shared" ref="M7:M68" si="3">IFERROR(IF(L7/K7&gt;100%,100%,L7/K7),"-")</f>
        <v>0.6</v>
      </c>
      <c r="N7" s="7" t="s">
        <v>238</v>
      </c>
      <c r="O7" s="8">
        <v>132000000</v>
      </c>
      <c r="P7" s="96"/>
      <c r="Q7" s="96"/>
      <c r="R7" s="96"/>
      <c r="S7" s="140">
        <f>SUM(O7:R8)</f>
        <v>145200000</v>
      </c>
      <c r="T7" s="8">
        <f>16000000+16000000+14000000+20998948+10328256</f>
        <v>77327204</v>
      </c>
      <c r="U7" s="8"/>
      <c r="V7" s="8"/>
      <c r="W7" s="8"/>
      <c r="X7" s="142">
        <f>SUM(T7:W8)</f>
        <v>77327204</v>
      </c>
      <c r="Y7" s="144">
        <f>IFERROR(X7/S7,"-")</f>
        <v>0.53255650137741051</v>
      </c>
      <c r="Z7" s="148"/>
      <c r="AA7" s="146" t="s">
        <v>171</v>
      </c>
      <c r="AB7" s="146" t="s">
        <v>185</v>
      </c>
    </row>
    <row r="8" spans="1:28" s="10" customFormat="1" ht="39" customHeight="1" x14ac:dyDescent="0.25">
      <c r="A8" s="139"/>
      <c r="B8" s="139"/>
      <c r="C8" s="137"/>
      <c r="D8" s="183"/>
      <c r="E8" s="91"/>
      <c r="F8" s="122"/>
      <c r="G8" s="88" t="s">
        <v>246</v>
      </c>
      <c r="H8" s="7"/>
      <c r="I8" s="38"/>
      <c r="J8" s="38"/>
      <c r="K8" s="155"/>
      <c r="L8" s="166"/>
      <c r="M8" s="151"/>
      <c r="N8" s="7" t="s">
        <v>255</v>
      </c>
      <c r="O8" s="8">
        <v>13200000</v>
      </c>
      <c r="P8" s="96"/>
      <c r="Q8" s="96"/>
      <c r="R8" s="96"/>
      <c r="S8" s="141"/>
      <c r="T8" s="8"/>
      <c r="U8" s="8"/>
      <c r="V8" s="8"/>
      <c r="W8" s="8"/>
      <c r="X8" s="143"/>
      <c r="Y8" s="145"/>
      <c r="Z8" s="149"/>
      <c r="AA8" s="147"/>
      <c r="AB8" s="147"/>
    </row>
    <row r="9" spans="1:28" s="10" customFormat="1" ht="100.8" customHeight="1" x14ac:dyDescent="0.25">
      <c r="A9" s="41" t="s">
        <v>30</v>
      </c>
      <c r="B9" s="41" t="s">
        <v>33</v>
      </c>
      <c r="C9" s="90" t="s">
        <v>43</v>
      </c>
      <c r="D9" s="53" t="s">
        <v>44</v>
      </c>
      <c r="E9" s="34" t="s">
        <v>45</v>
      </c>
      <c r="F9" s="169">
        <v>20210680010003</v>
      </c>
      <c r="G9" s="214" t="s">
        <v>176</v>
      </c>
      <c r="H9" s="7"/>
      <c r="I9" s="38">
        <v>44197</v>
      </c>
      <c r="J9" s="38">
        <v>44561</v>
      </c>
      <c r="K9" s="42">
        <v>1</v>
      </c>
      <c r="L9" s="61">
        <v>0.6</v>
      </c>
      <c r="M9" s="3">
        <f t="shared" si="3"/>
        <v>0.6</v>
      </c>
      <c r="N9" s="7" t="s">
        <v>239</v>
      </c>
      <c r="O9" s="8">
        <f>40000000+50000000+28000000</f>
        <v>118000000</v>
      </c>
      <c r="P9" s="96"/>
      <c r="Q9" s="96"/>
      <c r="R9" s="96"/>
      <c r="S9" s="111">
        <f t="shared" si="0"/>
        <v>118000000</v>
      </c>
      <c r="T9" s="8">
        <f>12000000+16000000+12000000+12000000+8000000+8000000+8000000</f>
        <v>76000000</v>
      </c>
      <c r="U9" s="8"/>
      <c r="V9" s="8"/>
      <c r="W9" s="8"/>
      <c r="X9" s="130">
        <f t="shared" si="1"/>
        <v>76000000</v>
      </c>
      <c r="Y9" s="24">
        <f t="shared" si="2"/>
        <v>0.64406779661016944</v>
      </c>
      <c r="Z9" s="23"/>
      <c r="AA9" s="9" t="s">
        <v>171</v>
      </c>
      <c r="AB9" s="9" t="s">
        <v>185</v>
      </c>
    </row>
    <row r="10" spans="1:28" s="10" customFormat="1" ht="126" customHeight="1" x14ac:dyDescent="0.25">
      <c r="A10" s="41" t="s">
        <v>30</v>
      </c>
      <c r="B10" s="41" t="s">
        <v>33</v>
      </c>
      <c r="C10" s="90" t="s">
        <v>43</v>
      </c>
      <c r="D10" s="53" t="s">
        <v>46</v>
      </c>
      <c r="E10" s="34" t="s">
        <v>47</v>
      </c>
      <c r="F10" s="170"/>
      <c r="G10" s="216"/>
      <c r="H10" s="7"/>
      <c r="I10" s="38">
        <v>44197</v>
      </c>
      <c r="J10" s="38">
        <v>44561</v>
      </c>
      <c r="K10" s="42">
        <v>1</v>
      </c>
      <c r="L10" s="61">
        <v>0.6</v>
      </c>
      <c r="M10" s="3">
        <f t="shared" si="3"/>
        <v>0.6</v>
      </c>
      <c r="N10" s="7" t="s">
        <v>219</v>
      </c>
      <c r="O10" s="8">
        <v>90000000</v>
      </c>
      <c r="P10" s="96"/>
      <c r="Q10" s="96"/>
      <c r="R10" s="96"/>
      <c r="S10" s="111">
        <f t="shared" si="0"/>
        <v>90000000</v>
      </c>
      <c r="T10" s="8">
        <f>24000000+15200000+16000000+6000000+16000000+12000000</f>
        <v>89200000</v>
      </c>
      <c r="U10" s="8"/>
      <c r="V10" s="8"/>
      <c r="W10" s="8"/>
      <c r="X10" s="130">
        <f t="shared" si="1"/>
        <v>89200000</v>
      </c>
      <c r="Y10" s="24">
        <f t="shared" si="2"/>
        <v>0.99111111111111116</v>
      </c>
      <c r="Z10" s="23"/>
      <c r="AA10" s="9" t="s">
        <v>171</v>
      </c>
      <c r="AB10" s="9" t="s">
        <v>185</v>
      </c>
    </row>
    <row r="11" spans="1:28" s="10" customFormat="1" ht="101.4" customHeight="1" x14ac:dyDescent="0.25">
      <c r="A11" s="41" t="s">
        <v>30</v>
      </c>
      <c r="B11" s="41" t="s">
        <v>33</v>
      </c>
      <c r="C11" s="90" t="s">
        <v>43</v>
      </c>
      <c r="D11" s="53" t="s">
        <v>48</v>
      </c>
      <c r="E11" s="34" t="s">
        <v>49</v>
      </c>
      <c r="F11" s="170"/>
      <c r="G11" s="216"/>
      <c r="H11" s="7"/>
      <c r="I11" s="38">
        <v>44197</v>
      </c>
      <c r="J11" s="38">
        <v>44561</v>
      </c>
      <c r="K11" s="42">
        <v>1</v>
      </c>
      <c r="L11" s="61">
        <v>0</v>
      </c>
      <c r="M11" s="3">
        <f t="shared" si="3"/>
        <v>0</v>
      </c>
      <c r="N11" s="7" t="s">
        <v>220</v>
      </c>
      <c r="O11" s="8">
        <v>0</v>
      </c>
      <c r="P11" s="8">
        <v>70000000</v>
      </c>
      <c r="Q11" s="96"/>
      <c r="R11" s="96"/>
      <c r="S11" s="111">
        <f t="shared" si="0"/>
        <v>70000000</v>
      </c>
      <c r="T11" s="8"/>
      <c r="U11" s="8"/>
      <c r="V11" s="8"/>
      <c r="W11" s="8"/>
      <c r="X11" s="130">
        <f t="shared" si="1"/>
        <v>0</v>
      </c>
      <c r="Y11" s="24">
        <f t="shared" si="2"/>
        <v>0</v>
      </c>
      <c r="Z11" s="23"/>
      <c r="AA11" s="9" t="s">
        <v>171</v>
      </c>
      <c r="AB11" s="9" t="s">
        <v>185</v>
      </c>
    </row>
    <row r="12" spans="1:28" s="10" customFormat="1" ht="130.94999999999999" customHeight="1" x14ac:dyDescent="0.25">
      <c r="A12" s="41" t="s">
        <v>30</v>
      </c>
      <c r="B12" s="41" t="s">
        <v>33</v>
      </c>
      <c r="C12" s="90" t="s">
        <v>43</v>
      </c>
      <c r="D12" s="53" t="s">
        <v>50</v>
      </c>
      <c r="E12" s="34" t="s">
        <v>51</v>
      </c>
      <c r="F12" s="170"/>
      <c r="G12" s="216"/>
      <c r="H12" s="7"/>
      <c r="I12" s="38">
        <v>44197</v>
      </c>
      <c r="J12" s="38">
        <v>44561</v>
      </c>
      <c r="K12" s="42">
        <v>1</v>
      </c>
      <c r="L12" s="61">
        <v>0.6</v>
      </c>
      <c r="M12" s="3">
        <f t="shared" si="3"/>
        <v>0.6</v>
      </c>
      <c r="N12" s="7" t="s">
        <v>240</v>
      </c>
      <c r="O12" s="8">
        <f>12500000+10000000</f>
        <v>22500000</v>
      </c>
      <c r="P12" s="8">
        <v>50000000</v>
      </c>
      <c r="Q12" s="96"/>
      <c r="R12" s="96"/>
      <c r="S12" s="111">
        <f t="shared" si="0"/>
        <v>72500000</v>
      </c>
      <c r="T12" s="8">
        <f>12500000+10000000</f>
        <v>22500000</v>
      </c>
      <c r="U12" s="8">
        <v>1886133</v>
      </c>
      <c r="V12" s="8"/>
      <c r="W12" s="8"/>
      <c r="X12" s="130">
        <f t="shared" si="1"/>
        <v>24386133</v>
      </c>
      <c r="Y12" s="24">
        <f t="shared" si="2"/>
        <v>0.33636045517241381</v>
      </c>
      <c r="Z12" s="23"/>
      <c r="AA12" s="9" t="s">
        <v>171</v>
      </c>
      <c r="AB12" s="9" t="s">
        <v>185</v>
      </c>
    </row>
    <row r="13" spans="1:28" s="10" customFormat="1" ht="126.6" customHeight="1" x14ac:dyDescent="0.25">
      <c r="A13" s="41" t="s">
        <v>30</v>
      </c>
      <c r="B13" s="41" t="s">
        <v>33</v>
      </c>
      <c r="C13" s="90" t="s">
        <v>43</v>
      </c>
      <c r="D13" s="53" t="s">
        <v>52</v>
      </c>
      <c r="E13" s="34" t="s">
        <v>53</v>
      </c>
      <c r="F13" s="170"/>
      <c r="G13" s="216"/>
      <c r="H13" s="7"/>
      <c r="I13" s="38">
        <v>44197</v>
      </c>
      <c r="J13" s="38">
        <v>44561</v>
      </c>
      <c r="K13" s="42">
        <v>1</v>
      </c>
      <c r="L13" s="61">
        <v>0.4</v>
      </c>
      <c r="M13" s="3">
        <f t="shared" si="3"/>
        <v>0.4</v>
      </c>
      <c r="N13" s="7" t="s">
        <v>241</v>
      </c>
      <c r="O13" s="8">
        <f>70000000+10000000</f>
        <v>80000000</v>
      </c>
      <c r="P13" s="96"/>
      <c r="Q13" s="96"/>
      <c r="R13" s="96"/>
      <c r="S13" s="111">
        <f t="shared" si="0"/>
        <v>80000000</v>
      </c>
      <c r="T13" s="8">
        <f>4000000+10000000</f>
        <v>14000000</v>
      </c>
      <c r="U13" s="8"/>
      <c r="V13" s="8"/>
      <c r="W13" s="8"/>
      <c r="X13" s="130">
        <f t="shared" si="1"/>
        <v>14000000</v>
      </c>
      <c r="Y13" s="24">
        <f t="shared" si="2"/>
        <v>0.17499999999999999</v>
      </c>
      <c r="Z13" s="23"/>
      <c r="AA13" s="9" t="s">
        <v>171</v>
      </c>
      <c r="AB13" s="9" t="s">
        <v>185</v>
      </c>
    </row>
    <row r="14" spans="1:28" s="10" customFormat="1" ht="117" customHeight="1" x14ac:dyDescent="0.25">
      <c r="A14" s="41" t="s">
        <v>30</v>
      </c>
      <c r="B14" s="41" t="s">
        <v>33</v>
      </c>
      <c r="C14" s="90" t="s">
        <v>43</v>
      </c>
      <c r="D14" s="53" t="s">
        <v>54</v>
      </c>
      <c r="E14" s="34" t="s">
        <v>55</v>
      </c>
      <c r="F14" s="170"/>
      <c r="G14" s="216"/>
      <c r="H14" s="7"/>
      <c r="I14" s="38">
        <v>44197</v>
      </c>
      <c r="J14" s="38">
        <v>44561</v>
      </c>
      <c r="K14" s="42">
        <v>1</v>
      </c>
      <c r="L14" s="79">
        <v>0.4</v>
      </c>
      <c r="M14" s="3">
        <f t="shared" si="3"/>
        <v>0.4</v>
      </c>
      <c r="N14" s="7" t="s">
        <v>219</v>
      </c>
      <c r="O14" s="8">
        <v>20000000</v>
      </c>
      <c r="P14" s="96"/>
      <c r="Q14" s="96"/>
      <c r="R14" s="96"/>
      <c r="S14" s="111">
        <f t="shared" si="0"/>
        <v>20000000</v>
      </c>
      <c r="T14" s="8"/>
      <c r="U14" s="8"/>
      <c r="V14" s="8"/>
      <c r="W14" s="8"/>
      <c r="X14" s="130">
        <f t="shared" si="1"/>
        <v>0</v>
      </c>
      <c r="Y14" s="24">
        <f t="shared" si="2"/>
        <v>0</v>
      </c>
      <c r="Z14" s="23"/>
      <c r="AA14" s="9" t="s">
        <v>171</v>
      </c>
      <c r="AB14" s="9" t="s">
        <v>185</v>
      </c>
    </row>
    <row r="15" spans="1:28" s="10" customFormat="1" ht="81.599999999999994" customHeight="1" x14ac:dyDescent="0.25">
      <c r="A15" s="41" t="s">
        <v>30</v>
      </c>
      <c r="B15" s="41" t="s">
        <v>33</v>
      </c>
      <c r="C15" s="90" t="s">
        <v>43</v>
      </c>
      <c r="D15" s="53" t="s">
        <v>56</v>
      </c>
      <c r="E15" s="34" t="s">
        <v>57</v>
      </c>
      <c r="F15" s="170"/>
      <c r="G15" s="216"/>
      <c r="H15" s="7"/>
      <c r="I15" s="38">
        <v>44197</v>
      </c>
      <c r="J15" s="38">
        <v>44561</v>
      </c>
      <c r="K15" s="42">
        <v>1</v>
      </c>
      <c r="L15" s="58">
        <v>4</v>
      </c>
      <c r="M15" s="3">
        <f t="shared" si="3"/>
        <v>1</v>
      </c>
      <c r="N15" s="7" t="s">
        <v>238</v>
      </c>
      <c r="O15" s="8">
        <f>40000000+20000000</f>
        <v>60000000</v>
      </c>
      <c r="P15" s="96"/>
      <c r="Q15" s="96"/>
      <c r="R15" s="96"/>
      <c r="S15" s="111">
        <f t="shared" si="0"/>
        <v>60000000</v>
      </c>
      <c r="T15" s="8">
        <f>9600000/2</f>
        <v>4800000</v>
      </c>
      <c r="U15" s="8"/>
      <c r="V15" s="8"/>
      <c r="W15" s="8"/>
      <c r="X15" s="130">
        <f t="shared" si="1"/>
        <v>4800000</v>
      </c>
      <c r="Y15" s="24">
        <f t="shared" si="2"/>
        <v>0.08</v>
      </c>
      <c r="Z15" s="23"/>
      <c r="AA15" s="9" t="s">
        <v>171</v>
      </c>
      <c r="AB15" s="9" t="s">
        <v>185</v>
      </c>
    </row>
    <row r="16" spans="1:28" s="10" customFormat="1" ht="91.2" customHeight="1" x14ac:dyDescent="0.25">
      <c r="A16" s="41" t="s">
        <v>30</v>
      </c>
      <c r="B16" s="41" t="s">
        <v>33</v>
      </c>
      <c r="C16" s="90" t="s">
        <v>43</v>
      </c>
      <c r="D16" s="53" t="s">
        <v>58</v>
      </c>
      <c r="E16" s="34" t="s">
        <v>59</v>
      </c>
      <c r="F16" s="170"/>
      <c r="G16" s="216"/>
      <c r="H16" s="7"/>
      <c r="I16" s="38">
        <v>44197</v>
      </c>
      <c r="J16" s="38">
        <v>44561</v>
      </c>
      <c r="K16" s="42">
        <v>1</v>
      </c>
      <c r="L16" s="61">
        <v>0.4</v>
      </c>
      <c r="M16" s="3">
        <f t="shared" si="3"/>
        <v>0.4</v>
      </c>
      <c r="N16" s="7" t="s">
        <v>242</v>
      </c>
      <c r="O16" s="8">
        <f>150000000+1901217+10000000</f>
        <v>161901217</v>
      </c>
      <c r="P16" s="96"/>
      <c r="Q16" s="96"/>
      <c r="R16" s="96"/>
      <c r="S16" s="111">
        <f t="shared" si="0"/>
        <v>161901217</v>
      </c>
      <c r="T16" s="8">
        <v>10000000</v>
      </c>
      <c r="U16" s="8"/>
      <c r="V16" s="8"/>
      <c r="W16" s="8"/>
      <c r="X16" s="130">
        <f t="shared" si="1"/>
        <v>10000000</v>
      </c>
      <c r="Y16" s="24">
        <f t="shared" si="2"/>
        <v>6.1766058250198326E-2</v>
      </c>
      <c r="Z16" s="23"/>
      <c r="AA16" s="9" t="s">
        <v>171</v>
      </c>
      <c r="AB16" s="9" t="s">
        <v>185</v>
      </c>
    </row>
    <row r="17" spans="1:28" s="10" customFormat="1" ht="94.8" customHeight="1" x14ac:dyDescent="0.25">
      <c r="A17" s="41" t="s">
        <v>30</v>
      </c>
      <c r="B17" s="41" t="s">
        <v>33</v>
      </c>
      <c r="C17" s="90" t="s">
        <v>60</v>
      </c>
      <c r="D17" s="53" t="s">
        <v>61</v>
      </c>
      <c r="E17" s="34" t="s">
        <v>62</v>
      </c>
      <c r="F17" s="170"/>
      <c r="G17" s="216"/>
      <c r="H17" s="7"/>
      <c r="I17" s="38">
        <v>44197</v>
      </c>
      <c r="J17" s="38">
        <v>44561</v>
      </c>
      <c r="K17" s="42">
        <v>1</v>
      </c>
      <c r="L17" s="61">
        <v>0</v>
      </c>
      <c r="M17" s="3">
        <f t="shared" si="3"/>
        <v>0</v>
      </c>
      <c r="N17" s="7" t="s">
        <v>219</v>
      </c>
      <c r="O17" s="8">
        <v>18000000</v>
      </c>
      <c r="P17" s="96"/>
      <c r="Q17" s="96"/>
      <c r="R17" s="96"/>
      <c r="S17" s="111">
        <f t="shared" si="0"/>
        <v>18000000</v>
      </c>
      <c r="T17" s="8"/>
      <c r="U17" s="8"/>
      <c r="V17" s="8"/>
      <c r="W17" s="8"/>
      <c r="X17" s="130">
        <f t="shared" si="1"/>
        <v>0</v>
      </c>
      <c r="Y17" s="24">
        <f t="shared" si="2"/>
        <v>0</v>
      </c>
      <c r="Z17" s="23"/>
      <c r="AA17" s="9" t="s">
        <v>171</v>
      </c>
      <c r="AB17" s="9" t="s">
        <v>185</v>
      </c>
    </row>
    <row r="18" spans="1:28" s="10" customFormat="1" ht="110.4" customHeight="1" x14ac:dyDescent="0.25">
      <c r="A18" s="41" t="s">
        <v>30</v>
      </c>
      <c r="B18" s="41" t="s">
        <v>33</v>
      </c>
      <c r="C18" s="90" t="s">
        <v>60</v>
      </c>
      <c r="D18" s="53" t="s">
        <v>65</v>
      </c>
      <c r="E18" s="34" t="s">
        <v>66</v>
      </c>
      <c r="F18" s="170"/>
      <c r="G18" s="216"/>
      <c r="H18" s="7"/>
      <c r="I18" s="38">
        <v>44197</v>
      </c>
      <c r="J18" s="38">
        <v>44561</v>
      </c>
      <c r="K18" s="42">
        <v>1</v>
      </c>
      <c r="L18" s="61">
        <v>0.2</v>
      </c>
      <c r="M18" s="3">
        <f t="shared" si="3"/>
        <v>0.2</v>
      </c>
      <c r="N18" s="7" t="s">
        <v>221</v>
      </c>
      <c r="O18" s="8">
        <f>30000000+ 10000000+100000000+140000000-134500000-63802434</f>
        <v>81697566</v>
      </c>
      <c r="P18" s="96"/>
      <c r="Q18" s="96"/>
      <c r="R18" s="96"/>
      <c r="S18" s="111">
        <f t="shared" si="0"/>
        <v>81697566</v>
      </c>
      <c r="T18" s="8">
        <f>20000000+16000000</f>
        <v>36000000</v>
      </c>
      <c r="U18" s="8"/>
      <c r="V18" s="8"/>
      <c r="W18" s="8"/>
      <c r="X18" s="130">
        <f t="shared" si="1"/>
        <v>36000000</v>
      </c>
      <c r="Y18" s="24">
        <f t="shared" si="2"/>
        <v>0.4406496027066461</v>
      </c>
      <c r="Z18" s="23"/>
      <c r="AA18" s="9" t="s">
        <v>171</v>
      </c>
      <c r="AB18" s="9" t="s">
        <v>185</v>
      </c>
    </row>
    <row r="19" spans="1:28" s="10" customFormat="1" ht="83.4" customHeight="1" x14ac:dyDescent="0.25">
      <c r="A19" s="41" t="s">
        <v>30</v>
      </c>
      <c r="B19" s="41" t="s">
        <v>33</v>
      </c>
      <c r="C19" s="90" t="s">
        <v>60</v>
      </c>
      <c r="D19" s="53" t="s">
        <v>67</v>
      </c>
      <c r="E19" s="34" t="s">
        <v>68</v>
      </c>
      <c r="F19" s="170"/>
      <c r="G19" s="216"/>
      <c r="H19" s="7"/>
      <c r="I19" s="38">
        <v>44197</v>
      </c>
      <c r="J19" s="38">
        <v>44561</v>
      </c>
      <c r="K19" s="43">
        <v>1</v>
      </c>
      <c r="L19" s="63">
        <v>1</v>
      </c>
      <c r="M19" s="3">
        <f t="shared" si="3"/>
        <v>1</v>
      </c>
      <c r="N19" s="7" t="s">
        <v>219</v>
      </c>
      <c r="O19" s="8">
        <v>30000000</v>
      </c>
      <c r="P19" s="96"/>
      <c r="Q19" s="96"/>
      <c r="R19" s="96"/>
      <c r="S19" s="111">
        <f t="shared" si="0"/>
        <v>30000000</v>
      </c>
      <c r="T19" s="8">
        <f>11124930+18875070</f>
        <v>30000000</v>
      </c>
      <c r="U19" s="8"/>
      <c r="V19" s="8"/>
      <c r="W19" s="8"/>
      <c r="X19" s="130">
        <f t="shared" si="1"/>
        <v>30000000</v>
      </c>
      <c r="Y19" s="24">
        <f t="shared" si="2"/>
        <v>1</v>
      </c>
      <c r="Z19" s="23"/>
      <c r="AA19" s="9" t="s">
        <v>171</v>
      </c>
      <c r="AB19" s="9" t="s">
        <v>185</v>
      </c>
    </row>
    <row r="20" spans="1:28" s="10" customFormat="1" ht="87.6" customHeight="1" x14ac:dyDescent="0.25">
      <c r="A20" s="41" t="s">
        <v>30</v>
      </c>
      <c r="B20" s="41" t="s">
        <v>33</v>
      </c>
      <c r="C20" s="90" t="s">
        <v>60</v>
      </c>
      <c r="D20" s="53" t="s">
        <v>69</v>
      </c>
      <c r="E20" s="34" t="s">
        <v>70</v>
      </c>
      <c r="F20" s="170"/>
      <c r="G20" s="216"/>
      <c r="H20" s="7"/>
      <c r="I20" s="38">
        <v>44197</v>
      </c>
      <c r="J20" s="38">
        <v>44561</v>
      </c>
      <c r="K20" s="42">
        <v>1</v>
      </c>
      <c r="L20" s="61">
        <v>0.5</v>
      </c>
      <c r="M20" s="3">
        <f t="shared" si="3"/>
        <v>0.5</v>
      </c>
      <c r="N20" s="7" t="s">
        <v>219</v>
      </c>
      <c r="O20" s="8">
        <v>30000000</v>
      </c>
      <c r="P20" s="96"/>
      <c r="Q20" s="96"/>
      <c r="R20" s="96"/>
      <c r="S20" s="111">
        <f t="shared" si="0"/>
        <v>30000000</v>
      </c>
      <c r="T20" s="8">
        <f>6000000+14000000</f>
        <v>20000000</v>
      </c>
      <c r="U20" s="8"/>
      <c r="V20" s="8"/>
      <c r="W20" s="8"/>
      <c r="X20" s="130">
        <f t="shared" si="1"/>
        <v>20000000</v>
      </c>
      <c r="Y20" s="24">
        <f t="shared" si="2"/>
        <v>0.66666666666666663</v>
      </c>
      <c r="Z20" s="23"/>
      <c r="AA20" s="9" t="s">
        <v>171</v>
      </c>
      <c r="AB20" s="9" t="s">
        <v>185</v>
      </c>
    </row>
    <row r="21" spans="1:28" s="10" customFormat="1" ht="87.6" customHeight="1" x14ac:dyDescent="0.25">
      <c r="A21" s="41" t="s">
        <v>30</v>
      </c>
      <c r="B21" s="41" t="s">
        <v>33</v>
      </c>
      <c r="C21" s="90" t="s">
        <v>60</v>
      </c>
      <c r="D21" s="53" t="s">
        <v>71</v>
      </c>
      <c r="E21" s="34" t="s">
        <v>72</v>
      </c>
      <c r="F21" s="170"/>
      <c r="G21" s="216"/>
      <c r="H21" s="7"/>
      <c r="I21" s="38">
        <v>44197</v>
      </c>
      <c r="J21" s="38">
        <v>44561</v>
      </c>
      <c r="K21" s="42">
        <v>2</v>
      </c>
      <c r="L21" s="61">
        <v>0.2</v>
      </c>
      <c r="M21" s="3">
        <f t="shared" si="3"/>
        <v>0.1</v>
      </c>
      <c r="N21" s="7" t="s">
        <v>219</v>
      </c>
      <c r="O21" s="8">
        <v>30000000</v>
      </c>
      <c r="P21" s="96"/>
      <c r="Q21" s="96"/>
      <c r="R21" s="96"/>
      <c r="S21" s="111">
        <f t="shared" si="0"/>
        <v>30000000</v>
      </c>
      <c r="T21" s="8">
        <v>28000000</v>
      </c>
      <c r="U21" s="8"/>
      <c r="V21" s="8"/>
      <c r="W21" s="8"/>
      <c r="X21" s="130">
        <f t="shared" si="1"/>
        <v>28000000</v>
      </c>
      <c r="Y21" s="24">
        <f t="shared" si="2"/>
        <v>0.93333333333333335</v>
      </c>
      <c r="Z21" s="23"/>
      <c r="AA21" s="9" t="s">
        <v>171</v>
      </c>
      <c r="AB21" s="9" t="s">
        <v>185</v>
      </c>
    </row>
    <row r="22" spans="1:28" ht="66" customHeight="1" x14ac:dyDescent="0.25">
      <c r="A22" s="41" t="s">
        <v>31</v>
      </c>
      <c r="B22" s="41" t="s">
        <v>156</v>
      </c>
      <c r="C22" s="90" t="s">
        <v>157</v>
      </c>
      <c r="D22" s="54" t="s">
        <v>158</v>
      </c>
      <c r="E22" s="2" t="s">
        <v>159</v>
      </c>
      <c r="F22" s="170"/>
      <c r="G22" s="216"/>
      <c r="H22" s="7"/>
      <c r="I22" s="38">
        <v>44197</v>
      </c>
      <c r="J22" s="38">
        <v>44561</v>
      </c>
      <c r="K22" s="42">
        <v>1</v>
      </c>
      <c r="L22" s="60">
        <v>0.3</v>
      </c>
      <c r="M22" s="3">
        <f t="shared" si="3"/>
        <v>0.3</v>
      </c>
      <c r="N22" s="7" t="s">
        <v>241</v>
      </c>
      <c r="O22" s="8">
        <f>10000000+20000000</f>
        <v>30000000</v>
      </c>
      <c r="P22" s="98"/>
      <c r="Q22" s="98"/>
      <c r="R22" s="98"/>
      <c r="S22" s="111">
        <f t="shared" si="0"/>
        <v>30000000</v>
      </c>
      <c r="T22" s="8">
        <f>20000000+10000000</f>
        <v>30000000</v>
      </c>
      <c r="U22" s="8"/>
      <c r="V22" s="8"/>
      <c r="W22" s="8"/>
      <c r="X22" s="130">
        <f t="shared" si="1"/>
        <v>30000000</v>
      </c>
      <c r="Y22" s="24">
        <f t="shared" si="2"/>
        <v>1</v>
      </c>
      <c r="Z22" s="23"/>
      <c r="AA22" s="9" t="s">
        <v>171</v>
      </c>
      <c r="AB22" s="9" t="s">
        <v>185</v>
      </c>
    </row>
    <row r="23" spans="1:28" s="10" customFormat="1" ht="58.2" customHeight="1" x14ac:dyDescent="0.25">
      <c r="A23" s="138" t="s">
        <v>30</v>
      </c>
      <c r="B23" s="138" t="s">
        <v>33</v>
      </c>
      <c r="C23" s="136" t="s">
        <v>60</v>
      </c>
      <c r="D23" s="182" t="s">
        <v>63</v>
      </c>
      <c r="E23" s="207" t="s">
        <v>64</v>
      </c>
      <c r="F23" s="171"/>
      <c r="G23" s="215"/>
      <c r="H23" s="7"/>
      <c r="I23" s="38">
        <v>44197</v>
      </c>
      <c r="J23" s="38">
        <v>44561</v>
      </c>
      <c r="K23" s="154">
        <v>50000</v>
      </c>
      <c r="L23" s="152">
        <v>1</v>
      </c>
      <c r="M23" s="150">
        <f t="shared" ref="M23" si="4">IFERROR(IF(L23/K23&gt;100%,100%,L23/K23),"-")</f>
        <v>2.0000000000000002E-5</v>
      </c>
      <c r="N23" s="7" t="s">
        <v>219</v>
      </c>
      <c r="O23" s="8">
        <v>10000000</v>
      </c>
      <c r="P23" s="96"/>
      <c r="Q23" s="96"/>
      <c r="R23" s="96"/>
      <c r="S23" s="140">
        <f>SUM(O23:R24)</f>
        <v>11901217</v>
      </c>
      <c r="T23" s="8">
        <f>9600000/2</f>
        <v>4800000</v>
      </c>
      <c r="U23" s="8"/>
      <c r="V23" s="8"/>
      <c r="W23" s="8"/>
      <c r="X23" s="142">
        <f>SUM(T23:W24)</f>
        <v>4800000</v>
      </c>
      <c r="Y23" s="144">
        <f t="shared" si="2"/>
        <v>0.40332009743205255</v>
      </c>
      <c r="Z23" s="148"/>
      <c r="AA23" s="146" t="s">
        <v>171</v>
      </c>
      <c r="AB23" s="146" t="s">
        <v>185</v>
      </c>
    </row>
    <row r="24" spans="1:28" s="10" customFormat="1" ht="33.6" customHeight="1" x14ac:dyDescent="0.25">
      <c r="A24" s="139"/>
      <c r="B24" s="139"/>
      <c r="C24" s="137"/>
      <c r="D24" s="183"/>
      <c r="E24" s="208"/>
      <c r="F24" s="123"/>
      <c r="G24" s="68" t="s">
        <v>229</v>
      </c>
      <c r="H24" s="7"/>
      <c r="I24" s="38"/>
      <c r="J24" s="38"/>
      <c r="K24" s="155"/>
      <c r="L24" s="153"/>
      <c r="M24" s="151"/>
      <c r="N24" s="7" t="s">
        <v>219</v>
      </c>
      <c r="O24" s="8">
        <f>190000000+121901217-310000000</f>
        <v>1901217</v>
      </c>
      <c r="P24" s="96"/>
      <c r="Q24" s="96"/>
      <c r="R24" s="96"/>
      <c r="S24" s="141"/>
      <c r="T24" s="8"/>
      <c r="U24" s="8"/>
      <c r="V24" s="8"/>
      <c r="W24" s="8"/>
      <c r="X24" s="143"/>
      <c r="Y24" s="145"/>
      <c r="Z24" s="149"/>
      <c r="AA24" s="147"/>
      <c r="AB24" s="147"/>
    </row>
    <row r="25" spans="1:28" s="10" customFormat="1" ht="79.95" customHeight="1" x14ac:dyDescent="0.25">
      <c r="A25" s="41" t="s">
        <v>30</v>
      </c>
      <c r="B25" s="41" t="s">
        <v>33</v>
      </c>
      <c r="C25" s="90" t="s">
        <v>34</v>
      </c>
      <c r="D25" s="53" t="s">
        <v>39</v>
      </c>
      <c r="E25" s="34" t="s">
        <v>40</v>
      </c>
      <c r="F25" s="84"/>
      <c r="G25" s="46"/>
      <c r="H25" s="7"/>
      <c r="I25" s="38">
        <v>44197</v>
      </c>
      <c r="J25" s="38">
        <v>44561</v>
      </c>
      <c r="K25" s="42">
        <v>0</v>
      </c>
      <c r="L25" s="58">
        <v>0</v>
      </c>
      <c r="M25" s="3" t="str">
        <f t="shared" si="3"/>
        <v>-</v>
      </c>
      <c r="N25" s="7"/>
      <c r="O25" s="8"/>
      <c r="P25" s="96"/>
      <c r="Q25" s="96"/>
      <c r="R25" s="96"/>
      <c r="S25" s="111">
        <f>SUM(O25:R25)</f>
        <v>0</v>
      </c>
      <c r="T25" s="8"/>
      <c r="U25" s="8"/>
      <c r="V25" s="8"/>
      <c r="W25" s="8"/>
      <c r="X25" s="130">
        <f>SUM(T25:W25)</f>
        <v>0</v>
      </c>
      <c r="Y25" s="24" t="str">
        <f>IFERROR(X25/S25,"-")</f>
        <v>-</v>
      </c>
      <c r="Z25" s="23"/>
      <c r="AA25" s="9" t="s">
        <v>171</v>
      </c>
      <c r="AB25" s="9" t="s">
        <v>185</v>
      </c>
    </row>
    <row r="26" spans="1:28" s="10" customFormat="1" ht="162" customHeight="1" x14ac:dyDescent="0.25">
      <c r="A26" s="41" t="s">
        <v>30</v>
      </c>
      <c r="B26" s="41" t="s">
        <v>33</v>
      </c>
      <c r="C26" s="90" t="s">
        <v>34</v>
      </c>
      <c r="D26" s="53" t="s">
        <v>41</v>
      </c>
      <c r="E26" s="34" t="s">
        <v>42</v>
      </c>
      <c r="F26" s="84"/>
      <c r="G26" s="46"/>
      <c r="H26" s="7"/>
      <c r="I26" s="38">
        <v>44197</v>
      </c>
      <c r="J26" s="38">
        <v>44561</v>
      </c>
      <c r="K26" s="42">
        <v>1</v>
      </c>
      <c r="L26" s="58">
        <v>0</v>
      </c>
      <c r="M26" s="3">
        <f t="shared" si="3"/>
        <v>0</v>
      </c>
      <c r="N26" s="7" t="s">
        <v>243</v>
      </c>
      <c r="O26" s="97">
        <f>622000000-370000000+374200000+28189.13+5349132+11995542.14</f>
        <v>643572863.26999998</v>
      </c>
      <c r="P26" s="99"/>
      <c r="Q26" s="96"/>
      <c r="R26" s="96"/>
      <c r="S26" s="111">
        <f>SUM(O26:R26)</f>
        <v>643572863.26999998</v>
      </c>
      <c r="T26" s="8"/>
      <c r="U26" s="8"/>
      <c r="V26" s="8"/>
      <c r="W26" s="8"/>
      <c r="X26" s="130">
        <f>SUM(T26:W26)</f>
        <v>0</v>
      </c>
      <c r="Y26" s="24">
        <f>IFERROR(X26/S26,"-")</f>
        <v>0</v>
      </c>
      <c r="Z26" s="23"/>
      <c r="AA26" s="9" t="s">
        <v>171</v>
      </c>
      <c r="AB26" s="9" t="s">
        <v>185</v>
      </c>
    </row>
    <row r="27" spans="1:28" s="10" customFormat="1" ht="95.4" customHeight="1" x14ac:dyDescent="0.25">
      <c r="A27" s="138" t="s">
        <v>30</v>
      </c>
      <c r="B27" s="138" t="s">
        <v>33</v>
      </c>
      <c r="C27" s="136" t="s">
        <v>73</v>
      </c>
      <c r="D27" s="185" t="s">
        <v>76</v>
      </c>
      <c r="E27" s="191" t="s">
        <v>77</v>
      </c>
      <c r="F27" s="84"/>
      <c r="G27" s="46" t="s">
        <v>222</v>
      </c>
      <c r="H27" s="7"/>
      <c r="I27" s="48"/>
      <c r="J27" s="48"/>
      <c r="K27" s="213">
        <v>25000</v>
      </c>
      <c r="L27" s="212">
        <v>774</v>
      </c>
      <c r="M27" s="211">
        <f>IFERROR(IF(L27/K27&gt;100%,100%,L27/K27),"-")</f>
        <v>3.0960000000000001E-2</v>
      </c>
      <c r="N27" s="7" t="s">
        <v>244</v>
      </c>
      <c r="O27" s="8">
        <f>200000000+800000000+1134339181.01</f>
        <v>2134339181.01</v>
      </c>
      <c r="P27" s="96"/>
      <c r="Q27" s="96"/>
      <c r="R27" s="96"/>
      <c r="S27" s="140">
        <f>SUM(O27:R28)</f>
        <v>3634339182.0100002</v>
      </c>
      <c r="T27" s="8"/>
      <c r="U27" s="8"/>
      <c r="V27" s="8"/>
      <c r="W27" s="8"/>
      <c r="X27" s="142">
        <f>SUM(T27:W28)</f>
        <v>0</v>
      </c>
      <c r="Y27" s="144">
        <f>IFERROR(X27/S27,"-")</f>
        <v>0</v>
      </c>
      <c r="Z27" s="148">
        <v>80496000</v>
      </c>
      <c r="AA27" s="146" t="s">
        <v>171</v>
      </c>
      <c r="AB27" s="146" t="s">
        <v>185</v>
      </c>
    </row>
    <row r="28" spans="1:28" s="10" customFormat="1" ht="93.6" customHeight="1" x14ac:dyDescent="0.25">
      <c r="A28" s="139"/>
      <c r="B28" s="139"/>
      <c r="C28" s="137"/>
      <c r="D28" s="185"/>
      <c r="E28" s="191"/>
      <c r="F28" s="158">
        <v>20200680010040</v>
      </c>
      <c r="G28" s="159" t="s">
        <v>173</v>
      </c>
      <c r="H28" s="7"/>
      <c r="I28" s="48">
        <v>44197</v>
      </c>
      <c r="J28" s="48">
        <v>44561</v>
      </c>
      <c r="K28" s="213"/>
      <c r="L28" s="212"/>
      <c r="M28" s="211"/>
      <c r="N28" s="7" t="s">
        <v>230</v>
      </c>
      <c r="O28" s="8">
        <f>46000000+603350727</f>
        <v>649350727</v>
      </c>
      <c r="P28" s="96"/>
      <c r="Q28" s="96"/>
      <c r="R28" s="8">
        <v>850649274</v>
      </c>
      <c r="S28" s="141"/>
      <c r="T28" s="8"/>
      <c r="U28" s="8"/>
      <c r="V28" s="8"/>
      <c r="W28" s="8"/>
      <c r="X28" s="143"/>
      <c r="Y28" s="145"/>
      <c r="Z28" s="149"/>
      <c r="AA28" s="147"/>
      <c r="AB28" s="147"/>
    </row>
    <row r="29" spans="1:28" s="10" customFormat="1" ht="114" customHeight="1" x14ac:dyDescent="0.25">
      <c r="A29" s="41" t="s">
        <v>30</v>
      </c>
      <c r="B29" s="41" t="s">
        <v>33</v>
      </c>
      <c r="C29" s="90" t="s">
        <v>73</v>
      </c>
      <c r="D29" s="110" t="s">
        <v>74</v>
      </c>
      <c r="E29" s="34" t="s">
        <v>75</v>
      </c>
      <c r="F29" s="158"/>
      <c r="G29" s="159"/>
      <c r="H29" s="7" t="s">
        <v>215</v>
      </c>
      <c r="I29" s="47">
        <v>44197</v>
      </c>
      <c r="J29" s="47">
        <v>44561</v>
      </c>
      <c r="K29" s="42">
        <v>11000</v>
      </c>
      <c r="L29" s="58">
        <v>10840</v>
      </c>
      <c r="M29" s="3">
        <f t="shared" si="3"/>
        <v>0.98545454545454547</v>
      </c>
      <c r="N29" s="7" t="s">
        <v>207</v>
      </c>
      <c r="O29" s="8">
        <v>60000000</v>
      </c>
      <c r="P29" s="100"/>
      <c r="Q29" s="96"/>
      <c r="R29" s="100"/>
      <c r="S29" s="111">
        <f t="shared" ref="S29:S34" si="5">SUM(O29:R29)</f>
        <v>60000000</v>
      </c>
      <c r="T29" s="8">
        <f>40800000+14400000</f>
        <v>55200000</v>
      </c>
      <c r="U29" s="8"/>
      <c r="V29" s="8"/>
      <c r="W29" s="8"/>
      <c r="X29" s="130">
        <f t="shared" ref="X29:X31" si="6">SUM(T29:W29)</f>
        <v>55200000</v>
      </c>
      <c r="Y29" s="24">
        <f t="shared" ref="Y29:Y37" si="7">IFERROR(X29/S29,"-")</f>
        <v>0.92</v>
      </c>
      <c r="Z29" s="23"/>
      <c r="AA29" s="9" t="s">
        <v>171</v>
      </c>
      <c r="AB29" s="9" t="s">
        <v>185</v>
      </c>
    </row>
    <row r="30" spans="1:28" s="10" customFormat="1" ht="115.2" customHeight="1" x14ac:dyDescent="0.25">
      <c r="A30" s="41" t="s">
        <v>30</v>
      </c>
      <c r="B30" s="41" t="s">
        <v>33</v>
      </c>
      <c r="C30" s="90" t="s">
        <v>73</v>
      </c>
      <c r="D30" s="110" t="s">
        <v>78</v>
      </c>
      <c r="E30" s="34" t="s">
        <v>79</v>
      </c>
      <c r="F30" s="158"/>
      <c r="G30" s="159"/>
      <c r="H30" s="46"/>
      <c r="I30" s="47">
        <v>44197</v>
      </c>
      <c r="J30" s="47">
        <v>44561</v>
      </c>
      <c r="K30" s="42">
        <v>2000</v>
      </c>
      <c r="L30" s="58">
        <v>1524</v>
      </c>
      <c r="M30" s="3">
        <f t="shared" si="3"/>
        <v>0.76200000000000001</v>
      </c>
      <c r="N30" s="7" t="s">
        <v>208</v>
      </c>
      <c r="O30" s="8">
        <f>150000000-24000000-24000000-10000000</f>
        <v>92000000</v>
      </c>
      <c r="P30" s="100"/>
      <c r="Q30" s="96"/>
      <c r="R30" s="100"/>
      <c r="S30" s="111">
        <f t="shared" si="5"/>
        <v>92000000</v>
      </c>
      <c r="T30" s="8">
        <v>20000000</v>
      </c>
      <c r="U30" s="8"/>
      <c r="V30" s="8"/>
      <c r="W30" s="8"/>
      <c r="X30" s="130">
        <f t="shared" si="6"/>
        <v>20000000</v>
      </c>
      <c r="Y30" s="24">
        <f t="shared" si="7"/>
        <v>0.21739130434782608</v>
      </c>
      <c r="Z30" s="23"/>
      <c r="AA30" s="9" t="s">
        <v>171</v>
      </c>
      <c r="AB30" s="9" t="s">
        <v>185</v>
      </c>
    </row>
    <row r="31" spans="1:28" s="10" customFormat="1" ht="100.2" customHeight="1" x14ac:dyDescent="0.25">
      <c r="A31" s="41" t="s">
        <v>30</v>
      </c>
      <c r="B31" s="41" t="s">
        <v>33</v>
      </c>
      <c r="C31" s="90" t="s">
        <v>73</v>
      </c>
      <c r="D31" s="110" t="s">
        <v>80</v>
      </c>
      <c r="E31" s="34" t="s">
        <v>81</v>
      </c>
      <c r="F31" s="158"/>
      <c r="G31" s="159"/>
      <c r="H31" s="46"/>
      <c r="I31" s="47">
        <v>44197</v>
      </c>
      <c r="J31" s="47">
        <v>44561</v>
      </c>
      <c r="K31" s="43">
        <v>1</v>
      </c>
      <c r="L31" s="63">
        <v>1</v>
      </c>
      <c r="M31" s="3">
        <f t="shared" si="3"/>
        <v>1</v>
      </c>
      <c r="N31" s="7" t="s">
        <v>208</v>
      </c>
      <c r="O31" s="8">
        <f>150000000+44909000</f>
        <v>194909000</v>
      </c>
      <c r="P31" s="96"/>
      <c r="Q31" s="96"/>
      <c r="R31" s="100"/>
      <c r="S31" s="111">
        <f t="shared" si="5"/>
        <v>194909000</v>
      </c>
      <c r="T31" s="8">
        <f>31320000+23490000+140099000</f>
        <v>194909000</v>
      </c>
      <c r="U31" s="8"/>
      <c r="V31" s="8"/>
      <c r="W31" s="8"/>
      <c r="X31" s="130">
        <f t="shared" si="6"/>
        <v>194909000</v>
      </c>
      <c r="Y31" s="24">
        <f t="shared" si="7"/>
        <v>1</v>
      </c>
      <c r="Z31" s="23"/>
      <c r="AA31" s="9" t="s">
        <v>171</v>
      </c>
      <c r="AB31" s="9" t="s">
        <v>185</v>
      </c>
    </row>
    <row r="32" spans="1:28" s="10" customFormat="1" ht="130.19999999999999" customHeight="1" x14ac:dyDescent="0.25">
      <c r="A32" s="138" t="s">
        <v>30</v>
      </c>
      <c r="B32" s="138" t="s">
        <v>33</v>
      </c>
      <c r="C32" s="136" t="s">
        <v>73</v>
      </c>
      <c r="D32" s="182" t="s">
        <v>82</v>
      </c>
      <c r="E32" s="34" t="s">
        <v>83</v>
      </c>
      <c r="F32" s="158"/>
      <c r="G32" s="159"/>
      <c r="H32" s="46"/>
      <c r="I32" s="47">
        <v>44197</v>
      </c>
      <c r="J32" s="47">
        <v>44561</v>
      </c>
      <c r="K32" s="154">
        <v>1656</v>
      </c>
      <c r="L32" s="152">
        <v>1601</v>
      </c>
      <c r="M32" s="150">
        <f t="shared" si="3"/>
        <v>0.96678743961352653</v>
      </c>
      <c r="N32" s="7" t="s">
        <v>247</v>
      </c>
      <c r="O32" s="8">
        <f>2559196618+101429564.34+904000000</f>
        <v>3564626182.3400002</v>
      </c>
      <c r="P32" s="96"/>
      <c r="Q32" s="96"/>
      <c r="R32" s="8">
        <f>762195777+927807539</f>
        <v>1690003316</v>
      </c>
      <c r="S32" s="140">
        <f>SUM(O32:R33)</f>
        <v>5315471039.4800005</v>
      </c>
      <c r="T32" s="8">
        <f>2628102905.93+663454761</f>
        <v>3291557666.9299998</v>
      </c>
      <c r="U32" s="8"/>
      <c r="V32" s="8"/>
      <c r="W32" s="8">
        <v>1661510016</v>
      </c>
      <c r="X32" s="142">
        <f>SUM(T32:W33)</f>
        <v>4953067682.9300003</v>
      </c>
      <c r="Y32" s="144">
        <f t="shared" si="7"/>
        <v>0.93182102698739311</v>
      </c>
      <c r="Z32" s="148"/>
      <c r="AA32" s="146" t="s">
        <v>171</v>
      </c>
      <c r="AB32" s="146" t="s">
        <v>185</v>
      </c>
    </row>
    <row r="33" spans="1:28" s="10" customFormat="1" ht="38.4" customHeight="1" x14ac:dyDescent="0.25">
      <c r="A33" s="139"/>
      <c r="B33" s="139"/>
      <c r="C33" s="137"/>
      <c r="D33" s="183"/>
      <c r="E33" s="34"/>
      <c r="F33" s="121"/>
      <c r="G33" s="84" t="s">
        <v>246</v>
      </c>
      <c r="H33" s="46"/>
      <c r="I33" s="47"/>
      <c r="J33" s="47"/>
      <c r="K33" s="155"/>
      <c r="L33" s="153"/>
      <c r="M33" s="151"/>
      <c r="N33" s="7" t="s">
        <v>248</v>
      </c>
      <c r="O33" s="8">
        <f>56264221.14+4577320</f>
        <v>60841541.140000001</v>
      </c>
      <c r="P33" s="96"/>
      <c r="Q33" s="96"/>
      <c r="R33" s="8"/>
      <c r="S33" s="141"/>
      <c r="T33" s="8"/>
      <c r="U33" s="8"/>
      <c r="V33" s="8"/>
      <c r="W33" s="8"/>
      <c r="X33" s="143"/>
      <c r="Y33" s="145"/>
      <c r="Z33" s="149"/>
      <c r="AA33" s="147"/>
      <c r="AB33" s="147"/>
    </row>
    <row r="34" spans="1:28" s="10" customFormat="1" ht="138" customHeight="1" x14ac:dyDescent="0.25">
      <c r="A34" s="41" t="s">
        <v>30</v>
      </c>
      <c r="B34" s="41" t="s">
        <v>33</v>
      </c>
      <c r="C34" s="90" t="s">
        <v>73</v>
      </c>
      <c r="D34" s="110" t="s">
        <v>86</v>
      </c>
      <c r="E34" s="34" t="s">
        <v>87</v>
      </c>
      <c r="F34" s="158">
        <v>20200680010040</v>
      </c>
      <c r="G34" s="159" t="s">
        <v>173</v>
      </c>
      <c r="H34" s="203"/>
      <c r="I34" s="47">
        <v>44197</v>
      </c>
      <c r="J34" s="47">
        <v>44561</v>
      </c>
      <c r="K34" s="42">
        <v>1</v>
      </c>
      <c r="L34" s="58">
        <v>1</v>
      </c>
      <c r="M34" s="3">
        <f t="shared" si="3"/>
        <v>1</v>
      </c>
      <c r="N34" s="7" t="s">
        <v>232</v>
      </c>
      <c r="O34" s="8">
        <f>40000000+72799850+24000000+24000000</f>
        <v>160799850</v>
      </c>
      <c r="P34" s="96"/>
      <c r="Q34" s="96"/>
      <c r="R34" s="100"/>
      <c r="S34" s="111">
        <f t="shared" si="5"/>
        <v>160799850</v>
      </c>
      <c r="T34" s="8">
        <f>72000000+10400000+8000000+24000000+24000000-23300000</f>
        <v>115100000</v>
      </c>
      <c r="U34" s="8"/>
      <c r="V34" s="8"/>
      <c r="W34" s="8"/>
      <c r="X34" s="130">
        <f>SUM(T34:W34)</f>
        <v>115100000</v>
      </c>
      <c r="Y34" s="24">
        <f t="shared" si="7"/>
        <v>0.71579668762128823</v>
      </c>
      <c r="Z34" s="23"/>
      <c r="AA34" s="9" t="s">
        <v>171</v>
      </c>
      <c r="AB34" s="9" t="s">
        <v>185</v>
      </c>
    </row>
    <row r="35" spans="1:28" ht="132" customHeight="1" x14ac:dyDescent="0.25">
      <c r="A35" s="138" t="s">
        <v>30</v>
      </c>
      <c r="B35" s="138" t="s">
        <v>33</v>
      </c>
      <c r="C35" s="136" t="s">
        <v>73</v>
      </c>
      <c r="D35" s="182" t="s">
        <v>88</v>
      </c>
      <c r="E35" s="34" t="s">
        <v>89</v>
      </c>
      <c r="F35" s="158"/>
      <c r="G35" s="159"/>
      <c r="H35" s="204"/>
      <c r="I35" s="47">
        <v>44197</v>
      </c>
      <c r="J35" s="47">
        <v>44561</v>
      </c>
      <c r="K35" s="154">
        <v>1</v>
      </c>
      <c r="L35" s="152">
        <v>1</v>
      </c>
      <c r="M35" s="150">
        <f t="shared" si="3"/>
        <v>1</v>
      </c>
      <c r="N35" s="7" t="s">
        <v>250</v>
      </c>
      <c r="O35" s="8">
        <f>30000000+68000000</f>
        <v>98000000</v>
      </c>
      <c r="P35" s="98"/>
      <c r="Q35" s="98"/>
      <c r="R35" s="101"/>
      <c r="S35" s="140">
        <f>SUM(O35:R36)</f>
        <v>130000000</v>
      </c>
      <c r="T35" s="8">
        <f>52000000+28800000</f>
        <v>80800000</v>
      </c>
      <c r="U35" s="8"/>
      <c r="V35" s="8"/>
      <c r="W35" s="8"/>
      <c r="X35" s="142">
        <f>SUM(T35:W36)</f>
        <v>80800000</v>
      </c>
      <c r="Y35" s="24">
        <f t="shared" si="7"/>
        <v>0.62153846153846148</v>
      </c>
      <c r="Z35" s="23"/>
      <c r="AA35" s="9" t="s">
        <v>171</v>
      </c>
      <c r="AB35" s="9" t="s">
        <v>185</v>
      </c>
    </row>
    <row r="36" spans="1:28" ht="39" customHeight="1" x14ac:dyDescent="0.25">
      <c r="A36" s="139"/>
      <c r="B36" s="139"/>
      <c r="C36" s="137"/>
      <c r="D36" s="183"/>
      <c r="E36" s="87"/>
      <c r="F36" s="121"/>
      <c r="G36" s="112" t="s">
        <v>246</v>
      </c>
      <c r="H36" s="86"/>
      <c r="I36" s="38"/>
      <c r="J36" s="38"/>
      <c r="K36" s="155"/>
      <c r="L36" s="153"/>
      <c r="M36" s="151"/>
      <c r="N36" s="7" t="s">
        <v>249</v>
      </c>
      <c r="O36" s="8">
        <v>32000000</v>
      </c>
      <c r="P36" s="98"/>
      <c r="Q36" s="98"/>
      <c r="R36" s="101"/>
      <c r="S36" s="141"/>
      <c r="T36" s="8"/>
      <c r="U36" s="8"/>
      <c r="V36" s="8"/>
      <c r="W36" s="8"/>
      <c r="X36" s="143"/>
      <c r="Y36" s="82"/>
      <c r="Z36" s="80"/>
      <c r="AA36" s="81"/>
      <c r="AB36" s="81"/>
    </row>
    <row r="37" spans="1:28" s="10" customFormat="1" ht="101.4" customHeight="1" x14ac:dyDescent="0.25">
      <c r="A37" s="138" t="s">
        <v>30</v>
      </c>
      <c r="B37" s="138" t="s">
        <v>33</v>
      </c>
      <c r="C37" s="136" t="s">
        <v>73</v>
      </c>
      <c r="D37" s="182" t="s">
        <v>84</v>
      </c>
      <c r="E37" s="203" t="s">
        <v>85</v>
      </c>
      <c r="F37" s="121">
        <v>20200680010040</v>
      </c>
      <c r="G37" s="85" t="s">
        <v>173</v>
      </c>
      <c r="H37" s="34" t="s">
        <v>216</v>
      </c>
      <c r="I37" s="38">
        <v>44197</v>
      </c>
      <c r="J37" s="38">
        <v>44561</v>
      </c>
      <c r="K37" s="154">
        <v>3</v>
      </c>
      <c r="L37" s="152">
        <v>3</v>
      </c>
      <c r="M37" s="150">
        <f>IFERROR(IF(L37/K37&gt;100%,100%,L37/K37),"-")</f>
        <v>1</v>
      </c>
      <c r="N37" s="76" t="s">
        <v>231</v>
      </c>
      <c r="O37" s="8">
        <f>35000000+164091000+24000000+80000000+26000000</f>
        <v>329091000</v>
      </c>
      <c r="P37" s="8"/>
      <c r="Q37" s="96"/>
      <c r="R37" s="100"/>
      <c r="S37" s="140">
        <f>SUM(O37:R38)</f>
        <v>629091000</v>
      </c>
      <c r="T37" s="8">
        <f>3314546.93+62400000+24000000+76000000+25600000+2290443.93+2111705.93-10890+86763+1432554.93</f>
        <v>197225124.72000003</v>
      </c>
      <c r="U37" s="8"/>
      <c r="V37" s="8"/>
      <c r="W37" s="8"/>
      <c r="X37" s="142">
        <f>SUM(T37:W38)</f>
        <v>197225124.72000003</v>
      </c>
      <c r="Y37" s="144">
        <f t="shared" si="7"/>
        <v>0.31350810092657505</v>
      </c>
      <c r="Z37" s="148"/>
      <c r="AA37" s="146" t="s">
        <v>171</v>
      </c>
      <c r="AB37" s="146" t="s">
        <v>185</v>
      </c>
    </row>
    <row r="38" spans="1:28" s="10" customFormat="1" ht="136.80000000000001" customHeight="1" x14ac:dyDescent="0.25">
      <c r="A38" s="139"/>
      <c r="B38" s="139"/>
      <c r="C38" s="137"/>
      <c r="D38" s="183"/>
      <c r="E38" s="204"/>
      <c r="F38" s="49">
        <v>20200680010151</v>
      </c>
      <c r="G38" s="56" t="s">
        <v>198</v>
      </c>
      <c r="H38" s="50" t="s">
        <v>217</v>
      </c>
      <c r="I38" s="38">
        <v>44197</v>
      </c>
      <c r="J38" s="38">
        <v>44561</v>
      </c>
      <c r="K38" s="155"/>
      <c r="L38" s="153"/>
      <c r="M38" s="151"/>
      <c r="N38" s="108" t="s">
        <v>234</v>
      </c>
      <c r="O38" s="102">
        <v>300000000</v>
      </c>
      <c r="P38" s="103"/>
      <c r="Q38" s="103"/>
      <c r="R38" s="104"/>
      <c r="S38" s="141"/>
      <c r="T38" s="8"/>
      <c r="U38" s="8"/>
      <c r="V38" s="8"/>
      <c r="W38" s="8"/>
      <c r="X38" s="143"/>
      <c r="Y38" s="145"/>
      <c r="Z38" s="149"/>
      <c r="AA38" s="147"/>
      <c r="AB38" s="147"/>
    </row>
    <row r="39" spans="1:28" ht="137.4" customHeight="1" x14ac:dyDescent="0.25">
      <c r="A39" s="41" t="s">
        <v>30</v>
      </c>
      <c r="B39" s="41" t="s">
        <v>33</v>
      </c>
      <c r="C39" s="90" t="s">
        <v>90</v>
      </c>
      <c r="D39" s="54" t="s">
        <v>91</v>
      </c>
      <c r="E39" s="2" t="s">
        <v>92</v>
      </c>
      <c r="F39" s="121">
        <v>20200680010072</v>
      </c>
      <c r="G39" s="116" t="s">
        <v>175</v>
      </c>
      <c r="H39" s="117" t="s">
        <v>189</v>
      </c>
      <c r="I39" s="38">
        <v>44197</v>
      </c>
      <c r="J39" s="38">
        <v>44561</v>
      </c>
      <c r="K39" s="42">
        <v>1</v>
      </c>
      <c r="L39" s="58">
        <v>0.5</v>
      </c>
      <c r="M39" s="3">
        <f t="shared" si="3"/>
        <v>0.5</v>
      </c>
      <c r="N39" s="7" t="s">
        <v>218</v>
      </c>
      <c r="O39" s="8">
        <v>60000000</v>
      </c>
      <c r="P39" s="98"/>
      <c r="Q39" s="98"/>
      <c r="R39" s="98"/>
      <c r="S39" s="111">
        <f t="shared" ref="S39:S54" si="8">SUM(O39:R39)</f>
        <v>60000000</v>
      </c>
      <c r="T39" s="8">
        <f>16000000+2800000+4000000+12800000+7200000+1955373</f>
        <v>44755373</v>
      </c>
      <c r="U39" s="8"/>
      <c r="V39" s="8"/>
      <c r="W39" s="8"/>
      <c r="X39" s="130">
        <f t="shared" ref="X39:X45" si="9">SUM(T39:W39)</f>
        <v>44755373</v>
      </c>
      <c r="Y39" s="24">
        <f t="shared" ref="Y39:Y55" si="10">IFERROR(X39/S39,"-")</f>
        <v>0.74592288333333334</v>
      </c>
      <c r="Z39" s="23"/>
      <c r="AA39" s="9" t="s">
        <v>171</v>
      </c>
      <c r="AB39" s="9" t="s">
        <v>185</v>
      </c>
    </row>
    <row r="40" spans="1:28" ht="95.4" customHeight="1" x14ac:dyDescent="0.25">
      <c r="A40" s="41" t="s">
        <v>30</v>
      </c>
      <c r="B40" s="41" t="s">
        <v>33</v>
      </c>
      <c r="C40" s="90" t="s">
        <v>90</v>
      </c>
      <c r="D40" s="54" t="s">
        <v>93</v>
      </c>
      <c r="E40" s="2" t="s">
        <v>94</v>
      </c>
      <c r="F40" s="122"/>
      <c r="G40" s="118" t="s">
        <v>229</v>
      </c>
      <c r="H40" s="115"/>
      <c r="I40" s="38">
        <v>44197</v>
      </c>
      <c r="J40" s="38">
        <v>44561</v>
      </c>
      <c r="K40" s="42">
        <v>1</v>
      </c>
      <c r="L40" s="58">
        <v>0</v>
      </c>
      <c r="M40" s="3">
        <f t="shared" si="3"/>
        <v>0</v>
      </c>
      <c r="N40" s="7" t="s">
        <v>233</v>
      </c>
      <c r="O40" s="8">
        <v>200000000</v>
      </c>
      <c r="P40" s="98"/>
      <c r="Q40" s="98"/>
      <c r="R40" s="98"/>
      <c r="S40" s="111">
        <f t="shared" si="8"/>
        <v>200000000</v>
      </c>
      <c r="T40" s="8"/>
      <c r="U40" s="8"/>
      <c r="V40" s="8"/>
      <c r="W40" s="8"/>
      <c r="X40" s="130">
        <f t="shared" si="9"/>
        <v>0</v>
      </c>
      <c r="Y40" s="24">
        <f t="shared" si="10"/>
        <v>0</v>
      </c>
      <c r="Z40" s="23"/>
      <c r="AA40" s="9" t="s">
        <v>171</v>
      </c>
      <c r="AB40" s="9" t="s">
        <v>185</v>
      </c>
    </row>
    <row r="41" spans="1:28" ht="83.4" customHeight="1" x14ac:dyDescent="0.25">
      <c r="A41" s="41" t="s">
        <v>30</v>
      </c>
      <c r="B41" s="41" t="s">
        <v>33</v>
      </c>
      <c r="C41" s="90" t="s">
        <v>90</v>
      </c>
      <c r="D41" s="54" t="s">
        <v>95</v>
      </c>
      <c r="E41" s="2" t="s">
        <v>96</v>
      </c>
      <c r="F41" s="121">
        <v>20200680010072</v>
      </c>
      <c r="G41" s="116" t="s">
        <v>175</v>
      </c>
      <c r="H41" s="117" t="s">
        <v>189</v>
      </c>
      <c r="I41" s="38">
        <v>44197</v>
      </c>
      <c r="J41" s="38">
        <v>44561</v>
      </c>
      <c r="K41" s="43">
        <v>1</v>
      </c>
      <c r="L41" s="58">
        <v>1</v>
      </c>
      <c r="M41" s="3">
        <f t="shared" si="3"/>
        <v>1</v>
      </c>
      <c r="N41" s="7" t="s">
        <v>218</v>
      </c>
      <c r="O41" s="8">
        <v>140000000</v>
      </c>
      <c r="P41" s="98"/>
      <c r="Q41" s="98"/>
      <c r="R41" s="98"/>
      <c r="S41" s="111">
        <f t="shared" si="8"/>
        <v>140000000</v>
      </c>
      <c r="T41" s="8">
        <f>449727.77+438017.77+16000000+25200000+4000000+12800000+16800000+16000000+16000000+188923.77+45667.77+45667.77</f>
        <v>107968004.84999998</v>
      </c>
      <c r="U41" s="8"/>
      <c r="V41" s="8"/>
      <c r="W41" s="8"/>
      <c r="X41" s="130">
        <f t="shared" si="9"/>
        <v>107968004.84999998</v>
      </c>
      <c r="Y41" s="24">
        <f t="shared" si="10"/>
        <v>0.77120003464285702</v>
      </c>
      <c r="Z41" s="23"/>
      <c r="AA41" s="9" t="s">
        <v>171</v>
      </c>
      <c r="AB41" s="9" t="s">
        <v>185</v>
      </c>
    </row>
    <row r="42" spans="1:28" ht="109.8" customHeight="1" x14ac:dyDescent="0.25">
      <c r="A42" s="41" t="s">
        <v>30</v>
      </c>
      <c r="B42" s="41" t="s">
        <v>33</v>
      </c>
      <c r="C42" s="34" t="s">
        <v>90</v>
      </c>
      <c r="D42" s="55" t="s">
        <v>186</v>
      </c>
      <c r="E42" s="2" t="s">
        <v>187</v>
      </c>
      <c r="F42" s="45">
        <v>2020068001033</v>
      </c>
      <c r="G42" s="56" t="s">
        <v>195</v>
      </c>
      <c r="H42" s="7" t="s">
        <v>205</v>
      </c>
      <c r="I42" s="38">
        <v>44197</v>
      </c>
      <c r="J42" s="38">
        <v>44561</v>
      </c>
      <c r="K42" s="42">
        <v>1</v>
      </c>
      <c r="L42" s="61">
        <v>0</v>
      </c>
      <c r="M42" s="3">
        <f t="shared" si="3"/>
        <v>0</v>
      </c>
      <c r="N42" s="7"/>
      <c r="O42" s="8"/>
      <c r="P42" s="98"/>
      <c r="Q42" s="98"/>
      <c r="R42" s="98"/>
      <c r="S42" s="111">
        <f t="shared" si="8"/>
        <v>0</v>
      </c>
      <c r="T42" s="8"/>
      <c r="U42" s="8"/>
      <c r="V42" s="8"/>
      <c r="W42" s="8"/>
      <c r="X42" s="130">
        <f t="shared" si="9"/>
        <v>0</v>
      </c>
      <c r="Y42" s="24" t="str">
        <f t="shared" si="10"/>
        <v>-</v>
      </c>
      <c r="Z42" s="23"/>
      <c r="AA42" s="9" t="s">
        <v>171</v>
      </c>
      <c r="AB42" s="9" t="s">
        <v>185</v>
      </c>
    </row>
    <row r="43" spans="1:28" ht="93.6" customHeight="1" x14ac:dyDescent="0.25">
      <c r="A43" s="41" t="s">
        <v>30</v>
      </c>
      <c r="B43" s="41" t="s">
        <v>33</v>
      </c>
      <c r="C43" s="90" t="s">
        <v>97</v>
      </c>
      <c r="D43" s="54" t="s">
        <v>98</v>
      </c>
      <c r="E43" s="2" t="s">
        <v>99</v>
      </c>
      <c r="F43" s="158">
        <v>20200680010106</v>
      </c>
      <c r="G43" s="159" t="s">
        <v>177</v>
      </c>
      <c r="H43" s="162" t="s">
        <v>191</v>
      </c>
      <c r="I43" s="38">
        <v>44197</v>
      </c>
      <c r="J43" s="38">
        <v>44561</v>
      </c>
      <c r="K43" s="42">
        <v>1</v>
      </c>
      <c r="L43" s="61">
        <v>0.4</v>
      </c>
      <c r="M43" s="3">
        <f t="shared" si="3"/>
        <v>0.4</v>
      </c>
      <c r="N43" s="7" t="s">
        <v>206</v>
      </c>
      <c r="O43" s="8">
        <v>0</v>
      </c>
      <c r="P43" s="98"/>
      <c r="Q43" s="98"/>
      <c r="R43" s="98"/>
      <c r="S43" s="111">
        <f t="shared" si="8"/>
        <v>0</v>
      </c>
      <c r="T43" s="8">
        <v>0</v>
      </c>
      <c r="U43" s="8"/>
      <c r="V43" s="8"/>
      <c r="W43" s="8"/>
      <c r="X43" s="130">
        <f t="shared" si="9"/>
        <v>0</v>
      </c>
      <c r="Y43" s="24" t="str">
        <f t="shared" si="10"/>
        <v>-</v>
      </c>
      <c r="Z43" s="23">
        <v>1000000</v>
      </c>
      <c r="AA43" s="9" t="s">
        <v>171</v>
      </c>
      <c r="AB43" s="9" t="s">
        <v>185</v>
      </c>
    </row>
    <row r="44" spans="1:28" ht="121.2" customHeight="1" x14ac:dyDescent="0.25">
      <c r="A44" s="41" t="s">
        <v>30</v>
      </c>
      <c r="B44" s="41" t="s">
        <v>33</v>
      </c>
      <c r="C44" s="90" t="s">
        <v>97</v>
      </c>
      <c r="D44" s="54" t="s">
        <v>100</v>
      </c>
      <c r="E44" s="2" t="s">
        <v>101</v>
      </c>
      <c r="F44" s="158"/>
      <c r="G44" s="159"/>
      <c r="H44" s="163"/>
      <c r="I44" s="38">
        <v>44197</v>
      </c>
      <c r="J44" s="38">
        <v>44561</v>
      </c>
      <c r="K44" s="42">
        <v>600</v>
      </c>
      <c r="L44" s="58">
        <v>308</v>
      </c>
      <c r="M44" s="3">
        <f t="shared" si="3"/>
        <v>0.51333333333333331</v>
      </c>
      <c r="N44" s="7" t="s">
        <v>206</v>
      </c>
      <c r="O44" s="8">
        <f>20000000+20000000-2000000</f>
        <v>38000000</v>
      </c>
      <c r="P44" s="98"/>
      <c r="Q44" s="98"/>
      <c r="R44" s="98"/>
      <c r="S44" s="111">
        <f t="shared" si="8"/>
        <v>38000000</v>
      </c>
      <c r="T44" s="8">
        <f>18000000+18000000</f>
        <v>36000000</v>
      </c>
      <c r="U44" s="8"/>
      <c r="V44" s="8"/>
      <c r="W44" s="8"/>
      <c r="X44" s="130">
        <f t="shared" si="9"/>
        <v>36000000</v>
      </c>
      <c r="Y44" s="24">
        <f t="shared" si="10"/>
        <v>0.94736842105263153</v>
      </c>
      <c r="Z44" s="23">
        <v>1000000</v>
      </c>
      <c r="AA44" s="9" t="s">
        <v>171</v>
      </c>
      <c r="AB44" s="9" t="s">
        <v>185</v>
      </c>
    </row>
    <row r="45" spans="1:28" ht="85.8" customHeight="1" x14ac:dyDescent="0.25">
      <c r="A45" s="41" t="s">
        <v>30</v>
      </c>
      <c r="B45" s="41" t="s">
        <v>33</v>
      </c>
      <c r="C45" s="90" t="s">
        <v>97</v>
      </c>
      <c r="D45" s="54" t="s">
        <v>110</v>
      </c>
      <c r="E45" s="2" t="s">
        <v>111</v>
      </c>
      <c r="F45" s="158"/>
      <c r="G45" s="159"/>
      <c r="H45" s="163"/>
      <c r="I45" s="38">
        <v>44197</v>
      </c>
      <c r="J45" s="38">
        <v>44561</v>
      </c>
      <c r="K45" s="42">
        <v>1</v>
      </c>
      <c r="L45" s="61">
        <v>0.4</v>
      </c>
      <c r="M45" s="3">
        <f t="shared" si="3"/>
        <v>0.4</v>
      </c>
      <c r="N45" s="7" t="s">
        <v>206</v>
      </c>
      <c r="O45" s="8">
        <v>10000000</v>
      </c>
      <c r="P45" s="98"/>
      <c r="Q45" s="98"/>
      <c r="R45" s="98"/>
      <c r="S45" s="111">
        <f t="shared" si="8"/>
        <v>10000000</v>
      </c>
      <c r="T45" s="8">
        <v>6000000</v>
      </c>
      <c r="U45" s="8"/>
      <c r="V45" s="8"/>
      <c r="W45" s="8"/>
      <c r="X45" s="130">
        <f t="shared" si="9"/>
        <v>6000000</v>
      </c>
      <c r="Y45" s="24">
        <f t="shared" si="10"/>
        <v>0.6</v>
      </c>
      <c r="Z45" s="23">
        <v>1000000</v>
      </c>
      <c r="AA45" s="9" t="s">
        <v>171</v>
      </c>
      <c r="AB45" s="9" t="s">
        <v>185</v>
      </c>
    </row>
    <row r="46" spans="1:28" ht="42.6" customHeight="1" x14ac:dyDescent="0.25">
      <c r="A46" s="138" t="s">
        <v>30</v>
      </c>
      <c r="B46" s="138" t="s">
        <v>33</v>
      </c>
      <c r="C46" s="136" t="s">
        <v>112</v>
      </c>
      <c r="D46" s="134" t="s">
        <v>113</v>
      </c>
      <c r="E46" s="2" t="s">
        <v>114</v>
      </c>
      <c r="F46" s="158"/>
      <c r="G46" s="159"/>
      <c r="H46" s="164"/>
      <c r="I46" s="38">
        <v>44197</v>
      </c>
      <c r="J46" s="38">
        <v>44561</v>
      </c>
      <c r="K46" s="154">
        <v>1</v>
      </c>
      <c r="L46" s="165">
        <v>0.4</v>
      </c>
      <c r="M46" s="150">
        <f t="shared" si="3"/>
        <v>0.4</v>
      </c>
      <c r="N46" s="7" t="s">
        <v>257</v>
      </c>
      <c r="O46" s="8">
        <f>20000000</f>
        <v>20000000</v>
      </c>
      <c r="P46" s="98"/>
      <c r="Q46" s="98"/>
      <c r="R46" s="98"/>
      <c r="S46" s="140">
        <f>SUM(O46:R47)</f>
        <v>85000000</v>
      </c>
      <c r="T46" s="8">
        <v>6000000</v>
      </c>
      <c r="U46" s="8"/>
      <c r="V46" s="8"/>
      <c r="W46" s="8"/>
      <c r="X46" s="142">
        <f>SUM(T46:W47)</f>
        <v>6000000</v>
      </c>
      <c r="Y46" s="144">
        <f>IFERROR(X46/S46,"-")</f>
        <v>7.0588235294117646E-2</v>
      </c>
      <c r="Z46" s="148">
        <v>1000000</v>
      </c>
      <c r="AA46" s="146" t="s">
        <v>171</v>
      </c>
      <c r="AB46" s="146" t="s">
        <v>185</v>
      </c>
    </row>
    <row r="47" spans="1:28" ht="36.6" customHeight="1" x14ac:dyDescent="0.25">
      <c r="A47" s="139"/>
      <c r="B47" s="139"/>
      <c r="C47" s="137"/>
      <c r="D47" s="135"/>
      <c r="E47" s="124"/>
      <c r="F47" s="121"/>
      <c r="G47" s="127" t="s">
        <v>229</v>
      </c>
      <c r="H47" s="48"/>
      <c r="I47" s="38"/>
      <c r="J47" s="38"/>
      <c r="K47" s="155"/>
      <c r="L47" s="166"/>
      <c r="M47" s="151"/>
      <c r="N47" s="7" t="s">
        <v>256</v>
      </c>
      <c r="O47" s="8">
        <v>65000000</v>
      </c>
      <c r="P47" s="98"/>
      <c r="Q47" s="98"/>
      <c r="R47" s="98"/>
      <c r="S47" s="141"/>
      <c r="T47" s="8"/>
      <c r="U47" s="8"/>
      <c r="V47" s="8"/>
      <c r="W47" s="8"/>
      <c r="X47" s="143"/>
      <c r="Y47" s="145"/>
      <c r="Z47" s="149"/>
      <c r="AA47" s="147"/>
      <c r="AB47" s="147"/>
    </row>
    <row r="48" spans="1:28" ht="151.94999999999999" customHeight="1" x14ac:dyDescent="0.25">
      <c r="A48" s="41" t="s">
        <v>30</v>
      </c>
      <c r="B48" s="41" t="s">
        <v>33</v>
      </c>
      <c r="C48" s="90" t="s">
        <v>112</v>
      </c>
      <c r="D48" s="54" t="s">
        <v>115</v>
      </c>
      <c r="E48" s="2" t="s">
        <v>116</v>
      </c>
      <c r="F48" s="158">
        <v>20200680010106</v>
      </c>
      <c r="G48" s="159" t="s">
        <v>177</v>
      </c>
      <c r="H48" s="48"/>
      <c r="I48" s="38">
        <v>44197</v>
      </c>
      <c r="J48" s="38">
        <v>44561</v>
      </c>
      <c r="K48" s="42">
        <v>4</v>
      </c>
      <c r="L48" s="58">
        <v>2</v>
      </c>
      <c r="M48" s="3">
        <f t="shared" si="3"/>
        <v>0.5</v>
      </c>
      <c r="N48" s="7" t="s">
        <v>206</v>
      </c>
      <c r="O48" s="8">
        <f>30000000+10000000+2000000</f>
        <v>42000000</v>
      </c>
      <c r="P48" s="98"/>
      <c r="Q48" s="98"/>
      <c r="R48" s="98"/>
      <c r="S48" s="111">
        <f t="shared" si="8"/>
        <v>42000000</v>
      </c>
      <c r="T48" s="8">
        <f>16000000+12000000+13731290</f>
        <v>41731290</v>
      </c>
      <c r="U48" s="8"/>
      <c r="V48" s="8"/>
      <c r="W48" s="8"/>
      <c r="X48" s="130">
        <f t="shared" ref="X48:X54" si="11">SUM(T48:W48)</f>
        <v>41731290</v>
      </c>
      <c r="Y48" s="24">
        <f t="shared" si="10"/>
        <v>0.99360214285714288</v>
      </c>
      <c r="Z48" s="23">
        <v>1000000</v>
      </c>
      <c r="AA48" s="9" t="s">
        <v>171</v>
      </c>
      <c r="AB48" s="9" t="s">
        <v>185</v>
      </c>
    </row>
    <row r="49" spans="1:28" ht="87" customHeight="1" x14ac:dyDescent="0.25">
      <c r="A49" s="41" t="s">
        <v>30</v>
      </c>
      <c r="B49" s="41" t="s">
        <v>33</v>
      </c>
      <c r="C49" s="90" t="s">
        <v>112</v>
      </c>
      <c r="D49" s="54" t="s">
        <v>119</v>
      </c>
      <c r="E49" s="2" t="s">
        <v>120</v>
      </c>
      <c r="F49" s="158"/>
      <c r="G49" s="159"/>
      <c r="H49" s="48"/>
      <c r="I49" s="38">
        <v>44197</v>
      </c>
      <c r="J49" s="38">
        <v>44561</v>
      </c>
      <c r="K49" s="43">
        <v>1</v>
      </c>
      <c r="L49" s="63">
        <v>1</v>
      </c>
      <c r="M49" s="3">
        <f t="shared" si="3"/>
        <v>1</v>
      </c>
      <c r="N49" s="7" t="s">
        <v>206</v>
      </c>
      <c r="O49" s="8">
        <v>30000000</v>
      </c>
      <c r="P49" s="98"/>
      <c r="Q49" s="98"/>
      <c r="R49" s="98"/>
      <c r="S49" s="111">
        <f t="shared" si="8"/>
        <v>30000000</v>
      </c>
      <c r="T49" s="8">
        <f>16000000+12000000</f>
        <v>28000000</v>
      </c>
      <c r="U49" s="8"/>
      <c r="V49" s="8"/>
      <c r="W49" s="8"/>
      <c r="X49" s="130">
        <f t="shared" si="11"/>
        <v>28000000</v>
      </c>
      <c r="Y49" s="24">
        <f t="shared" si="10"/>
        <v>0.93333333333333335</v>
      </c>
      <c r="Z49" s="23">
        <v>1000000</v>
      </c>
      <c r="AA49" s="9" t="s">
        <v>171</v>
      </c>
      <c r="AB49" s="9" t="s">
        <v>185</v>
      </c>
    </row>
    <row r="50" spans="1:28" ht="155.4" customHeight="1" x14ac:dyDescent="0.25">
      <c r="A50" s="41" t="s">
        <v>30</v>
      </c>
      <c r="B50" s="41" t="s">
        <v>33</v>
      </c>
      <c r="C50" s="90" t="s">
        <v>97</v>
      </c>
      <c r="D50" s="54" t="s">
        <v>102</v>
      </c>
      <c r="E50" s="2" t="s">
        <v>103</v>
      </c>
      <c r="F50" s="158"/>
      <c r="G50" s="159"/>
      <c r="H50" s="7" t="s">
        <v>204</v>
      </c>
      <c r="I50" s="38">
        <v>44197</v>
      </c>
      <c r="J50" s="38">
        <v>44561</v>
      </c>
      <c r="K50" s="42">
        <v>1</v>
      </c>
      <c r="L50" s="58">
        <v>1</v>
      </c>
      <c r="M50" s="3">
        <f t="shared" si="3"/>
        <v>1</v>
      </c>
      <c r="N50" s="7" t="s">
        <v>206</v>
      </c>
      <c r="O50" s="8">
        <v>30000000</v>
      </c>
      <c r="P50" s="98"/>
      <c r="Q50" s="98"/>
      <c r="R50" s="98"/>
      <c r="S50" s="111">
        <f t="shared" si="8"/>
        <v>30000000</v>
      </c>
      <c r="T50" s="8">
        <v>24000000</v>
      </c>
      <c r="U50" s="8"/>
      <c r="V50" s="8"/>
      <c r="W50" s="8"/>
      <c r="X50" s="130">
        <f t="shared" si="11"/>
        <v>24000000</v>
      </c>
      <c r="Y50" s="24">
        <f t="shared" si="10"/>
        <v>0.8</v>
      </c>
      <c r="Z50" s="23">
        <v>1000000</v>
      </c>
      <c r="AA50" s="9" t="s">
        <v>171</v>
      </c>
      <c r="AB50" s="9" t="s">
        <v>185</v>
      </c>
    </row>
    <row r="51" spans="1:28" ht="95.4" customHeight="1" x14ac:dyDescent="0.25">
      <c r="A51" s="41" t="s">
        <v>30</v>
      </c>
      <c r="B51" s="41" t="s">
        <v>33</v>
      </c>
      <c r="C51" s="90" t="s">
        <v>97</v>
      </c>
      <c r="D51" s="54" t="s">
        <v>104</v>
      </c>
      <c r="E51" s="2" t="s">
        <v>105</v>
      </c>
      <c r="F51" s="158"/>
      <c r="G51" s="159"/>
      <c r="H51" s="7" t="s">
        <v>203</v>
      </c>
      <c r="I51" s="38">
        <v>44197</v>
      </c>
      <c r="J51" s="38">
        <v>44561</v>
      </c>
      <c r="K51" s="43">
        <v>1</v>
      </c>
      <c r="L51" s="63">
        <v>1</v>
      </c>
      <c r="M51" s="3">
        <f t="shared" si="3"/>
        <v>1</v>
      </c>
      <c r="N51" s="7" t="s">
        <v>206</v>
      </c>
      <c r="O51" s="8">
        <v>11000000</v>
      </c>
      <c r="P51" s="98"/>
      <c r="Q51" s="98"/>
      <c r="R51" s="98"/>
      <c r="S51" s="111">
        <f t="shared" si="8"/>
        <v>11000000</v>
      </c>
      <c r="T51" s="8"/>
      <c r="U51" s="8"/>
      <c r="V51" s="8"/>
      <c r="W51" s="8"/>
      <c r="X51" s="130">
        <f t="shared" si="11"/>
        <v>0</v>
      </c>
      <c r="Y51" s="24">
        <f t="shared" si="10"/>
        <v>0</v>
      </c>
      <c r="Z51" s="23">
        <v>1000000</v>
      </c>
      <c r="AA51" s="9" t="s">
        <v>171</v>
      </c>
      <c r="AB51" s="9" t="s">
        <v>185</v>
      </c>
    </row>
    <row r="52" spans="1:28" ht="144.6" customHeight="1" x14ac:dyDescent="0.25">
      <c r="A52" s="41" t="s">
        <v>30</v>
      </c>
      <c r="B52" s="41" t="s">
        <v>33</v>
      </c>
      <c r="C52" s="90" t="s">
        <v>97</v>
      </c>
      <c r="D52" s="54" t="s">
        <v>106</v>
      </c>
      <c r="E52" s="2" t="s">
        <v>107</v>
      </c>
      <c r="F52" s="158"/>
      <c r="G52" s="159"/>
      <c r="H52" s="7" t="s">
        <v>202</v>
      </c>
      <c r="I52" s="38">
        <v>44197</v>
      </c>
      <c r="J52" s="38">
        <v>44561</v>
      </c>
      <c r="K52" s="42">
        <v>1</v>
      </c>
      <c r="L52" s="58">
        <v>1</v>
      </c>
      <c r="M52" s="3">
        <f t="shared" si="3"/>
        <v>1</v>
      </c>
      <c r="N52" s="7" t="s">
        <v>206</v>
      </c>
      <c r="O52" s="8">
        <v>10000000</v>
      </c>
      <c r="P52" s="98"/>
      <c r="Q52" s="98"/>
      <c r="R52" s="98"/>
      <c r="S52" s="111">
        <f t="shared" si="8"/>
        <v>10000000</v>
      </c>
      <c r="T52" s="8"/>
      <c r="U52" s="8"/>
      <c r="V52" s="8"/>
      <c r="W52" s="8"/>
      <c r="X52" s="130">
        <f t="shared" si="11"/>
        <v>0</v>
      </c>
      <c r="Y52" s="24">
        <f t="shared" si="10"/>
        <v>0</v>
      </c>
      <c r="Z52" s="23">
        <v>1000000</v>
      </c>
      <c r="AA52" s="9" t="s">
        <v>171</v>
      </c>
      <c r="AB52" s="9" t="s">
        <v>185</v>
      </c>
    </row>
    <row r="53" spans="1:28" ht="94.95" customHeight="1" x14ac:dyDescent="0.25">
      <c r="A53" s="41" t="s">
        <v>30</v>
      </c>
      <c r="B53" s="41" t="s">
        <v>33</v>
      </c>
      <c r="C53" s="90" t="s">
        <v>97</v>
      </c>
      <c r="D53" s="54" t="s">
        <v>108</v>
      </c>
      <c r="E53" s="2" t="s">
        <v>109</v>
      </c>
      <c r="F53" s="158"/>
      <c r="G53" s="159"/>
      <c r="H53" s="7" t="s">
        <v>201</v>
      </c>
      <c r="I53" s="38">
        <v>44197</v>
      </c>
      <c r="J53" s="38">
        <v>44561</v>
      </c>
      <c r="K53" s="42">
        <v>1</v>
      </c>
      <c r="L53" s="58">
        <v>1</v>
      </c>
      <c r="M53" s="3">
        <f t="shared" si="3"/>
        <v>1</v>
      </c>
      <c r="N53" s="7" t="s">
        <v>206</v>
      </c>
      <c r="O53" s="8">
        <v>24000000</v>
      </c>
      <c r="P53" s="98"/>
      <c r="Q53" s="98"/>
      <c r="R53" s="98"/>
      <c r="S53" s="111">
        <f t="shared" si="8"/>
        <v>24000000</v>
      </c>
      <c r="T53" s="8">
        <v>24000000</v>
      </c>
      <c r="U53" s="8"/>
      <c r="V53" s="8"/>
      <c r="W53" s="8"/>
      <c r="X53" s="130">
        <f t="shared" si="11"/>
        <v>24000000</v>
      </c>
      <c r="Y53" s="24">
        <f t="shared" si="10"/>
        <v>1</v>
      </c>
      <c r="Z53" s="23">
        <v>1000000</v>
      </c>
      <c r="AA53" s="9" t="s">
        <v>171</v>
      </c>
      <c r="AB53" s="9" t="s">
        <v>185</v>
      </c>
    </row>
    <row r="54" spans="1:28" ht="125.4" customHeight="1" x14ac:dyDescent="0.25">
      <c r="A54" s="41" t="s">
        <v>30</v>
      </c>
      <c r="B54" s="41" t="s">
        <v>33</v>
      </c>
      <c r="C54" s="90" t="s">
        <v>112</v>
      </c>
      <c r="D54" s="54" t="s">
        <v>117</v>
      </c>
      <c r="E54" s="2" t="s">
        <v>118</v>
      </c>
      <c r="F54" s="158"/>
      <c r="G54" s="159"/>
      <c r="H54" s="7" t="s">
        <v>201</v>
      </c>
      <c r="I54" s="38">
        <v>44197</v>
      </c>
      <c r="J54" s="38">
        <v>44561</v>
      </c>
      <c r="K54" s="42">
        <v>1</v>
      </c>
      <c r="L54" s="58">
        <v>1</v>
      </c>
      <c r="M54" s="3">
        <f t="shared" si="3"/>
        <v>1</v>
      </c>
      <c r="N54" s="7" t="s">
        <v>206</v>
      </c>
      <c r="O54" s="8">
        <v>15000000</v>
      </c>
      <c r="P54" s="98"/>
      <c r="Q54" s="98"/>
      <c r="R54" s="98"/>
      <c r="S54" s="111">
        <f t="shared" si="8"/>
        <v>15000000</v>
      </c>
      <c r="T54" s="8">
        <v>12000000</v>
      </c>
      <c r="U54" s="8"/>
      <c r="V54" s="8"/>
      <c r="W54" s="8"/>
      <c r="X54" s="130">
        <f t="shared" si="11"/>
        <v>12000000</v>
      </c>
      <c r="Y54" s="24">
        <f t="shared" si="10"/>
        <v>0.8</v>
      </c>
      <c r="Z54" s="23">
        <v>1000000</v>
      </c>
      <c r="AA54" s="9" t="s">
        <v>171</v>
      </c>
      <c r="AB54" s="9" t="s">
        <v>185</v>
      </c>
    </row>
    <row r="55" spans="1:28" ht="70.2" customHeight="1" x14ac:dyDescent="0.25">
      <c r="A55" s="138" t="s">
        <v>30</v>
      </c>
      <c r="B55" s="138" t="s">
        <v>33</v>
      </c>
      <c r="C55" s="136" t="s">
        <v>121</v>
      </c>
      <c r="D55" s="134" t="s">
        <v>124</v>
      </c>
      <c r="E55" s="197" t="s">
        <v>125</v>
      </c>
      <c r="F55" s="121"/>
      <c r="G55" s="34" t="s">
        <v>222</v>
      </c>
      <c r="H55" s="7"/>
      <c r="I55" s="47"/>
      <c r="J55" s="47"/>
      <c r="K55" s="154">
        <v>284</v>
      </c>
      <c r="L55" s="165">
        <v>250</v>
      </c>
      <c r="M55" s="150">
        <f>IFERROR(IF(L55/K55&gt;100%,100%,L55/K55),"-")</f>
        <v>0.88028169014084512</v>
      </c>
      <c r="N55" s="7" t="s">
        <v>245</v>
      </c>
      <c r="O55" s="102">
        <f>201016480+318600000+281400000-60000000</f>
        <v>741016480</v>
      </c>
      <c r="P55" s="105"/>
      <c r="Q55" s="98"/>
      <c r="R55" s="98"/>
      <c r="S55" s="140">
        <f>SUM(O55:R56)</f>
        <v>1711000000</v>
      </c>
      <c r="T55" s="8"/>
      <c r="U55" s="8"/>
      <c r="V55" s="8"/>
      <c r="W55" s="8"/>
      <c r="X55" s="142">
        <f>SUM(T55:W56)</f>
        <v>956234191</v>
      </c>
      <c r="Y55" s="144">
        <f t="shared" si="10"/>
        <v>0.55887445412039738</v>
      </c>
      <c r="Z55" s="148"/>
      <c r="AA55" s="146" t="s">
        <v>171</v>
      </c>
      <c r="AB55" s="146" t="s">
        <v>185</v>
      </c>
    </row>
    <row r="56" spans="1:28" ht="82.95" customHeight="1" x14ac:dyDescent="0.25">
      <c r="A56" s="139"/>
      <c r="B56" s="139"/>
      <c r="C56" s="137"/>
      <c r="D56" s="135"/>
      <c r="E56" s="198"/>
      <c r="F56" s="158">
        <v>20200680010050</v>
      </c>
      <c r="G56" s="159" t="s">
        <v>178</v>
      </c>
      <c r="H56" s="161" t="s">
        <v>192</v>
      </c>
      <c r="I56" s="74">
        <v>44197</v>
      </c>
      <c r="J56" s="74">
        <v>44561</v>
      </c>
      <c r="K56" s="155"/>
      <c r="L56" s="166"/>
      <c r="M56" s="151"/>
      <c r="N56" s="70" t="s">
        <v>228</v>
      </c>
      <c r="O56" s="102">
        <v>6983520</v>
      </c>
      <c r="P56" s="105">
        <f>913000000+50000000</f>
        <v>963000000</v>
      </c>
      <c r="Q56" s="106"/>
      <c r="R56" s="106"/>
      <c r="S56" s="141"/>
      <c r="T56" s="8"/>
      <c r="U56" s="8">
        <f>116814858+839419333</f>
        <v>956234191</v>
      </c>
      <c r="V56" s="8"/>
      <c r="W56" s="8"/>
      <c r="X56" s="143"/>
      <c r="Y56" s="145"/>
      <c r="Z56" s="149"/>
      <c r="AA56" s="147"/>
      <c r="AB56" s="147"/>
    </row>
    <row r="57" spans="1:28" ht="97.2" customHeight="1" x14ac:dyDescent="0.25">
      <c r="A57" s="138" t="s">
        <v>30</v>
      </c>
      <c r="B57" s="138" t="s">
        <v>33</v>
      </c>
      <c r="C57" s="136" t="s">
        <v>121</v>
      </c>
      <c r="D57" s="134" t="s">
        <v>122</v>
      </c>
      <c r="E57" s="2" t="s">
        <v>123</v>
      </c>
      <c r="F57" s="158"/>
      <c r="G57" s="159"/>
      <c r="H57" s="161"/>
      <c r="I57" s="38">
        <v>44197</v>
      </c>
      <c r="J57" s="38">
        <v>44561</v>
      </c>
      <c r="K57" s="154">
        <v>1</v>
      </c>
      <c r="L57" s="152">
        <v>1</v>
      </c>
      <c r="M57" s="150">
        <f t="shared" si="3"/>
        <v>1</v>
      </c>
      <c r="N57" s="7" t="s">
        <v>258</v>
      </c>
      <c r="O57" s="8">
        <f>130000000</f>
        <v>130000000</v>
      </c>
      <c r="P57" s="107">
        <f>119000000-50000000</f>
        <v>69000000</v>
      </c>
      <c r="Q57" s="98"/>
      <c r="R57" s="98"/>
      <c r="S57" s="140">
        <f>SUM(O57:R58)</f>
        <v>304000000</v>
      </c>
      <c r="T57" s="8">
        <f>89600000-12000000+14400000+14400000+24000000+56000000</f>
        <v>186400000</v>
      </c>
      <c r="U57" s="8"/>
      <c r="V57" s="8"/>
      <c r="W57" s="8"/>
      <c r="X57" s="142">
        <f>SUM(T57:W58)</f>
        <v>186400000</v>
      </c>
      <c r="Y57" s="144">
        <f>IFERROR(X57/S57,"-")</f>
        <v>0.61315789473684212</v>
      </c>
      <c r="Z57" s="148"/>
      <c r="AA57" s="146" t="s">
        <v>171</v>
      </c>
      <c r="AB57" s="146" t="s">
        <v>185</v>
      </c>
    </row>
    <row r="58" spans="1:28" ht="43.2" customHeight="1" x14ac:dyDescent="0.25">
      <c r="A58" s="139"/>
      <c r="B58" s="139"/>
      <c r="C58" s="137"/>
      <c r="D58" s="135"/>
      <c r="E58" s="124"/>
      <c r="F58" s="121"/>
      <c r="G58" s="46" t="s">
        <v>246</v>
      </c>
      <c r="H58" s="48"/>
      <c r="I58" s="38"/>
      <c r="J58" s="38"/>
      <c r="K58" s="155"/>
      <c r="L58" s="153"/>
      <c r="M58" s="151"/>
      <c r="N58" s="7" t="s">
        <v>259</v>
      </c>
      <c r="O58" s="8">
        <f>45000000+60000000</f>
        <v>105000000</v>
      </c>
      <c r="P58" s="107"/>
      <c r="Q58" s="98"/>
      <c r="R58" s="98"/>
      <c r="S58" s="141"/>
      <c r="T58" s="8"/>
      <c r="U58" s="8"/>
      <c r="V58" s="8"/>
      <c r="W58" s="8"/>
      <c r="X58" s="143"/>
      <c r="Y58" s="145"/>
      <c r="Z58" s="149"/>
      <c r="AA58" s="147"/>
      <c r="AB58" s="147"/>
    </row>
    <row r="59" spans="1:28" ht="82.8" customHeight="1" x14ac:dyDescent="0.25">
      <c r="A59" s="41" t="s">
        <v>30</v>
      </c>
      <c r="B59" s="41" t="s">
        <v>33</v>
      </c>
      <c r="C59" s="90" t="s">
        <v>121</v>
      </c>
      <c r="D59" s="54" t="s">
        <v>126</v>
      </c>
      <c r="E59" s="2" t="s">
        <v>127</v>
      </c>
      <c r="F59" s="158">
        <v>20200680010050</v>
      </c>
      <c r="G59" s="159" t="s">
        <v>178</v>
      </c>
      <c r="H59" s="162" t="s">
        <v>192</v>
      </c>
      <c r="I59" s="38">
        <v>44197</v>
      </c>
      <c r="J59" s="38">
        <v>44561</v>
      </c>
      <c r="K59" s="42">
        <v>1</v>
      </c>
      <c r="L59" s="61">
        <v>0.6</v>
      </c>
      <c r="M59" s="3">
        <f t="shared" si="3"/>
        <v>0.6</v>
      </c>
      <c r="N59" s="7" t="s">
        <v>228</v>
      </c>
      <c r="O59" s="8">
        <v>12000000</v>
      </c>
      <c r="P59" s="107">
        <v>18000000</v>
      </c>
      <c r="Q59" s="98"/>
      <c r="R59" s="98"/>
      <c r="S59" s="111">
        <f>SUM(O59:R59)</f>
        <v>30000000</v>
      </c>
      <c r="T59" s="8">
        <v>12000000</v>
      </c>
      <c r="U59" s="8"/>
      <c r="V59" s="8"/>
      <c r="W59" s="8"/>
      <c r="X59" s="130">
        <f>SUM(T59:W59)</f>
        <v>12000000</v>
      </c>
      <c r="Y59" s="24">
        <f>IFERROR(X59/S59,"-")</f>
        <v>0.4</v>
      </c>
      <c r="Z59" s="23"/>
      <c r="AA59" s="9" t="s">
        <v>171</v>
      </c>
      <c r="AB59" s="9" t="s">
        <v>185</v>
      </c>
    </row>
    <row r="60" spans="1:28" ht="85.8" customHeight="1" x14ac:dyDescent="0.25">
      <c r="A60" s="41" t="s">
        <v>30</v>
      </c>
      <c r="B60" s="41" t="s">
        <v>33</v>
      </c>
      <c r="C60" s="90" t="s">
        <v>121</v>
      </c>
      <c r="D60" s="54" t="s">
        <v>128</v>
      </c>
      <c r="E60" s="2" t="s">
        <v>129</v>
      </c>
      <c r="F60" s="158"/>
      <c r="G60" s="159"/>
      <c r="H60" s="163"/>
      <c r="I60" s="38">
        <v>44197</v>
      </c>
      <c r="J60" s="38">
        <v>44561</v>
      </c>
      <c r="K60" s="43">
        <v>1</v>
      </c>
      <c r="L60" s="61">
        <v>1</v>
      </c>
      <c r="M60" s="3">
        <f t="shared" si="3"/>
        <v>1</v>
      </c>
      <c r="N60" s="7" t="s">
        <v>213</v>
      </c>
      <c r="O60" s="8"/>
      <c r="P60" s="107">
        <v>60000000</v>
      </c>
      <c r="Q60" s="98"/>
      <c r="R60" s="98"/>
      <c r="S60" s="111">
        <f>SUM(O60:R60)</f>
        <v>60000000</v>
      </c>
      <c r="T60" s="8"/>
      <c r="U60" s="8">
        <f>13050000+46950000</f>
        <v>60000000</v>
      </c>
      <c r="V60" s="8"/>
      <c r="W60" s="8"/>
      <c r="X60" s="130">
        <f>SUM(T60:W60)</f>
        <v>60000000</v>
      </c>
      <c r="Y60" s="24">
        <f>IFERROR(X60/S60,"-")</f>
        <v>1</v>
      </c>
      <c r="Z60" s="23"/>
      <c r="AA60" s="9" t="s">
        <v>171</v>
      </c>
      <c r="AB60" s="9" t="s">
        <v>185</v>
      </c>
    </row>
    <row r="61" spans="1:28" ht="40.950000000000003" customHeight="1" x14ac:dyDescent="0.25">
      <c r="A61" s="138" t="s">
        <v>30</v>
      </c>
      <c r="B61" s="138" t="s">
        <v>33</v>
      </c>
      <c r="C61" s="136" t="s">
        <v>130</v>
      </c>
      <c r="D61" s="134" t="s">
        <v>131</v>
      </c>
      <c r="E61" s="188" t="s">
        <v>132</v>
      </c>
      <c r="F61" s="122"/>
      <c r="G61" s="67" t="s">
        <v>222</v>
      </c>
      <c r="H61" s="71"/>
      <c r="I61" s="38"/>
      <c r="J61" s="38"/>
      <c r="K61" s="154">
        <v>250</v>
      </c>
      <c r="L61" s="152">
        <v>1</v>
      </c>
      <c r="M61" s="150">
        <f>IFERROR(IF(L61/K61&gt;100%,100%,L61/K61),"-")</f>
        <v>4.0000000000000001E-3</v>
      </c>
      <c r="N61" s="7" t="s">
        <v>214</v>
      </c>
      <c r="O61" s="8">
        <v>20023866</v>
      </c>
      <c r="P61" s="107"/>
      <c r="Q61" s="98"/>
      <c r="R61" s="98"/>
      <c r="S61" s="140">
        <f>SUM(O61:R62)</f>
        <v>970000000</v>
      </c>
      <c r="T61" s="8"/>
      <c r="U61" s="8"/>
      <c r="V61" s="8"/>
      <c r="W61" s="8"/>
      <c r="X61" s="142">
        <f>SUM(T61:W62)</f>
        <v>60000000</v>
      </c>
      <c r="Y61" s="144">
        <f>IFERROR(X61/S61,"-")</f>
        <v>6.1855670103092786E-2</v>
      </c>
      <c r="Z61" s="148"/>
      <c r="AA61" s="146" t="s">
        <v>171</v>
      </c>
      <c r="AB61" s="146" t="s">
        <v>185</v>
      </c>
    </row>
    <row r="62" spans="1:28" ht="78.599999999999994" customHeight="1" x14ac:dyDescent="0.25">
      <c r="A62" s="139"/>
      <c r="B62" s="139"/>
      <c r="C62" s="137"/>
      <c r="D62" s="135"/>
      <c r="E62" s="189"/>
      <c r="F62" s="158">
        <v>20200680010121</v>
      </c>
      <c r="G62" s="167" t="s">
        <v>252</v>
      </c>
      <c r="H62" s="168" t="s">
        <v>190</v>
      </c>
      <c r="I62" s="38">
        <v>44197</v>
      </c>
      <c r="J62" s="38">
        <v>44561</v>
      </c>
      <c r="K62" s="155"/>
      <c r="L62" s="153"/>
      <c r="M62" s="151"/>
      <c r="N62" s="62" t="s">
        <v>227</v>
      </c>
      <c r="O62" s="8">
        <f>410000000-10000000-20000000-O61</f>
        <v>359976134</v>
      </c>
      <c r="P62" s="107">
        <v>590000000</v>
      </c>
      <c r="Q62" s="107"/>
      <c r="R62" s="107"/>
      <c r="S62" s="141"/>
      <c r="T62" s="8">
        <f>36000000+24000000</f>
        <v>60000000</v>
      </c>
      <c r="U62" s="8"/>
      <c r="V62" s="8"/>
      <c r="W62" s="8"/>
      <c r="X62" s="143"/>
      <c r="Y62" s="145"/>
      <c r="Z62" s="149"/>
      <c r="AA62" s="147"/>
      <c r="AB62" s="147"/>
    </row>
    <row r="63" spans="1:28" ht="106.95" customHeight="1" x14ac:dyDescent="0.25">
      <c r="A63" s="138" t="s">
        <v>30</v>
      </c>
      <c r="B63" s="138" t="s">
        <v>33</v>
      </c>
      <c r="C63" s="136" t="s">
        <v>130</v>
      </c>
      <c r="D63" s="134" t="s">
        <v>133</v>
      </c>
      <c r="E63" s="2" t="s">
        <v>134</v>
      </c>
      <c r="F63" s="158"/>
      <c r="G63" s="167"/>
      <c r="H63" s="168"/>
      <c r="I63" s="38">
        <v>44197</v>
      </c>
      <c r="J63" s="38">
        <v>44561</v>
      </c>
      <c r="K63" s="154">
        <v>1</v>
      </c>
      <c r="L63" s="156">
        <v>0.1</v>
      </c>
      <c r="M63" s="150">
        <f t="shared" si="3"/>
        <v>0.1</v>
      </c>
      <c r="N63" s="109" t="s">
        <v>253</v>
      </c>
      <c r="O63" s="8">
        <f>50000000-24000000</f>
        <v>26000000</v>
      </c>
      <c r="P63" s="107"/>
      <c r="Q63" s="107"/>
      <c r="R63" s="107"/>
      <c r="S63" s="140">
        <f>SUM(O63:R64)</f>
        <v>51000000</v>
      </c>
      <c r="T63" s="8">
        <v>4000000</v>
      </c>
      <c r="U63" s="8"/>
      <c r="V63" s="8"/>
      <c r="W63" s="8"/>
      <c r="X63" s="142">
        <f>SUM(T63:W64)</f>
        <v>4000000</v>
      </c>
      <c r="Y63" s="144">
        <f>IFERROR(X63/S63,"-")</f>
        <v>7.8431372549019607E-2</v>
      </c>
      <c r="Z63" s="148"/>
      <c r="AA63" s="146" t="s">
        <v>171</v>
      </c>
      <c r="AB63" s="146" t="s">
        <v>185</v>
      </c>
    </row>
    <row r="64" spans="1:28" ht="37.200000000000003" customHeight="1" x14ac:dyDescent="0.25">
      <c r="A64" s="139"/>
      <c r="B64" s="139"/>
      <c r="C64" s="137"/>
      <c r="D64" s="135"/>
      <c r="E64" s="2"/>
      <c r="F64" s="122"/>
      <c r="G64" s="118" t="s">
        <v>229</v>
      </c>
      <c r="H64" s="115"/>
      <c r="I64" s="38"/>
      <c r="J64" s="38"/>
      <c r="K64" s="155"/>
      <c r="L64" s="157"/>
      <c r="M64" s="151"/>
      <c r="N64" s="109" t="s">
        <v>254</v>
      </c>
      <c r="O64" s="8">
        <v>25000000</v>
      </c>
      <c r="P64" s="107"/>
      <c r="Q64" s="107"/>
      <c r="R64" s="107"/>
      <c r="S64" s="141"/>
      <c r="T64" s="8"/>
      <c r="U64" s="8"/>
      <c r="V64" s="8"/>
      <c r="W64" s="8"/>
      <c r="X64" s="143"/>
      <c r="Y64" s="145"/>
      <c r="Z64" s="149"/>
      <c r="AA64" s="147"/>
      <c r="AB64" s="147"/>
    </row>
    <row r="65" spans="1:28" ht="117.6" customHeight="1" x14ac:dyDescent="0.25">
      <c r="A65" s="41" t="s">
        <v>30</v>
      </c>
      <c r="B65" s="41" t="s">
        <v>33</v>
      </c>
      <c r="C65" s="90" t="s">
        <v>130</v>
      </c>
      <c r="D65" s="54" t="s">
        <v>135</v>
      </c>
      <c r="E65" s="2" t="s">
        <v>136</v>
      </c>
      <c r="F65" s="169">
        <v>20200680010121</v>
      </c>
      <c r="G65" s="172" t="s">
        <v>252</v>
      </c>
      <c r="H65" s="175" t="s">
        <v>190</v>
      </c>
      <c r="I65" s="38">
        <v>44197</v>
      </c>
      <c r="J65" s="38">
        <v>44561</v>
      </c>
      <c r="K65" s="42">
        <v>1</v>
      </c>
      <c r="L65" s="60">
        <v>0.3</v>
      </c>
      <c r="M65" s="3">
        <f t="shared" si="3"/>
        <v>0.3</v>
      </c>
      <c r="N65" s="62" t="s">
        <v>227</v>
      </c>
      <c r="O65" s="8">
        <f>20000000+10000000+20000000+24000000</f>
        <v>74000000</v>
      </c>
      <c r="P65" s="107">
        <v>180000000</v>
      </c>
      <c r="Q65" s="107"/>
      <c r="R65" s="107"/>
      <c r="S65" s="111">
        <f>SUM(O65:R65)</f>
        <v>254000000</v>
      </c>
      <c r="T65" s="8">
        <f>24000000+16000000+24000000-18100000+19500000</f>
        <v>65400000</v>
      </c>
      <c r="U65" s="8"/>
      <c r="V65" s="8"/>
      <c r="W65" s="8"/>
      <c r="X65" s="130">
        <f>SUM(T65:W65)</f>
        <v>65400000</v>
      </c>
      <c r="Y65" s="24">
        <f t="shared" ref="Y65:Y70" si="12">IFERROR(X65/S65,"-")</f>
        <v>0.2574803149606299</v>
      </c>
      <c r="Z65" s="23"/>
      <c r="AA65" s="9" t="s">
        <v>171</v>
      </c>
      <c r="AB65" s="9" t="s">
        <v>185</v>
      </c>
    </row>
    <row r="66" spans="1:28" ht="103.2" customHeight="1" x14ac:dyDescent="0.25">
      <c r="A66" s="41" t="s">
        <v>30</v>
      </c>
      <c r="B66" s="41" t="s">
        <v>33</v>
      </c>
      <c r="C66" s="90" t="s">
        <v>130</v>
      </c>
      <c r="D66" s="54" t="s">
        <v>137</v>
      </c>
      <c r="E66" s="2" t="s">
        <v>138</v>
      </c>
      <c r="F66" s="170"/>
      <c r="G66" s="173"/>
      <c r="H66" s="176"/>
      <c r="I66" s="38">
        <v>44197</v>
      </c>
      <c r="J66" s="38">
        <v>44561</v>
      </c>
      <c r="K66" s="42">
        <v>200</v>
      </c>
      <c r="L66" s="58">
        <v>1</v>
      </c>
      <c r="M66" s="3">
        <f t="shared" si="3"/>
        <v>5.0000000000000001E-3</v>
      </c>
      <c r="N66" s="62" t="s">
        <v>226</v>
      </c>
      <c r="O66" s="8">
        <v>200000000</v>
      </c>
      <c r="P66" s="107"/>
      <c r="Q66" s="107"/>
      <c r="R66" s="107"/>
      <c r="S66" s="111">
        <f>SUM(O66:R66)</f>
        <v>200000000</v>
      </c>
      <c r="T66" s="8"/>
      <c r="U66" s="8"/>
      <c r="V66" s="8"/>
      <c r="W66" s="8"/>
      <c r="X66" s="130">
        <f>SUM(T66:W66)</f>
        <v>0</v>
      </c>
      <c r="Y66" s="24">
        <f t="shared" si="12"/>
        <v>0</v>
      </c>
      <c r="Z66" s="23"/>
      <c r="AA66" s="9" t="s">
        <v>171</v>
      </c>
      <c r="AB66" s="9" t="s">
        <v>185</v>
      </c>
    </row>
    <row r="67" spans="1:28" ht="99.6" customHeight="1" x14ac:dyDescent="0.25">
      <c r="A67" s="41" t="s">
        <v>30</v>
      </c>
      <c r="B67" s="41" t="s">
        <v>33</v>
      </c>
      <c r="C67" s="90" t="s">
        <v>130</v>
      </c>
      <c r="D67" s="54" t="s">
        <v>139</v>
      </c>
      <c r="E67" s="2" t="s">
        <v>140</v>
      </c>
      <c r="F67" s="171"/>
      <c r="G67" s="174"/>
      <c r="H67" s="177"/>
      <c r="I67" s="38">
        <v>44197</v>
      </c>
      <c r="J67" s="38">
        <v>44561</v>
      </c>
      <c r="K67" s="42">
        <v>1</v>
      </c>
      <c r="L67" s="58">
        <v>1</v>
      </c>
      <c r="M67" s="3">
        <f t="shared" si="3"/>
        <v>1</v>
      </c>
      <c r="N67" s="62" t="s">
        <v>214</v>
      </c>
      <c r="O67" s="8">
        <v>50000000</v>
      </c>
      <c r="P67" s="107"/>
      <c r="Q67" s="107"/>
      <c r="R67" s="107"/>
      <c r="S67" s="111">
        <f>SUM(O67:R67)</f>
        <v>50000000</v>
      </c>
      <c r="T67" s="8">
        <f>28000000+12800000</f>
        <v>40800000</v>
      </c>
      <c r="U67" s="8"/>
      <c r="V67" s="8"/>
      <c r="W67" s="8"/>
      <c r="X67" s="130">
        <f>SUM(T67:W67)</f>
        <v>40800000</v>
      </c>
      <c r="Y67" s="24">
        <f t="shared" si="12"/>
        <v>0.81599999999999995</v>
      </c>
      <c r="Z67" s="23"/>
      <c r="AA67" s="9" t="s">
        <v>171</v>
      </c>
      <c r="AB67" s="9" t="s">
        <v>185</v>
      </c>
    </row>
    <row r="68" spans="1:28" ht="115.8" customHeight="1" x14ac:dyDescent="0.25">
      <c r="A68" s="138" t="s">
        <v>141</v>
      </c>
      <c r="B68" s="138" t="s">
        <v>142</v>
      </c>
      <c r="C68" s="136" t="s">
        <v>143</v>
      </c>
      <c r="D68" s="134" t="s">
        <v>146</v>
      </c>
      <c r="E68" s="2" t="s">
        <v>147</v>
      </c>
      <c r="F68" s="92">
        <v>20200680010159</v>
      </c>
      <c r="G68" s="120" t="s">
        <v>196</v>
      </c>
      <c r="H68" s="7"/>
      <c r="I68" s="38">
        <v>44328</v>
      </c>
      <c r="J68" s="38">
        <v>44561</v>
      </c>
      <c r="K68" s="154">
        <v>2</v>
      </c>
      <c r="L68" s="152">
        <v>0</v>
      </c>
      <c r="M68" s="150">
        <f t="shared" si="3"/>
        <v>0</v>
      </c>
      <c r="N68" s="7" t="s">
        <v>210</v>
      </c>
      <c r="O68" s="8">
        <v>95345490</v>
      </c>
      <c r="P68" s="98"/>
      <c r="Q68" s="98"/>
      <c r="R68" s="98"/>
      <c r="S68" s="140">
        <f>SUM(O68:R69)</f>
        <v>100000000</v>
      </c>
      <c r="T68" s="8"/>
      <c r="U68" s="8"/>
      <c r="V68" s="8"/>
      <c r="W68" s="8"/>
      <c r="X68" s="142">
        <f>SUM(T68:W69)</f>
        <v>0</v>
      </c>
      <c r="Y68" s="144">
        <f t="shared" si="12"/>
        <v>0</v>
      </c>
      <c r="Z68" s="148"/>
      <c r="AA68" s="146" t="s">
        <v>171</v>
      </c>
      <c r="AB68" s="146" t="s">
        <v>185</v>
      </c>
    </row>
    <row r="69" spans="1:28" ht="34.200000000000003" customHeight="1" x14ac:dyDescent="0.25">
      <c r="A69" s="139"/>
      <c r="B69" s="139"/>
      <c r="C69" s="137"/>
      <c r="D69" s="135"/>
      <c r="E69" s="125"/>
      <c r="F69" s="45"/>
      <c r="G69" s="127" t="s">
        <v>229</v>
      </c>
      <c r="H69" s="128"/>
      <c r="I69" s="38"/>
      <c r="J69" s="38"/>
      <c r="K69" s="155"/>
      <c r="L69" s="153"/>
      <c r="M69" s="151"/>
      <c r="N69" s="7" t="s">
        <v>210</v>
      </c>
      <c r="O69" s="8">
        <v>4654510</v>
      </c>
      <c r="P69" s="98"/>
      <c r="Q69" s="98"/>
      <c r="R69" s="98"/>
      <c r="S69" s="141"/>
      <c r="T69" s="8"/>
      <c r="U69" s="8"/>
      <c r="V69" s="8"/>
      <c r="W69" s="8"/>
      <c r="X69" s="143"/>
      <c r="Y69" s="145"/>
      <c r="Z69" s="149"/>
      <c r="AA69" s="147"/>
      <c r="AB69" s="147"/>
    </row>
    <row r="70" spans="1:28" ht="31.2" customHeight="1" x14ac:dyDescent="0.25">
      <c r="A70" s="138" t="s">
        <v>141</v>
      </c>
      <c r="B70" s="138" t="s">
        <v>142</v>
      </c>
      <c r="C70" s="136" t="s">
        <v>143</v>
      </c>
      <c r="D70" s="134" t="s">
        <v>144</v>
      </c>
      <c r="E70" s="188" t="s">
        <v>145</v>
      </c>
      <c r="F70" s="45"/>
      <c r="G70" s="67" t="s">
        <v>229</v>
      </c>
      <c r="H70" s="69"/>
      <c r="I70" s="38"/>
      <c r="J70" s="38"/>
      <c r="K70" s="154">
        <v>50</v>
      </c>
      <c r="L70" s="165">
        <v>0</v>
      </c>
      <c r="M70" s="150">
        <f>IFERROR(IF(L70/K70&gt;100%,100%,L70/K70),"-")</f>
        <v>0</v>
      </c>
      <c r="N70" s="7" t="s">
        <v>209</v>
      </c>
      <c r="O70" s="8">
        <v>30000000</v>
      </c>
      <c r="P70" s="98"/>
      <c r="Q70" s="98"/>
      <c r="R70" s="98"/>
      <c r="S70" s="140">
        <f>SUM(O70:R71)</f>
        <v>70000000.659999996</v>
      </c>
      <c r="T70" s="8"/>
      <c r="U70" s="8"/>
      <c r="V70" s="8"/>
      <c r="W70" s="8"/>
      <c r="X70" s="142">
        <f>SUM(T70:W71)</f>
        <v>0</v>
      </c>
      <c r="Y70" s="144">
        <f t="shared" si="12"/>
        <v>0</v>
      </c>
      <c r="Z70" s="148"/>
      <c r="AA70" s="146" t="s">
        <v>171</v>
      </c>
      <c r="AB70" s="146" t="s">
        <v>185</v>
      </c>
    </row>
    <row r="71" spans="1:28" ht="90" customHeight="1" x14ac:dyDescent="0.25">
      <c r="A71" s="139"/>
      <c r="B71" s="139"/>
      <c r="C71" s="137"/>
      <c r="D71" s="135"/>
      <c r="E71" s="189"/>
      <c r="F71" s="158">
        <v>20200680010123</v>
      </c>
      <c r="G71" s="159" t="s">
        <v>179</v>
      </c>
      <c r="H71" s="160" t="s">
        <v>193</v>
      </c>
      <c r="I71" s="38">
        <v>44197</v>
      </c>
      <c r="J71" s="38">
        <v>44561</v>
      </c>
      <c r="K71" s="155"/>
      <c r="L71" s="166"/>
      <c r="M71" s="151"/>
      <c r="N71" s="7" t="s">
        <v>209</v>
      </c>
      <c r="O71" s="8">
        <f>40000000.66</f>
        <v>40000000.659999996</v>
      </c>
      <c r="P71" s="98"/>
      <c r="Q71" s="98"/>
      <c r="R71" s="98"/>
      <c r="S71" s="141"/>
      <c r="T71" s="8"/>
      <c r="U71" s="8"/>
      <c r="V71" s="8"/>
      <c r="W71" s="8"/>
      <c r="X71" s="143"/>
      <c r="Y71" s="145"/>
      <c r="Z71" s="149"/>
      <c r="AA71" s="147"/>
      <c r="AB71" s="147"/>
    </row>
    <row r="72" spans="1:28" ht="109.8" customHeight="1" x14ac:dyDescent="0.25">
      <c r="A72" s="138" t="s">
        <v>141</v>
      </c>
      <c r="B72" s="138" t="s">
        <v>142</v>
      </c>
      <c r="C72" s="136" t="s">
        <v>143</v>
      </c>
      <c r="D72" s="134" t="s">
        <v>148</v>
      </c>
      <c r="E72" s="2" t="s">
        <v>149</v>
      </c>
      <c r="F72" s="158"/>
      <c r="G72" s="159"/>
      <c r="H72" s="160"/>
      <c r="I72" s="38">
        <v>44197</v>
      </c>
      <c r="J72" s="38">
        <v>44561</v>
      </c>
      <c r="K72" s="154">
        <v>3</v>
      </c>
      <c r="L72" s="152">
        <v>0</v>
      </c>
      <c r="M72" s="150">
        <f>IFERROR(IF(L72/K72&gt;100%,100%,L72/K72),"-")</f>
        <v>0</v>
      </c>
      <c r="N72" s="7" t="s">
        <v>211</v>
      </c>
      <c r="O72" s="8">
        <f>59839539</f>
        <v>59839539</v>
      </c>
      <c r="P72" s="98"/>
      <c r="Q72" s="98"/>
      <c r="R72" s="98"/>
      <c r="S72" s="140">
        <f>SUM(O72:R73)</f>
        <v>110000000</v>
      </c>
      <c r="T72" s="8"/>
      <c r="U72" s="8"/>
      <c r="V72" s="8"/>
      <c r="W72" s="8"/>
      <c r="X72" s="142">
        <f>SUM(T72:W73)</f>
        <v>0</v>
      </c>
      <c r="Y72" s="144">
        <f>IFERROR(X72/S72,"-")</f>
        <v>0</v>
      </c>
      <c r="Z72" s="148"/>
      <c r="AA72" s="146" t="s">
        <v>171</v>
      </c>
      <c r="AB72" s="146" t="s">
        <v>185</v>
      </c>
    </row>
    <row r="73" spans="1:28" ht="27" customHeight="1" x14ac:dyDescent="0.25">
      <c r="A73" s="139"/>
      <c r="B73" s="139"/>
      <c r="C73" s="137"/>
      <c r="D73" s="135"/>
      <c r="E73" s="124"/>
      <c r="F73" s="132"/>
      <c r="G73" s="88" t="s">
        <v>229</v>
      </c>
      <c r="H73" s="133"/>
      <c r="I73" s="38"/>
      <c r="J73" s="38"/>
      <c r="K73" s="155"/>
      <c r="L73" s="153"/>
      <c r="M73" s="151"/>
      <c r="N73" s="7" t="s">
        <v>211</v>
      </c>
      <c r="O73" s="8">
        <v>50160461</v>
      </c>
      <c r="P73" s="98"/>
      <c r="Q73" s="98"/>
      <c r="R73" s="98"/>
      <c r="S73" s="141"/>
      <c r="T73" s="8"/>
      <c r="U73" s="8"/>
      <c r="V73" s="8"/>
      <c r="W73" s="8"/>
      <c r="X73" s="143"/>
      <c r="Y73" s="145"/>
      <c r="Z73" s="149"/>
      <c r="AA73" s="147"/>
      <c r="AB73" s="147"/>
    </row>
    <row r="74" spans="1:28" ht="116.4" customHeight="1" x14ac:dyDescent="0.25">
      <c r="A74" s="41" t="s">
        <v>141</v>
      </c>
      <c r="B74" s="41" t="s">
        <v>142</v>
      </c>
      <c r="C74" s="90" t="s">
        <v>143</v>
      </c>
      <c r="D74" s="54" t="s">
        <v>150</v>
      </c>
      <c r="E74" s="2" t="s">
        <v>151</v>
      </c>
      <c r="F74" s="158">
        <v>20200680010123</v>
      </c>
      <c r="G74" s="159" t="s">
        <v>179</v>
      </c>
      <c r="H74" s="160" t="s">
        <v>193</v>
      </c>
      <c r="I74" s="38">
        <v>44197</v>
      </c>
      <c r="J74" s="38">
        <v>44561</v>
      </c>
      <c r="K74" s="42">
        <v>4</v>
      </c>
      <c r="L74" s="58">
        <v>4</v>
      </c>
      <c r="M74" s="3">
        <f>IFERROR(IF(L74/K74&gt;100%,100%,L74/K74),"-")</f>
        <v>1</v>
      </c>
      <c r="N74" s="7" t="s">
        <v>211</v>
      </c>
      <c r="O74" s="8">
        <v>100000000</v>
      </c>
      <c r="P74" s="98"/>
      <c r="Q74" s="98"/>
      <c r="R74" s="98"/>
      <c r="S74" s="111">
        <f>SUM(O74:R74)</f>
        <v>100000000</v>
      </c>
      <c r="T74" s="8">
        <f>32000000+32000000</f>
        <v>64000000</v>
      </c>
      <c r="U74" s="8"/>
      <c r="V74" s="8"/>
      <c r="W74" s="8"/>
      <c r="X74" s="130">
        <f>SUM(T74:W74)</f>
        <v>64000000</v>
      </c>
      <c r="Y74" s="24">
        <f>IFERROR(X74/S74,"-")</f>
        <v>0.64</v>
      </c>
      <c r="Z74" s="23"/>
      <c r="AA74" s="9" t="s">
        <v>171</v>
      </c>
      <c r="AB74" s="9" t="s">
        <v>185</v>
      </c>
    </row>
    <row r="75" spans="1:28" ht="61.2" customHeight="1" x14ac:dyDescent="0.25">
      <c r="A75" s="41" t="s">
        <v>141</v>
      </c>
      <c r="B75" s="41" t="s">
        <v>142</v>
      </c>
      <c r="C75" s="90" t="s">
        <v>143</v>
      </c>
      <c r="D75" s="54" t="s">
        <v>152</v>
      </c>
      <c r="E75" s="2" t="s">
        <v>153</v>
      </c>
      <c r="F75" s="158"/>
      <c r="G75" s="159"/>
      <c r="H75" s="160"/>
      <c r="I75" s="38">
        <v>44197</v>
      </c>
      <c r="J75" s="38">
        <v>44561</v>
      </c>
      <c r="K75" s="42">
        <v>1</v>
      </c>
      <c r="L75" s="126">
        <v>1</v>
      </c>
      <c r="M75" s="3">
        <f>IFERROR(IF(L75/K75&gt;100%,100%,L75/K75),"-")</f>
        <v>1</v>
      </c>
      <c r="N75" s="7" t="s">
        <v>211</v>
      </c>
      <c r="O75" s="8">
        <v>30000000</v>
      </c>
      <c r="P75" s="98"/>
      <c r="Q75" s="98"/>
      <c r="R75" s="98"/>
      <c r="S75" s="111">
        <f>SUM(O75:R75)</f>
        <v>30000000</v>
      </c>
      <c r="T75" s="8">
        <v>24000000</v>
      </c>
      <c r="U75" s="8"/>
      <c r="V75" s="8"/>
      <c r="W75" s="8"/>
      <c r="X75" s="130">
        <f>SUM(T75:W75)</f>
        <v>24000000</v>
      </c>
      <c r="Y75" s="24">
        <f>IFERROR(X75/S75,"-")</f>
        <v>0.8</v>
      </c>
      <c r="Z75" s="23"/>
      <c r="AA75" s="9" t="s">
        <v>171</v>
      </c>
      <c r="AB75" s="9" t="s">
        <v>185</v>
      </c>
    </row>
    <row r="76" spans="1:28" ht="50.4" customHeight="1" x14ac:dyDescent="0.25">
      <c r="A76" s="138" t="s">
        <v>141</v>
      </c>
      <c r="B76" s="138" t="s">
        <v>142</v>
      </c>
      <c r="C76" s="136" t="s">
        <v>143</v>
      </c>
      <c r="D76" s="134" t="s">
        <v>154</v>
      </c>
      <c r="E76" s="188" t="s">
        <v>155</v>
      </c>
      <c r="F76" s="158"/>
      <c r="G76" s="159"/>
      <c r="H76" s="160"/>
      <c r="I76" s="38">
        <v>44197</v>
      </c>
      <c r="J76" s="38">
        <v>44561</v>
      </c>
      <c r="K76" s="154">
        <v>6</v>
      </c>
      <c r="L76" s="152">
        <v>0</v>
      </c>
      <c r="M76" s="150">
        <f>IFERROR(IF(L76/K76&gt;100%,100%,L76/K76),"-")</f>
        <v>0</v>
      </c>
      <c r="N76" s="7"/>
      <c r="O76" s="8"/>
      <c r="P76" s="98"/>
      <c r="Q76" s="98"/>
      <c r="R76" s="98"/>
      <c r="S76" s="140">
        <f>SUM(O76:R77)</f>
        <v>100000000</v>
      </c>
      <c r="T76" s="8"/>
      <c r="U76" s="8"/>
      <c r="V76" s="8"/>
      <c r="W76" s="8"/>
      <c r="X76" s="142">
        <f>SUM(T76:W77)</f>
        <v>0</v>
      </c>
      <c r="Y76" s="144">
        <f>IFERROR(X76/S76,"-")</f>
        <v>0</v>
      </c>
      <c r="Z76" s="148"/>
      <c r="AA76" s="146" t="s">
        <v>171</v>
      </c>
      <c r="AB76" s="146" t="s">
        <v>185</v>
      </c>
    </row>
    <row r="77" spans="1:28" ht="40.799999999999997" customHeight="1" x14ac:dyDescent="0.25">
      <c r="A77" s="139"/>
      <c r="B77" s="139"/>
      <c r="C77" s="137"/>
      <c r="D77" s="135"/>
      <c r="E77" s="189"/>
      <c r="F77" s="122"/>
      <c r="G77" s="67" t="s">
        <v>229</v>
      </c>
      <c r="H77" s="66"/>
      <c r="I77" s="38"/>
      <c r="J77" s="38"/>
      <c r="K77" s="155"/>
      <c r="L77" s="153"/>
      <c r="M77" s="151"/>
      <c r="N77" s="7" t="s">
        <v>236</v>
      </c>
      <c r="O77" s="8">
        <f>90000000+30000000+30000000+160461-50160461</f>
        <v>100000000</v>
      </c>
      <c r="P77" s="98"/>
      <c r="Q77" s="98"/>
      <c r="R77" s="98"/>
      <c r="S77" s="141"/>
      <c r="T77" s="8"/>
      <c r="U77" s="8"/>
      <c r="V77" s="8"/>
      <c r="W77" s="8"/>
      <c r="X77" s="143"/>
      <c r="Y77" s="145"/>
      <c r="Z77" s="149"/>
      <c r="AA77" s="147"/>
      <c r="AB77" s="147"/>
    </row>
    <row r="78" spans="1:28" ht="73.2" customHeight="1" x14ac:dyDescent="0.25">
      <c r="A78" s="138" t="s">
        <v>160</v>
      </c>
      <c r="B78" s="138" t="s">
        <v>161</v>
      </c>
      <c r="C78" s="136" t="s">
        <v>162</v>
      </c>
      <c r="D78" s="134" t="s">
        <v>163</v>
      </c>
      <c r="E78" s="2" t="s">
        <v>164</v>
      </c>
      <c r="F78" s="121">
        <v>20200680010063</v>
      </c>
      <c r="G78" s="72" t="s">
        <v>174</v>
      </c>
      <c r="H78" s="48"/>
      <c r="I78" s="38">
        <v>44197</v>
      </c>
      <c r="J78" s="38">
        <v>44561</v>
      </c>
      <c r="K78" s="154">
        <v>1</v>
      </c>
      <c r="L78" s="152">
        <v>1</v>
      </c>
      <c r="M78" s="150">
        <f>IFERROR(IF(L78/K78&gt;100%,100%,L78/K78),"-")</f>
        <v>1</v>
      </c>
      <c r="N78" s="7" t="s">
        <v>212</v>
      </c>
      <c r="O78" s="8">
        <f>331000000</f>
        <v>331000000</v>
      </c>
      <c r="P78" s="98"/>
      <c r="Q78" s="98"/>
      <c r="R78" s="98"/>
      <c r="S78" s="140">
        <f>SUM(O78:R79)</f>
        <v>367000000</v>
      </c>
      <c r="T78" s="8">
        <f>164067.77+45667.77+213600000+27200000+46667.77+45667.77</f>
        <v>241102071.08000001</v>
      </c>
      <c r="U78" s="8"/>
      <c r="V78" s="8"/>
      <c r="W78" s="8"/>
      <c r="X78" s="130">
        <f>SUM(T78:W78)</f>
        <v>241102071.08000001</v>
      </c>
      <c r="Y78" s="24">
        <f>IFERROR(X78/S78,"-")</f>
        <v>0.6569538721525886</v>
      </c>
      <c r="Z78" s="23"/>
      <c r="AA78" s="9" t="s">
        <v>171</v>
      </c>
      <c r="AB78" s="9" t="s">
        <v>185</v>
      </c>
    </row>
    <row r="79" spans="1:28" ht="55.2" customHeight="1" x14ac:dyDescent="0.25">
      <c r="A79" s="139"/>
      <c r="B79" s="139"/>
      <c r="C79" s="137"/>
      <c r="D79" s="135"/>
      <c r="E79" s="2"/>
      <c r="F79" s="122"/>
      <c r="G79" s="88" t="s">
        <v>229</v>
      </c>
      <c r="H79" s="114"/>
      <c r="I79" s="38"/>
      <c r="J79" s="38"/>
      <c r="K79" s="155"/>
      <c r="L79" s="153"/>
      <c r="M79" s="151"/>
      <c r="N79" s="7" t="s">
        <v>251</v>
      </c>
      <c r="O79" s="8">
        <v>36000000</v>
      </c>
      <c r="P79" s="98"/>
      <c r="Q79" s="98"/>
      <c r="R79" s="98"/>
      <c r="S79" s="141"/>
      <c r="T79" s="8"/>
      <c r="U79" s="8"/>
      <c r="V79" s="8"/>
      <c r="W79" s="8"/>
      <c r="X79" s="130"/>
      <c r="Y79" s="24"/>
      <c r="Z79" s="23"/>
      <c r="AA79" s="9"/>
      <c r="AB79" s="9"/>
    </row>
    <row r="80" spans="1:28" ht="95.4" customHeight="1" x14ac:dyDescent="0.25">
      <c r="A80" s="138" t="s">
        <v>160</v>
      </c>
      <c r="B80" s="138" t="s">
        <v>161</v>
      </c>
      <c r="C80" s="136" t="s">
        <v>162</v>
      </c>
      <c r="D80" s="134" t="s">
        <v>169</v>
      </c>
      <c r="E80" s="2" t="s">
        <v>170</v>
      </c>
      <c r="F80" s="121">
        <v>20200680010063</v>
      </c>
      <c r="G80" s="72" t="s">
        <v>174</v>
      </c>
      <c r="H80" s="48" t="s">
        <v>188</v>
      </c>
      <c r="I80" s="38">
        <v>44197</v>
      </c>
      <c r="J80" s="38">
        <v>44561</v>
      </c>
      <c r="K80" s="180">
        <v>1</v>
      </c>
      <c r="L80" s="178">
        <v>1</v>
      </c>
      <c r="M80" s="150">
        <f>IFERROR(IF(L80/K80&gt;100%,100%,L80/K80),"-")</f>
        <v>1</v>
      </c>
      <c r="N80" s="7" t="s">
        <v>212</v>
      </c>
      <c r="O80" s="8">
        <v>296000000</v>
      </c>
      <c r="P80" s="98"/>
      <c r="Q80" s="98"/>
      <c r="R80" s="11"/>
      <c r="S80" s="140">
        <f>SUM(O80:R81)</f>
        <v>943600000</v>
      </c>
      <c r="T80" s="8">
        <f>14208000+14208000+14253667.77+14208000+14208000</f>
        <v>71085667.769999996</v>
      </c>
      <c r="U80" s="8"/>
      <c r="V80" s="8"/>
      <c r="W80" s="8"/>
      <c r="X80" s="130">
        <f>SUM(T80:W80)</f>
        <v>71085667.769999996</v>
      </c>
      <c r="Y80" s="24">
        <f>IFERROR(X80/S80,"-")</f>
        <v>7.5334535576515468E-2</v>
      </c>
      <c r="Z80" s="23"/>
      <c r="AA80" s="9" t="s">
        <v>171</v>
      </c>
      <c r="AB80" s="9" t="s">
        <v>185</v>
      </c>
    </row>
    <row r="81" spans="1:28" ht="43.8" customHeight="1" x14ac:dyDescent="0.25">
      <c r="A81" s="139"/>
      <c r="B81" s="139"/>
      <c r="C81" s="137"/>
      <c r="D81" s="135"/>
      <c r="E81" s="83"/>
      <c r="F81" s="122"/>
      <c r="G81" s="88" t="s">
        <v>222</v>
      </c>
      <c r="H81" s="113"/>
      <c r="I81" s="38"/>
      <c r="J81" s="38"/>
      <c r="K81" s="181"/>
      <c r="L81" s="179"/>
      <c r="M81" s="151"/>
      <c r="N81" s="7" t="s">
        <v>251</v>
      </c>
      <c r="O81" s="8">
        <v>647600000</v>
      </c>
      <c r="P81" s="98"/>
      <c r="Q81" s="98"/>
      <c r="R81" s="11"/>
      <c r="S81" s="141"/>
      <c r="T81" s="8"/>
      <c r="U81" s="8"/>
      <c r="V81" s="8"/>
      <c r="W81" s="8"/>
      <c r="X81" s="131"/>
      <c r="Y81" s="82"/>
      <c r="Z81" s="80"/>
      <c r="AA81" s="81"/>
      <c r="AB81" s="81"/>
    </row>
    <row r="82" spans="1:28" ht="56.4" customHeight="1" x14ac:dyDescent="0.25">
      <c r="A82" s="184" t="s">
        <v>160</v>
      </c>
      <c r="B82" s="184" t="s">
        <v>161</v>
      </c>
      <c r="C82" s="190" t="s">
        <v>162</v>
      </c>
      <c r="D82" s="187" t="s">
        <v>167</v>
      </c>
      <c r="E82" s="186" t="s">
        <v>168</v>
      </c>
      <c r="F82" s="121">
        <v>20200680010063</v>
      </c>
      <c r="G82" s="72" t="s">
        <v>174</v>
      </c>
      <c r="H82" s="47"/>
      <c r="I82" s="38">
        <v>44197</v>
      </c>
      <c r="J82" s="38">
        <v>44561</v>
      </c>
      <c r="K82" s="180">
        <v>1</v>
      </c>
      <c r="L82" s="178">
        <v>1</v>
      </c>
      <c r="M82" s="150">
        <f>IFERROR(IF(L82/K82&gt;100%,100%,L82/K82),"-")</f>
        <v>1</v>
      </c>
      <c r="N82" s="7" t="s">
        <v>212</v>
      </c>
      <c r="O82" s="8">
        <f>113501549</f>
        <v>113501549</v>
      </c>
      <c r="P82" s="8"/>
      <c r="Q82" s="98"/>
      <c r="R82" s="98"/>
      <c r="S82" s="140">
        <f>SUM(O82:R83)</f>
        <v>373000000</v>
      </c>
      <c r="T82" s="8">
        <v>144000000</v>
      </c>
      <c r="U82" s="8"/>
      <c r="V82" s="8"/>
      <c r="W82" s="8"/>
      <c r="X82" s="142">
        <f>SUM(T82:W83)</f>
        <v>144000000</v>
      </c>
      <c r="Y82" s="144">
        <f>IFERROR(X82/S82,"-")</f>
        <v>0.38605898123324395</v>
      </c>
      <c r="Z82" s="148"/>
      <c r="AA82" s="146" t="s">
        <v>171</v>
      </c>
      <c r="AB82" s="146" t="s">
        <v>185</v>
      </c>
    </row>
    <row r="83" spans="1:28" ht="40.200000000000003" customHeight="1" x14ac:dyDescent="0.25">
      <c r="A83" s="184"/>
      <c r="B83" s="184"/>
      <c r="C83" s="190"/>
      <c r="D83" s="187"/>
      <c r="E83" s="186"/>
      <c r="F83" s="121"/>
      <c r="G83" s="34" t="s">
        <v>222</v>
      </c>
      <c r="H83" s="47"/>
      <c r="I83" s="38"/>
      <c r="J83" s="38"/>
      <c r="K83" s="181"/>
      <c r="L83" s="179"/>
      <c r="M83" s="151"/>
      <c r="N83" s="7" t="s">
        <v>237</v>
      </c>
      <c r="O83" s="8">
        <f>229000000+30498451</f>
        <v>259498451</v>
      </c>
      <c r="P83" s="8"/>
      <c r="Q83" s="98"/>
      <c r="R83" s="98"/>
      <c r="S83" s="141"/>
      <c r="T83" s="8"/>
      <c r="U83" s="8"/>
      <c r="V83" s="8"/>
      <c r="W83" s="8"/>
      <c r="X83" s="143"/>
      <c r="Y83" s="145"/>
      <c r="Z83" s="149"/>
      <c r="AA83" s="147"/>
      <c r="AB83" s="147"/>
    </row>
    <row r="84" spans="1:28" ht="106.2" customHeight="1" x14ac:dyDescent="0.25">
      <c r="A84" s="41" t="s">
        <v>160</v>
      </c>
      <c r="B84" s="41" t="s">
        <v>161</v>
      </c>
      <c r="C84" s="90" t="s">
        <v>162</v>
      </c>
      <c r="D84" s="54" t="s">
        <v>165</v>
      </c>
      <c r="E84" s="2" t="s">
        <v>166</v>
      </c>
      <c r="F84" s="44"/>
      <c r="G84" s="56" t="s">
        <v>197</v>
      </c>
      <c r="H84" s="7"/>
      <c r="I84" s="38">
        <v>44197</v>
      </c>
      <c r="J84" s="38">
        <v>44561</v>
      </c>
      <c r="K84" s="42">
        <v>2</v>
      </c>
      <c r="L84" s="61">
        <v>0</v>
      </c>
      <c r="M84" s="3">
        <f>IFERROR(IF(L84/K84&gt;100%,100%,L84/K84),"-")</f>
        <v>0</v>
      </c>
      <c r="N84" s="7" t="s">
        <v>235</v>
      </c>
      <c r="O84" s="8">
        <v>200000000</v>
      </c>
      <c r="P84" s="98"/>
      <c r="Q84" s="98"/>
      <c r="R84" s="98"/>
      <c r="S84" s="111">
        <f>SUM(O84:R84)</f>
        <v>200000000</v>
      </c>
      <c r="T84" s="8"/>
      <c r="U84" s="8"/>
      <c r="V84" s="8"/>
      <c r="W84" s="8"/>
      <c r="X84" s="130">
        <f>SUM(T84:W84)</f>
        <v>0</v>
      </c>
      <c r="Y84" s="24">
        <f>IFERROR(X84/S84,"-")</f>
        <v>0</v>
      </c>
      <c r="Z84" s="23"/>
      <c r="AA84" s="9" t="s">
        <v>171</v>
      </c>
      <c r="AB84" s="9" t="s">
        <v>185</v>
      </c>
    </row>
    <row r="85" spans="1:28" ht="125.4" customHeight="1" x14ac:dyDescent="0.25">
      <c r="A85" s="184" t="s">
        <v>160</v>
      </c>
      <c r="B85" s="184" t="s">
        <v>180</v>
      </c>
      <c r="C85" s="191" t="s">
        <v>181</v>
      </c>
      <c r="D85" s="192" t="s">
        <v>182</v>
      </c>
      <c r="E85" s="193" t="s">
        <v>183</v>
      </c>
      <c r="F85" s="92">
        <v>20200680010025</v>
      </c>
      <c r="G85" s="72" t="s">
        <v>172</v>
      </c>
      <c r="H85" s="48" t="s">
        <v>184</v>
      </c>
      <c r="I85" s="47">
        <v>44197</v>
      </c>
      <c r="J85" s="47">
        <v>44561</v>
      </c>
      <c r="K85" s="180">
        <v>1</v>
      </c>
      <c r="L85" s="178">
        <v>1</v>
      </c>
      <c r="M85" s="150">
        <f>IFERROR(IF(L85/K85&gt;100%,100%,L85/K85),"-")</f>
        <v>1</v>
      </c>
      <c r="N85" s="7" t="s">
        <v>225</v>
      </c>
      <c r="O85" s="8">
        <f>300000000+440000000</f>
        <v>740000000</v>
      </c>
      <c r="P85" s="98"/>
      <c r="Q85" s="98"/>
      <c r="R85" s="11"/>
      <c r="S85" s="140">
        <f>SUM(O85:R86)</f>
        <v>794000000</v>
      </c>
      <c r="T85" s="8">
        <f>466400000+64000000-25066666+12000000</f>
        <v>517333334</v>
      </c>
      <c r="U85" s="8"/>
      <c r="V85" s="8"/>
      <c r="W85" s="8"/>
      <c r="X85" s="142">
        <f>SUM(T85:W86)</f>
        <v>555333334</v>
      </c>
      <c r="Y85" s="144">
        <f>IFERROR(X85/S85,"-")</f>
        <v>0.69941225944584384</v>
      </c>
      <c r="Z85" s="148"/>
      <c r="AA85" s="146" t="s">
        <v>171</v>
      </c>
      <c r="AB85" s="146" t="s">
        <v>185</v>
      </c>
    </row>
    <row r="86" spans="1:28" ht="28.95" customHeight="1" x14ac:dyDescent="0.25">
      <c r="A86" s="184"/>
      <c r="B86" s="184"/>
      <c r="C86" s="191"/>
      <c r="D86" s="192"/>
      <c r="E86" s="193"/>
      <c r="F86" s="92"/>
      <c r="G86" s="46" t="s">
        <v>222</v>
      </c>
      <c r="H86" s="48"/>
      <c r="I86" s="47"/>
      <c r="J86" s="47"/>
      <c r="K86" s="181"/>
      <c r="L86" s="179"/>
      <c r="M86" s="151"/>
      <c r="N86" s="7" t="s">
        <v>223</v>
      </c>
      <c r="O86" s="8">
        <f>42000000+12000000</f>
        <v>54000000</v>
      </c>
      <c r="P86" s="98"/>
      <c r="Q86" s="98"/>
      <c r="R86" s="11"/>
      <c r="S86" s="141"/>
      <c r="T86" s="8">
        <f>24000000+14000000</f>
        <v>38000000</v>
      </c>
      <c r="U86" s="8"/>
      <c r="V86" s="8"/>
      <c r="W86" s="8"/>
      <c r="X86" s="143"/>
      <c r="Y86" s="145"/>
      <c r="Z86" s="149"/>
      <c r="AA86" s="147"/>
      <c r="AB86" s="147"/>
    </row>
    <row r="87" spans="1:28" ht="27.75" customHeight="1" x14ac:dyDescent="0.25">
      <c r="A87" s="28"/>
      <c r="B87" s="29"/>
      <c r="C87" s="29"/>
      <c r="D87" s="29"/>
      <c r="E87" s="35"/>
      <c r="F87" s="93"/>
      <c r="G87" s="29"/>
      <c r="H87" s="40"/>
      <c r="I87" s="29"/>
      <c r="J87" s="29"/>
      <c r="K87" s="30"/>
      <c r="L87" s="39" t="s">
        <v>19</v>
      </c>
      <c r="M87" s="25">
        <f>AVERAGE(M6:M86)</f>
        <v>0.5663579837465943</v>
      </c>
      <c r="N87" s="26"/>
      <c r="O87" s="59">
        <f t="shared" ref="O87:U87" si="13">SUM(O6:O86)</f>
        <v>14905330345.42</v>
      </c>
      <c r="P87" s="59">
        <f t="shared" si="13"/>
        <v>2000000000</v>
      </c>
      <c r="Q87" s="59">
        <f t="shared" si="13"/>
        <v>0</v>
      </c>
      <c r="R87" s="59">
        <f t="shared" si="13"/>
        <v>2540652590</v>
      </c>
      <c r="S87" s="27">
        <f>SUM(S6:S86)</f>
        <v>19445982935.420002</v>
      </c>
      <c r="T87" s="59">
        <f t="shared" si="13"/>
        <v>6219994736.3500004</v>
      </c>
      <c r="U87" s="59">
        <f t="shared" si="13"/>
        <v>1018120324</v>
      </c>
      <c r="V87" s="59">
        <f t="shared" ref="V87" si="14">SUM(V6:V85)</f>
        <v>0</v>
      </c>
      <c r="W87" s="59">
        <f>SUM(W6:W86)</f>
        <v>1661510016</v>
      </c>
      <c r="X87" s="27">
        <f>SUM(X6:X86)</f>
        <v>8899625076.3500023</v>
      </c>
      <c r="Y87" s="31">
        <f>IFERROR(X87/S87,"-")</f>
        <v>0.45765879286768923</v>
      </c>
      <c r="Z87" s="27">
        <f>SUM(Z6:Z86)</f>
        <v>91496000</v>
      </c>
      <c r="AA87" s="32"/>
      <c r="AB87" s="33"/>
    </row>
    <row r="88" spans="1:28" s="14" customFormat="1" x14ac:dyDescent="0.25">
      <c r="A88" s="15"/>
      <c r="B88" s="16"/>
      <c r="C88" s="16"/>
      <c r="D88" s="16"/>
      <c r="E88" s="16"/>
      <c r="F88" s="94"/>
      <c r="G88" s="17"/>
      <c r="H88" s="17"/>
      <c r="I88" s="17"/>
      <c r="J88" s="17"/>
      <c r="K88" s="17"/>
      <c r="L88" s="18"/>
      <c r="M88" s="18"/>
      <c r="N88" s="17"/>
      <c r="S88"/>
      <c r="X88" s="64"/>
    </row>
    <row r="89" spans="1:28" s="14" customFormat="1" ht="17.399999999999999" x14ac:dyDescent="0.3">
      <c r="A89" s="15"/>
      <c r="B89" s="16"/>
      <c r="C89" s="16"/>
      <c r="D89" s="16"/>
      <c r="E89" s="16"/>
      <c r="F89" s="94"/>
      <c r="G89" s="17"/>
      <c r="H89" s="17"/>
      <c r="I89" s="17"/>
      <c r="J89" s="17"/>
      <c r="K89" s="17"/>
      <c r="L89" s="18"/>
      <c r="M89" s="18"/>
      <c r="N89" s="17"/>
      <c r="O89"/>
      <c r="P89"/>
      <c r="Q89"/>
      <c r="R89"/>
      <c r="S89" s="75"/>
      <c r="T89"/>
      <c r="X89" s="64"/>
    </row>
    <row r="90" spans="1:28" s="14" customFormat="1" x14ac:dyDescent="0.25">
      <c r="A90" s="15"/>
      <c r="B90" s="16"/>
      <c r="C90" s="16"/>
      <c r="D90" s="16"/>
      <c r="F90" s="94"/>
      <c r="G90" s="17"/>
      <c r="H90" s="17"/>
      <c r="I90" s="17"/>
      <c r="J90" s="17"/>
      <c r="K90" s="17"/>
      <c r="L90" s="18"/>
      <c r="M90" s="18"/>
      <c r="N90" s="17"/>
      <c r="O90"/>
      <c r="P90"/>
      <c r="Q90"/>
      <c r="R90"/>
      <c r="S90" s="73"/>
      <c r="T90"/>
      <c r="X90" s="77"/>
    </row>
    <row r="91" spans="1:28" s="14" customFormat="1" x14ac:dyDescent="0.25">
      <c r="A91" s="15"/>
      <c r="B91" s="16"/>
      <c r="C91" s="16"/>
      <c r="D91" s="16"/>
      <c r="F91" s="94"/>
      <c r="G91" s="17"/>
      <c r="H91" s="17"/>
      <c r="I91" s="17"/>
      <c r="J91" s="17"/>
      <c r="K91" s="17"/>
      <c r="L91" s="18"/>
      <c r="M91" s="18"/>
      <c r="N91" s="17"/>
      <c r="O91"/>
      <c r="P91"/>
      <c r="Q91"/>
      <c r="R91"/>
      <c r="S91"/>
      <c r="T91"/>
      <c r="X91" s="78"/>
    </row>
    <row r="92" spans="1:28" s="14" customFormat="1" x14ac:dyDescent="0.25">
      <c r="A92" s="15"/>
      <c r="B92" s="16"/>
      <c r="C92" s="16"/>
      <c r="D92" s="16"/>
      <c r="F92" s="94"/>
      <c r="G92" s="17"/>
      <c r="H92" s="17"/>
      <c r="I92" s="17"/>
      <c r="J92" s="17"/>
      <c r="K92" s="17"/>
      <c r="L92" s="18"/>
      <c r="M92" s="18"/>
      <c r="N92" s="17"/>
      <c r="O92"/>
      <c r="P92"/>
      <c r="Q92"/>
      <c r="R92"/>
      <c r="S92"/>
      <c r="T92"/>
    </row>
    <row r="93" spans="1:28" s="14" customFormat="1" x14ac:dyDescent="0.25">
      <c r="A93" s="15"/>
      <c r="B93" s="16"/>
      <c r="C93" s="16"/>
      <c r="D93" s="16"/>
      <c r="F93" s="94"/>
      <c r="G93" s="17"/>
      <c r="H93" s="17"/>
      <c r="I93" s="17"/>
      <c r="J93" s="17"/>
      <c r="K93" s="17"/>
      <c r="L93" s="18"/>
      <c r="M93" s="18"/>
      <c r="N93" s="17"/>
      <c r="O93"/>
      <c r="P93"/>
      <c r="Q93"/>
      <c r="R93"/>
      <c r="S93"/>
      <c r="T93"/>
    </row>
    <row r="94" spans="1:28" s="14" customFormat="1" x14ac:dyDescent="0.25">
      <c r="A94" s="15"/>
      <c r="B94" s="16"/>
      <c r="C94" s="16"/>
      <c r="D94" s="16"/>
      <c r="E94" s="16"/>
      <c r="F94" s="94"/>
      <c r="G94" s="17"/>
      <c r="H94" s="17"/>
      <c r="I94" s="17"/>
      <c r="J94" s="17"/>
      <c r="K94" s="17"/>
      <c r="L94" s="18"/>
      <c r="M94" s="18"/>
      <c r="N94" s="17"/>
      <c r="O94"/>
      <c r="P94"/>
      <c r="Q94"/>
      <c r="R94"/>
      <c r="S94"/>
      <c r="T94"/>
    </row>
    <row r="95" spans="1:28" s="14" customFormat="1" x14ac:dyDescent="0.25">
      <c r="A95" s="13"/>
      <c r="F95" s="94"/>
      <c r="O95"/>
      <c r="P95"/>
      <c r="Q95"/>
      <c r="R95"/>
      <c r="S95"/>
      <c r="T95"/>
      <c r="X95" s="89"/>
    </row>
    <row r="96" spans="1:28" s="14" customFormat="1" x14ac:dyDescent="0.25">
      <c r="A96" s="13"/>
      <c r="F96" s="94"/>
      <c r="O96"/>
      <c r="P96"/>
      <c r="Q96"/>
      <c r="R96"/>
      <c r="S96"/>
      <c r="T96"/>
    </row>
    <row r="97" spans="1:20" s="14" customFormat="1" x14ac:dyDescent="0.25">
      <c r="A97" s="13"/>
      <c r="F97" s="94"/>
      <c r="O97" s="119"/>
      <c r="P97"/>
      <c r="Q97"/>
      <c r="R97"/>
      <c r="S97"/>
      <c r="T97"/>
    </row>
    <row r="98" spans="1:20" s="14" customFormat="1" x14ac:dyDescent="0.25">
      <c r="A98" s="15"/>
      <c r="B98" s="16"/>
      <c r="C98" s="16"/>
      <c r="D98" s="16"/>
      <c r="E98" s="16"/>
      <c r="F98" s="94"/>
      <c r="G98" s="17"/>
      <c r="H98" s="17"/>
      <c r="I98" s="17"/>
      <c r="J98" s="17"/>
      <c r="K98" s="17"/>
      <c r="L98" s="19"/>
      <c r="M98" s="19"/>
      <c r="N98" s="17"/>
      <c r="O98" s="119"/>
      <c r="P98"/>
      <c r="Q98"/>
      <c r="R98"/>
      <c r="S98"/>
      <c r="T98"/>
    </row>
    <row r="99" spans="1:20" s="14" customFormat="1" x14ac:dyDescent="0.25">
      <c r="A99" s="13"/>
      <c r="F99" s="94"/>
      <c r="O99" s="119"/>
      <c r="P99"/>
      <c r="Q99"/>
      <c r="R99"/>
      <c r="S99"/>
      <c r="T99"/>
    </row>
    <row r="100" spans="1:20" s="14" customFormat="1" x14ac:dyDescent="0.25">
      <c r="A100" s="13"/>
      <c r="F100" s="94"/>
      <c r="O100"/>
      <c r="P100"/>
      <c r="Q100"/>
      <c r="R100"/>
      <c r="S100"/>
      <c r="T100"/>
    </row>
    <row r="101" spans="1:20" s="14" customFormat="1" x14ac:dyDescent="0.25">
      <c r="A101" s="13"/>
      <c r="F101" s="94"/>
      <c r="O101"/>
      <c r="P101"/>
      <c r="Q101"/>
      <c r="R101"/>
      <c r="S101"/>
      <c r="T101"/>
    </row>
    <row r="102" spans="1:20" x14ac:dyDescent="0.25">
      <c r="O102"/>
      <c r="P102"/>
      <c r="Q102"/>
      <c r="R102"/>
      <c r="S102"/>
      <c r="T102"/>
    </row>
    <row r="103" spans="1:20" x14ac:dyDescent="0.25">
      <c r="O103"/>
      <c r="P103"/>
      <c r="Q103"/>
      <c r="R103"/>
      <c r="S103"/>
      <c r="T103"/>
    </row>
    <row r="104" spans="1:20" x14ac:dyDescent="0.25">
      <c r="O104"/>
      <c r="P104"/>
      <c r="Q104"/>
      <c r="R104"/>
      <c r="S104"/>
      <c r="T104"/>
    </row>
    <row r="105" spans="1:20" x14ac:dyDescent="0.25">
      <c r="O105"/>
      <c r="P105"/>
      <c r="Q105"/>
      <c r="R105"/>
      <c r="S105"/>
      <c r="T105"/>
    </row>
    <row r="106" spans="1:20" x14ac:dyDescent="0.25">
      <c r="O106"/>
      <c r="P106"/>
      <c r="Q106"/>
      <c r="R106"/>
      <c r="S106"/>
      <c r="T106"/>
    </row>
    <row r="107" spans="1:20" x14ac:dyDescent="0.25">
      <c r="O107" s="65"/>
      <c r="P107" s="65"/>
      <c r="Q107" s="65"/>
      <c r="R107" s="65"/>
    </row>
    <row r="108" spans="1:20" x14ac:dyDescent="0.25">
      <c r="O108" s="65"/>
      <c r="P108" s="65"/>
      <c r="Q108" s="65"/>
      <c r="R108" s="65"/>
    </row>
    <row r="109" spans="1:20" x14ac:dyDescent="0.25">
      <c r="O109" s="65"/>
      <c r="P109" s="65"/>
      <c r="Q109" s="65"/>
      <c r="R109" s="65"/>
    </row>
    <row r="110" spans="1:20" x14ac:dyDescent="0.25">
      <c r="O110" s="65"/>
      <c r="P110" s="65"/>
      <c r="Q110" s="65"/>
      <c r="R110" s="65"/>
    </row>
    <row r="111" spans="1:20" x14ac:dyDescent="0.25">
      <c r="O111" s="65"/>
      <c r="P111" s="65"/>
      <c r="Q111" s="65"/>
      <c r="R111" s="65"/>
    </row>
    <row r="112" spans="1:20" x14ac:dyDescent="0.25">
      <c r="O112" s="65"/>
      <c r="P112" s="65"/>
      <c r="Q112" s="65"/>
      <c r="R112" s="65"/>
    </row>
    <row r="113" spans="15:18" x14ac:dyDescent="0.25">
      <c r="O113" s="65"/>
      <c r="P113" s="65"/>
      <c r="Q113" s="65"/>
      <c r="R113" s="65"/>
    </row>
  </sheetData>
  <dataConsolidate link="1"/>
  <mergeCells count="284">
    <mergeCell ref="B23:B24"/>
    <mergeCell ref="A23:A24"/>
    <mergeCell ref="B27:B28"/>
    <mergeCell ref="A27:A28"/>
    <mergeCell ref="AB63:AB64"/>
    <mergeCell ref="G6:G7"/>
    <mergeCell ref="F6:F7"/>
    <mergeCell ref="G9:G23"/>
    <mergeCell ref="F9:F23"/>
    <mergeCell ref="S7:S8"/>
    <mergeCell ref="X7:X8"/>
    <mergeCell ref="Y7:Y8"/>
    <mergeCell ref="Z7:Z8"/>
    <mergeCell ref="AA7:AA8"/>
    <mergeCell ref="AB7:AB8"/>
    <mergeCell ref="M7:M8"/>
    <mergeCell ref="L7:L8"/>
    <mergeCell ref="K7:K8"/>
    <mergeCell ref="AA4:AB4"/>
    <mergeCell ref="F4:J4"/>
    <mergeCell ref="K4:M4"/>
    <mergeCell ref="T4:X4"/>
    <mergeCell ref="Y4:Y5"/>
    <mergeCell ref="S27:S28"/>
    <mergeCell ref="M23:M24"/>
    <mergeCell ref="L23:L24"/>
    <mergeCell ref="K23:K24"/>
    <mergeCell ref="S23:S24"/>
    <mergeCell ref="X23:X24"/>
    <mergeCell ref="Y23:Y24"/>
    <mergeCell ref="Z23:Z24"/>
    <mergeCell ref="AA23:AA24"/>
    <mergeCell ref="AB23:AB24"/>
    <mergeCell ref="X27:X28"/>
    <mergeCell ref="Y27:Y28"/>
    <mergeCell ref="Z27:Z28"/>
    <mergeCell ref="AA27:AA28"/>
    <mergeCell ref="AB27:AB28"/>
    <mergeCell ref="F28:F32"/>
    <mergeCell ref="M27:M28"/>
    <mergeCell ref="L27:L28"/>
    <mergeCell ref="K27:K28"/>
    <mergeCell ref="F1:Q3"/>
    <mergeCell ref="Y1:Z2"/>
    <mergeCell ref="A37:A38"/>
    <mergeCell ref="E37:E38"/>
    <mergeCell ref="D37:D38"/>
    <mergeCell ref="C37:C38"/>
    <mergeCell ref="B37:B38"/>
    <mergeCell ref="Z4:Z5"/>
    <mergeCell ref="E27:E28"/>
    <mergeCell ref="D23:D24"/>
    <mergeCell ref="E23:E24"/>
    <mergeCell ref="C23:C24"/>
    <mergeCell ref="S37:S38"/>
    <mergeCell ref="X37:X38"/>
    <mergeCell ref="Y37:Y38"/>
    <mergeCell ref="Z37:Z38"/>
    <mergeCell ref="K37:K38"/>
    <mergeCell ref="H34:H35"/>
    <mergeCell ref="M32:M33"/>
    <mergeCell ref="L32:L33"/>
    <mergeCell ref="K32:K33"/>
    <mergeCell ref="D7:D8"/>
    <mergeCell ref="C7:C8"/>
    <mergeCell ref="B7:B8"/>
    <mergeCell ref="D85:D86"/>
    <mergeCell ref="E85:E86"/>
    <mergeCell ref="M85:M86"/>
    <mergeCell ref="L85:L86"/>
    <mergeCell ref="K85:K86"/>
    <mergeCell ref="S85:S86"/>
    <mergeCell ref="A4:E4"/>
    <mergeCell ref="N4:S4"/>
    <mergeCell ref="S82:S83"/>
    <mergeCell ref="C55:C56"/>
    <mergeCell ref="D55:D56"/>
    <mergeCell ref="E55:E56"/>
    <mergeCell ref="C61:C62"/>
    <mergeCell ref="D61:D62"/>
    <mergeCell ref="E61:E62"/>
    <mergeCell ref="L61:L62"/>
    <mergeCell ref="M61:M62"/>
    <mergeCell ref="K61:K62"/>
    <mergeCell ref="C76:C77"/>
    <mergeCell ref="M70:M71"/>
    <mergeCell ref="L70:L71"/>
    <mergeCell ref="S70:S71"/>
    <mergeCell ref="A7:A8"/>
    <mergeCell ref="B55:B56"/>
    <mergeCell ref="M82:M83"/>
    <mergeCell ref="L82:L83"/>
    <mergeCell ref="K82:K83"/>
    <mergeCell ref="X82:X83"/>
    <mergeCell ref="Y82:Y83"/>
    <mergeCell ref="D76:D77"/>
    <mergeCell ref="S32:S33"/>
    <mergeCell ref="X32:X33"/>
    <mergeCell ref="C70:C71"/>
    <mergeCell ref="D70:D71"/>
    <mergeCell ref="E70:E71"/>
    <mergeCell ref="L55:L56"/>
    <mergeCell ref="K55:K56"/>
    <mergeCell ref="M55:M56"/>
    <mergeCell ref="S55:S56"/>
    <mergeCell ref="S61:S62"/>
    <mergeCell ref="D35:D36"/>
    <mergeCell ref="C35:C36"/>
    <mergeCell ref="S35:S36"/>
    <mergeCell ref="X35:X36"/>
    <mergeCell ref="G28:G32"/>
    <mergeCell ref="X70:X71"/>
    <mergeCell ref="Y70:Y71"/>
    <mergeCell ref="X63:X64"/>
    <mergeCell ref="Z82:Z83"/>
    <mergeCell ref="AA82:AA83"/>
    <mergeCell ref="AB82:AB83"/>
    <mergeCell ref="X85:X86"/>
    <mergeCell ref="Y85:Y86"/>
    <mergeCell ref="Z85:Z86"/>
    <mergeCell ref="AA85:AA86"/>
    <mergeCell ref="AB85:AB86"/>
    <mergeCell ref="D27:D28"/>
    <mergeCell ref="E82:E83"/>
    <mergeCell ref="D82:D83"/>
    <mergeCell ref="E76:E77"/>
    <mergeCell ref="X55:X56"/>
    <mergeCell ref="AA37:AA38"/>
    <mergeCell ref="AB37:AB38"/>
    <mergeCell ref="L37:L38"/>
    <mergeCell ref="M37:M38"/>
    <mergeCell ref="Z55:Z56"/>
    <mergeCell ref="AA55:AA56"/>
    <mergeCell ref="AB55:AB56"/>
    <mergeCell ref="Y55:Y56"/>
    <mergeCell ref="X61:X62"/>
    <mergeCell ref="Y61:Y62"/>
    <mergeCell ref="Z61:Z62"/>
    <mergeCell ref="C27:C28"/>
    <mergeCell ref="B82:B83"/>
    <mergeCell ref="A82:A83"/>
    <mergeCell ref="B85:B86"/>
    <mergeCell ref="A85:A86"/>
    <mergeCell ref="B76:B77"/>
    <mergeCell ref="A76:A77"/>
    <mergeCell ref="B70:B71"/>
    <mergeCell ref="A70:A71"/>
    <mergeCell ref="B61:B62"/>
    <mergeCell ref="A61:A62"/>
    <mergeCell ref="C82:C83"/>
    <mergeCell ref="C85:C86"/>
    <mergeCell ref="A55:A56"/>
    <mergeCell ref="AA76:AA77"/>
    <mergeCell ref="Z76:Z77"/>
    <mergeCell ref="G34:G35"/>
    <mergeCell ref="F34:F35"/>
    <mergeCell ref="A32:A33"/>
    <mergeCell ref="B32:B33"/>
    <mergeCell ref="C32:C33"/>
    <mergeCell ref="D32:D33"/>
    <mergeCell ref="B35:B36"/>
    <mergeCell ref="A35:A36"/>
    <mergeCell ref="Y63:Y64"/>
    <mergeCell ref="AA63:AA64"/>
    <mergeCell ref="Z63:Z64"/>
    <mergeCell ref="Y32:Y33"/>
    <mergeCell ref="Z32:Z33"/>
    <mergeCell ref="AA32:AA33"/>
    <mergeCell ref="AB32:AB33"/>
    <mergeCell ref="M35:M36"/>
    <mergeCell ref="L35:L36"/>
    <mergeCell ref="K35:K36"/>
    <mergeCell ref="AA61:AA62"/>
    <mergeCell ref="AB61:AB62"/>
    <mergeCell ref="B80:B81"/>
    <mergeCell ref="A80:A81"/>
    <mergeCell ref="G62:G63"/>
    <mergeCell ref="F62:F63"/>
    <mergeCell ref="H62:H63"/>
    <mergeCell ref="F65:F67"/>
    <mergeCell ref="G65:G67"/>
    <mergeCell ref="H65:H67"/>
    <mergeCell ref="D63:D64"/>
    <mergeCell ref="C63:C64"/>
    <mergeCell ref="B63:B64"/>
    <mergeCell ref="A63:A64"/>
    <mergeCell ref="D78:D79"/>
    <mergeCell ref="C78:C79"/>
    <mergeCell ref="B78:B79"/>
    <mergeCell ref="A78:A79"/>
    <mergeCell ref="G48:G54"/>
    <mergeCell ref="F48:F54"/>
    <mergeCell ref="M46:M47"/>
    <mergeCell ref="L46:L47"/>
    <mergeCell ref="K46:K47"/>
    <mergeCell ref="D46:D47"/>
    <mergeCell ref="C46:C47"/>
    <mergeCell ref="S78:S79"/>
    <mergeCell ref="S80:S81"/>
    <mergeCell ref="D80:D81"/>
    <mergeCell ref="C80:C81"/>
    <mergeCell ref="S63:S64"/>
    <mergeCell ref="M78:M79"/>
    <mergeCell ref="L78:L79"/>
    <mergeCell ref="K78:K79"/>
    <mergeCell ref="M80:M81"/>
    <mergeCell ref="L80:L81"/>
    <mergeCell ref="K80:K81"/>
    <mergeCell ref="K76:K77"/>
    <mergeCell ref="S76:S77"/>
    <mergeCell ref="M76:M77"/>
    <mergeCell ref="L76:L77"/>
    <mergeCell ref="B46:B47"/>
    <mergeCell ref="A46:A47"/>
    <mergeCell ref="H43:H46"/>
    <mergeCell ref="S46:S47"/>
    <mergeCell ref="X46:X47"/>
    <mergeCell ref="Y46:Y47"/>
    <mergeCell ref="Z46:Z47"/>
    <mergeCell ref="AA46:AA47"/>
    <mergeCell ref="AB46:AB47"/>
    <mergeCell ref="G43:G46"/>
    <mergeCell ref="F43:F46"/>
    <mergeCell ref="D57:D58"/>
    <mergeCell ref="C57:C58"/>
    <mergeCell ref="B57:B58"/>
    <mergeCell ref="A57:A58"/>
    <mergeCell ref="S57:S58"/>
    <mergeCell ref="X57:X58"/>
    <mergeCell ref="Y57:Y58"/>
    <mergeCell ref="Z57:Z58"/>
    <mergeCell ref="AA57:AA58"/>
    <mergeCell ref="G56:G57"/>
    <mergeCell ref="F56:F57"/>
    <mergeCell ref="H56:H57"/>
    <mergeCell ref="M57:M58"/>
    <mergeCell ref="L57:L58"/>
    <mergeCell ref="K57:K58"/>
    <mergeCell ref="AB57:AB58"/>
    <mergeCell ref="M63:M64"/>
    <mergeCell ref="L63:L64"/>
    <mergeCell ref="K63:K64"/>
    <mergeCell ref="F71:F72"/>
    <mergeCell ref="G71:G72"/>
    <mergeCell ref="H71:H72"/>
    <mergeCell ref="F74:F76"/>
    <mergeCell ref="G74:G76"/>
    <mergeCell ref="H74:H76"/>
    <mergeCell ref="M72:M73"/>
    <mergeCell ref="L72:L73"/>
    <mergeCell ref="K72:K73"/>
    <mergeCell ref="AB72:AB73"/>
    <mergeCell ref="K70:K71"/>
    <mergeCell ref="F59:F60"/>
    <mergeCell ref="G59:G60"/>
    <mergeCell ref="H59:H60"/>
    <mergeCell ref="Y76:Y77"/>
    <mergeCell ref="X76:X77"/>
    <mergeCell ref="Z70:Z71"/>
    <mergeCell ref="AA70:AA71"/>
    <mergeCell ref="AB70:AB71"/>
    <mergeCell ref="AB76:AB77"/>
    <mergeCell ref="D72:D73"/>
    <mergeCell ref="C72:C73"/>
    <mergeCell ref="B72:B73"/>
    <mergeCell ref="A72:A73"/>
    <mergeCell ref="S72:S73"/>
    <mergeCell ref="X72:X73"/>
    <mergeCell ref="Y72:Y73"/>
    <mergeCell ref="Z72:Z73"/>
    <mergeCell ref="AA72:AA73"/>
    <mergeCell ref="D68:D69"/>
    <mergeCell ref="C68:C69"/>
    <mergeCell ref="B68:B69"/>
    <mergeCell ref="A68:A69"/>
    <mergeCell ref="S68:S69"/>
    <mergeCell ref="X68:X69"/>
    <mergeCell ref="Y68:Y69"/>
    <mergeCell ref="AA68:AA69"/>
    <mergeCell ref="AB68:AB69"/>
    <mergeCell ref="Z68:Z69"/>
    <mergeCell ref="M68:M69"/>
    <mergeCell ref="L68:L69"/>
    <mergeCell ref="K68:K69"/>
  </mergeCells>
  <conditionalFormatting sqref="M25:M32 M72 M57 M78 M6:M7 M34:M35 M37:M46 M80 M82:M86 M9:M22 M48:M55 M59:M63 M65:M68 M74:M76 M70">
    <cfRule type="cellIs" dxfId="5" priority="20" operator="between">
      <formula>0.67</formula>
      <formula>1</formula>
    </cfRule>
    <cfRule type="cellIs" dxfId="4" priority="21" operator="between">
      <formula>0.33</formula>
      <formula>0.67</formula>
    </cfRule>
    <cfRule type="cellIs" dxfId="3" priority="22" operator="between">
      <formula>0</formula>
      <formula>0.33</formula>
    </cfRule>
  </conditionalFormatting>
  <conditionalFormatting sqref="M23">
    <cfRule type="cellIs" dxfId="2" priority="1" operator="between">
      <formula>0.67</formula>
      <formula>1</formula>
    </cfRule>
    <cfRule type="cellIs" dxfId="1" priority="2" operator="between">
      <formula>0.33</formula>
      <formula>0.67</formula>
    </cfRule>
    <cfRule type="cellIs" dxfId="0" priority="3" operator="between">
      <formula>0</formula>
      <formula>0.33</formula>
    </cfRule>
  </conditionalFormatting>
  <pageMargins left="0.25" right="0.25" top="0.75" bottom="0.75" header="0.3" footer="0.3"/>
  <pageSetup paperSize="14"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2021-06-17T15:18:20Z</dcterms:modified>
</cp:coreProperties>
</file>