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969502DC-6197-4262-8002-1FA2B97CADA7}" xr6:coauthVersionLast="47" xr6:coauthVersionMax="47" xr10:uidLastSave="{00000000-0000-0000-0000-000000000000}"/>
  <bookViews>
    <workbookView xWindow="13440" yWindow="-192" windowWidth="17280" windowHeight="8964" xr2:uid="{00000000-000D-0000-FFFF-FFFF00000000}"/>
  </bookViews>
  <sheets>
    <sheet name="2021" sheetId="12" r:id="rId1"/>
  </sheets>
  <calcPr calcId="181029"/>
</workbook>
</file>

<file path=xl/calcChain.xml><?xml version="1.0" encoding="utf-8"?>
<calcChain xmlns="http://schemas.openxmlformats.org/spreadsheetml/2006/main">
  <c r="M25" i="12" l="1"/>
  <c r="S73" i="12"/>
  <c r="S72" i="12"/>
  <c r="Z48" i="12"/>
  <c r="Z47" i="12"/>
  <c r="Z46" i="12"/>
  <c r="Z45" i="12"/>
  <c r="Z44" i="12"/>
  <c r="Z43" i="12"/>
  <c r="Z42" i="12"/>
  <c r="Z41" i="12"/>
  <c r="Z40" i="12"/>
  <c r="Z39" i="12"/>
  <c r="Z38" i="12"/>
  <c r="T32" i="12"/>
  <c r="X32" i="12"/>
  <c r="T73" i="12"/>
  <c r="X72" i="12"/>
  <c r="X71" i="12"/>
  <c r="X69" i="12"/>
  <c r="X68" i="12"/>
  <c r="X67" i="12"/>
  <c r="X65" i="12"/>
  <c r="X64" i="12"/>
  <c r="X63" i="12"/>
  <c r="X62" i="12"/>
  <c r="X61" i="12"/>
  <c r="X60" i="12"/>
  <c r="X59" i="12"/>
  <c r="X58" i="12"/>
  <c r="X57" i="12"/>
  <c r="X56" i="12"/>
  <c r="X54" i="12"/>
  <c r="X53" i="12"/>
  <c r="X52" i="12"/>
  <c r="X51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Y34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8" i="12"/>
  <c r="Y7" i="12"/>
  <c r="Y6" i="12"/>
  <c r="T31" i="12"/>
  <c r="T30" i="12"/>
  <c r="T28" i="12"/>
  <c r="X73" i="12"/>
  <c r="Y32" i="12"/>
  <c r="O55" i="12"/>
  <c r="P73" i="12"/>
  <c r="O17" i="12"/>
  <c r="X25" i="12"/>
  <c r="M61" i="12"/>
  <c r="W73" i="12"/>
  <c r="U73" i="12"/>
  <c r="Q73" i="12"/>
  <c r="O32" i="12"/>
  <c r="O70" i="12"/>
  <c r="O12" i="12"/>
  <c r="X27" i="12"/>
  <c r="X26" i="12"/>
  <c r="X24" i="12"/>
  <c r="X23" i="12"/>
  <c r="X20" i="12"/>
  <c r="X18" i="12"/>
  <c r="X16" i="12"/>
  <c r="X15" i="12"/>
  <c r="X13" i="12"/>
  <c r="X10" i="12"/>
  <c r="S49" i="12"/>
  <c r="Z73" i="12"/>
  <c r="S48" i="12"/>
  <c r="S47" i="12"/>
  <c r="S46" i="12"/>
  <c r="S45" i="12"/>
  <c r="S44" i="12"/>
  <c r="S43" i="12"/>
  <c r="S42" i="12"/>
  <c r="S41" i="12"/>
  <c r="S40" i="12"/>
  <c r="S38" i="12"/>
  <c r="S37" i="12"/>
  <c r="S36" i="12"/>
  <c r="S35" i="12"/>
  <c r="S34" i="12"/>
  <c r="S27" i="12"/>
  <c r="S26" i="12"/>
  <c r="S24" i="12"/>
  <c r="S23" i="12"/>
  <c r="S20" i="12"/>
  <c r="S19" i="12"/>
  <c r="S18" i="12"/>
  <c r="S16" i="12"/>
  <c r="S14" i="12"/>
  <c r="S13" i="12"/>
  <c r="S10" i="12"/>
  <c r="S9" i="12"/>
  <c r="S7" i="12"/>
  <c r="S17" i="12"/>
  <c r="X22" i="12"/>
  <c r="S22" i="12"/>
  <c r="S12" i="12"/>
  <c r="O15" i="12"/>
  <c r="S15" i="12"/>
  <c r="M22" i="12"/>
  <c r="Y41" i="12"/>
  <c r="Y44" i="12"/>
  <c r="Y45" i="12"/>
  <c r="Y46" i="12"/>
  <c r="Y35" i="12"/>
  <c r="Y47" i="12"/>
  <c r="Y37" i="12"/>
  <c r="Y48" i="12"/>
  <c r="Y40" i="12"/>
  <c r="Y38" i="12"/>
  <c r="Y49" i="12"/>
  <c r="M32" i="12"/>
  <c r="S65" i="12"/>
  <c r="Y65" i="12"/>
  <c r="O61" i="12"/>
  <c r="S61" i="12"/>
  <c r="Y61" i="12"/>
  <c r="M49" i="12"/>
  <c r="S54" i="12"/>
  <c r="O72" i="12"/>
  <c r="Y72" i="12"/>
  <c r="O28" i="12"/>
  <c r="S28" i="12"/>
  <c r="S69" i="12"/>
  <c r="Y69" i="12"/>
  <c r="M69" i="12"/>
  <c r="O25" i="12"/>
  <c r="S25" i="12"/>
  <c r="O30" i="12"/>
  <c r="S30" i="12"/>
  <c r="O21" i="12"/>
  <c r="S21" i="12"/>
  <c r="O8" i="12"/>
  <c r="S8" i="12"/>
  <c r="X8" i="12"/>
  <c r="X11" i="12"/>
  <c r="O11" i="12"/>
  <c r="S11" i="12"/>
  <c r="X21" i="12"/>
  <c r="X12" i="12"/>
  <c r="O6" i="12"/>
  <c r="X7" i="12"/>
  <c r="X19" i="12"/>
  <c r="X17" i="12"/>
  <c r="X9" i="12"/>
  <c r="Y9" i="12"/>
  <c r="X14" i="12"/>
  <c r="S6" i="12"/>
  <c r="Y73" i="12"/>
  <c r="X6" i="12"/>
  <c r="O39" i="12"/>
  <c r="S39" i="12"/>
  <c r="Y36" i="12"/>
  <c r="Y39" i="12"/>
  <c r="V73" i="12"/>
  <c r="M72" i="12"/>
  <c r="S71" i="12"/>
  <c r="Y71" i="12"/>
  <c r="M71" i="12"/>
  <c r="O68" i="12"/>
  <c r="S68" i="12"/>
  <c r="M68" i="12"/>
  <c r="S67" i="12"/>
  <c r="M67" i="12"/>
  <c r="M65" i="12"/>
  <c r="S64" i="12"/>
  <c r="Y64" i="12"/>
  <c r="M64" i="12"/>
  <c r="S63" i="12"/>
  <c r="Y63" i="12"/>
  <c r="M63" i="12"/>
  <c r="S62" i="12"/>
  <c r="Y62" i="12"/>
  <c r="M62" i="12"/>
  <c r="S60" i="12"/>
  <c r="Y60" i="12"/>
  <c r="M60" i="12"/>
  <c r="S59" i="12"/>
  <c r="M59" i="12"/>
  <c r="S58" i="12"/>
  <c r="Y58" i="12"/>
  <c r="M58" i="12"/>
  <c r="O57" i="12"/>
  <c r="S57" i="12"/>
  <c r="M57" i="12"/>
  <c r="S56" i="12"/>
  <c r="Y56" i="12"/>
  <c r="M56" i="12"/>
  <c r="Y54" i="12"/>
  <c r="M54" i="12"/>
  <c r="S53" i="12"/>
  <c r="Y53" i="12"/>
  <c r="M53" i="12"/>
  <c r="S52" i="12"/>
  <c r="Y52" i="12"/>
  <c r="M52" i="12"/>
  <c r="S51" i="12"/>
  <c r="Y51" i="12"/>
  <c r="M51" i="12"/>
  <c r="M48" i="12"/>
  <c r="M47" i="12"/>
  <c r="M46" i="12"/>
  <c r="M45" i="12"/>
  <c r="M44" i="12"/>
  <c r="Y43" i="12"/>
  <c r="M43" i="12"/>
  <c r="Y42" i="12"/>
  <c r="M42" i="12"/>
  <c r="M41" i="12"/>
  <c r="M40" i="12"/>
  <c r="M39" i="12"/>
  <c r="M38" i="12"/>
  <c r="M37" i="12"/>
  <c r="M36" i="12"/>
  <c r="M35" i="12"/>
  <c r="M34" i="12"/>
  <c r="S32" i="12"/>
  <c r="X31" i="12"/>
  <c r="O31" i="12"/>
  <c r="S31" i="12"/>
  <c r="M31" i="12"/>
  <c r="X30" i="12"/>
  <c r="M30" i="12"/>
  <c r="X29" i="12"/>
  <c r="R29" i="12"/>
  <c r="R73" i="12"/>
  <c r="O29" i="12"/>
  <c r="M29" i="12"/>
  <c r="M28" i="12"/>
  <c r="M27" i="12"/>
  <c r="M26" i="12"/>
  <c r="M24" i="12"/>
  <c r="M23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73" i="12"/>
  <c r="O73" i="12"/>
  <c r="Y57" i="12"/>
  <c r="Y68" i="12"/>
  <c r="Y59" i="12"/>
  <c r="X28" i="12"/>
  <c r="S29" i="12"/>
  <c r="Y67" i="12"/>
</calcChain>
</file>

<file path=xl/sharedStrings.xml><?xml version="1.0" encoding="utf-8"?>
<sst xmlns="http://schemas.openxmlformats.org/spreadsheetml/2006/main" count="566" uniqueCount="243">
  <si>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</si>
  <si>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</si>
  <si>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</si>
  <si>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</si>
  <si>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</si>
  <si>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</si>
  <si>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</si>
  <si>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</si>
  <si>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</si>
  <si>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</si>
  <si>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</si>
  <si>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</si>
  <si>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</si>
  <si>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</si>
  <si>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</si>
  <si>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</si>
  <si>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</si>
  <si>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</si>
  <si>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</si>
  <si>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</si>
  <si>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</si>
  <si>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</si>
  <si>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</si>
  <si>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</si>
  <si>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</si>
  <si>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</si>
  <si>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</si>
  <si>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</si>
  <si>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</si>
  <si>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</si>
  <si>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BUCARAMANGA EQUITATIVA E INCLUYENTE: UNA CIUDAD DE BIENESTAR</t>
  </si>
  <si>
    <t>BUCARAMANGA CIUDAD VITAL: LA VIDA ES SAGRADA</t>
  </si>
  <si>
    <t>PLAN DE ACCIÓN
SECRETARÍA DE DESARROLLO SOCIAL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</si>
  <si>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</si>
  <si>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</si>
  <si>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</si>
  <si>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</si>
  <si>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</si>
  <si>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</si>
  <si>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</si>
  <si>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</si>
  <si>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</si>
  <si>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</si>
  <si>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</si>
  <si>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</si>
  <si>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</si>
  <si>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</si>
  <si>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</si>
  <si>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</si>
  <si>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</si>
  <si>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</si>
  <si>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</si>
  <si>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</si>
  <si>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</si>
  <si>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</si>
  <si>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</si>
  <si>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</si>
  <si>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</si>
  <si>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</si>
  <si>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</si>
  <si>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</si>
  <si>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</si>
  <si>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</si>
  <si>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</si>
  <si>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</si>
  <si>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</si>
  <si>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</si>
  <si>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</si>
  <si>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</si>
  <si>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</si>
  <si>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</si>
  <si>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</si>
  <si>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</si>
  <si>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</si>
  <si>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</si>
  <si>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Número de personas mayores beneficiados y mantenidos con el programa Colombia Mayor.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</si>
  <si>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</si>
  <si>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</si>
  <si>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</si>
  <si>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</si>
  <si>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</si>
  <si>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</si>
  <si>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</si>
  <si>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</si>
  <si>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</si>
  <si>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</si>
  <si>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</si>
  <si>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</si>
  <si>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</si>
  <si>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Número de estrategias formuladas e implementadas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</si>
  <si>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</si>
  <si>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</si>
  <si>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</si>
  <si>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</si>
  <si>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</si>
  <si>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</si>
  <si>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</si>
  <si>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</si>
  <si>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</si>
  <si>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</si>
  <si>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</si>
  <si>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</si>
  <si>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</si>
  <si>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</si>
  <si>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</si>
  <si>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</si>
  <si>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</si>
  <si>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</si>
  <si>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</si>
  <si>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</si>
  <si>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</si>
  <si>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</si>
  <si>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</si>
  <si>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</si>
  <si>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</si>
  <si>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</si>
  <si>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</si>
  <si>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</si>
  <si>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</si>
  <si>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</si>
  <si>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</si>
  <si>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</si>
  <si>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</si>
  <si>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</si>
  <si>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</si>
  <si>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</si>
  <si>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</si>
  <si>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</si>
  <si>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</si>
  <si>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</si>
  <si>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</si>
  <si>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</si>
  <si>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</si>
  <si>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</si>
  <si>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</si>
  <si>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</si>
  <si>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</si>
  <si>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</si>
  <si>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</si>
  <si>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</si>
  <si>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</si>
  <si>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</si>
  <si>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</si>
  <si>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</si>
  <si>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Instalar 200 sistemas de riego por goteo en la zona rural.</t>
  </si>
  <si>
    <t>Número de sistemas de riego por goteo instalados en la zona rural.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</si>
  <si>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</si>
  <si>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</si>
  <si>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</si>
  <si>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</si>
  <si>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</si>
  <si>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</si>
  <si>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</si>
  <si>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</si>
  <si>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</si>
  <si>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</si>
  <si>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</si>
  <si>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</si>
  <si>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</si>
  <si>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</si>
  <si>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BUCARAMANGA TERRITORIO LIBRE DE CORRUPCIÓN: INSTITUCIONES SÓLIDAS Y CONFIABLES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</si>
  <si>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</si>
  <si>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</si>
  <si>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</si>
  <si>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</si>
  <si>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Construir y/o dotar 10 salones comunales con el programa Ágoras.</t>
  </si>
  <si>
    <t>Número de salones comunales con el programa Ágoras construidos y/o dotados.</t>
  </si>
  <si>
    <t>Mantener en funcionamiento el 100% de los salones comunales que hacen parte del programa Ágoras.</t>
  </si>
  <si>
    <t>Porcentaje de salones comunales mantenidos en funcionamiento que hacen parte del programa Ágoras.</t>
  </si>
  <si>
    <t>Mantener el beneficio al 100% de los ediles con pago de EPS, ARL, póliza de vida y dotación.</t>
  </si>
  <si>
    <t>Porcentaje de ediles mantenidos con el beneficio del pago de EPS, Pensión, ARL, póliza de vida y dotación.</t>
  </si>
  <si>
    <t>Sec. Desarrollo Social</t>
  </si>
  <si>
    <t>MEJORAMIENTO DE LOS PROCESOS TRANSVERSALES PARA UNA ADMINISTRACIÓN PUBLICA MODERNA Y EFICIENTE EN LA SECRETARÍA DE DESARROLLO SOCIAL DEL MUNICIPIO BUCARAMANGA</t>
  </si>
  <si>
    <t>IMPLEMENTACIÓN DE ACCIONES TENDIENTES A MEJORAR LAS CONDICIONES DE LOS ADULTOS MAYORES DEL MUNICIPIO DE BUCARAMANGA</t>
  </si>
  <si>
    <t>FORTALECIMIENTO DE LA DEMOCRACIA PARTICIPATIVA EN EL MUNICIPIO DE BUCARAMANGA</t>
  </si>
  <si>
    <t>APOYO A LA OPERATIVIDAD DEL PROGRAMA NACIONAL MÁS FAMILIAS EN ACCIÓN EN EL MUNICIPIO DE BUCARAMANGA</t>
  </si>
  <si>
    <t>APOYO A LA OPERATIVIDAD DE LOS PROGRAMAS DE ATENCIÓN INTEGRAL A LAS PERSONAS CON DISCAPACIDAD. FAMILIARES Y/O CUIDADORES DEL MUNICIPIO DE BUCARAMANGA</t>
  </si>
  <si>
    <t>IMPLEMENTACIÓN DE ESTRATEGIAS PSICOPEDAGÓGICAS PARA LA DISMINUCIÓN DE FACTORES DE RIESGO EN NIÑOS, NIÑAS Y ADOLESCENTES EN EL MUNICIPIO DE BUCARAMANGA</t>
  </si>
  <si>
    <t>FORTALECIMIENTO DE ESPACIOS DE PARTICIPACIÓN Y PREVENCIÓN DE VIOLENCIAS EN MUJERES Y POBLACIÓN CON ORIENTACIONES SEXUALES E IDENTIDADES DE GÉNERO DIVERSAS DEL MUNICIPIO DE BUCARAMANGA</t>
  </si>
  <si>
    <t>DESARROLLO DE ACCIONES ENCAMINADAS A GENERAR ATENCIÓN INTEGRAL HACIA LA POBLACIÓN HABITANTES EN SITUACIÓN DE CALLE DEL MUNICIPIO DE BUCARAMANGA</t>
  </si>
  <si>
    <t>FORTALECIMIENTO DE LA PRODUCTIVIDAD Y COMPETITIVIDAD AGROPECUARIA EN EL SECTOR RURAL DEL MUNICIPIO DE BUCARAMANGA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</si>
  <si>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</si>
  <si>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</si>
  <si>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</si>
  <si>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</si>
  <si>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Atender a 75.600 personas en los servicios y programas que adelanta la Secretaría de Desarrollo Social</t>
  </si>
  <si>
    <t>John Carlos Pabón Mantilla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</si>
  <si>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</si>
  <si>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</si>
  <si>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Beneficiar al 100% de los Ediles con póliza. EPS. Pensión y Seguro de vida</t>
  </si>
  <si>
    <t>Beneficiar 14.000 familias en condición de vulnerabilidad a través del programas Más Familias en Acción</t>
  </si>
  <si>
    <t>Atender a 750 Personas con discapacidad con servicios integrales</t>
  </si>
  <si>
    <t>Atender y mantener de manera integral desde el componente psicosociojurídico y social a 600 mujeres. niñas y personas considerando los enfoques diferenciales y diversidad sexual.</t>
  </si>
  <si>
    <t>Brindar atención integral a 284 personas en habitancia de calle</t>
  </si>
  <si>
    <t xml:space="preserve">Atender 500 Unidades productivas con los componentes de asistencia técnica y empresarial,mejoramiento de procesos de cosecha. poscosecha y comercialización. </t>
  </si>
  <si>
    <t>RECURSOS GESTIONADOS</t>
  </si>
  <si>
    <t>DESARROLLO DE ACCIONES DE BIENESTAR SOCIAL EN EL MARCO DE LA EMERGENCIA SANITARIA A CAUSA DEL COVID-19 FOCALIZADAS A LA POBLACIÓN VULNERABLE DEL MUNICIPIO DE BUCARAMANGA</t>
  </si>
  <si>
    <t xml:space="preserve">PREVENCIÓN DEL CONTAGIO Y PROPAGACION DE LA FIEBRE AFTOSA Y BRUCELOSIS EN LA ESPECIE BOVINA DEL MUNICIPIO DE BUCARAMANGA </t>
  </si>
  <si>
    <t xml:space="preserve">DOTACION DE SALONES COMUNALES PARA FOMENTAR LA INTEGRACION COMUNITARIA Y LA CIUDADANIA PARTICIPATIVA EN EL MUNICIPIO DE BUCARAMANGA </t>
  </si>
  <si>
    <t xml:space="preserve">DOTACION DE CENTROS VIDA PARA LA PRESTACION DE SERVICIOS INTEGRALES A LA POBLACION ADULTOS MAYORES EN EL MUNICIPIO DE BUCARAMANGA </t>
  </si>
  <si>
    <t>TOTAL EJECUTADO</t>
  </si>
  <si>
    <t>SGR</t>
  </si>
  <si>
    <t>Atención virtual y precensial a mujeres y población diversa en temas de violencia sexual, intrafamiliar, domestica, cpacitación en temas de liderazgo y empoderamiento</t>
  </si>
  <si>
    <t>Actividades relacionadas con capmapañsas de prevención de violencia en la mujer, igual de derechos, la equidad en las tareas, eliminación del machismo y fenimismo.</t>
  </si>
  <si>
    <t>Se busca proteger a la mujer y su familia en caso de vulneración de derechos, en situaciónes de riesgo critico de violencia y riesgo de muerte, entre otras.</t>
  </si>
  <si>
    <t>Activar los diferentes mecanismos de protección, articulando los diferentes establecimientos y secretarias a fin de lograr la protección de la mujer y sean restablecidos sus derechos.</t>
  </si>
  <si>
    <t>Acciones relacionadas con el componenete social, en cuanto a asistencias humanitarias, seguridad alimentaria, bioseguridad, entre otros</t>
  </si>
  <si>
    <t>2.3.2.02.02.009.4502038.201</t>
  </si>
  <si>
    <t>2.3.2.02.02.009.4104008.201</t>
  </si>
  <si>
    <t>2.3.2.02.02.009.4104008.220</t>
  </si>
  <si>
    <t>2.3.2.02.01.000.1702010.201</t>
  </si>
  <si>
    <t>2.3.2.02.01.000.1707042.201</t>
  </si>
  <si>
    <t>2.3.2.02.02.009.1702010.201</t>
  </si>
  <si>
    <t>2.3.2.02.02.009.4502001.201</t>
  </si>
  <si>
    <t>2.3.2.02.02.009.4104027.213</t>
  </si>
  <si>
    <t>2.3.2.02.02.009.4104020.201</t>
  </si>
  <si>
    <t xml:space="preserve">Coadyuvar en el segumiento, registro, incorporación, retiros y novedades de adultos mayores con posibilidad de ser beneficiarios del programa colombia mayor de prosperidad social </t>
  </si>
  <si>
    <t>Beneficiar a los adultos mayores de centros vida públicos con  la oferta institucional en el marco de la ley 1276 de 2009</t>
  </si>
  <si>
    <t>Beneficiar a los adultos mayores de centros vida públicos con  la oferta institucional en el marco de la ley 1276 de 2009, y que cuenten con instalaciones idoneas para el desarrollo de las diferentes actividades recreativas, ludicas, sano espacrmirnto, atención primaria en salud, higiene, etc</t>
  </si>
  <si>
    <t>2.3.2.02.02.009.4103050.201</t>
  </si>
  <si>
    <t>2.3.2.02.02.009.4102043.201</t>
  </si>
  <si>
    <t>2.3.2.02.02.009.4102043.213</t>
  </si>
  <si>
    <t xml:space="preserve">2.3.2.02.02.009.4102043.201 </t>
  </si>
  <si>
    <t>PENDIENTE POR DEFINIR</t>
  </si>
  <si>
    <t>2.3.2.02.02.009.4102021.201 $12.000.000
2.3.2.02.02.009.4102043.201 $12.000.000</t>
  </si>
  <si>
    <t>2.3.2.02.02.009.4102038.201 $40.000.000
2.3.2.02.02.009.4102043.201 $50.000.000
2.3.2.02.02.009.4102021.201 $28.000.000</t>
  </si>
  <si>
    <t>2.3.2.02.02.009.4102043.201 $12.500.000
2.3.2.02.02.009.4102021.201 $10.000.000
2.3.2.02.02.009.4102043.213 $50.000.000</t>
  </si>
  <si>
    <t>2.3.2.02.02.009.4102043.201 $70.000.000
2.3.2.02.02.009.4102021.201 $10.000.000</t>
  </si>
  <si>
    <t>2.3.2.02.02.009.4102043.201 $20.000.000
2.3.2.02.02.009.4102021.201 $10.000.000</t>
  </si>
  <si>
    <t>2.3.2.02.02.009.4104008.201 $40.000.000
2.3.2.02.02.009.4104008.220 $72.799.850</t>
  </si>
  <si>
    <t>2.3.2.02.02.009.4104008.201 $30.000.000
2.3.2.02.02.009.4104008.220 $68.000.000</t>
  </si>
  <si>
    <t>2.3.2.02.02.009.4599006.201 $300.000.000
2.3.2.02.02.009.4599031.201 $440.000.000</t>
  </si>
  <si>
    <t xml:space="preserve">2.3.2.02.01.002.4104008.201 </t>
  </si>
  <si>
    <t>2.3.2.02.02.009.4104027.201</t>
  </si>
  <si>
    <t>2.3.2.02.02.009.4104020.201
2.3.2.02.02.009.4104020.213</t>
  </si>
  <si>
    <t>2.3.2.02.02.009.4104027.201
2.3.2.02.02.009.4104027.213</t>
  </si>
  <si>
    <t>PENDIENTE POR ADICIONAR</t>
  </si>
  <si>
    <t>2.3.2.02.01.002.4104008.220 $603.350.727
2.3.2.02.01.002.4104008.201 $46.000.000
2.3.2.02.01.002.4104008.288</t>
  </si>
  <si>
    <t>2.3.2.02.02.009.4104008.220 $2.559.196.618
2.3.2.02.02.009.4104008.258 $101.429.564,34
2.3.2.02.02.009.4104008.201 $904.000.000
2.3.2.02.02.009.4104008.288</t>
  </si>
  <si>
    <t>2.3.2.02.02.009.4102016.201 $150.000.000
2.3.2.02.02.009.4102043.201 $101.901.217
2.3.2.02.02.009.4102021.201 $10.000.000</t>
  </si>
  <si>
    <t>2.3.2.02.02.009.4502001.201 $30.498.451
2.3.2.02.02.009.3301053.201 $229.000.000</t>
  </si>
  <si>
    <t>2.3.2.02.02.009.4104008.201 $130.000.000
2.3.2.02.02.009.4104008.220 $199.091.000</t>
  </si>
  <si>
    <t>2.3.2.02.02.009.1702010.201 $160.461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</si>
</sst>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_-* #,##0_-;\-* #,##0_-;_-* &quot;-&quot;??_-;_-@_-"/>
    <numFmt numFmtId="169" formatCode="&quot;$&quot;\ #,##0.000000;\-&quot;$&quot;\ #,##0.00000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justify" vertical="center" wrapText="1"/>
    </xf>
    <xf numFmtId="166" fontId="1" fillId="0" borderId="2" xfId="10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166" fontId="2" fillId="0" borderId="2" xfId="10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6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166" fontId="7" fillId="2" borderId="2" xfId="108" applyNumberFormat="1" applyFont="1" applyFill="1" applyBorder="1" applyAlignment="1">
      <alignment vertical="center"/>
    </xf>
    <xf numFmtId="167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4" fontId="12" fillId="0" borderId="2" xfId="108" applyFont="1" applyFill="1" applyBorder="1" applyAlignment="1">
      <alignment horizontal="center" vertical="center" wrapText="1"/>
    </xf>
    <xf numFmtId="44" fontId="1" fillId="0" borderId="2" xfId="108" applyFont="1" applyBorder="1"/>
    <xf numFmtId="7" fontId="1" fillId="0" borderId="2" xfId="108" applyNumberFormat="1" applyFont="1" applyFill="1" applyBorder="1" applyAlignment="1">
      <alignment horizontal="center" vertical="center" wrapText="1"/>
    </xf>
    <xf numFmtId="5" fontId="12" fillId="0" borderId="2" xfId="0" applyNumberFormat="1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 wrapText="1"/>
    </xf>
    <xf numFmtId="44" fontId="2" fillId="0" borderId="2" xfId="108" applyFont="1" applyBorder="1" applyAlignment="1">
      <alignment vertical="center"/>
    </xf>
    <xf numFmtId="44" fontId="1" fillId="0" borderId="2" xfId="108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4" fontId="12" fillId="0" borderId="7" xfId="108" applyFont="1" applyFill="1" applyBorder="1" applyAlignment="1">
      <alignment horizontal="center" vertical="center" wrapText="1"/>
    </xf>
    <xf numFmtId="5" fontId="1" fillId="0" borderId="2" xfId="108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43" fontId="2" fillId="0" borderId="0" xfId="109" applyFont="1" applyBorder="1"/>
    <xf numFmtId="43" fontId="2" fillId="0" borderId="0" xfId="109" applyFont="1"/>
    <xf numFmtId="5" fontId="12" fillId="0" borderId="2" xfId="10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Border="1"/>
    <xf numFmtId="44" fontId="1" fillId="0" borderId="2" xfId="108" applyFont="1" applyBorder="1" applyAlignment="1">
      <alignment vertical="center"/>
    </xf>
    <xf numFmtId="166" fontId="1" fillId="0" borderId="2" xfId="108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5" fontId="1" fillId="0" borderId="2" xfId="0" applyNumberFormat="1" applyFont="1" applyFill="1" applyBorder="1" applyAlignment="1">
      <alignment horizontal="center" vertical="center" wrapText="1"/>
    </xf>
    <xf numFmtId="44" fontId="1" fillId="0" borderId="7" xfId="108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9" fontId="1" fillId="0" borderId="1" xfId="107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68" fontId="0" fillId="0" borderId="0" xfId="0" applyNumberFormat="1"/>
    <xf numFmtId="165" fontId="2" fillId="0" borderId="9" xfId="0" applyNumberFormat="1" applyFont="1" applyBorder="1" applyAlignment="1">
      <alignment horizontal="center" vertical="center" wrapText="1"/>
    </xf>
    <xf numFmtId="44" fontId="2" fillId="0" borderId="7" xfId="108" applyFont="1" applyBorder="1" applyAlignment="1">
      <alignment vertical="center"/>
    </xf>
    <xf numFmtId="0" fontId="2" fillId="0" borderId="7" xfId="0" applyFont="1" applyBorder="1"/>
    <xf numFmtId="1" fontId="12" fillId="0" borderId="2" xfId="0" applyNumberFormat="1" applyFont="1" applyFill="1" applyBorder="1" applyAlignment="1">
      <alignment horizontal="justify" vertical="center" wrapText="1"/>
    </xf>
    <xf numFmtId="168" fontId="14" fillId="0" borderId="0" xfId="109" applyNumberFormat="1" applyFont="1"/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1" fillId="0" borderId="1" xfId="108" applyFont="1" applyFill="1" applyBorder="1" applyAlignment="1">
      <alignment vertical="center" wrapText="1"/>
    </xf>
    <xf numFmtId="165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169" fontId="1" fillId="0" borderId="2" xfId="108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8" fontId="1" fillId="0" borderId="2" xfId="109" applyNumberFormat="1" applyFont="1" applyFill="1" applyBorder="1" applyAlignment="1">
      <alignment horizontal="center" vertical="center" wrapText="1"/>
    </xf>
    <xf numFmtId="166" fontId="1" fillId="4" borderId="2" xfId="108" applyNumberFormat="1" applyFont="1" applyFill="1" applyBorder="1" applyAlignment="1">
      <alignment horizontal="center" vertical="center" wrapText="1"/>
    </xf>
    <xf numFmtId="166" fontId="1" fillId="4" borderId="1" xfId="108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5" fontId="8" fillId="4" borderId="1" xfId="0" applyNumberFormat="1" applyFont="1" applyFill="1" applyBorder="1" applyAlignment="1">
      <alignment horizontal="justify" vertical="center" wrapText="1"/>
    </xf>
    <xf numFmtId="165" fontId="8" fillId="4" borderId="7" xfId="0" applyNumberFormat="1" applyFont="1" applyFill="1" applyBorder="1" applyAlignment="1">
      <alignment horizontal="justify" vertical="center" wrapText="1"/>
    </xf>
    <xf numFmtId="166" fontId="1" fillId="4" borderId="1" xfId="108" applyNumberFormat="1" applyFont="1" applyFill="1" applyBorder="1" applyAlignment="1">
      <alignment horizontal="center" vertical="center" wrapText="1"/>
    </xf>
    <xf numFmtId="166" fontId="1" fillId="4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justify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3" fillId="4" borderId="1" xfId="107" applyFont="1" applyFill="1" applyBorder="1" applyAlignment="1">
      <alignment horizontal="center" vertical="center" wrapText="1"/>
    </xf>
    <xf numFmtId="9" fontId="3" fillId="4" borderId="7" xfId="107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justify" vertical="center" wrapText="1"/>
    </xf>
    <xf numFmtId="1" fontId="12" fillId="0" borderId="8" xfId="0" applyNumberFormat="1" applyFont="1" applyFill="1" applyBorder="1" applyAlignment="1">
      <alignment horizontal="justify" vertical="center" wrapText="1"/>
    </xf>
    <xf numFmtId="1" fontId="12" fillId="0" borderId="7" xfId="0" applyNumberFormat="1" applyFont="1" applyFill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justify" vertical="center" wrapText="1"/>
    </xf>
    <xf numFmtId="165" fontId="2" fillId="0" borderId="8" xfId="0" applyNumberFormat="1" applyFont="1" applyBorder="1" applyAlignment="1">
      <alignment horizontal="justify" vertical="center" wrapText="1"/>
    </xf>
    <xf numFmtId="165" fontId="2" fillId="0" borderId="7" xfId="0" applyNumberFormat="1" applyFont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846729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"/>
  <sheetViews>
    <sheetView showGridLines="0" tabSelected="1" topLeftCell="I1" zoomScale="50" zoomScaleNormal="50" zoomScaleSheetLayoutView="51" workbookViewId="0">
      <pane ySplit="5" topLeftCell="A64" activePane="bottomLeft" state="frozen"/>
      <selection activeCell="D1" sqref="D1"/>
      <selection pane="bottomLeft" activeCell="M6" sqref="M6:M72"/>
    </sheetView>
  </sheetViews>
  <sheetFormatPr baseColWidth="10" defaultColWidth="11" defaultRowHeight="15" x14ac:dyDescent="0.25"/>
  <cols>
    <col min="1" max="1" width="28.59765625" style="15" customWidth="1"/>
    <col min="2" max="3" width="23" style="1" customWidth="1"/>
    <col min="4" max="4" width="41.69921875" style="1" customWidth="1"/>
    <col min="5" max="5" width="33" style="1" customWidth="1"/>
    <col min="6" max="6" width="23.5" style="1" customWidth="1"/>
    <col min="7" max="7" width="35" style="1" customWidth="1"/>
    <col min="8" max="8" width="31.19921875" style="1" customWidth="1"/>
    <col min="9" max="9" width="14.8984375" style="1" customWidth="1"/>
    <col min="10" max="10" width="17.8984375" style="1" customWidth="1"/>
    <col min="11" max="11" width="18" style="1" customWidth="1"/>
    <col min="12" max="13" width="17.5" style="1" customWidth="1"/>
    <col min="14" max="14" width="37.796875" style="1" customWidth="1"/>
    <col min="15" max="17" width="24.59765625" style="1" customWidth="1"/>
    <col min="18" max="18" width="37.09765625" style="1" customWidth="1"/>
    <col min="19" max="19" width="29.8984375" style="1" customWidth="1"/>
    <col min="20" max="23" width="24.59765625" style="1" customWidth="1"/>
    <col min="24" max="24" width="26.69921875" style="1" customWidth="1"/>
    <col min="25" max="26" width="22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C1"/>
      <c r="F1" s="191" t="s">
        <v>32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Y1" s="194" t="s">
        <v>28</v>
      </c>
      <c r="Z1" s="194"/>
    </row>
    <row r="2" spans="1:28" ht="15" customHeight="1" x14ac:dyDescent="0.25">
      <c r="A2" s="25">
        <v>44227</v>
      </c>
      <c r="B2" s="24"/>
      <c r="C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Y2" s="194"/>
      <c r="Z2" s="194"/>
    </row>
    <row r="3" spans="1:28" ht="15.6" x14ac:dyDescent="0.25"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Y3" s="61"/>
      <c r="Z3" s="54"/>
    </row>
    <row r="4" spans="1:28" s="40" customFormat="1" ht="23.25" customHeight="1" x14ac:dyDescent="0.25">
      <c r="A4" s="179" t="s">
        <v>10</v>
      </c>
      <c r="B4" s="180"/>
      <c r="C4" s="180"/>
      <c r="D4" s="180"/>
      <c r="E4" s="180"/>
      <c r="F4" s="179" t="s">
        <v>11</v>
      </c>
      <c r="G4" s="180"/>
      <c r="H4" s="180"/>
      <c r="I4" s="180"/>
      <c r="J4" s="180"/>
      <c r="K4" s="181" t="s">
        <v>29</v>
      </c>
      <c r="L4" s="181"/>
      <c r="M4" s="181"/>
      <c r="N4" s="181" t="s">
        <v>26</v>
      </c>
      <c r="O4" s="181"/>
      <c r="P4" s="181"/>
      <c r="Q4" s="181"/>
      <c r="R4" s="181"/>
      <c r="S4" s="181"/>
      <c r="T4" s="179" t="s">
        <v>20</v>
      </c>
      <c r="U4" s="180"/>
      <c r="V4" s="180"/>
      <c r="W4" s="180"/>
      <c r="X4" s="185"/>
      <c r="Y4" s="186" t="s">
        <v>21</v>
      </c>
      <c r="Z4" s="186" t="s">
        <v>195</v>
      </c>
      <c r="AA4" s="182" t="s">
        <v>27</v>
      </c>
      <c r="AB4" s="182"/>
    </row>
    <row r="5" spans="1:28" ht="42" customHeight="1" x14ac:dyDescent="0.25">
      <c r="A5" s="5" t="s">
        <v>1</v>
      </c>
      <c r="B5" s="5" t="s">
        <v>6</v>
      </c>
      <c r="C5" s="5" t="s">
        <v>2</v>
      </c>
      <c r="D5" s="5" t="s">
        <v>7</v>
      </c>
      <c r="E5" s="39" t="s">
        <v>22</v>
      </c>
      <c r="F5" s="6" t="s">
        <v>16</v>
      </c>
      <c r="G5" s="6" t="s">
        <v>3</v>
      </c>
      <c r="H5" s="6" t="s">
        <v>17</v>
      </c>
      <c r="I5" s="23" t="s">
        <v>24</v>
      </c>
      <c r="J5" s="23" t="s">
        <v>25</v>
      </c>
      <c r="K5" s="6" t="s">
        <v>4</v>
      </c>
      <c r="L5" s="6" t="s">
        <v>5</v>
      </c>
      <c r="M5" s="23" t="s">
        <v>0</v>
      </c>
      <c r="N5" s="5" t="s">
        <v>9</v>
      </c>
      <c r="O5" s="6" t="s">
        <v>12</v>
      </c>
      <c r="P5" s="6" t="s">
        <v>8</v>
      </c>
      <c r="Q5" s="55" t="s">
        <v>201</v>
      </c>
      <c r="R5" s="6" t="s">
        <v>13</v>
      </c>
      <c r="S5" s="6" t="s">
        <v>23</v>
      </c>
      <c r="T5" s="55" t="s">
        <v>12</v>
      </c>
      <c r="U5" s="55" t="s">
        <v>8</v>
      </c>
      <c r="V5" s="55" t="s">
        <v>201</v>
      </c>
      <c r="W5" s="55" t="s">
        <v>13</v>
      </c>
      <c r="X5" s="55" t="s">
        <v>200</v>
      </c>
      <c r="Y5" s="187"/>
      <c r="Z5" s="187"/>
      <c r="AA5" s="6" t="s">
        <v>14</v>
      </c>
      <c r="AB5" s="6" t="s">
        <v>15</v>
      </c>
    </row>
    <row r="6" spans="1:28" s="11" customFormat="1" ht="132" customHeight="1" x14ac:dyDescent="0.25">
      <c r="A6" s="44" t="s">
        <v>30</v>
      </c>
      <c r="B6" s="44" t="s">
        <v>33</v>
      </c>
      <c r="C6" s="44" t="s">
        <v>34</v>
      </c>
      <c r="D6" s="57" t="s">
        <v>35</v>
      </c>
      <c r="E6" s="37" t="s">
        <v>36</v>
      </c>
      <c r="F6" s="156">
        <v>2021680010003</v>
      </c>
      <c r="G6" s="188" t="s">
        <v>177</v>
      </c>
      <c r="H6" s="7"/>
      <c r="I6" s="41">
        <v>44197</v>
      </c>
      <c r="J6" s="41">
        <v>44561</v>
      </c>
      <c r="K6" s="45">
        <v>1</v>
      </c>
      <c r="L6" s="66">
        <v>0.2</v>
      </c>
      <c r="M6" s="3">
        <f>IFERROR(IF(L6/K6&gt;100%,100%,L6/K6),"-")</f>
        <v>0.2</v>
      </c>
      <c r="N6" s="7" t="s">
        <v>224</v>
      </c>
      <c r="O6" s="26">
        <f>24000000</f>
        <v>24000000</v>
      </c>
      <c r="P6" s="134"/>
      <c r="Q6" s="9"/>
      <c r="R6" s="9"/>
      <c r="S6" s="137">
        <f t="shared" ref="S6:S21" si="0">SUM(O6:R6)</f>
        <v>24000000</v>
      </c>
      <c r="T6" s="26"/>
      <c r="U6" s="87"/>
      <c r="V6" s="87"/>
      <c r="W6" s="87"/>
      <c r="X6" s="137">
        <f t="shared" ref="X6:X21" si="1">SUM(T6:W6)</f>
        <v>0</v>
      </c>
      <c r="Y6" s="27">
        <f>IFERROR(X6/S6,"-")</f>
        <v>0</v>
      </c>
      <c r="Z6" s="26"/>
      <c r="AA6" s="10" t="s">
        <v>171</v>
      </c>
      <c r="AB6" s="10" t="s">
        <v>186</v>
      </c>
    </row>
    <row r="7" spans="1:28" s="11" customFormat="1" ht="160.80000000000001" customHeight="1" x14ac:dyDescent="0.25">
      <c r="A7" s="44" t="s">
        <v>30</v>
      </c>
      <c r="B7" s="44" t="s">
        <v>33</v>
      </c>
      <c r="C7" s="44" t="s">
        <v>34</v>
      </c>
      <c r="D7" s="57" t="s">
        <v>37</v>
      </c>
      <c r="E7" s="37" t="s">
        <v>38</v>
      </c>
      <c r="F7" s="157"/>
      <c r="G7" s="189"/>
      <c r="H7" s="7"/>
      <c r="I7" s="41">
        <v>44197</v>
      </c>
      <c r="J7" s="41">
        <v>44561</v>
      </c>
      <c r="K7" s="45">
        <v>1</v>
      </c>
      <c r="L7" s="66">
        <v>0.2</v>
      </c>
      <c r="M7" s="3">
        <f t="shared" ref="M7:M72" si="2">IFERROR(IF(L7/K7&gt;100%,100%,L7/K7),"-")</f>
        <v>0.2</v>
      </c>
      <c r="N7" s="7" t="s">
        <v>220</v>
      </c>
      <c r="O7" s="26">
        <v>50000000</v>
      </c>
      <c r="P7" s="9"/>
      <c r="Q7" s="9"/>
      <c r="R7" s="9"/>
      <c r="S7" s="137">
        <f t="shared" si="0"/>
        <v>50000000</v>
      </c>
      <c r="T7" s="26"/>
      <c r="U7" s="87"/>
      <c r="V7" s="87"/>
      <c r="W7" s="87"/>
      <c r="X7" s="137">
        <f t="shared" si="1"/>
        <v>0</v>
      </c>
      <c r="Y7" s="27">
        <f>IFERROR(X7/S7,"-")</f>
        <v>0</v>
      </c>
      <c r="Z7" s="26"/>
      <c r="AA7" s="10" t="s">
        <v>171</v>
      </c>
      <c r="AB7" s="10" t="s">
        <v>186</v>
      </c>
    </row>
    <row r="8" spans="1:28" s="11" customFormat="1" ht="122.4" customHeight="1" x14ac:dyDescent="0.25">
      <c r="A8" s="44" t="s">
        <v>30</v>
      </c>
      <c r="B8" s="44" t="s">
        <v>33</v>
      </c>
      <c r="C8" s="44" t="s">
        <v>43</v>
      </c>
      <c r="D8" s="57" t="s">
        <v>44</v>
      </c>
      <c r="E8" s="37" t="s">
        <v>45</v>
      </c>
      <c r="F8" s="157"/>
      <c r="G8" s="189"/>
      <c r="H8" s="7"/>
      <c r="I8" s="41">
        <v>44197</v>
      </c>
      <c r="J8" s="41">
        <v>44561</v>
      </c>
      <c r="K8" s="45">
        <v>1</v>
      </c>
      <c r="L8" s="66">
        <v>0.2</v>
      </c>
      <c r="M8" s="3">
        <f t="shared" si="2"/>
        <v>0.2</v>
      </c>
      <c r="N8" s="7" t="s">
        <v>225</v>
      </c>
      <c r="O8" s="26">
        <f>40000000+50000000+28000000</f>
        <v>118000000</v>
      </c>
      <c r="P8" s="9"/>
      <c r="Q8" s="9"/>
      <c r="R8" s="9"/>
      <c r="S8" s="137">
        <f t="shared" si="0"/>
        <v>118000000</v>
      </c>
      <c r="T8" s="26"/>
      <c r="U8" s="87"/>
      <c r="V8" s="87"/>
      <c r="W8" s="87"/>
      <c r="X8" s="137">
        <f t="shared" si="1"/>
        <v>0</v>
      </c>
      <c r="Y8" s="27">
        <f>IFERROR(X8/S8,"-")</f>
        <v>0</v>
      </c>
      <c r="Z8" s="26"/>
      <c r="AA8" s="10" t="s">
        <v>171</v>
      </c>
      <c r="AB8" s="10" t="s">
        <v>186</v>
      </c>
    </row>
    <row r="9" spans="1:28" s="11" customFormat="1" ht="145.80000000000001" customHeight="1" x14ac:dyDescent="0.25">
      <c r="A9" s="44" t="s">
        <v>30</v>
      </c>
      <c r="B9" s="44" t="s">
        <v>33</v>
      </c>
      <c r="C9" s="44" t="s">
        <v>43</v>
      </c>
      <c r="D9" s="57" t="s">
        <v>46</v>
      </c>
      <c r="E9" s="37" t="s">
        <v>47</v>
      </c>
      <c r="F9" s="157"/>
      <c r="G9" s="189"/>
      <c r="H9" s="7"/>
      <c r="I9" s="41">
        <v>44197</v>
      </c>
      <c r="J9" s="41">
        <v>44561</v>
      </c>
      <c r="K9" s="45">
        <v>1</v>
      </c>
      <c r="L9" s="66">
        <v>0.2</v>
      </c>
      <c r="M9" s="3">
        <f t="shared" si="2"/>
        <v>0.2</v>
      </c>
      <c r="N9" s="7" t="s">
        <v>220</v>
      </c>
      <c r="O9" s="26">
        <v>90000000</v>
      </c>
      <c r="P9" s="9"/>
      <c r="Q9" s="9"/>
      <c r="R9" s="9"/>
      <c r="S9" s="137">
        <f t="shared" si="0"/>
        <v>90000000</v>
      </c>
      <c r="T9" s="26"/>
      <c r="U9" s="87"/>
      <c r="V9" s="87"/>
      <c r="W9" s="87"/>
      <c r="X9" s="137">
        <f t="shared" si="1"/>
        <v>0</v>
      </c>
      <c r="Y9" s="27">
        <f t="shared" ref="Y9" si="3">IFERROR(X9/S9,"-")</f>
        <v>0</v>
      </c>
      <c r="Z9" s="26"/>
      <c r="AA9" s="10" t="s">
        <v>171</v>
      </c>
      <c r="AB9" s="10" t="s">
        <v>186</v>
      </c>
    </row>
    <row r="10" spans="1:28" s="11" customFormat="1" ht="114.6" customHeight="1" x14ac:dyDescent="0.25">
      <c r="A10" s="44" t="s">
        <v>30</v>
      </c>
      <c r="B10" s="44" t="s">
        <v>33</v>
      </c>
      <c r="C10" s="44" t="s">
        <v>43</v>
      </c>
      <c r="D10" s="57" t="s">
        <v>48</v>
      </c>
      <c r="E10" s="37" t="s">
        <v>49</v>
      </c>
      <c r="F10" s="157"/>
      <c r="G10" s="189"/>
      <c r="H10" s="7"/>
      <c r="I10" s="41">
        <v>44197</v>
      </c>
      <c r="J10" s="41">
        <v>44561</v>
      </c>
      <c r="K10" s="45">
        <v>1</v>
      </c>
      <c r="L10" s="66">
        <v>0</v>
      </c>
      <c r="M10" s="3">
        <f t="shared" si="2"/>
        <v>0</v>
      </c>
      <c r="N10" s="7" t="s">
        <v>221</v>
      </c>
      <c r="O10" s="26">
        <v>0</v>
      </c>
      <c r="P10" s="8">
        <v>70000000</v>
      </c>
      <c r="Q10" s="9"/>
      <c r="R10" s="9"/>
      <c r="S10" s="137">
        <f t="shared" si="0"/>
        <v>70000000</v>
      </c>
      <c r="T10" s="26"/>
      <c r="U10" s="87"/>
      <c r="V10" s="87"/>
      <c r="W10" s="87"/>
      <c r="X10" s="137">
        <f t="shared" si="1"/>
        <v>0</v>
      </c>
      <c r="Y10" s="27">
        <f t="shared" ref="Y10:Y32" si="4">IFERROR(X10/S10,"-")</f>
        <v>0</v>
      </c>
      <c r="Z10" s="26"/>
      <c r="AA10" s="10" t="s">
        <v>171</v>
      </c>
      <c r="AB10" s="10" t="s">
        <v>186</v>
      </c>
    </row>
    <row r="11" spans="1:28" s="11" customFormat="1" ht="130.80000000000001" customHeight="1" x14ac:dyDescent="0.25">
      <c r="A11" s="44" t="s">
        <v>30</v>
      </c>
      <c r="B11" s="44" t="s">
        <v>33</v>
      </c>
      <c r="C11" s="44" t="s">
        <v>43</v>
      </c>
      <c r="D11" s="57" t="s">
        <v>50</v>
      </c>
      <c r="E11" s="37" t="s">
        <v>51</v>
      </c>
      <c r="F11" s="157"/>
      <c r="G11" s="189"/>
      <c r="H11" s="7"/>
      <c r="I11" s="41">
        <v>44197</v>
      </c>
      <c r="J11" s="41">
        <v>44561</v>
      </c>
      <c r="K11" s="45">
        <v>1</v>
      </c>
      <c r="L11" s="66">
        <v>0.2</v>
      </c>
      <c r="M11" s="3">
        <f t="shared" si="2"/>
        <v>0.2</v>
      </c>
      <c r="N11" s="7" t="s">
        <v>226</v>
      </c>
      <c r="O11" s="26">
        <f>12500000+10000000</f>
        <v>22500000</v>
      </c>
      <c r="P11" s="8">
        <v>50000000</v>
      </c>
      <c r="Q11" s="9"/>
      <c r="R11" s="9"/>
      <c r="S11" s="137">
        <f t="shared" si="0"/>
        <v>72500000</v>
      </c>
      <c r="T11" s="26"/>
      <c r="U11" s="87"/>
      <c r="V11" s="87"/>
      <c r="W11" s="87"/>
      <c r="X11" s="137">
        <f t="shared" si="1"/>
        <v>0</v>
      </c>
      <c r="Y11" s="27">
        <f t="shared" si="4"/>
        <v>0</v>
      </c>
      <c r="Z11" s="26"/>
      <c r="AA11" s="10" t="s">
        <v>171</v>
      </c>
      <c r="AB11" s="10" t="s">
        <v>186</v>
      </c>
    </row>
    <row r="12" spans="1:28" s="11" customFormat="1" ht="150.6" customHeight="1" x14ac:dyDescent="0.25">
      <c r="A12" s="44" t="s">
        <v>30</v>
      </c>
      <c r="B12" s="44" t="s">
        <v>33</v>
      </c>
      <c r="C12" s="44" t="s">
        <v>43</v>
      </c>
      <c r="D12" s="57" t="s">
        <v>52</v>
      </c>
      <c r="E12" s="37" t="s">
        <v>53</v>
      </c>
      <c r="F12" s="157"/>
      <c r="G12" s="189"/>
      <c r="H12" s="7"/>
      <c r="I12" s="41">
        <v>44197</v>
      </c>
      <c r="J12" s="41">
        <v>44561</v>
      </c>
      <c r="K12" s="45">
        <v>1</v>
      </c>
      <c r="L12" s="66">
        <v>0.2</v>
      </c>
      <c r="M12" s="3">
        <f t="shared" si="2"/>
        <v>0.2</v>
      </c>
      <c r="N12" s="7" t="s">
        <v>227</v>
      </c>
      <c r="O12" s="26">
        <f>70000000+10000000</f>
        <v>80000000</v>
      </c>
      <c r="P12" s="9"/>
      <c r="Q12" s="9"/>
      <c r="R12" s="9"/>
      <c r="S12" s="137">
        <f t="shared" si="0"/>
        <v>80000000</v>
      </c>
      <c r="T12" s="26"/>
      <c r="U12" s="87"/>
      <c r="V12" s="87"/>
      <c r="W12" s="87"/>
      <c r="X12" s="137">
        <f t="shared" si="1"/>
        <v>0</v>
      </c>
      <c r="Y12" s="27">
        <f t="shared" si="4"/>
        <v>0</v>
      </c>
      <c r="Z12" s="26"/>
      <c r="AA12" s="10" t="s">
        <v>171</v>
      </c>
      <c r="AB12" s="10" t="s">
        <v>186</v>
      </c>
    </row>
    <row r="13" spans="1:28" s="11" customFormat="1" ht="117" customHeight="1" x14ac:dyDescent="0.25">
      <c r="A13" s="44" t="s">
        <v>30</v>
      </c>
      <c r="B13" s="44" t="s">
        <v>33</v>
      </c>
      <c r="C13" s="44" t="s">
        <v>43</v>
      </c>
      <c r="D13" s="57" t="s">
        <v>54</v>
      </c>
      <c r="E13" s="37" t="s">
        <v>55</v>
      </c>
      <c r="F13" s="157"/>
      <c r="G13" s="189"/>
      <c r="H13" s="7"/>
      <c r="I13" s="41">
        <v>44197</v>
      </c>
      <c r="J13" s="41">
        <v>44561</v>
      </c>
      <c r="K13" s="45">
        <v>1</v>
      </c>
      <c r="L13" s="66">
        <v>0</v>
      </c>
      <c r="M13" s="3">
        <f t="shared" si="2"/>
        <v>0</v>
      </c>
      <c r="N13" s="7" t="s">
        <v>220</v>
      </c>
      <c r="O13" s="26">
        <v>20000000</v>
      </c>
      <c r="P13" s="9"/>
      <c r="Q13" s="9"/>
      <c r="R13" s="9"/>
      <c r="S13" s="137">
        <f t="shared" si="0"/>
        <v>20000000</v>
      </c>
      <c r="T13" s="26"/>
      <c r="U13" s="87"/>
      <c r="V13" s="87"/>
      <c r="W13" s="87"/>
      <c r="X13" s="137">
        <f t="shared" si="1"/>
        <v>0</v>
      </c>
      <c r="Y13" s="27">
        <f t="shared" si="4"/>
        <v>0</v>
      </c>
      <c r="Z13" s="26"/>
      <c r="AA13" s="10" t="s">
        <v>171</v>
      </c>
      <c r="AB13" s="10" t="s">
        <v>186</v>
      </c>
    </row>
    <row r="14" spans="1:28" s="11" customFormat="1" ht="61.8" customHeight="1" x14ac:dyDescent="0.25">
      <c r="A14" s="44" t="s">
        <v>30</v>
      </c>
      <c r="B14" s="44" t="s">
        <v>33</v>
      </c>
      <c r="C14" s="44" t="s">
        <v>43</v>
      </c>
      <c r="D14" s="57" t="s">
        <v>56</v>
      </c>
      <c r="E14" s="37" t="s">
        <v>57</v>
      </c>
      <c r="F14" s="157"/>
      <c r="G14" s="189"/>
      <c r="H14" s="7"/>
      <c r="I14" s="41">
        <v>44197</v>
      </c>
      <c r="J14" s="41">
        <v>44561</v>
      </c>
      <c r="K14" s="45">
        <v>1</v>
      </c>
      <c r="L14" s="66">
        <v>0</v>
      </c>
      <c r="M14" s="3">
        <f t="shared" si="2"/>
        <v>0</v>
      </c>
      <c r="N14" s="7" t="s">
        <v>220</v>
      </c>
      <c r="O14" s="26">
        <v>40000000</v>
      </c>
      <c r="P14" s="9"/>
      <c r="Q14" s="9"/>
      <c r="R14" s="9"/>
      <c r="S14" s="137">
        <f t="shared" si="0"/>
        <v>40000000</v>
      </c>
      <c r="T14" s="26"/>
      <c r="U14" s="87"/>
      <c r="V14" s="87"/>
      <c r="W14" s="87"/>
      <c r="X14" s="137">
        <f t="shared" si="1"/>
        <v>0</v>
      </c>
      <c r="Y14" s="27">
        <f t="shared" si="4"/>
        <v>0</v>
      </c>
      <c r="Z14" s="26"/>
      <c r="AA14" s="10" t="s">
        <v>171</v>
      </c>
      <c r="AB14" s="10" t="s">
        <v>186</v>
      </c>
    </row>
    <row r="15" spans="1:28" s="11" customFormat="1" ht="100.8" customHeight="1" x14ac:dyDescent="0.25">
      <c r="A15" s="44" t="s">
        <v>30</v>
      </c>
      <c r="B15" s="44" t="s">
        <v>33</v>
      </c>
      <c r="C15" s="44" t="s">
        <v>43</v>
      </c>
      <c r="D15" s="57" t="s">
        <v>58</v>
      </c>
      <c r="E15" s="37" t="s">
        <v>59</v>
      </c>
      <c r="F15" s="157"/>
      <c r="G15" s="189"/>
      <c r="H15" s="7"/>
      <c r="I15" s="41">
        <v>44197</v>
      </c>
      <c r="J15" s="41">
        <v>44561</v>
      </c>
      <c r="K15" s="45">
        <v>1</v>
      </c>
      <c r="L15" s="66">
        <v>0.3</v>
      </c>
      <c r="M15" s="3">
        <f t="shared" si="2"/>
        <v>0.3</v>
      </c>
      <c r="N15" s="7" t="s">
        <v>239</v>
      </c>
      <c r="O15" s="26">
        <f>150000000+101901217+10000000</f>
        <v>261901217</v>
      </c>
      <c r="P15" s="9"/>
      <c r="Q15" s="9"/>
      <c r="R15" s="9"/>
      <c r="S15" s="137">
        <f t="shared" si="0"/>
        <v>261901217</v>
      </c>
      <c r="T15" s="26"/>
      <c r="U15" s="87"/>
      <c r="V15" s="87"/>
      <c r="W15" s="87"/>
      <c r="X15" s="137">
        <f t="shared" si="1"/>
        <v>0</v>
      </c>
      <c r="Y15" s="27">
        <f t="shared" si="4"/>
        <v>0</v>
      </c>
      <c r="Z15" s="26"/>
      <c r="AA15" s="10" t="s">
        <v>171</v>
      </c>
      <c r="AB15" s="10" t="s">
        <v>186</v>
      </c>
    </row>
    <row r="16" spans="1:28" s="11" customFormat="1" ht="113.4" customHeight="1" x14ac:dyDescent="0.25">
      <c r="A16" s="44" t="s">
        <v>30</v>
      </c>
      <c r="B16" s="44" t="s">
        <v>33</v>
      </c>
      <c r="C16" s="44" t="s">
        <v>60</v>
      </c>
      <c r="D16" s="57" t="s">
        <v>61</v>
      </c>
      <c r="E16" s="37" t="s">
        <v>62</v>
      </c>
      <c r="F16" s="157"/>
      <c r="G16" s="189"/>
      <c r="H16" s="7"/>
      <c r="I16" s="41">
        <v>44197</v>
      </c>
      <c r="J16" s="41">
        <v>44561</v>
      </c>
      <c r="K16" s="45">
        <v>1</v>
      </c>
      <c r="L16" s="66">
        <v>0</v>
      </c>
      <c r="M16" s="3">
        <f t="shared" si="2"/>
        <v>0</v>
      </c>
      <c r="N16" s="7" t="s">
        <v>220</v>
      </c>
      <c r="O16" s="26">
        <v>20000000</v>
      </c>
      <c r="P16" s="9"/>
      <c r="Q16" s="9"/>
      <c r="R16" s="9"/>
      <c r="S16" s="137">
        <f t="shared" si="0"/>
        <v>20000000</v>
      </c>
      <c r="T16" s="26"/>
      <c r="U16" s="87"/>
      <c r="V16" s="87"/>
      <c r="W16" s="87"/>
      <c r="X16" s="137">
        <f t="shared" si="1"/>
        <v>0</v>
      </c>
      <c r="Y16" s="27">
        <f t="shared" si="4"/>
        <v>0</v>
      </c>
      <c r="Z16" s="26"/>
      <c r="AA16" s="10" t="s">
        <v>171</v>
      </c>
      <c r="AB16" s="10" t="s">
        <v>186</v>
      </c>
    </row>
    <row r="17" spans="1:28" s="11" customFormat="1" ht="110.4" customHeight="1" x14ac:dyDescent="0.25">
      <c r="A17" s="44" t="s">
        <v>30</v>
      </c>
      <c r="B17" s="44" t="s">
        <v>33</v>
      </c>
      <c r="C17" s="44" t="s">
        <v>60</v>
      </c>
      <c r="D17" s="57" t="s">
        <v>65</v>
      </c>
      <c r="E17" s="37" t="s">
        <v>66</v>
      </c>
      <c r="F17" s="157"/>
      <c r="G17" s="189"/>
      <c r="H17" s="7"/>
      <c r="I17" s="41">
        <v>44197</v>
      </c>
      <c r="J17" s="41">
        <v>44561</v>
      </c>
      <c r="K17" s="45">
        <v>1</v>
      </c>
      <c r="L17" s="66">
        <v>0.1</v>
      </c>
      <c r="M17" s="3">
        <f t="shared" si="2"/>
        <v>0.1</v>
      </c>
      <c r="N17" s="7" t="s">
        <v>222</v>
      </c>
      <c r="O17" s="26">
        <f>30000000+ 10000000+100000000+140000000-134500000-63802434</f>
        <v>81697566</v>
      </c>
      <c r="P17" s="9"/>
      <c r="Q17" s="9"/>
      <c r="R17" s="9"/>
      <c r="S17" s="137">
        <f t="shared" si="0"/>
        <v>81697566</v>
      </c>
      <c r="T17" s="26"/>
      <c r="U17" s="87"/>
      <c r="V17" s="87"/>
      <c r="W17" s="87"/>
      <c r="X17" s="137">
        <f t="shared" si="1"/>
        <v>0</v>
      </c>
      <c r="Y17" s="27">
        <f t="shared" si="4"/>
        <v>0</v>
      </c>
      <c r="Z17" s="26"/>
      <c r="AA17" s="10" t="s">
        <v>171</v>
      </c>
      <c r="AB17" s="10" t="s">
        <v>186</v>
      </c>
    </row>
    <row r="18" spans="1:28" s="11" customFormat="1" ht="83.4" customHeight="1" x14ac:dyDescent="0.25">
      <c r="A18" s="44" t="s">
        <v>30</v>
      </c>
      <c r="B18" s="44" t="s">
        <v>33</v>
      </c>
      <c r="C18" s="44" t="s">
        <v>60</v>
      </c>
      <c r="D18" s="57" t="s">
        <v>67</v>
      </c>
      <c r="E18" s="37" t="s">
        <v>68</v>
      </c>
      <c r="F18" s="157"/>
      <c r="G18" s="189"/>
      <c r="H18" s="7"/>
      <c r="I18" s="41">
        <v>44197</v>
      </c>
      <c r="J18" s="41">
        <v>44561</v>
      </c>
      <c r="K18" s="46">
        <v>1</v>
      </c>
      <c r="L18" s="72">
        <v>1</v>
      </c>
      <c r="M18" s="3">
        <f t="shared" si="2"/>
        <v>1</v>
      </c>
      <c r="N18" s="7" t="s">
        <v>220</v>
      </c>
      <c r="O18" s="26">
        <v>30000000</v>
      </c>
      <c r="P18" s="9"/>
      <c r="Q18" s="9"/>
      <c r="R18" s="9"/>
      <c r="S18" s="137">
        <f t="shared" si="0"/>
        <v>30000000</v>
      </c>
      <c r="T18" s="26"/>
      <c r="U18" s="87"/>
      <c r="V18" s="87"/>
      <c r="W18" s="87"/>
      <c r="X18" s="137">
        <f t="shared" si="1"/>
        <v>0</v>
      </c>
      <c r="Y18" s="27">
        <f t="shared" si="4"/>
        <v>0</v>
      </c>
      <c r="Z18" s="26"/>
      <c r="AA18" s="10" t="s">
        <v>171</v>
      </c>
      <c r="AB18" s="10" t="s">
        <v>186</v>
      </c>
    </row>
    <row r="19" spans="1:28" s="11" customFormat="1" ht="100.8" customHeight="1" x14ac:dyDescent="0.25">
      <c r="A19" s="44" t="s">
        <v>30</v>
      </c>
      <c r="B19" s="44" t="s">
        <v>33</v>
      </c>
      <c r="C19" s="82" t="s">
        <v>60</v>
      </c>
      <c r="D19" s="57" t="s">
        <v>69</v>
      </c>
      <c r="E19" s="37" t="s">
        <v>70</v>
      </c>
      <c r="F19" s="157"/>
      <c r="G19" s="189"/>
      <c r="H19" s="7"/>
      <c r="I19" s="41">
        <v>44197</v>
      </c>
      <c r="J19" s="41">
        <v>44561</v>
      </c>
      <c r="K19" s="45">
        <v>1</v>
      </c>
      <c r="L19" s="66">
        <v>0.2</v>
      </c>
      <c r="M19" s="3">
        <f t="shared" si="2"/>
        <v>0.2</v>
      </c>
      <c r="N19" s="7" t="s">
        <v>220</v>
      </c>
      <c r="O19" s="26">
        <v>30000000</v>
      </c>
      <c r="P19" s="9"/>
      <c r="Q19" s="9"/>
      <c r="R19" s="9"/>
      <c r="S19" s="137">
        <f t="shared" si="0"/>
        <v>30000000</v>
      </c>
      <c r="T19" s="26"/>
      <c r="U19" s="87"/>
      <c r="V19" s="87"/>
      <c r="W19" s="87"/>
      <c r="X19" s="137">
        <f t="shared" si="1"/>
        <v>0</v>
      </c>
      <c r="Y19" s="27">
        <f t="shared" si="4"/>
        <v>0</v>
      </c>
      <c r="Z19" s="26"/>
      <c r="AA19" s="10" t="s">
        <v>171</v>
      </c>
      <c r="AB19" s="10" t="s">
        <v>186</v>
      </c>
    </row>
    <row r="20" spans="1:28" s="11" customFormat="1" ht="113.4" customHeight="1" x14ac:dyDescent="0.25">
      <c r="A20" s="44" t="s">
        <v>30</v>
      </c>
      <c r="B20" s="44" t="s">
        <v>33</v>
      </c>
      <c r="C20" s="82" t="s">
        <v>60</v>
      </c>
      <c r="D20" s="57" t="s">
        <v>71</v>
      </c>
      <c r="E20" s="37" t="s">
        <v>72</v>
      </c>
      <c r="F20" s="157"/>
      <c r="G20" s="189"/>
      <c r="H20" s="7"/>
      <c r="I20" s="41">
        <v>44197</v>
      </c>
      <c r="J20" s="41">
        <v>44561</v>
      </c>
      <c r="K20" s="45">
        <v>2</v>
      </c>
      <c r="L20" s="66">
        <v>0.1</v>
      </c>
      <c r="M20" s="3">
        <f t="shared" si="2"/>
        <v>0.05</v>
      </c>
      <c r="N20" s="7" t="s">
        <v>220</v>
      </c>
      <c r="O20" s="26">
        <v>30000000</v>
      </c>
      <c r="P20" s="9"/>
      <c r="Q20" s="9"/>
      <c r="R20" s="9"/>
      <c r="S20" s="137">
        <f t="shared" si="0"/>
        <v>30000000</v>
      </c>
      <c r="T20" s="26"/>
      <c r="U20" s="87"/>
      <c r="V20" s="87"/>
      <c r="W20" s="87"/>
      <c r="X20" s="137">
        <f t="shared" si="1"/>
        <v>0</v>
      </c>
      <c r="Y20" s="27">
        <f t="shared" si="4"/>
        <v>0</v>
      </c>
      <c r="Z20" s="26"/>
      <c r="AA20" s="10" t="s">
        <v>171</v>
      </c>
      <c r="AB20" s="10" t="s">
        <v>186</v>
      </c>
    </row>
    <row r="21" spans="1:28" ht="66" customHeight="1" x14ac:dyDescent="0.25">
      <c r="A21" s="44" t="s">
        <v>31</v>
      </c>
      <c r="B21" s="44" t="s">
        <v>156</v>
      </c>
      <c r="C21" s="82" t="s">
        <v>157</v>
      </c>
      <c r="D21" s="58" t="s">
        <v>158</v>
      </c>
      <c r="E21" s="2" t="s">
        <v>159</v>
      </c>
      <c r="F21" s="157"/>
      <c r="G21" s="189"/>
      <c r="H21" s="7"/>
      <c r="I21" s="41">
        <v>44197</v>
      </c>
      <c r="J21" s="41">
        <v>44561</v>
      </c>
      <c r="K21" s="45">
        <v>1</v>
      </c>
      <c r="L21" s="65">
        <v>0.2</v>
      </c>
      <c r="M21" s="3">
        <f t="shared" si="2"/>
        <v>0.2</v>
      </c>
      <c r="N21" s="7" t="s">
        <v>228</v>
      </c>
      <c r="O21" s="26">
        <f>10000000+20000000</f>
        <v>30000000</v>
      </c>
      <c r="P21" s="12"/>
      <c r="Q21" s="12"/>
      <c r="R21" s="12"/>
      <c r="S21" s="137">
        <f t="shared" si="0"/>
        <v>30000000</v>
      </c>
      <c r="T21" s="26"/>
      <c r="U21" s="84"/>
      <c r="V21" s="84"/>
      <c r="W21" s="84"/>
      <c r="X21" s="137">
        <f t="shared" si="1"/>
        <v>0</v>
      </c>
      <c r="Y21" s="27">
        <f t="shared" si="4"/>
        <v>0</v>
      </c>
      <c r="Z21" s="26"/>
      <c r="AA21" s="10" t="s">
        <v>171</v>
      </c>
      <c r="AB21" s="10" t="s">
        <v>186</v>
      </c>
    </row>
    <row r="22" spans="1:28" s="11" customFormat="1" ht="89.4" customHeight="1" x14ac:dyDescent="0.25">
      <c r="A22" s="44" t="s">
        <v>30</v>
      </c>
      <c r="B22" s="44" t="s">
        <v>33</v>
      </c>
      <c r="C22" s="125" t="s">
        <v>60</v>
      </c>
      <c r="D22" s="110" t="s">
        <v>63</v>
      </c>
      <c r="E22" s="116" t="s">
        <v>64</v>
      </c>
      <c r="F22" s="158"/>
      <c r="G22" s="190"/>
      <c r="H22" s="7"/>
      <c r="I22" s="41">
        <v>44197</v>
      </c>
      <c r="J22" s="41">
        <v>44561</v>
      </c>
      <c r="K22" s="111">
        <v>50000</v>
      </c>
      <c r="L22" s="123">
        <v>1</v>
      </c>
      <c r="M22" s="108">
        <f t="shared" ref="M22" si="5">IFERROR(IF(L22/K22&gt;100%,100%,L22/K22),"-")</f>
        <v>2.0000000000000002E-5</v>
      </c>
      <c r="N22" s="7" t="s">
        <v>220</v>
      </c>
      <c r="O22" s="26">
        <v>10000000</v>
      </c>
      <c r="P22" s="9"/>
      <c r="Q22" s="9"/>
      <c r="R22" s="9"/>
      <c r="S22" s="138">
        <f>SUM(O22:R22)</f>
        <v>10000000</v>
      </c>
      <c r="T22" s="77"/>
      <c r="U22" s="99"/>
      <c r="V22" s="99"/>
      <c r="W22" s="99"/>
      <c r="X22" s="138">
        <f>SUM(T22:W22)</f>
        <v>0</v>
      </c>
      <c r="Y22" s="105">
        <f t="shared" si="4"/>
        <v>0</v>
      </c>
      <c r="Z22" s="106"/>
      <c r="AA22" s="107" t="s">
        <v>171</v>
      </c>
      <c r="AB22" s="107" t="s">
        <v>186</v>
      </c>
    </row>
    <row r="23" spans="1:28" s="11" customFormat="1" ht="79.8" customHeight="1" x14ac:dyDescent="0.25">
      <c r="A23" s="44" t="s">
        <v>30</v>
      </c>
      <c r="B23" s="44" t="s">
        <v>33</v>
      </c>
      <c r="C23" s="82" t="s">
        <v>34</v>
      </c>
      <c r="D23" s="57" t="s">
        <v>39</v>
      </c>
      <c r="E23" s="37" t="s">
        <v>40</v>
      </c>
      <c r="F23" s="49"/>
      <c r="G23" s="49"/>
      <c r="H23" s="7"/>
      <c r="I23" s="41">
        <v>44197</v>
      </c>
      <c r="J23" s="41">
        <v>44561</v>
      </c>
      <c r="K23" s="45">
        <v>0</v>
      </c>
      <c r="L23" s="62">
        <v>0</v>
      </c>
      <c r="M23" s="3" t="str">
        <f t="shared" si="2"/>
        <v>-</v>
      </c>
      <c r="N23" s="7"/>
      <c r="O23" s="26"/>
      <c r="P23" s="9"/>
      <c r="Q23" s="9"/>
      <c r="R23" s="9"/>
      <c r="S23" s="137">
        <f>SUM(O23:R23)</f>
        <v>0</v>
      </c>
      <c r="T23" s="26"/>
      <c r="U23" s="87"/>
      <c r="V23" s="87"/>
      <c r="W23" s="87"/>
      <c r="X23" s="137">
        <f>SUM(T23:W23)</f>
        <v>0</v>
      </c>
      <c r="Y23" s="27" t="str">
        <f t="shared" si="4"/>
        <v>-</v>
      </c>
      <c r="Z23" s="26"/>
      <c r="AA23" s="10" t="s">
        <v>171</v>
      </c>
      <c r="AB23" s="10" t="s">
        <v>186</v>
      </c>
    </row>
    <row r="24" spans="1:28" s="11" customFormat="1" ht="60" x14ac:dyDescent="0.25">
      <c r="A24" s="44" t="s">
        <v>30</v>
      </c>
      <c r="B24" s="44" t="s">
        <v>33</v>
      </c>
      <c r="C24" s="82" t="s">
        <v>34</v>
      </c>
      <c r="D24" s="57" t="s">
        <v>41</v>
      </c>
      <c r="E24" s="37" t="s">
        <v>42</v>
      </c>
      <c r="F24" s="49"/>
      <c r="G24" s="49"/>
      <c r="H24" s="7"/>
      <c r="I24" s="41">
        <v>44197</v>
      </c>
      <c r="J24" s="41">
        <v>44561</v>
      </c>
      <c r="K24" s="45">
        <v>1</v>
      </c>
      <c r="L24" s="62">
        <v>0</v>
      </c>
      <c r="M24" s="3">
        <f t="shared" si="2"/>
        <v>0</v>
      </c>
      <c r="N24" s="7" t="s">
        <v>220</v>
      </c>
      <c r="O24" s="26">
        <v>1901217</v>
      </c>
      <c r="P24" s="9"/>
      <c r="Q24" s="9"/>
      <c r="R24" s="9"/>
      <c r="S24" s="137">
        <f>SUM(O24:R24)</f>
        <v>1901217</v>
      </c>
      <c r="T24" s="26"/>
      <c r="U24" s="87"/>
      <c r="V24" s="87"/>
      <c r="W24" s="87"/>
      <c r="X24" s="137">
        <f>SUM(T24:W24)</f>
        <v>0</v>
      </c>
      <c r="Y24" s="27">
        <f t="shared" si="4"/>
        <v>0</v>
      </c>
      <c r="Z24" s="26"/>
      <c r="AA24" s="10" t="s">
        <v>171</v>
      </c>
      <c r="AB24" s="10" t="s">
        <v>186</v>
      </c>
    </row>
    <row r="25" spans="1:28" s="11" customFormat="1" ht="135.6" customHeight="1" x14ac:dyDescent="0.25">
      <c r="A25" s="44" t="s">
        <v>30</v>
      </c>
      <c r="B25" s="44" t="s">
        <v>33</v>
      </c>
      <c r="C25" s="128" t="s">
        <v>73</v>
      </c>
      <c r="D25" s="131" t="s">
        <v>76</v>
      </c>
      <c r="E25" s="104" t="s">
        <v>77</v>
      </c>
      <c r="F25" s="156">
        <v>2020680010040</v>
      </c>
      <c r="G25" s="188" t="s">
        <v>173</v>
      </c>
      <c r="H25" s="7"/>
      <c r="I25" s="100">
        <v>44197</v>
      </c>
      <c r="J25" s="100">
        <v>44561</v>
      </c>
      <c r="K25" s="132">
        <v>25000</v>
      </c>
      <c r="L25" s="133">
        <v>0</v>
      </c>
      <c r="M25" s="3">
        <f t="shared" si="2"/>
        <v>0</v>
      </c>
      <c r="N25" s="7" t="s">
        <v>237</v>
      </c>
      <c r="O25" s="26">
        <f>46000000+603350727</f>
        <v>649350727</v>
      </c>
      <c r="P25" s="9"/>
      <c r="Q25" s="9"/>
      <c r="R25" s="8">
        <v>850649274</v>
      </c>
      <c r="S25" s="137">
        <f>SUM(O25:R25)</f>
        <v>1500000001</v>
      </c>
      <c r="T25" s="26"/>
      <c r="U25" s="87"/>
      <c r="V25" s="87"/>
      <c r="W25" s="74"/>
      <c r="X25" s="137">
        <f>SUM(T25:W25)</f>
        <v>0</v>
      </c>
      <c r="Y25" s="27">
        <f t="shared" si="4"/>
        <v>0</v>
      </c>
      <c r="Z25" s="26"/>
      <c r="AA25" s="10" t="s">
        <v>171</v>
      </c>
      <c r="AB25" s="10" t="s">
        <v>186</v>
      </c>
    </row>
    <row r="26" spans="1:28" s="11" customFormat="1" ht="114" customHeight="1" x14ac:dyDescent="0.25">
      <c r="A26" s="44" t="s">
        <v>30</v>
      </c>
      <c r="B26" s="44" t="s">
        <v>33</v>
      </c>
      <c r="C26" s="82" t="s">
        <v>73</v>
      </c>
      <c r="D26" s="57" t="s">
        <v>74</v>
      </c>
      <c r="E26" s="37" t="s">
        <v>75</v>
      </c>
      <c r="F26" s="157"/>
      <c r="G26" s="189"/>
      <c r="H26" s="7" t="s">
        <v>216</v>
      </c>
      <c r="I26" s="41">
        <v>44197</v>
      </c>
      <c r="J26" s="41">
        <v>44561</v>
      </c>
      <c r="K26" s="45">
        <v>11000</v>
      </c>
      <c r="L26" s="62">
        <v>10653</v>
      </c>
      <c r="M26" s="3">
        <f t="shared" si="2"/>
        <v>0.96845454545454546</v>
      </c>
      <c r="N26" s="7" t="s">
        <v>208</v>
      </c>
      <c r="O26" s="26">
        <v>50000000</v>
      </c>
      <c r="P26" s="81"/>
      <c r="Q26" s="9"/>
      <c r="R26" s="67"/>
      <c r="S26" s="137">
        <f t="shared" ref="S26:S31" si="6">SUM(O26:R26)</f>
        <v>50000000</v>
      </c>
      <c r="T26" s="8">
        <v>40800000</v>
      </c>
      <c r="U26" s="87"/>
      <c r="V26" s="87"/>
      <c r="W26" s="74"/>
      <c r="X26" s="137">
        <f t="shared" ref="X26:X31" si="7">SUM(T26:W26)</f>
        <v>40800000</v>
      </c>
      <c r="Y26" s="27">
        <f t="shared" si="4"/>
        <v>0.81599999999999995</v>
      </c>
      <c r="Z26" s="26"/>
      <c r="AA26" s="10" t="s">
        <v>171</v>
      </c>
      <c r="AB26" s="10" t="s">
        <v>186</v>
      </c>
    </row>
    <row r="27" spans="1:28" s="11" customFormat="1" ht="115.2" customHeight="1" x14ac:dyDescent="0.25">
      <c r="A27" s="44" t="s">
        <v>30</v>
      </c>
      <c r="B27" s="44" t="s">
        <v>33</v>
      </c>
      <c r="C27" s="82" t="s">
        <v>73</v>
      </c>
      <c r="D27" s="57" t="s">
        <v>78</v>
      </c>
      <c r="E27" s="37" t="s">
        <v>79</v>
      </c>
      <c r="F27" s="157"/>
      <c r="G27" s="189"/>
      <c r="H27" s="183"/>
      <c r="I27" s="41">
        <v>44197</v>
      </c>
      <c r="J27" s="41">
        <v>44561</v>
      </c>
      <c r="K27" s="45">
        <v>2000</v>
      </c>
      <c r="L27" s="66"/>
      <c r="M27" s="3">
        <f t="shared" si="2"/>
        <v>0</v>
      </c>
      <c r="N27" s="7" t="s">
        <v>209</v>
      </c>
      <c r="O27" s="26">
        <v>150000000</v>
      </c>
      <c r="P27" s="70"/>
      <c r="Q27" s="9"/>
      <c r="R27" s="67"/>
      <c r="S27" s="137">
        <f t="shared" si="6"/>
        <v>150000000</v>
      </c>
      <c r="T27" s="26"/>
      <c r="U27" s="87"/>
      <c r="V27" s="87"/>
      <c r="W27" s="74"/>
      <c r="X27" s="137">
        <f t="shared" si="7"/>
        <v>0</v>
      </c>
      <c r="Y27" s="27">
        <f t="shared" si="4"/>
        <v>0</v>
      </c>
      <c r="Z27" s="26"/>
      <c r="AA27" s="10" t="s">
        <v>171</v>
      </c>
      <c r="AB27" s="10" t="s">
        <v>186</v>
      </c>
    </row>
    <row r="28" spans="1:28" s="11" customFormat="1" ht="100.2" customHeight="1" x14ac:dyDescent="0.25">
      <c r="A28" s="44" t="s">
        <v>30</v>
      </c>
      <c r="B28" s="44" t="s">
        <v>33</v>
      </c>
      <c r="C28" s="82" t="s">
        <v>73</v>
      </c>
      <c r="D28" s="57" t="s">
        <v>80</v>
      </c>
      <c r="E28" s="37" t="s">
        <v>81</v>
      </c>
      <c r="F28" s="157"/>
      <c r="G28" s="189"/>
      <c r="H28" s="183"/>
      <c r="I28" s="41">
        <v>44197</v>
      </c>
      <c r="J28" s="41">
        <v>44561</v>
      </c>
      <c r="K28" s="46">
        <v>1</v>
      </c>
      <c r="L28" s="62">
        <v>1</v>
      </c>
      <c r="M28" s="3">
        <f t="shared" si="2"/>
        <v>1</v>
      </c>
      <c r="N28" s="7" t="s">
        <v>209</v>
      </c>
      <c r="O28" s="26">
        <f>150000000+44909000</f>
        <v>194909000</v>
      </c>
      <c r="P28" s="9"/>
      <c r="Q28" s="9"/>
      <c r="R28" s="67"/>
      <c r="S28" s="137">
        <f t="shared" si="6"/>
        <v>194909000</v>
      </c>
      <c r="T28" s="8">
        <f>31320000+23490000</f>
        <v>54810000</v>
      </c>
      <c r="U28" s="26"/>
      <c r="V28" s="135"/>
      <c r="W28" s="74"/>
      <c r="X28" s="137">
        <f t="shared" si="7"/>
        <v>54810000</v>
      </c>
      <c r="Y28" s="27">
        <f t="shared" si="4"/>
        <v>0.28120815354857909</v>
      </c>
      <c r="Z28" s="26"/>
      <c r="AA28" s="10" t="s">
        <v>171</v>
      </c>
      <c r="AB28" s="10" t="s">
        <v>186</v>
      </c>
    </row>
    <row r="29" spans="1:28" s="11" customFormat="1" ht="130.19999999999999" customHeight="1" x14ac:dyDescent="0.25">
      <c r="A29" s="44" t="s">
        <v>30</v>
      </c>
      <c r="B29" s="44" t="s">
        <v>33</v>
      </c>
      <c r="C29" s="82" t="s">
        <v>73</v>
      </c>
      <c r="D29" s="57" t="s">
        <v>82</v>
      </c>
      <c r="E29" s="37" t="s">
        <v>83</v>
      </c>
      <c r="F29" s="157"/>
      <c r="G29" s="189"/>
      <c r="H29" s="183"/>
      <c r="I29" s="41">
        <v>44197</v>
      </c>
      <c r="J29" s="41">
        <v>44561</v>
      </c>
      <c r="K29" s="45">
        <v>1656</v>
      </c>
      <c r="L29" s="62">
        <v>1628</v>
      </c>
      <c r="M29" s="3">
        <f t="shared" si="2"/>
        <v>0.98309178743961356</v>
      </c>
      <c r="N29" s="7" t="s">
        <v>238</v>
      </c>
      <c r="O29" s="26">
        <f>2559196618+101429564.34+904000000</f>
        <v>3564626182.3400002</v>
      </c>
      <c r="P29" s="9"/>
      <c r="Q29" s="9"/>
      <c r="R29" s="74">
        <f>762195777+927807539</f>
        <v>1690003316</v>
      </c>
      <c r="S29" s="137">
        <f t="shared" si="6"/>
        <v>5254629498.3400002</v>
      </c>
      <c r="T29" s="8">
        <v>2821433120.0000005</v>
      </c>
      <c r="U29" s="136"/>
      <c r="V29" s="88"/>
      <c r="W29" s="8">
        <v>1661510016</v>
      </c>
      <c r="X29" s="137">
        <f t="shared" si="7"/>
        <v>4482943136</v>
      </c>
      <c r="Y29" s="27">
        <f t="shared" si="4"/>
        <v>0.853141622528518</v>
      </c>
      <c r="Z29" s="26"/>
      <c r="AA29" s="10" t="s">
        <v>171</v>
      </c>
      <c r="AB29" s="10" t="s">
        <v>186</v>
      </c>
    </row>
    <row r="30" spans="1:28" s="11" customFormat="1" ht="138" customHeight="1" x14ac:dyDescent="0.25">
      <c r="A30" s="44" t="s">
        <v>30</v>
      </c>
      <c r="B30" s="44" t="s">
        <v>33</v>
      </c>
      <c r="C30" s="82" t="s">
        <v>73</v>
      </c>
      <c r="D30" s="57" t="s">
        <v>86</v>
      </c>
      <c r="E30" s="37" t="s">
        <v>87</v>
      </c>
      <c r="F30" s="157"/>
      <c r="G30" s="189"/>
      <c r="H30" s="183"/>
      <c r="I30" s="41">
        <v>44197</v>
      </c>
      <c r="J30" s="41">
        <v>44561</v>
      </c>
      <c r="K30" s="45">
        <v>1</v>
      </c>
      <c r="L30" s="66">
        <v>0.2</v>
      </c>
      <c r="M30" s="3">
        <f t="shared" si="2"/>
        <v>0.2</v>
      </c>
      <c r="N30" s="7" t="s">
        <v>229</v>
      </c>
      <c r="O30" s="26">
        <f>40000000+72799850</f>
        <v>112799850</v>
      </c>
      <c r="P30" s="9"/>
      <c r="Q30" s="9"/>
      <c r="R30" s="67"/>
      <c r="S30" s="137">
        <f t="shared" si="6"/>
        <v>112799850</v>
      </c>
      <c r="T30" s="135">
        <f>30400000+72000000</f>
        <v>102400000</v>
      </c>
      <c r="U30" s="89"/>
      <c r="V30" s="135"/>
      <c r="W30" s="8"/>
      <c r="X30" s="137">
        <f t="shared" si="7"/>
        <v>102400000</v>
      </c>
      <c r="Y30" s="27">
        <f t="shared" si="4"/>
        <v>0.90780262562405889</v>
      </c>
      <c r="Z30" s="26"/>
      <c r="AA30" s="10" t="s">
        <v>171</v>
      </c>
      <c r="AB30" s="10" t="s">
        <v>186</v>
      </c>
    </row>
    <row r="31" spans="1:28" ht="132" customHeight="1" x14ac:dyDescent="0.25">
      <c r="A31" s="44" t="s">
        <v>30</v>
      </c>
      <c r="B31" s="44" t="s">
        <v>33</v>
      </c>
      <c r="C31" s="82" t="s">
        <v>73</v>
      </c>
      <c r="D31" s="57" t="s">
        <v>88</v>
      </c>
      <c r="E31" s="37" t="s">
        <v>89</v>
      </c>
      <c r="F31" s="157"/>
      <c r="G31" s="189"/>
      <c r="H31" s="184"/>
      <c r="I31" s="41">
        <v>44197</v>
      </c>
      <c r="J31" s="41">
        <v>44561</v>
      </c>
      <c r="K31" s="45">
        <v>1</v>
      </c>
      <c r="L31" s="66">
        <v>0.2</v>
      </c>
      <c r="M31" s="3">
        <f t="shared" si="2"/>
        <v>0.2</v>
      </c>
      <c r="N31" s="7" t="s">
        <v>230</v>
      </c>
      <c r="O31" s="26">
        <f>30000000+68000000</f>
        <v>98000000</v>
      </c>
      <c r="P31" s="12"/>
      <c r="Q31" s="12"/>
      <c r="R31" s="68"/>
      <c r="S31" s="137">
        <f t="shared" si="6"/>
        <v>98000000</v>
      </c>
      <c r="T31" s="8">
        <f>28800000+52000000</f>
        <v>80800000</v>
      </c>
      <c r="U31" s="89"/>
      <c r="V31" s="135"/>
      <c r="W31" s="135"/>
      <c r="X31" s="137">
        <f t="shared" si="7"/>
        <v>80800000</v>
      </c>
      <c r="Y31" s="27">
        <f t="shared" si="4"/>
        <v>0.82448979591836735</v>
      </c>
      <c r="Z31" s="26"/>
      <c r="AA31" s="10" t="s">
        <v>171</v>
      </c>
      <c r="AB31" s="10" t="s">
        <v>186</v>
      </c>
    </row>
    <row r="32" spans="1:28" s="11" customFormat="1" ht="90.6" customHeight="1" x14ac:dyDescent="0.25">
      <c r="A32" s="195" t="s">
        <v>30</v>
      </c>
      <c r="B32" s="195" t="s">
        <v>33</v>
      </c>
      <c r="C32" s="162" t="s">
        <v>73</v>
      </c>
      <c r="D32" s="199" t="s">
        <v>84</v>
      </c>
      <c r="E32" s="197" t="s">
        <v>85</v>
      </c>
      <c r="F32" s="158"/>
      <c r="G32" s="190"/>
      <c r="H32" s="37" t="s">
        <v>217</v>
      </c>
      <c r="I32" s="41">
        <v>44197</v>
      </c>
      <c r="J32" s="41">
        <v>44561</v>
      </c>
      <c r="K32" s="168">
        <v>3</v>
      </c>
      <c r="L32" s="166">
        <v>2</v>
      </c>
      <c r="M32" s="172">
        <f>IFERROR(IF(L32/K32&gt;100%,100%,L32/K32),"-")</f>
        <v>0.66666666666666663</v>
      </c>
      <c r="N32" s="127" t="s">
        <v>241</v>
      </c>
      <c r="O32" s="26">
        <f>35000000+164091000+24000000+80000000+26000000</f>
        <v>329091000</v>
      </c>
      <c r="P32" s="26"/>
      <c r="Q32" s="9"/>
      <c r="R32" s="67"/>
      <c r="S32" s="147">
        <f>SUM(O32:R33)</f>
        <v>329091000</v>
      </c>
      <c r="T32" s="8">
        <f>125600000+65714546.93</f>
        <v>191314546.93000001</v>
      </c>
      <c r="U32" s="89"/>
      <c r="V32" s="135"/>
      <c r="W32" s="26"/>
      <c r="X32" s="147">
        <f>SUM(T32:W33)</f>
        <v>191314546.93000001</v>
      </c>
      <c r="Y32" s="149">
        <f t="shared" si="4"/>
        <v>0.58134238532807037</v>
      </c>
      <c r="Z32" s="139"/>
      <c r="AA32" s="141" t="s">
        <v>171</v>
      </c>
      <c r="AB32" s="141" t="s">
        <v>186</v>
      </c>
    </row>
    <row r="33" spans="1:28" s="11" customFormat="1" ht="164.4" customHeight="1" x14ac:dyDescent="0.25">
      <c r="A33" s="196"/>
      <c r="B33" s="196"/>
      <c r="C33" s="163"/>
      <c r="D33" s="200"/>
      <c r="E33" s="198"/>
      <c r="F33" s="52">
        <v>2020680010151</v>
      </c>
      <c r="G33" s="60" t="s">
        <v>199</v>
      </c>
      <c r="H33" s="53" t="s">
        <v>218</v>
      </c>
      <c r="I33" s="41">
        <v>44197</v>
      </c>
      <c r="J33" s="41">
        <v>44561</v>
      </c>
      <c r="K33" s="169"/>
      <c r="L33" s="167"/>
      <c r="M33" s="173"/>
      <c r="N33" s="56"/>
      <c r="O33" s="63">
        <v>0</v>
      </c>
      <c r="P33" s="75"/>
      <c r="Q33" s="75"/>
      <c r="R33" s="76"/>
      <c r="S33" s="148"/>
      <c r="T33" s="63"/>
      <c r="U33" s="78"/>
      <c r="V33" s="78"/>
      <c r="W33" s="90"/>
      <c r="X33" s="148"/>
      <c r="Y33" s="150"/>
      <c r="Z33" s="140"/>
      <c r="AA33" s="142"/>
      <c r="AB33" s="142"/>
    </row>
    <row r="34" spans="1:28" ht="137.4" customHeight="1" x14ac:dyDescent="0.25">
      <c r="A34" s="44" t="s">
        <v>30</v>
      </c>
      <c r="B34" s="44" t="s">
        <v>33</v>
      </c>
      <c r="C34" s="82" t="s">
        <v>90</v>
      </c>
      <c r="D34" s="58" t="s">
        <v>91</v>
      </c>
      <c r="E34" s="2" t="s">
        <v>92</v>
      </c>
      <c r="F34" s="156">
        <v>2020680010072</v>
      </c>
      <c r="G34" s="160" t="s">
        <v>175</v>
      </c>
      <c r="H34" s="153" t="s">
        <v>190</v>
      </c>
      <c r="I34" s="41">
        <v>44197</v>
      </c>
      <c r="J34" s="41">
        <v>44561</v>
      </c>
      <c r="K34" s="45">
        <v>1</v>
      </c>
      <c r="L34" s="62">
        <v>1</v>
      </c>
      <c r="M34" s="3">
        <f t="shared" si="2"/>
        <v>1</v>
      </c>
      <c r="N34" s="7" t="s">
        <v>219</v>
      </c>
      <c r="O34" s="26">
        <v>60000000</v>
      </c>
      <c r="P34" s="12"/>
      <c r="Q34" s="12"/>
      <c r="R34" s="12"/>
      <c r="S34" s="137">
        <f t="shared" ref="S34:S48" si="8">SUM(O34:R34)</f>
        <v>60000000</v>
      </c>
      <c r="T34" s="26">
        <v>224863.88500000001</v>
      </c>
      <c r="U34" s="84"/>
      <c r="V34" s="84"/>
      <c r="W34" s="84"/>
      <c r="X34" s="137">
        <f t="shared" ref="X34:X48" si="9">SUM(T34:W34)</f>
        <v>224863.88500000001</v>
      </c>
      <c r="Y34" s="27">
        <f>IFERROR(X34/S34,"-")</f>
        <v>3.7477314166666667E-3</v>
      </c>
      <c r="Z34" s="26"/>
      <c r="AA34" s="10" t="s">
        <v>171</v>
      </c>
      <c r="AB34" s="10" t="s">
        <v>186</v>
      </c>
    </row>
    <row r="35" spans="1:28" ht="95.4" customHeight="1" x14ac:dyDescent="0.25">
      <c r="A35" s="44" t="s">
        <v>30</v>
      </c>
      <c r="B35" s="44" t="s">
        <v>33</v>
      </c>
      <c r="C35" s="82" t="s">
        <v>90</v>
      </c>
      <c r="D35" s="58" t="s">
        <v>93</v>
      </c>
      <c r="E35" s="2" t="s">
        <v>94</v>
      </c>
      <c r="F35" s="157"/>
      <c r="G35" s="160"/>
      <c r="H35" s="154"/>
      <c r="I35" s="41">
        <v>44197</v>
      </c>
      <c r="J35" s="41">
        <v>44561</v>
      </c>
      <c r="K35" s="45">
        <v>1</v>
      </c>
      <c r="L35" s="62">
        <v>0</v>
      </c>
      <c r="M35" s="3">
        <f t="shared" si="2"/>
        <v>0</v>
      </c>
      <c r="N35" s="7"/>
      <c r="O35" s="26"/>
      <c r="P35" s="12"/>
      <c r="Q35" s="12"/>
      <c r="R35" s="12"/>
      <c r="S35" s="137">
        <f t="shared" si="8"/>
        <v>0</v>
      </c>
      <c r="T35" s="26"/>
      <c r="U35" s="84"/>
      <c r="V35" s="84"/>
      <c r="W35" s="84"/>
      <c r="X35" s="137">
        <f t="shared" si="9"/>
        <v>0</v>
      </c>
      <c r="Y35" s="27" t="str">
        <f t="shared" ref="Y35:Y49" si="10">IFERROR(X35/S35,"-")</f>
        <v>-</v>
      </c>
      <c r="Z35" s="26"/>
      <c r="AA35" s="10" t="s">
        <v>171</v>
      </c>
      <c r="AB35" s="10" t="s">
        <v>186</v>
      </c>
    </row>
    <row r="36" spans="1:28" ht="83.4" customHeight="1" x14ac:dyDescent="0.25">
      <c r="A36" s="44" t="s">
        <v>30</v>
      </c>
      <c r="B36" s="44" t="s">
        <v>33</v>
      </c>
      <c r="C36" s="82" t="s">
        <v>90</v>
      </c>
      <c r="D36" s="58" t="s">
        <v>95</v>
      </c>
      <c r="E36" s="2" t="s">
        <v>96</v>
      </c>
      <c r="F36" s="158"/>
      <c r="G36" s="161"/>
      <c r="H36" s="155"/>
      <c r="I36" s="41">
        <v>44197</v>
      </c>
      <c r="J36" s="41">
        <v>44561</v>
      </c>
      <c r="K36" s="46">
        <v>1</v>
      </c>
      <c r="L36" s="62">
        <v>1</v>
      </c>
      <c r="M36" s="3">
        <f t="shared" si="2"/>
        <v>1</v>
      </c>
      <c r="N36" s="7" t="s">
        <v>219</v>
      </c>
      <c r="O36" s="69">
        <v>140000000</v>
      </c>
      <c r="P36" s="12"/>
      <c r="Q36" s="12"/>
      <c r="R36" s="12"/>
      <c r="S36" s="137">
        <f t="shared" si="8"/>
        <v>140000000</v>
      </c>
      <c r="T36" s="26">
        <v>224863.88500000001</v>
      </c>
      <c r="U36" s="84"/>
      <c r="V36" s="84"/>
      <c r="W36" s="84"/>
      <c r="X36" s="137">
        <f t="shared" si="9"/>
        <v>224863.88500000001</v>
      </c>
      <c r="Y36" s="27">
        <f t="shared" si="10"/>
        <v>1.6061706071428571E-3</v>
      </c>
      <c r="Z36" s="26"/>
      <c r="AA36" s="10" t="s">
        <v>171</v>
      </c>
      <c r="AB36" s="10" t="s">
        <v>186</v>
      </c>
    </row>
    <row r="37" spans="1:28" ht="126" customHeight="1" x14ac:dyDescent="0.25">
      <c r="A37" s="13" t="s">
        <v>30</v>
      </c>
      <c r="B37" s="13" t="s">
        <v>33</v>
      </c>
      <c r="C37" s="49" t="s">
        <v>90</v>
      </c>
      <c r="D37" s="59" t="s">
        <v>187</v>
      </c>
      <c r="E37" s="2" t="s">
        <v>188</v>
      </c>
      <c r="F37" s="48">
        <v>202068001033</v>
      </c>
      <c r="G37" s="60" t="s">
        <v>196</v>
      </c>
      <c r="H37" s="7" t="s">
        <v>206</v>
      </c>
      <c r="I37" s="41">
        <v>44197</v>
      </c>
      <c r="J37" s="41">
        <v>44561</v>
      </c>
      <c r="K37" s="45">
        <v>1</v>
      </c>
      <c r="L37" s="66">
        <v>0</v>
      </c>
      <c r="M37" s="3">
        <f t="shared" si="2"/>
        <v>0</v>
      </c>
      <c r="N37" s="7"/>
      <c r="O37" s="26"/>
      <c r="P37" s="12"/>
      <c r="Q37" s="12"/>
      <c r="R37" s="12"/>
      <c r="S37" s="137">
        <f t="shared" si="8"/>
        <v>0</v>
      </c>
      <c r="T37" s="26"/>
      <c r="U37" s="84"/>
      <c r="V37" s="84"/>
      <c r="W37" s="84"/>
      <c r="X37" s="137">
        <f t="shared" si="9"/>
        <v>0</v>
      </c>
      <c r="Y37" s="27" t="str">
        <f t="shared" si="10"/>
        <v>-</v>
      </c>
      <c r="Z37" s="26"/>
      <c r="AA37" s="10" t="s">
        <v>171</v>
      </c>
      <c r="AB37" s="10" t="s">
        <v>186</v>
      </c>
    </row>
    <row r="38" spans="1:28" ht="93.6" customHeight="1" x14ac:dyDescent="0.25">
      <c r="A38" s="44" t="s">
        <v>30</v>
      </c>
      <c r="B38" s="44" t="s">
        <v>33</v>
      </c>
      <c r="C38" s="82" t="s">
        <v>97</v>
      </c>
      <c r="D38" s="58" t="s">
        <v>98</v>
      </c>
      <c r="E38" s="2" t="s">
        <v>99</v>
      </c>
      <c r="F38" s="204">
        <v>2020680010106</v>
      </c>
      <c r="G38" s="201" t="s">
        <v>178</v>
      </c>
      <c r="H38" s="207" t="s">
        <v>192</v>
      </c>
      <c r="I38" s="41">
        <v>44197</v>
      </c>
      <c r="J38" s="41">
        <v>44561</v>
      </c>
      <c r="K38" s="45">
        <v>1</v>
      </c>
      <c r="L38" s="66">
        <v>0</v>
      </c>
      <c r="M38" s="3">
        <f t="shared" si="2"/>
        <v>0</v>
      </c>
      <c r="N38" s="7" t="s">
        <v>207</v>
      </c>
      <c r="O38" s="26">
        <v>0</v>
      </c>
      <c r="P38" s="12"/>
      <c r="Q38" s="12"/>
      <c r="R38" s="12"/>
      <c r="S38" s="137">
        <f t="shared" si="8"/>
        <v>0</v>
      </c>
      <c r="T38" s="26"/>
      <c r="U38" s="84"/>
      <c r="V38" s="84"/>
      <c r="W38" s="84"/>
      <c r="X38" s="137">
        <f t="shared" si="9"/>
        <v>0</v>
      </c>
      <c r="Y38" s="27" t="str">
        <f t="shared" si="10"/>
        <v>-</v>
      </c>
      <c r="Z38" s="26">
        <f>11000000/11</f>
        <v>1000000</v>
      </c>
      <c r="AA38" s="10" t="s">
        <v>171</v>
      </c>
      <c r="AB38" s="10" t="s">
        <v>186</v>
      </c>
    </row>
    <row r="39" spans="1:28" ht="121.2" customHeight="1" x14ac:dyDescent="0.25">
      <c r="A39" s="44" t="s">
        <v>30</v>
      </c>
      <c r="B39" s="44" t="s">
        <v>33</v>
      </c>
      <c r="C39" s="82" t="s">
        <v>97</v>
      </c>
      <c r="D39" s="58" t="s">
        <v>100</v>
      </c>
      <c r="E39" s="2" t="s">
        <v>101</v>
      </c>
      <c r="F39" s="205"/>
      <c r="G39" s="202"/>
      <c r="H39" s="208"/>
      <c r="I39" s="41">
        <v>44197</v>
      </c>
      <c r="J39" s="41">
        <v>44561</v>
      </c>
      <c r="K39" s="45">
        <v>600</v>
      </c>
      <c r="L39" s="62">
        <v>98</v>
      </c>
      <c r="M39" s="3">
        <f t="shared" si="2"/>
        <v>0.16333333333333333</v>
      </c>
      <c r="N39" s="7" t="s">
        <v>207</v>
      </c>
      <c r="O39" s="26">
        <f>20000000+20000000</f>
        <v>40000000</v>
      </c>
      <c r="P39" s="12"/>
      <c r="Q39" s="12"/>
      <c r="R39" s="12"/>
      <c r="S39" s="137">
        <f t="shared" si="8"/>
        <v>40000000</v>
      </c>
      <c r="T39" s="26"/>
      <c r="U39" s="84"/>
      <c r="V39" s="84"/>
      <c r="W39" s="84"/>
      <c r="X39" s="137">
        <f t="shared" si="9"/>
        <v>0</v>
      </c>
      <c r="Y39" s="27">
        <f t="shared" si="10"/>
        <v>0</v>
      </c>
      <c r="Z39" s="26">
        <f t="shared" ref="Z39:Z48" si="11">11000000/11</f>
        <v>1000000</v>
      </c>
      <c r="AA39" s="10" t="s">
        <v>171</v>
      </c>
      <c r="AB39" s="10" t="s">
        <v>186</v>
      </c>
    </row>
    <row r="40" spans="1:28" ht="67.2" customHeight="1" x14ac:dyDescent="0.25">
      <c r="A40" s="44" t="s">
        <v>30</v>
      </c>
      <c r="B40" s="44" t="s">
        <v>33</v>
      </c>
      <c r="C40" s="82" t="s">
        <v>97</v>
      </c>
      <c r="D40" s="58" t="s">
        <v>110</v>
      </c>
      <c r="E40" s="2" t="s">
        <v>111</v>
      </c>
      <c r="F40" s="205"/>
      <c r="G40" s="202"/>
      <c r="H40" s="208"/>
      <c r="I40" s="41">
        <v>44197</v>
      </c>
      <c r="J40" s="41">
        <v>44561</v>
      </c>
      <c r="K40" s="45">
        <v>1</v>
      </c>
      <c r="L40" s="66">
        <v>0.25</v>
      </c>
      <c r="M40" s="3">
        <f t="shared" si="2"/>
        <v>0.25</v>
      </c>
      <c r="N40" s="7" t="s">
        <v>207</v>
      </c>
      <c r="O40" s="26">
        <v>20000000</v>
      </c>
      <c r="P40" s="12"/>
      <c r="Q40" s="12"/>
      <c r="R40" s="12"/>
      <c r="S40" s="137">
        <f t="shared" si="8"/>
        <v>20000000</v>
      </c>
      <c r="T40" s="26"/>
      <c r="U40" s="84"/>
      <c r="V40" s="84"/>
      <c r="W40" s="84"/>
      <c r="X40" s="137">
        <f t="shared" si="9"/>
        <v>0</v>
      </c>
      <c r="Y40" s="27">
        <f t="shared" si="10"/>
        <v>0</v>
      </c>
      <c r="Z40" s="26">
        <f t="shared" si="11"/>
        <v>1000000</v>
      </c>
      <c r="AA40" s="10" t="s">
        <v>171</v>
      </c>
      <c r="AB40" s="10" t="s">
        <v>186</v>
      </c>
    </row>
    <row r="41" spans="1:28" ht="82.8" customHeight="1" x14ac:dyDescent="0.25">
      <c r="A41" s="44" t="s">
        <v>30</v>
      </c>
      <c r="B41" s="44" t="s">
        <v>33</v>
      </c>
      <c r="C41" s="82" t="s">
        <v>112</v>
      </c>
      <c r="D41" s="58" t="s">
        <v>113</v>
      </c>
      <c r="E41" s="2" t="s">
        <v>114</v>
      </c>
      <c r="F41" s="205"/>
      <c r="G41" s="202"/>
      <c r="H41" s="208"/>
      <c r="I41" s="41">
        <v>44197</v>
      </c>
      <c r="J41" s="41">
        <v>44561</v>
      </c>
      <c r="K41" s="45">
        <v>1</v>
      </c>
      <c r="L41" s="66">
        <v>0.25</v>
      </c>
      <c r="M41" s="3">
        <f t="shared" si="2"/>
        <v>0.25</v>
      </c>
      <c r="N41" s="7" t="s">
        <v>207</v>
      </c>
      <c r="O41" s="26">
        <v>20000000</v>
      </c>
      <c r="P41" s="12"/>
      <c r="Q41" s="12"/>
      <c r="R41" s="12"/>
      <c r="S41" s="137">
        <f t="shared" si="8"/>
        <v>20000000</v>
      </c>
      <c r="T41" s="26"/>
      <c r="U41" s="84"/>
      <c r="V41" s="84"/>
      <c r="W41" s="84"/>
      <c r="X41" s="137">
        <f t="shared" si="9"/>
        <v>0</v>
      </c>
      <c r="Y41" s="27">
        <f t="shared" si="10"/>
        <v>0</v>
      </c>
      <c r="Z41" s="26">
        <f t="shared" si="11"/>
        <v>1000000</v>
      </c>
      <c r="AA41" s="10" t="s">
        <v>171</v>
      </c>
      <c r="AB41" s="10" t="s">
        <v>186</v>
      </c>
    </row>
    <row r="42" spans="1:28" ht="151.80000000000001" customHeight="1" x14ac:dyDescent="0.25">
      <c r="A42" s="44" t="s">
        <v>30</v>
      </c>
      <c r="B42" s="44" t="s">
        <v>33</v>
      </c>
      <c r="C42" s="82" t="s">
        <v>112</v>
      </c>
      <c r="D42" s="58" t="s">
        <v>115</v>
      </c>
      <c r="E42" s="2" t="s">
        <v>116</v>
      </c>
      <c r="F42" s="205"/>
      <c r="G42" s="202"/>
      <c r="H42" s="208"/>
      <c r="I42" s="41">
        <v>44197</v>
      </c>
      <c r="J42" s="41">
        <v>44561</v>
      </c>
      <c r="K42" s="45">
        <v>4</v>
      </c>
      <c r="L42" s="62">
        <v>1</v>
      </c>
      <c r="M42" s="3">
        <f t="shared" si="2"/>
        <v>0.25</v>
      </c>
      <c r="N42" s="7" t="s">
        <v>207</v>
      </c>
      <c r="O42" s="26">
        <v>30000000</v>
      </c>
      <c r="P42" s="12"/>
      <c r="Q42" s="12"/>
      <c r="R42" s="12"/>
      <c r="S42" s="137">
        <f t="shared" si="8"/>
        <v>30000000</v>
      </c>
      <c r="T42" s="26"/>
      <c r="U42" s="84"/>
      <c r="V42" s="84"/>
      <c r="W42" s="84"/>
      <c r="X42" s="137">
        <f t="shared" si="9"/>
        <v>0</v>
      </c>
      <c r="Y42" s="27">
        <f t="shared" si="10"/>
        <v>0</v>
      </c>
      <c r="Z42" s="26">
        <f t="shared" si="11"/>
        <v>1000000</v>
      </c>
      <c r="AA42" s="10" t="s">
        <v>171</v>
      </c>
      <c r="AB42" s="10" t="s">
        <v>186</v>
      </c>
    </row>
    <row r="43" spans="1:28" ht="76.2" customHeight="1" x14ac:dyDescent="0.25">
      <c r="A43" s="44" t="s">
        <v>30</v>
      </c>
      <c r="B43" s="44" t="s">
        <v>33</v>
      </c>
      <c r="C43" s="82" t="s">
        <v>112</v>
      </c>
      <c r="D43" s="58" t="s">
        <v>119</v>
      </c>
      <c r="E43" s="2" t="s">
        <v>120</v>
      </c>
      <c r="F43" s="205"/>
      <c r="G43" s="202"/>
      <c r="H43" s="209"/>
      <c r="I43" s="41">
        <v>44197</v>
      </c>
      <c r="J43" s="41">
        <v>44561</v>
      </c>
      <c r="K43" s="46">
        <v>1</v>
      </c>
      <c r="L43" s="72">
        <v>1</v>
      </c>
      <c r="M43" s="3">
        <f t="shared" si="2"/>
        <v>1</v>
      </c>
      <c r="N43" s="7" t="s">
        <v>207</v>
      </c>
      <c r="O43" s="26">
        <v>30000000</v>
      </c>
      <c r="P43" s="12"/>
      <c r="Q43" s="12"/>
      <c r="R43" s="12"/>
      <c r="S43" s="137">
        <f t="shared" si="8"/>
        <v>30000000</v>
      </c>
      <c r="T43" s="26"/>
      <c r="U43" s="84"/>
      <c r="V43" s="84"/>
      <c r="W43" s="84"/>
      <c r="X43" s="137">
        <f t="shared" si="9"/>
        <v>0</v>
      </c>
      <c r="Y43" s="27">
        <f t="shared" si="10"/>
        <v>0</v>
      </c>
      <c r="Z43" s="26">
        <f t="shared" si="11"/>
        <v>1000000</v>
      </c>
      <c r="AA43" s="10" t="s">
        <v>171</v>
      </c>
      <c r="AB43" s="10" t="s">
        <v>186</v>
      </c>
    </row>
    <row r="44" spans="1:28" ht="155.4" customHeight="1" x14ac:dyDescent="0.25">
      <c r="A44" s="44" t="s">
        <v>30</v>
      </c>
      <c r="B44" s="44" t="s">
        <v>33</v>
      </c>
      <c r="C44" s="82" t="s">
        <v>97</v>
      </c>
      <c r="D44" s="58" t="s">
        <v>102</v>
      </c>
      <c r="E44" s="2" t="s">
        <v>103</v>
      </c>
      <c r="F44" s="205"/>
      <c r="G44" s="202"/>
      <c r="H44" s="7" t="s">
        <v>205</v>
      </c>
      <c r="I44" s="41">
        <v>44197</v>
      </c>
      <c r="J44" s="41">
        <v>44561</v>
      </c>
      <c r="K44" s="45">
        <v>1</v>
      </c>
      <c r="L44" s="62">
        <v>1</v>
      </c>
      <c r="M44" s="3">
        <f t="shared" si="2"/>
        <v>1</v>
      </c>
      <c r="N44" s="7" t="s">
        <v>207</v>
      </c>
      <c r="O44" s="26">
        <v>30000000</v>
      </c>
      <c r="P44" s="12"/>
      <c r="Q44" s="12"/>
      <c r="R44" s="12"/>
      <c r="S44" s="137">
        <f t="shared" si="8"/>
        <v>30000000</v>
      </c>
      <c r="T44" s="26"/>
      <c r="U44" s="84"/>
      <c r="V44" s="84"/>
      <c r="W44" s="84"/>
      <c r="X44" s="137">
        <f t="shared" si="9"/>
        <v>0</v>
      </c>
      <c r="Y44" s="27">
        <f t="shared" si="10"/>
        <v>0</v>
      </c>
      <c r="Z44" s="26">
        <f t="shared" si="11"/>
        <v>1000000</v>
      </c>
      <c r="AA44" s="10" t="s">
        <v>171</v>
      </c>
      <c r="AB44" s="10" t="s">
        <v>186</v>
      </c>
    </row>
    <row r="45" spans="1:28" ht="95.4" customHeight="1" x14ac:dyDescent="0.25">
      <c r="A45" s="44" t="s">
        <v>30</v>
      </c>
      <c r="B45" s="44" t="s">
        <v>33</v>
      </c>
      <c r="C45" s="82" t="s">
        <v>97</v>
      </c>
      <c r="D45" s="58" t="s">
        <v>104</v>
      </c>
      <c r="E45" s="2" t="s">
        <v>105</v>
      </c>
      <c r="F45" s="205"/>
      <c r="G45" s="202"/>
      <c r="H45" s="7" t="s">
        <v>204</v>
      </c>
      <c r="I45" s="41">
        <v>44197</v>
      </c>
      <c r="J45" s="41">
        <v>44561</v>
      </c>
      <c r="K45" s="46">
        <v>1</v>
      </c>
      <c r="L45" s="72">
        <v>0</v>
      </c>
      <c r="M45" s="3">
        <f t="shared" si="2"/>
        <v>0</v>
      </c>
      <c r="N45" s="7" t="s">
        <v>207</v>
      </c>
      <c r="O45" s="26">
        <v>11000000</v>
      </c>
      <c r="P45" s="12"/>
      <c r="Q45" s="12"/>
      <c r="R45" s="12"/>
      <c r="S45" s="137">
        <f t="shared" si="8"/>
        <v>11000000</v>
      </c>
      <c r="T45" s="26"/>
      <c r="U45" s="84"/>
      <c r="V45" s="84"/>
      <c r="W45" s="84"/>
      <c r="X45" s="137">
        <f t="shared" si="9"/>
        <v>0</v>
      </c>
      <c r="Y45" s="27">
        <f t="shared" si="10"/>
        <v>0</v>
      </c>
      <c r="Z45" s="26">
        <f t="shared" si="11"/>
        <v>1000000</v>
      </c>
      <c r="AA45" s="10" t="s">
        <v>171</v>
      </c>
      <c r="AB45" s="10" t="s">
        <v>186</v>
      </c>
    </row>
    <row r="46" spans="1:28" ht="144.6" customHeight="1" x14ac:dyDescent="0.25">
      <c r="A46" s="44" t="s">
        <v>30</v>
      </c>
      <c r="B46" s="44" t="s">
        <v>33</v>
      </c>
      <c r="C46" s="82" t="s">
        <v>97</v>
      </c>
      <c r="D46" s="58" t="s">
        <v>106</v>
      </c>
      <c r="E46" s="2" t="s">
        <v>107</v>
      </c>
      <c r="F46" s="205"/>
      <c r="G46" s="202"/>
      <c r="H46" s="7" t="s">
        <v>203</v>
      </c>
      <c r="I46" s="41">
        <v>44197</v>
      </c>
      <c r="J46" s="41">
        <v>44561</v>
      </c>
      <c r="K46" s="45">
        <v>1</v>
      </c>
      <c r="L46" s="62">
        <v>0</v>
      </c>
      <c r="M46" s="3">
        <f t="shared" si="2"/>
        <v>0</v>
      </c>
      <c r="N46" s="7" t="s">
        <v>207</v>
      </c>
      <c r="O46" s="26">
        <v>10000000</v>
      </c>
      <c r="P46" s="12"/>
      <c r="Q46" s="12"/>
      <c r="R46" s="12"/>
      <c r="S46" s="137">
        <f t="shared" si="8"/>
        <v>10000000</v>
      </c>
      <c r="T46" s="26"/>
      <c r="U46" s="84"/>
      <c r="V46" s="84"/>
      <c r="W46" s="84"/>
      <c r="X46" s="137">
        <f t="shared" si="9"/>
        <v>0</v>
      </c>
      <c r="Y46" s="27">
        <f t="shared" si="10"/>
        <v>0</v>
      </c>
      <c r="Z46" s="26">
        <f t="shared" si="11"/>
        <v>1000000</v>
      </c>
      <c r="AA46" s="10" t="s">
        <v>171</v>
      </c>
      <c r="AB46" s="10" t="s">
        <v>186</v>
      </c>
    </row>
    <row r="47" spans="1:28" ht="94.8" customHeight="1" x14ac:dyDescent="0.25">
      <c r="A47" s="44" t="s">
        <v>30</v>
      </c>
      <c r="B47" s="44" t="s">
        <v>33</v>
      </c>
      <c r="C47" s="82" t="s">
        <v>97</v>
      </c>
      <c r="D47" s="58" t="s">
        <v>108</v>
      </c>
      <c r="E47" s="2" t="s">
        <v>109</v>
      </c>
      <c r="F47" s="205"/>
      <c r="G47" s="202"/>
      <c r="H47" s="7" t="s">
        <v>202</v>
      </c>
      <c r="I47" s="41">
        <v>44197</v>
      </c>
      <c r="J47" s="41">
        <v>44561</v>
      </c>
      <c r="K47" s="45">
        <v>1</v>
      </c>
      <c r="L47" s="62">
        <v>1</v>
      </c>
      <c r="M47" s="3">
        <f t="shared" si="2"/>
        <v>1</v>
      </c>
      <c r="N47" s="7" t="s">
        <v>207</v>
      </c>
      <c r="O47" s="26">
        <v>24000000</v>
      </c>
      <c r="P47" s="12"/>
      <c r="Q47" s="12"/>
      <c r="R47" s="12"/>
      <c r="S47" s="137">
        <f t="shared" si="8"/>
        <v>24000000</v>
      </c>
      <c r="T47" s="26"/>
      <c r="U47" s="84"/>
      <c r="V47" s="84"/>
      <c r="W47" s="84"/>
      <c r="X47" s="137">
        <f t="shared" si="9"/>
        <v>0</v>
      </c>
      <c r="Y47" s="27">
        <f t="shared" si="10"/>
        <v>0</v>
      </c>
      <c r="Z47" s="26">
        <f t="shared" si="11"/>
        <v>1000000</v>
      </c>
      <c r="AA47" s="10" t="s">
        <v>171</v>
      </c>
      <c r="AB47" s="10" t="s">
        <v>186</v>
      </c>
    </row>
    <row r="48" spans="1:28" ht="142.80000000000001" customHeight="1" x14ac:dyDescent="0.25">
      <c r="A48" s="44" t="s">
        <v>30</v>
      </c>
      <c r="B48" s="44" t="s">
        <v>33</v>
      </c>
      <c r="C48" s="82" t="s">
        <v>112</v>
      </c>
      <c r="D48" s="58" t="s">
        <v>117</v>
      </c>
      <c r="E48" s="2" t="s">
        <v>118</v>
      </c>
      <c r="F48" s="206"/>
      <c r="G48" s="203"/>
      <c r="H48" s="7" t="s">
        <v>202</v>
      </c>
      <c r="I48" s="41">
        <v>44197</v>
      </c>
      <c r="J48" s="41">
        <v>44561</v>
      </c>
      <c r="K48" s="45">
        <v>1</v>
      </c>
      <c r="L48" s="62">
        <v>1</v>
      </c>
      <c r="M48" s="3">
        <f t="shared" si="2"/>
        <v>1</v>
      </c>
      <c r="N48" s="7" t="s">
        <v>207</v>
      </c>
      <c r="O48" s="26">
        <v>15000000</v>
      </c>
      <c r="P48" s="12"/>
      <c r="Q48" s="12"/>
      <c r="R48" s="12"/>
      <c r="S48" s="137">
        <f t="shared" si="8"/>
        <v>15000000</v>
      </c>
      <c r="T48" s="26"/>
      <c r="U48" s="84"/>
      <c r="V48" s="84"/>
      <c r="W48" s="84"/>
      <c r="X48" s="137">
        <f t="shared" si="9"/>
        <v>0</v>
      </c>
      <c r="Y48" s="27">
        <f t="shared" si="10"/>
        <v>0</v>
      </c>
      <c r="Z48" s="26">
        <f t="shared" si="11"/>
        <v>1000000</v>
      </c>
      <c r="AA48" s="10" t="s">
        <v>171</v>
      </c>
      <c r="AB48" s="10" t="s">
        <v>186</v>
      </c>
    </row>
    <row r="49" spans="1:28" ht="29.4" customHeight="1" x14ac:dyDescent="0.25">
      <c r="A49" s="195" t="s">
        <v>30</v>
      </c>
      <c r="B49" s="195" t="s">
        <v>33</v>
      </c>
      <c r="C49" s="141" t="s">
        <v>121</v>
      </c>
      <c r="D49" s="210" t="s">
        <v>124</v>
      </c>
      <c r="E49" s="212" t="s">
        <v>125</v>
      </c>
      <c r="F49" s="121"/>
      <c r="G49" s="37" t="s">
        <v>223</v>
      </c>
      <c r="H49" s="7"/>
      <c r="I49" s="50"/>
      <c r="J49" s="50"/>
      <c r="K49" s="168">
        <v>284</v>
      </c>
      <c r="L49" s="170">
        <v>0</v>
      </c>
      <c r="M49" s="172">
        <f>IFERROR(IF(L49/K49&gt;100%,100%,L49/K49),"-")</f>
        <v>0</v>
      </c>
      <c r="N49" s="7" t="s">
        <v>233</v>
      </c>
      <c r="O49" s="103">
        <v>1016480</v>
      </c>
      <c r="P49" s="12"/>
      <c r="Q49" s="12"/>
      <c r="R49" s="12"/>
      <c r="S49" s="147">
        <f>SUM(O49:R50)</f>
        <v>921000000</v>
      </c>
      <c r="T49" s="26"/>
      <c r="U49" s="84"/>
      <c r="V49" s="84"/>
      <c r="W49" s="84"/>
      <c r="X49" s="147">
        <f>SUM(T49:W50)</f>
        <v>0</v>
      </c>
      <c r="Y49" s="149">
        <f t="shared" si="10"/>
        <v>0</v>
      </c>
      <c r="Z49" s="139"/>
      <c r="AA49" s="141" t="s">
        <v>171</v>
      </c>
      <c r="AB49" s="141" t="s">
        <v>186</v>
      </c>
    </row>
    <row r="50" spans="1:28" ht="82.8" customHeight="1" x14ac:dyDescent="0.25">
      <c r="A50" s="196"/>
      <c r="B50" s="196"/>
      <c r="C50" s="142"/>
      <c r="D50" s="211"/>
      <c r="E50" s="213"/>
      <c r="F50" s="157">
        <v>2020680010050</v>
      </c>
      <c r="G50" s="202" t="s">
        <v>179</v>
      </c>
      <c r="H50" s="151" t="s">
        <v>193</v>
      </c>
      <c r="I50" s="118">
        <v>44197</v>
      </c>
      <c r="J50" s="118">
        <v>44561</v>
      </c>
      <c r="K50" s="169"/>
      <c r="L50" s="171"/>
      <c r="M50" s="173"/>
      <c r="N50" s="97" t="s">
        <v>235</v>
      </c>
      <c r="O50" s="103">
        <v>6983520</v>
      </c>
      <c r="P50" s="119">
        <v>913000000</v>
      </c>
      <c r="Q50" s="120"/>
      <c r="R50" s="120"/>
      <c r="S50" s="148"/>
      <c r="T50" s="74"/>
      <c r="U50" s="68"/>
      <c r="V50" s="68"/>
      <c r="W50" s="68"/>
      <c r="X50" s="148"/>
      <c r="Y50" s="150"/>
      <c r="Z50" s="140"/>
      <c r="AA50" s="142"/>
      <c r="AB50" s="142"/>
    </row>
    <row r="51" spans="1:28" ht="111.6" customHeight="1" x14ac:dyDescent="0.25">
      <c r="A51" s="44" t="s">
        <v>30</v>
      </c>
      <c r="B51" s="44" t="s">
        <v>33</v>
      </c>
      <c r="C51" s="82" t="s">
        <v>121</v>
      </c>
      <c r="D51" s="58" t="s">
        <v>122</v>
      </c>
      <c r="E51" s="2" t="s">
        <v>123</v>
      </c>
      <c r="F51" s="157"/>
      <c r="G51" s="202"/>
      <c r="H51" s="151"/>
      <c r="I51" s="41">
        <v>44197</v>
      </c>
      <c r="J51" s="41">
        <v>44561</v>
      </c>
      <c r="K51" s="45">
        <v>1</v>
      </c>
      <c r="L51" s="62">
        <v>1</v>
      </c>
      <c r="M51" s="3">
        <f t="shared" si="2"/>
        <v>1</v>
      </c>
      <c r="N51" s="7" t="s">
        <v>235</v>
      </c>
      <c r="O51" s="26">
        <v>130000000</v>
      </c>
      <c r="P51" s="73">
        <v>119000000</v>
      </c>
      <c r="Q51" s="12"/>
      <c r="R51" s="12"/>
      <c r="S51" s="137">
        <f t="shared" ref="S51:S71" si="12">SUM(O51:R51)</f>
        <v>249000000</v>
      </c>
      <c r="T51" s="26"/>
      <c r="U51" s="84"/>
      <c r="V51" s="84"/>
      <c r="W51" s="84"/>
      <c r="X51" s="137">
        <f>SUM(T51:W51)</f>
        <v>0</v>
      </c>
      <c r="Y51" s="27">
        <f>IFERROR(X51/S51,"-")</f>
        <v>0</v>
      </c>
      <c r="Z51" s="26"/>
      <c r="AA51" s="10" t="s">
        <v>171</v>
      </c>
      <c r="AB51" s="10" t="s">
        <v>186</v>
      </c>
    </row>
    <row r="52" spans="1:28" ht="68.400000000000006" customHeight="1" x14ac:dyDescent="0.25">
      <c r="A52" s="44" t="s">
        <v>30</v>
      </c>
      <c r="B52" s="44" t="s">
        <v>33</v>
      </c>
      <c r="C52" s="82" t="s">
        <v>121</v>
      </c>
      <c r="D52" s="58" t="s">
        <v>126</v>
      </c>
      <c r="E52" s="2" t="s">
        <v>127</v>
      </c>
      <c r="F52" s="157"/>
      <c r="G52" s="202"/>
      <c r="H52" s="151"/>
      <c r="I52" s="41">
        <v>44197</v>
      </c>
      <c r="J52" s="41">
        <v>44561</v>
      </c>
      <c r="K52" s="45">
        <v>1</v>
      </c>
      <c r="L52" s="66">
        <v>0.25</v>
      </c>
      <c r="M52" s="3">
        <f t="shared" si="2"/>
        <v>0.25</v>
      </c>
      <c r="N52" s="7" t="s">
        <v>235</v>
      </c>
      <c r="O52" s="26">
        <v>12000000</v>
      </c>
      <c r="P52" s="73">
        <v>18000000</v>
      </c>
      <c r="Q52" s="12"/>
      <c r="R52" s="12"/>
      <c r="S52" s="137">
        <f t="shared" si="12"/>
        <v>30000000</v>
      </c>
      <c r="T52" s="74"/>
      <c r="U52" s="68"/>
      <c r="V52" s="68"/>
      <c r="W52" s="68"/>
      <c r="X52" s="137">
        <f>SUM(T52:W52)</f>
        <v>0</v>
      </c>
      <c r="Y52" s="27">
        <f>IFERROR(X52/S52,"-")</f>
        <v>0</v>
      </c>
      <c r="Z52" s="26"/>
      <c r="AA52" s="10" t="s">
        <v>171</v>
      </c>
      <c r="AB52" s="10" t="s">
        <v>186</v>
      </c>
    </row>
    <row r="53" spans="1:28" ht="76.8" customHeight="1" x14ac:dyDescent="0.25">
      <c r="A53" s="44" t="s">
        <v>30</v>
      </c>
      <c r="B53" s="44" t="s">
        <v>33</v>
      </c>
      <c r="C53" s="82" t="s">
        <v>121</v>
      </c>
      <c r="D53" s="58" t="s">
        <v>128</v>
      </c>
      <c r="E53" s="2" t="s">
        <v>129</v>
      </c>
      <c r="F53" s="158"/>
      <c r="G53" s="203"/>
      <c r="H53" s="152"/>
      <c r="I53" s="41">
        <v>44197</v>
      </c>
      <c r="J53" s="41">
        <v>44561</v>
      </c>
      <c r="K53" s="46">
        <v>1</v>
      </c>
      <c r="L53" s="66">
        <v>1</v>
      </c>
      <c r="M53" s="3">
        <f t="shared" si="2"/>
        <v>1</v>
      </c>
      <c r="N53" s="7" t="s">
        <v>214</v>
      </c>
      <c r="O53" s="26"/>
      <c r="P53" s="73">
        <v>60000000</v>
      </c>
      <c r="Q53" s="12"/>
      <c r="R53" s="12"/>
      <c r="S53" s="137">
        <f t="shared" si="12"/>
        <v>60000000</v>
      </c>
      <c r="T53" s="74"/>
      <c r="U53" s="85"/>
      <c r="V53" s="68"/>
      <c r="W53" s="68"/>
      <c r="X53" s="137">
        <f>SUM(T53:W53)</f>
        <v>0</v>
      </c>
      <c r="Y53" s="27">
        <f>IFERROR(X53/S53,"-")</f>
        <v>0</v>
      </c>
      <c r="Z53" s="26"/>
      <c r="AA53" s="10" t="s">
        <v>171</v>
      </c>
      <c r="AB53" s="10" t="s">
        <v>186</v>
      </c>
    </row>
    <row r="54" spans="1:28" ht="40.799999999999997" customHeight="1" x14ac:dyDescent="0.25">
      <c r="A54" s="195" t="s">
        <v>30</v>
      </c>
      <c r="B54" s="195" t="s">
        <v>33</v>
      </c>
      <c r="C54" s="162" t="s">
        <v>130</v>
      </c>
      <c r="D54" s="164" t="s">
        <v>131</v>
      </c>
      <c r="E54" s="143" t="s">
        <v>132</v>
      </c>
      <c r="F54" s="95"/>
      <c r="G54" s="96" t="s">
        <v>223</v>
      </c>
      <c r="H54" s="100"/>
      <c r="I54" s="41"/>
      <c r="J54" s="41"/>
      <c r="K54" s="168">
        <v>250</v>
      </c>
      <c r="L54" s="166">
        <v>1</v>
      </c>
      <c r="M54" s="172">
        <f>IFERROR(IF(L54/K54&gt;100%,100%,L54/K54),"-")</f>
        <v>4.0000000000000001E-3</v>
      </c>
      <c r="N54" s="7" t="s">
        <v>215</v>
      </c>
      <c r="O54" s="26">
        <v>23866</v>
      </c>
      <c r="P54" s="73"/>
      <c r="Q54" s="12"/>
      <c r="R54" s="12"/>
      <c r="S54" s="147">
        <f>SUM(O54:R55)</f>
        <v>950000000</v>
      </c>
      <c r="U54" s="85"/>
      <c r="V54" s="68"/>
      <c r="W54" s="68"/>
      <c r="X54" s="147">
        <f>SUM(T54:W55)</f>
        <v>0</v>
      </c>
      <c r="Y54" s="149">
        <f>IFERROR(X54/S54,"-")</f>
        <v>0</v>
      </c>
      <c r="Z54" s="139"/>
      <c r="AA54" s="141" t="s">
        <v>171</v>
      </c>
      <c r="AB54" s="141" t="s">
        <v>186</v>
      </c>
    </row>
    <row r="55" spans="1:28" ht="78.599999999999994" customHeight="1" x14ac:dyDescent="0.25">
      <c r="A55" s="196"/>
      <c r="B55" s="196"/>
      <c r="C55" s="163"/>
      <c r="D55" s="165"/>
      <c r="E55" s="144"/>
      <c r="F55" s="156">
        <v>2020680010121</v>
      </c>
      <c r="G55" s="159" t="s">
        <v>176</v>
      </c>
      <c r="H55" s="153" t="s">
        <v>191</v>
      </c>
      <c r="I55" s="41">
        <v>44197</v>
      </c>
      <c r="J55" s="41">
        <v>44561</v>
      </c>
      <c r="K55" s="169"/>
      <c r="L55" s="167"/>
      <c r="M55" s="173"/>
      <c r="N55" s="71" t="s">
        <v>234</v>
      </c>
      <c r="O55" s="26">
        <f>410000000-10000000-20000000-20023866</f>
        <v>359976134</v>
      </c>
      <c r="P55" s="73">
        <v>590000000</v>
      </c>
      <c r="Q55" s="73"/>
      <c r="R55" s="73"/>
      <c r="S55" s="148"/>
      <c r="T55" s="126"/>
      <c r="U55" s="85"/>
      <c r="V55" s="85"/>
      <c r="W55" s="85"/>
      <c r="X55" s="148"/>
      <c r="Y55" s="150"/>
      <c r="Z55" s="140"/>
      <c r="AA55" s="142"/>
      <c r="AB55" s="142"/>
    </row>
    <row r="56" spans="1:28" ht="106.8" customHeight="1" x14ac:dyDescent="0.25">
      <c r="A56" s="44" t="s">
        <v>30</v>
      </c>
      <c r="B56" s="44" t="s">
        <v>33</v>
      </c>
      <c r="C56" s="82" t="s">
        <v>130</v>
      </c>
      <c r="D56" s="58" t="s">
        <v>133</v>
      </c>
      <c r="E56" s="2" t="s">
        <v>134</v>
      </c>
      <c r="F56" s="157"/>
      <c r="G56" s="160"/>
      <c r="H56" s="154"/>
      <c r="I56" s="41">
        <v>44197</v>
      </c>
      <c r="J56" s="41">
        <v>44561</v>
      </c>
      <c r="K56" s="45">
        <v>1</v>
      </c>
      <c r="L56" s="65">
        <v>0.1</v>
      </c>
      <c r="M56" s="3">
        <f t="shared" si="2"/>
        <v>0.1</v>
      </c>
      <c r="N56" s="71" t="s">
        <v>215</v>
      </c>
      <c r="O56" s="74">
        <v>50000000</v>
      </c>
      <c r="P56" s="73"/>
      <c r="Q56" s="73"/>
      <c r="R56" s="73"/>
      <c r="S56" s="137">
        <f t="shared" si="12"/>
        <v>50000000</v>
      </c>
      <c r="T56" s="74"/>
      <c r="U56" s="85"/>
      <c r="V56" s="85"/>
      <c r="W56" s="85"/>
      <c r="X56" s="137">
        <f t="shared" ref="X56:X64" si="13">SUM(T56:W56)</f>
        <v>0</v>
      </c>
      <c r="Y56" s="27">
        <f t="shared" ref="Y56:Y60" si="14">IFERROR(X56/S56,"-")</f>
        <v>0</v>
      </c>
      <c r="Z56" s="26"/>
      <c r="AA56" s="10" t="s">
        <v>171</v>
      </c>
      <c r="AB56" s="10" t="s">
        <v>186</v>
      </c>
    </row>
    <row r="57" spans="1:28" ht="133.19999999999999" customHeight="1" x14ac:dyDescent="0.25">
      <c r="A57" s="44" t="s">
        <v>30</v>
      </c>
      <c r="B57" s="44" t="s">
        <v>33</v>
      </c>
      <c r="C57" s="82" t="s">
        <v>130</v>
      </c>
      <c r="D57" s="58" t="s">
        <v>135</v>
      </c>
      <c r="E57" s="2" t="s">
        <v>136</v>
      </c>
      <c r="F57" s="157"/>
      <c r="G57" s="160"/>
      <c r="H57" s="154"/>
      <c r="I57" s="41">
        <v>44197</v>
      </c>
      <c r="J57" s="41">
        <v>44561</v>
      </c>
      <c r="K57" s="45">
        <v>1</v>
      </c>
      <c r="L57" s="65">
        <v>0.1</v>
      </c>
      <c r="M57" s="3">
        <f t="shared" si="2"/>
        <v>0.1</v>
      </c>
      <c r="N57" s="71" t="s">
        <v>234</v>
      </c>
      <c r="O57" s="74">
        <f>20000000+10000000+20000000</f>
        <v>50000000</v>
      </c>
      <c r="P57" s="73">
        <v>180000000</v>
      </c>
      <c r="Q57" s="73"/>
      <c r="R57" s="73"/>
      <c r="S57" s="137">
        <f t="shared" si="12"/>
        <v>230000000</v>
      </c>
      <c r="T57" s="74"/>
      <c r="U57" s="85"/>
      <c r="V57" s="85"/>
      <c r="W57" s="85"/>
      <c r="X57" s="137">
        <f t="shared" si="13"/>
        <v>0</v>
      </c>
      <c r="Y57" s="27">
        <f t="shared" si="14"/>
        <v>0</v>
      </c>
      <c r="Z57" s="26"/>
      <c r="AA57" s="10" t="s">
        <v>171</v>
      </c>
      <c r="AB57" s="10" t="s">
        <v>186</v>
      </c>
    </row>
    <row r="58" spans="1:28" ht="126" customHeight="1" x14ac:dyDescent="0.25">
      <c r="A58" s="44" t="s">
        <v>30</v>
      </c>
      <c r="B58" s="44" t="s">
        <v>33</v>
      </c>
      <c r="C58" s="82" t="s">
        <v>130</v>
      </c>
      <c r="D58" s="58" t="s">
        <v>137</v>
      </c>
      <c r="E58" s="2" t="s">
        <v>138</v>
      </c>
      <c r="F58" s="157"/>
      <c r="G58" s="160"/>
      <c r="H58" s="154"/>
      <c r="I58" s="41">
        <v>44197</v>
      </c>
      <c r="J58" s="41">
        <v>44561</v>
      </c>
      <c r="K58" s="45">
        <v>200</v>
      </c>
      <c r="L58" s="62">
        <v>1</v>
      </c>
      <c r="M58" s="3">
        <f t="shared" si="2"/>
        <v>5.0000000000000001E-3</v>
      </c>
      <c r="N58" s="71" t="s">
        <v>232</v>
      </c>
      <c r="O58" s="74">
        <v>200000000</v>
      </c>
      <c r="P58" s="73"/>
      <c r="Q58" s="73"/>
      <c r="R58" s="73"/>
      <c r="S58" s="137">
        <f t="shared" si="12"/>
        <v>200000000</v>
      </c>
      <c r="T58" s="74"/>
      <c r="U58" s="85"/>
      <c r="V58" s="85"/>
      <c r="W58" s="85"/>
      <c r="X58" s="137">
        <f t="shared" si="13"/>
        <v>0</v>
      </c>
      <c r="Y58" s="27">
        <f t="shared" si="14"/>
        <v>0</v>
      </c>
      <c r="Z58" s="26"/>
      <c r="AA58" s="10" t="s">
        <v>171</v>
      </c>
      <c r="AB58" s="10" t="s">
        <v>186</v>
      </c>
    </row>
    <row r="59" spans="1:28" ht="99.6" customHeight="1" x14ac:dyDescent="0.25">
      <c r="A59" s="44" t="s">
        <v>30</v>
      </c>
      <c r="B59" s="44" t="s">
        <v>33</v>
      </c>
      <c r="C59" s="82" t="s">
        <v>130</v>
      </c>
      <c r="D59" s="58" t="s">
        <v>139</v>
      </c>
      <c r="E59" s="2" t="s">
        <v>140</v>
      </c>
      <c r="F59" s="158"/>
      <c r="G59" s="161"/>
      <c r="H59" s="155"/>
      <c r="I59" s="41">
        <v>44197</v>
      </c>
      <c r="J59" s="41">
        <v>44561</v>
      </c>
      <c r="K59" s="45">
        <v>1</v>
      </c>
      <c r="L59" s="62">
        <v>1</v>
      </c>
      <c r="M59" s="3">
        <f t="shared" si="2"/>
        <v>1</v>
      </c>
      <c r="N59" s="71" t="s">
        <v>215</v>
      </c>
      <c r="O59" s="74">
        <v>50000000</v>
      </c>
      <c r="P59" s="73"/>
      <c r="Q59" s="73"/>
      <c r="R59" s="73"/>
      <c r="S59" s="137">
        <f t="shared" si="12"/>
        <v>50000000</v>
      </c>
      <c r="T59" s="74"/>
      <c r="U59" s="85"/>
      <c r="V59" s="85"/>
      <c r="W59" s="85"/>
      <c r="X59" s="137">
        <f t="shared" si="13"/>
        <v>0</v>
      </c>
      <c r="Y59" s="27">
        <f t="shared" si="14"/>
        <v>0</v>
      </c>
      <c r="Z59" s="26"/>
      <c r="AA59" s="10" t="s">
        <v>171</v>
      </c>
      <c r="AB59" s="10" t="s">
        <v>186</v>
      </c>
    </row>
    <row r="60" spans="1:28" ht="116.4" customHeight="1" x14ac:dyDescent="0.25">
      <c r="A60" s="44" t="s">
        <v>141</v>
      </c>
      <c r="B60" s="44" t="s">
        <v>142</v>
      </c>
      <c r="C60" s="82" t="s">
        <v>143</v>
      </c>
      <c r="D60" s="58" t="s">
        <v>146</v>
      </c>
      <c r="E60" s="2" t="s">
        <v>147</v>
      </c>
      <c r="F60" s="47"/>
      <c r="G60" s="60" t="s">
        <v>197</v>
      </c>
      <c r="H60" s="7"/>
      <c r="I60" s="41">
        <v>44197</v>
      </c>
      <c r="J60" s="41">
        <v>44561</v>
      </c>
      <c r="K60" s="45">
        <v>2</v>
      </c>
      <c r="L60" s="66"/>
      <c r="M60" s="3">
        <f t="shared" si="2"/>
        <v>0</v>
      </c>
      <c r="N60" s="7" t="s">
        <v>211</v>
      </c>
      <c r="O60" s="26">
        <v>100000000</v>
      </c>
      <c r="P60" s="12"/>
      <c r="Q60" s="12"/>
      <c r="R60" s="12"/>
      <c r="S60" s="137">
        <f t="shared" si="12"/>
        <v>100000000</v>
      </c>
      <c r="T60" s="26"/>
      <c r="U60" s="84"/>
      <c r="V60" s="84"/>
      <c r="W60" s="84"/>
      <c r="X60" s="137">
        <f t="shared" si="13"/>
        <v>0</v>
      </c>
      <c r="Y60" s="27">
        <f t="shared" si="14"/>
        <v>0</v>
      </c>
      <c r="Z60" s="26"/>
      <c r="AA60" s="10" t="s">
        <v>171</v>
      </c>
      <c r="AB60" s="10" t="s">
        <v>186</v>
      </c>
    </row>
    <row r="61" spans="1:28" ht="107.4" customHeight="1" x14ac:dyDescent="0.25">
      <c r="A61" s="44" t="s">
        <v>141</v>
      </c>
      <c r="B61" s="44" t="s">
        <v>142</v>
      </c>
      <c r="C61" s="128" t="s">
        <v>143</v>
      </c>
      <c r="D61" s="129" t="s">
        <v>144</v>
      </c>
      <c r="E61" s="130" t="s">
        <v>145</v>
      </c>
      <c r="F61" s="156">
        <v>2020680010123</v>
      </c>
      <c r="G61" s="201" t="s">
        <v>180</v>
      </c>
      <c r="H61" s="153" t="s">
        <v>194</v>
      </c>
      <c r="I61" s="41">
        <v>44197</v>
      </c>
      <c r="J61" s="41">
        <v>44561</v>
      </c>
      <c r="K61" s="45">
        <v>50</v>
      </c>
      <c r="L61" s="124"/>
      <c r="M61" s="3">
        <f t="shared" si="2"/>
        <v>0</v>
      </c>
      <c r="N61" s="7" t="s">
        <v>210</v>
      </c>
      <c r="O61" s="69">
        <f>40000000.66</f>
        <v>40000000.659999996</v>
      </c>
      <c r="P61" s="12"/>
      <c r="Q61" s="12"/>
      <c r="R61" s="12"/>
      <c r="S61" s="137">
        <f t="shared" si="12"/>
        <v>40000000.659999996</v>
      </c>
      <c r="T61" s="26"/>
      <c r="U61" s="84"/>
      <c r="V61" s="84"/>
      <c r="W61" s="84"/>
      <c r="X61" s="137">
        <f t="shared" si="13"/>
        <v>0</v>
      </c>
      <c r="Y61" s="27">
        <f t="shared" ref="Y61" si="15">IFERROR(X61/S61,"-")</f>
        <v>0</v>
      </c>
      <c r="Z61" s="26"/>
      <c r="AA61" s="10" t="s">
        <v>171</v>
      </c>
      <c r="AB61" s="10" t="s">
        <v>186</v>
      </c>
    </row>
    <row r="62" spans="1:28" ht="105" customHeight="1" x14ac:dyDescent="0.25">
      <c r="A62" s="44" t="s">
        <v>141</v>
      </c>
      <c r="B62" s="44" t="s">
        <v>142</v>
      </c>
      <c r="C62" s="82" t="s">
        <v>143</v>
      </c>
      <c r="D62" s="58" t="s">
        <v>148</v>
      </c>
      <c r="E62" s="2" t="s">
        <v>149</v>
      </c>
      <c r="F62" s="157"/>
      <c r="G62" s="202"/>
      <c r="H62" s="154"/>
      <c r="I62" s="41">
        <v>44197</v>
      </c>
      <c r="J62" s="41">
        <v>44561</v>
      </c>
      <c r="K62" s="45">
        <v>3</v>
      </c>
      <c r="L62" s="66"/>
      <c r="M62" s="3">
        <f t="shared" si="2"/>
        <v>0</v>
      </c>
      <c r="N62" s="7" t="s">
        <v>212</v>
      </c>
      <c r="O62" s="26">
        <v>59839539</v>
      </c>
      <c r="P62" s="12"/>
      <c r="Q62" s="12"/>
      <c r="R62" s="12"/>
      <c r="S62" s="137">
        <f t="shared" si="12"/>
        <v>59839539</v>
      </c>
      <c r="T62" s="26"/>
      <c r="U62" s="84"/>
      <c r="V62" s="84"/>
      <c r="W62" s="84"/>
      <c r="X62" s="137">
        <f t="shared" si="13"/>
        <v>0</v>
      </c>
      <c r="Y62" s="27">
        <f>IFERROR(X62/S62,"-")</f>
        <v>0</v>
      </c>
      <c r="Z62" s="26"/>
      <c r="AA62" s="10" t="s">
        <v>171</v>
      </c>
      <c r="AB62" s="10" t="s">
        <v>186</v>
      </c>
    </row>
    <row r="63" spans="1:28" ht="102.6" customHeight="1" x14ac:dyDescent="0.25">
      <c r="A63" s="44" t="s">
        <v>141</v>
      </c>
      <c r="B63" s="44" t="s">
        <v>142</v>
      </c>
      <c r="C63" s="82" t="s">
        <v>143</v>
      </c>
      <c r="D63" s="58" t="s">
        <v>150</v>
      </c>
      <c r="E63" s="2" t="s">
        <v>151</v>
      </c>
      <c r="F63" s="157"/>
      <c r="G63" s="202"/>
      <c r="H63" s="154"/>
      <c r="I63" s="41">
        <v>44197</v>
      </c>
      <c r="J63" s="41">
        <v>44561</v>
      </c>
      <c r="K63" s="45">
        <v>4</v>
      </c>
      <c r="L63" s="62">
        <v>4</v>
      </c>
      <c r="M63" s="3">
        <f t="shared" si="2"/>
        <v>1</v>
      </c>
      <c r="N63" s="7" t="s">
        <v>212</v>
      </c>
      <c r="O63" s="26">
        <v>100000000</v>
      </c>
      <c r="P63" s="12"/>
      <c r="Q63" s="12"/>
      <c r="R63" s="12"/>
      <c r="S63" s="137">
        <f t="shared" si="12"/>
        <v>100000000</v>
      </c>
      <c r="T63" s="26"/>
      <c r="U63" s="84"/>
      <c r="V63" s="84"/>
      <c r="W63" s="84"/>
      <c r="X63" s="137">
        <f t="shared" si="13"/>
        <v>0</v>
      </c>
      <c r="Y63" s="27">
        <f>IFERROR(X63/S63,"-")</f>
        <v>0</v>
      </c>
      <c r="Z63" s="26"/>
      <c r="AA63" s="10" t="s">
        <v>171</v>
      </c>
      <c r="AB63" s="10" t="s">
        <v>186</v>
      </c>
    </row>
    <row r="64" spans="1:28" ht="97.8" customHeight="1" x14ac:dyDescent="0.25">
      <c r="A64" s="44" t="s">
        <v>141</v>
      </c>
      <c r="B64" s="44" t="s">
        <v>142</v>
      </c>
      <c r="C64" s="82" t="s">
        <v>143</v>
      </c>
      <c r="D64" s="58" t="s">
        <v>152</v>
      </c>
      <c r="E64" s="2" t="s">
        <v>153</v>
      </c>
      <c r="F64" s="157"/>
      <c r="G64" s="202"/>
      <c r="H64" s="154"/>
      <c r="I64" s="41">
        <v>44197</v>
      </c>
      <c r="J64" s="41">
        <v>44561</v>
      </c>
      <c r="K64" s="45">
        <v>1</v>
      </c>
      <c r="L64" s="66">
        <v>0.2</v>
      </c>
      <c r="M64" s="3">
        <f t="shared" si="2"/>
        <v>0.2</v>
      </c>
      <c r="N64" s="7" t="s">
        <v>212</v>
      </c>
      <c r="O64" s="26">
        <v>30000000</v>
      </c>
      <c r="P64" s="12"/>
      <c r="Q64" s="12"/>
      <c r="R64" s="12"/>
      <c r="S64" s="137">
        <f t="shared" si="12"/>
        <v>30000000</v>
      </c>
      <c r="T64" s="26"/>
      <c r="U64" s="84"/>
      <c r="V64" s="84"/>
      <c r="W64" s="84"/>
      <c r="X64" s="137">
        <f t="shared" si="13"/>
        <v>0</v>
      </c>
      <c r="Y64" s="27">
        <f>IFERROR(X64/S64,"-")</f>
        <v>0</v>
      </c>
      <c r="Z64" s="26"/>
      <c r="AA64" s="10" t="s">
        <v>171</v>
      </c>
      <c r="AB64" s="10" t="s">
        <v>186</v>
      </c>
    </row>
    <row r="65" spans="1:28" ht="61.2" customHeight="1" x14ac:dyDescent="0.25">
      <c r="A65" s="195" t="s">
        <v>141</v>
      </c>
      <c r="B65" s="195" t="s">
        <v>142</v>
      </c>
      <c r="C65" s="162" t="s">
        <v>143</v>
      </c>
      <c r="D65" s="164" t="s">
        <v>154</v>
      </c>
      <c r="E65" s="143" t="s">
        <v>155</v>
      </c>
      <c r="F65" s="158"/>
      <c r="G65" s="203"/>
      <c r="H65" s="155"/>
      <c r="I65" s="41">
        <v>44197</v>
      </c>
      <c r="J65" s="41">
        <v>44561</v>
      </c>
      <c r="K65" s="168">
        <v>6</v>
      </c>
      <c r="L65" s="170"/>
      <c r="M65" s="172">
        <f t="shared" si="2"/>
        <v>0</v>
      </c>
      <c r="N65" s="7"/>
      <c r="O65" s="26"/>
      <c r="P65" s="12"/>
      <c r="Q65" s="12"/>
      <c r="R65" s="12"/>
      <c r="S65" s="147">
        <f>SUM(O65:R66)</f>
        <v>160461</v>
      </c>
      <c r="T65" s="26"/>
      <c r="U65" s="84"/>
      <c r="V65" s="84"/>
      <c r="W65" s="84"/>
      <c r="X65" s="147">
        <f>SUM(T65:W66)</f>
        <v>0</v>
      </c>
      <c r="Y65" s="149">
        <f>IFERROR(X65/S65,"-")</f>
        <v>0</v>
      </c>
      <c r="Z65" s="139"/>
      <c r="AA65" s="141" t="s">
        <v>171</v>
      </c>
      <c r="AB65" s="141" t="s">
        <v>186</v>
      </c>
    </row>
    <row r="66" spans="1:28" ht="37.799999999999997" customHeight="1" x14ac:dyDescent="0.25">
      <c r="A66" s="196"/>
      <c r="B66" s="196"/>
      <c r="C66" s="163"/>
      <c r="D66" s="165"/>
      <c r="E66" s="144"/>
      <c r="F66" s="95"/>
      <c r="G66" s="96" t="s">
        <v>236</v>
      </c>
      <c r="H66" s="94"/>
      <c r="I66" s="41"/>
      <c r="J66" s="41"/>
      <c r="K66" s="169"/>
      <c r="L66" s="171"/>
      <c r="M66" s="173"/>
      <c r="N66" s="7" t="s">
        <v>242</v>
      </c>
      <c r="O66" s="26">
        <v>160461</v>
      </c>
      <c r="P66" s="12"/>
      <c r="Q66" s="12"/>
      <c r="R66" s="12"/>
      <c r="S66" s="148"/>
      <c r="T66" s="26"/>
      <c r="U66" s="84"/>
      <c r="V66" s="84"/>
      <c r="W66" s="84"/>
      <c r="X66" s="148"/>
      <c r="Y66" s="150"/>
      <c r="Z66" s="140"/>
      <c r="AA66" s="142"/>
      <c r="AB66" s="142"/>
    </row>
    <row r="67" spans="1:28" ht="94.8" customHeight="1" x14ac:dyDescent="0.25">
      <c r="A67" s="44" t="s">
        <v>160</v>
      </c>
      <c r="B67" s="44" t="s">
        <v>161</v>
      </c>
      <c r="C67" s="82" t="s">
        <v>162</v>
      </c>
      <c r="D67" s="58" t="s">
        <v>163</v>
      </c>
      <c r="E67" s="2" t="s">
        <v>164</v>
      </c>
      <c r="F67" s="156">
        <v>20200680010063</v>
      </c>
      <c r="G67" s="201" t="s">
        <v>174</v>
      </c>
      <c r="H67" s="178" t="s">
        <v>189</v>
      </c>
      <c r="I67" s="41">
        <v>44197</v>
      </c>
      <c r="J67" s="41">
        <v>44561</v>
      </c>
      <c r="K67" s="45">
        <v>1</v>
      </c>
      <c r="L67" s="62">
        <v>1</v>
      </c>
      <c r="M67" s="3">
        <f t="shared" si="2"/>
        <v>1</v>
      </c>
      <c r="N67" s="7" t="s">
        <v>213</v>
      </c>
      <c r="O67" s="26">
        <v>331000000</v>
      </c>
      <c r="P67" s="12"/>
      <c r="Q67" s="12"/>
      <c r="R67" s="12"/>
      <c r="S67" s="137">
        <f t="shared" si="12"/>
        <v>331000000</v>
      </c>
      <c r="T67" s="26"/>
      <c r="U67" s="84"/>
      <c r="V67" s="84"/>
      <c r="W67" s="84"/>
      <c r="X67" s="137">
        <f>SUM(T67:W67)</f>
        <v>0</v>
      </c>
      <c r="Y67" s="27">
        <f>IFERROR(X67/S67,"-")</f>
        <v>0</v>
      </c>
      <c r="Z67" s="26"/>
      <c r="AA67" s="10" t="s">
        <v>171</v>
      </c>
      <c r="AB67" s="10" t="s">
        <v>186</v>
      </c>
    </row>
    <row r="68" spans="1:28" ht="97.2" customHeight="1" x14ac:dyDescent="0.25">
      <c r="A68" s="44" t="s">
        <v>160</v>
      </c>
      <c r="B68" s="44" t="s">
        <v>161</v>
      </c>
      <c r="C68" s="83" t="s">
        <v>162</v>
      </c>
      <c r="D68" s="58" t="s">
        <v>169</v>
      </c>
      <c r="E68" s="2" t="s">
        <v>170</v>
      </c>
      <c r="F68" s="157"/>
      <c r="G68" s="202"/>
      <c r="H68" s="152"/>
      <c r="I68" s="41">
        <v>44197</v>
      </c>
      <c r="J68" s="41">
        <v>44561</v>
      </c>
      <c r="K68" s="46">
        <v>1</v>
      </c>
      <c r="L68" s="72">
        <v>1</v>
      </c>
      <c r="M68" s="3">
        <f t="shared" si="2"/>
        <v>1</v>
      </c>
      <c r="N68" s="7" t="s">
        <v>213</v>
      </c>
      <c r="O68" s="26">
        <f>440000000-144000000</f>
        <v>296000000</v>
      </c>
      <c r="P68" s="12"/>
      <c r="Q68" s="12"/>
      <c r="R68" s="14"/>
      <c r="S68" s="137">
        <f t="shared" si="12"/>
        <v>296000000</v>
      </c>
      <c r="T68" s="26">
        <v>14372068</v>
      </c>
      <c r="U68" s="84"/>
      <c r="V68" s="84"/>
      <c r="W68" s="86"/>
      <c r="X68" s="137">
        <f>SUM(T68:W68)</f>
        <v>14372068</v>
      </c>
      <c r="Y68" s="27">
        <f>IFERROR(X68/S68,"-")</f>
        <v>4.8554283783783785E-2</v>
      </c>
      <c r="Z68" s="26"/>
      <c r="AA68" s="10" t="s">
        <v>171</v>
      </c>
      <c r="AB68" s="10" t="s">
        <v>186</v>
      </c>
    </row>
    <row r="69" spans="1:28" ht="34.799999999999997" customHeight="1" x14ac:dyDescent="0.25">
      <c r="A69" s="195" t="s">
        <v>160</v>
      </c>
      <c r="B69" s="195" t="s">
        <v>161</v>
      </c>
      <c r="C69" s="162" t="s">
        <v>162</v>
      </c>
      <c r="D69" s="145" t="s">
        <v>167</v>
      </c>
      <c r="E69" s="143" t="s">
        <v>168</v>
      </c>
      <c r="F69" s="158"/>
      <c r="G69" s="203"/>
      <c r="H69" s="93"/>
      <c r="I69" s="41">
        <v>44197</v>
      </c>
      <c r="J69" s="41">
        <v>44561</v>
      </c>
      <c r="K69" s="176">
        <v>1</v>
      </c>
      <c r="L69" s="174">
        <v>0.3</v>
      </c>
      <c r="M69" s="172">
        <f t="shared" ref="M69" si="16">IFERROR(IF(L69/K69&gt;100%,100%,L69/K69),"-")</f>
        <v>0.3</v>
      </c>
      <c r="N69" s="7" t="s">
        <v>213</v>
      </c>
      <c r="O69" s="26">
        <v>113501549</v>
      </c>
      <c r="P69" s="8"/>
      <c r="Q69" s="12"/>
      <c r="R69" s="12"/>
      <c r="S69" s="147">
        <f>SUM(O69:R70)</f>
        <v>373000000</v>
      </c>
      <c r="T69" s="26"/>
      <c r="U69" s="8"/>
      <c r="V69" s="84"/>
      <c r="W69" s="84"/>
      <c r="X69" s="147">
        <f>SUM(T69:W70)</f>
        <v>0</v>
      </c>
      <c r="Y69" s="149">
        <f>IFERROR(X69/S69,"-")</f>
        <v>0</v>
      </c>
      <c r="Z69" s="139"/>
      <c r="AA69" s="141" t="s">
        <v>171</v>
      </c>
      <c r="AB69" s="141" t="s">
        <v>186</v>
      </c>
    </row>
    <row r="70" spans="1:28" ht="70.2" customHeight="1" x14ac:dyDescent="0.25">
      <c r="A70" s="196"/>
      <c r="B70" s="196"/>
      <c r="C70" s="163"/>
      <c r="D70" s="146"/>
      <c r="E70" s="144"/>
      <c r="F70" s="91"/>
      <c r="G70" s="92" t="s">
        <v>223</v>
      </c>
      <c r="H70" s="93"/>
      <c r="I70" s="41"/>
      <c r="J70" s="41"/>
      <c r="K70" s="177"/>
      <c r="L70" s="175"/>
      <c r="M70" s="173"/>
      <c r="N70" s="7" t="s">
        <v>240</v>
      </c>
      <c r="O70" s="26">
        <f>30498451+229000000</f>
        <v>259498451</v>
      </c>
      <c r="P70" s="8"/>
      <c r="Q70" s="12"/>
      <c r="R70" s="12"/>
      <c r="S70" s="148"/>
      <c r="T70" s="26"/>
      <c r="U70" s="8"/>
      <c r="V70" s="84"/>
      <c r="W70" s="84"/>
      <c r="X70" s="148"/>
      <c r="Y70" s="150"/>
      <c r="Z70" s="140"/>
      <c r="AA70" s="142"/>
      <c r="AB70" s="142"/>
    </row>
    <row r="71" spans="1:28" ht="88.2" customHeight="1" x14ac:dyDescent="0.25">
      <c r="A71" s="44" t="s">
        <v>160</v>
      </c>
      <c r="B71" s="44" t="s">
        <v>161</v>
      </c>
      <c r="C71" s="82" t="s">
        <v>162</v>
      </c>
      <c r="D71" s="58" t="s">
        <v>165</v>
      </c>
      <c r="E71" s="2" t="s">
        <v>166</v>
      </c>
      <c r="F71" s="47"/>
      <c r="G71" s="60" t="s">
        <v>198</v>
      </c>
      <c r="H71" s="7"/>
      <c r="I71" s="41">
        <v>44197</v>
      </c>
      <c r="J71" s="41">
        <v>44561</v>
      </c>
      <c r="K71" s="45">
        <v>2</v>
      </c>
      <c r="L71" s="66"/>
      <c r="M71" s="3">
        <f t="shared" si="2"/>
        <v>0</v>
      </c>
      <c r="N71" s="7"/>
      <c r="O71" s="26">
        <v>0</v>
      </c>
      <c r="P71" s="12"/>
      <c r="Q71" s="12"/>
      <c r="R71" s="12"/>
      <c r="S71" s="137">
        <f t="shared" si="12"/>
        <v>0</v>
      </c>
      <c r="T71" s="26"/>
      <c r="U71" s="84"/>
      <c r="V71" s="84"/>
      <c r="W71" s="84"/>
      <c r="X71" s="137">
        <f>SUM(T71:W71)</f>
        <v>0</v>
      </c>
      <c r="Y71" s="27" t="str">
        <f>IFERROR(X71/S71,"-")</f>
        <v>-</v>
      </c>
      <c r="Z71" s="26"/>
      <c r="AA71" s="10" t="s">
        <v>171</v>
      </c>
      <c r="AB71" s="10" t="s">
        <v>186</v>
      </c>
    </row>
    <row r="72" spans="1:28" ht="135" customHeight="1" x14ac:dyDescent="0.25">
      <c r="A72" s="13" t="s">
        <v>160</v>
      </c>
      <c r="B72" s="98" t="s">
        <v>181</v>
      </c>
      <c r="C72" s="113" t="s">
        <v>182</v>
      </c>
      <c r="D72" s="114" t="s">
        <v>183</v>
      </c>
      <c r="E72" s="115" t="s">
        <v>184</v>
      </c>
      <c r="F72" s="101">
        <v>20200680010025</v>
      </c>
      <c r="G72" s="102" t="s">
        <v>172</v>
      </c>
      <c r="H72" s="51" t="s">
        <v>185</v>
      </c>
      <c r="I72" s="50">
        <v>44197</v>
      </c>
      <c r="J72" s="50">
        <v>44561</v>
      </c>
      <c r="K72" s="109">
        <v>1</v>
      </c>
      <c r="L72" s="112">
        <v>100</v>
      </c>
      <c r="M72" s="108">
        <f t="shared" si="2"/>
        <v>1</v>
      </c>
      <c r="N72" s="7" t="s">
        <v>231</v>
      </c>
      <c r="O72" s="26">
        <f>300000000+440000000</f>
        <v>740000000</v>
      </c>
      <c r="P72" s="12"/>
      <c r="Q72" s="12"/>
      <c r="R72" s="14"/>
      <c r="S72" s="138">
        <f>SUM(O72:R72)</f>
        <v>740000000</v>
      </c>
      <c r="T72" s="26"/>
      <c r="U72" s="84"/>
      <c r="V72" s="84"/>
      <c r="W72" s="86"/>
      <c r="X72" s="138">
        <f>SUM(T72:W72)</f>
        <v>0</v>
      </c>
      <c r="Y72" s="105">
        <f>IFERROR(X72/S72,"-")</f>
        <v>0</v>
      </c>
      <c r="Z72" s="106"/>
      <c r="AA72" s="107" t="s">
        <v>171</v>
      </c>
      <c r="AB72" s="107" t="s">
        <v>186</v>
      </c>
    </row>
    <row r="73" spans="1:28" ht="27.75" customHeight="1" x14ac:dyDescent="0.25">
      <c r="A73" s="31"/>
      <c r="B73" s="32"/>
      <c r="C73" s="32"/>
      <c r="D73" s="32"/>
      <c r="E73" s="38"/>
      <c r="F73" s="32"/>
      <c r="G73" s="32"/>
      <c r="H73" s="43"/>
      <c r="I73" s="32"/>
      <c r="J73" s="32"/>
      <c r="K73" s="33"/>
      <c r="L73" s="42" t="s">
        <v>19</v>
      </c>
      <c r="M73" s="28">
        <f>AVERAGE(M6:M72)</f>
        <v>0.35968141529334696</v>
      </c>
      <c r="N73" s="29"/>
      <c r="O73" s="64">
        <f t="shared" ref="O73:X73" si="17">SUM(O6:O72)</f>
        <v>9448776760</v>
      </c>
      <c r="P73" s="64">
        <f t="shared" si="17"/>
        <v>2000000000</v>
      </c>
      <c r="Q73" s="64">
        <f t="shared" si="17"/>
        <v>0</v>
      </c>
      <c r="R73" s="64">
        <f t="shared" si="17"/>
        <v>2540652590</v>
      </c>
      <c r="S73" s="30">
        <f>SUM(S6:S72)</f>
        <v>13989429350</v>
      </c>
      <c r="T73" s="64">
        <f t="shared" si="17"/>
        <v>3306379462.7000008</v>
      </c>
      <c r="U73" s="64">
        <f t="shared" si="17"/>
        <v>0</v>
      </c>
      <c r="V73" s="64">
        <f t="shared" si="17"/>
        <v>0</v>
      </c>
      <c r="W73" s="64">
        <f t="shared" si="17"/>
        <v>1661510016</v>
      </c>
      <c r="X73" s="30">
        <f t="shared" si="17"/>
        <v>4967889478.7000008</v>
      </c>
      <c r="Y73" s="34">
        <f>IFERROR(X73/S73,"-")</f>
        <v>0.35511737858699727</v>
      </c>
      <c r="Z73" s="30">
        <f>SUM(Z6:Z72)</f>
        <v>11000000</v>
      </c>
      <c r="AA73" s="35"/>
      <c r="AB73" s="36"/>
    </row>
    <row r="74" spans="1:28" s="17" customFormat="1" x14ac:dyDescent="0.25">
      <c r="A74" s="18"/>
      <c r="B74" s="19"/>
      <c r="C74" s="19"/>
      <c r="D74" s="19"/>
      <c r="E74" s="19"/>
      <c r="G74" s="20"/>
      <c r="H74" s="20"/>
      <c r="I74" s="20"/>
      <c r="J74" s="20"/>
      <c r="K74" s="20"/>
      <c r="L74" s="21"/>
      <c r="M74" s="21"/>
      <c r="N74" s="20"/>
      <c r="S74"/>
      <c r="X74" s="79"/>
    </row>
    <row r="75" spans="1:28" s="17" customFormat="1" ht="17.399999999999999" x14ac:dyDescent="0.3">
      <c r="A75" s="18"/>
      <c r="B75" s="19"/>
      <c r="C75" s="19"/>
      <c r="D75" s="19"/>
      <c r="E75" s="19"/>
      <c r="G75" s="20"/>
      <c r="H75" s="20"/>
      <c r="I75" s="20"/>
      <c r="J75" s="20"/>
      <c r="K75" s="20"/>
      <c r="L75" s="21"/>
      <c r="M75" s="21"/>
      <c r="N75" s="20"/>
      <c r="O75"/>
      <c r="P75"/>
      <c r="Q75"/>
      <c r="R75"/>
      <c r="S75" s="122"/>
      <c r="T75"/>
      <c r="X75" s="79"/>
    </row>
    <row r="76" spans="1:28" s="17" customFormat="1" x14ac:dyDescent="0.25">
      <c r="A76" s="18"/>
      <c r="B76" s="19"/>
      <c r="C76" s="19"/>
      <c r="D76" s="19"/>
      <c r="G76" s="20"/>
      <c r="H76" s="20"/>
      <c r="I76" s="20"/>
      <c r="J76" s="20"/>
      <c r="K76" s="20"/>
      <c r="L76" s="21"/>
      <c r="M76" s="21"/>
      <c r="N76" s="20"/>
      <c r="O76"/>
      <c r="P76"/>
      <c r="Q76"/>
      <c r="R76"/>
      <c r="S76" s="117"/>
      <c r="T76"/>
    </row>
    <row r="77" spans="1:28" s="17" customFormat="1" x14ac:dyDescent="0.25">
      <c r="A77" s="18"/>
      <c r="B77" s="19"/>
      <c r="C77" s="19"/>
      <c r="D77" s="19"/>
      <c r="G77" s="20"/>
      <c r="H77" s="20"/>
      <c r="I77" s="20"/>
      <c r="J77" s="20"/>
      <c r="K77" s="20"/>
      <c r="L77" s="21"/>
      <c r="M77" s="21"/>
      <c r="N77" s="20"/>
      <c r="O77"/>
      <c r="P77"/>
      <c r="Q77"/>
      <c r="R77"/>
      <c r="S77"/>
      <c r="T77"/>
    </row>
    <row r="78" spans="1:28" s="17" customFormat="1" x14ac:dyDescent="0.25">
      <c r="A78" s="18"/>
      <c r="B78" s="19"/>
      <c r="C78" s="19"/>
      <c r="D78" s="19"/>
      <c r="G78" s="20"/>
      <c r="H78" s="20"/>
      <c r="I78" s="20"/>
      <c r="J78" s="20"/>
      <c r="K78" s="20"/>
      <c r="L78" s="21"/>
      <c r="M78" s="21"/>
      <c r="N78" s="20"/>
      <c r="O78"/>
      <c r="P78"/>
      <c r="Q78"/>
      <c r="R78"/>
      <c r="S78"/>
      <c r="T78"/>
    </row>
    <row r="79" spans="1:28" s="17" customFormat="1" x14ac:dyDescent="0.25">
      <c r="A79" s="18"/>
      <c r="B79" s="19"/>
      <c r="C79" s="19"/>
      <c r="D79" s="19"/>
      <c r="G79" s="20"/>
      <c r="H79" s="20"/>
      <c r="I79" s="20"/>
      <c r="J79" s="20"/>
      <c r="K79" s="20"/>
      <c r="L79" s="21"/>
      <c r="M79" s="21"/>
      <c r="N79" s="20"/>
      <c r="O79"/>
      <c r="P79"/>
      <c r="Q79"/>
      <c r="R79"/>
      <c r="S79"/>
      <c r="T79"/>
    </row>
    <row r="80" spans="1:28" s="17" customFormat="1" x14ac:dyDescent="0.25">
      <c r="A80" s="18"/>
      <c r="B80" s="19"/>
      <c r="C80" s="19"/>
      <c r="D80" s="19"/>
      <c r="E80" s="19"/>
      <c r="G80" s="20"/>
      <c r="H80" s="20"/>
      <c r="I80" s="20"/>
      <c r="J80" s="20"/>
      <c r="K80" s="20"/>
      <c r="L80" s="21"/>
      <c r="M80" s="21"/>
      <c r="N80" s="20"/>
      <c r="O80"/>
      <c r="P80"/>
      <c r="Q80"/>
      <c r="R80"/>
      <c r="S80"/>
      <c r="T80"/>
    </row>
    <row r="81" spans="1:20" s="17" customFormat="1" x14ac:dyDescent="0.25">
      <c r="A81" s="16"/>
      <c r="O81"/>
      <c r="P81"/>
      <c r="Q81"/>
      <c r="R81"/>
      <c r="S81"/>
      <c r="T81"/>
    </row>
    <row r="82" spans="1:20" s="17" customFormat="1" x14ac:dyDescent="0.25">
      <c r="A82" s="16"/>
      <c r="O82"/>
      <c r="P82"/>
      <c r="Q82"/>
      <c r="R82"/>
      <c r="S82"/>
      <c r="T82"/>
    </row>
    <row r="83" spans="1:20" s="17" customFormat="1" x14ac:dyDescent="0.25">
      <c r="A83" s="16"/>
      <c r="O83"/>
      <c r="P83"/>
      <c r="Q83"/>
      <c r="R83"/>
      <c r="S83"/>
      <c r="T83"/>
    </row>
    <row r="84" spans="1:20" s="17" customFormat="1" x14ac:dyDescent="0.25">
      <c r="A84" s="18"/>
      <c r="B84" s="19"/>
      <c r="C84" s="19"/>
      <c r="D84" s="19"/>
      <c r="E84" s="19"/>
      <c r="G84" s="20"/>
      <c r="H84" s="20"/>
      <c r="I84" s="20"/>
      <c r="J84" s="20"/>
      <c r="K84" s="20"/>
      <c r="L84" s="22"/>
      <c r="M84" s="22"/>
      <c r="N84" s="20"/>
      <c r="O84"/>
      <c r="P84"/>
      <c r="Q84"/>
      <c r="R84"/>
      <c r="S84"/>
      <c r="T84"/>
    </row>
    <row r="85" spans="1:20" s="17" customFormat="1" x14ac:dyDescent="0.25">
      <c r="A85" s="16"/>
      <c r="O85"/>
      <c r="P85"/>
      <c r="Q85"/>
      <c r="R85"/>
      <c r="S85"/>
      <c r="T85"/>
    </row>
    <row r="86" spans="1:20" s="17" customFormat="1" x14ac:dyDescent="0.25">
      <c r="A86" s="16"/>
      <c r="O86"/>
      <c r="P86"/>
      <c r="Q86"/>
      <c r="R86"/>
      <c r="S86"/>
      <c r="T86"/>
    </row>
    <row r="87" spans="1:20" s="17" customFormat="1" x14ac:dyDescent="0.25">
      <c r="A87" s="16"/>
      <c r="O87"/>
      <c r="P87"/>
      <c r="Q87"/>
      <c r="R87"/>
      <c r="S87"/>
      <c r="T87"/>
    </row>
    <row r="88" spans="1:20" x14ac:dyDescent="0.25">
      <c r="O88"/>
      <c r="P88"/>
      <c r="Q88"/>
      <c r="R88"/>
      <c r="S88"/>
      <c r="T88"/>
    </row>
    <row r="89" spans="1:20" x14ac:dyDescent="0.25">
      <c r="O89"/>
      <c r="P89"/>
      <c r="Q89"/>
      <c r="R89"/>
      <c r="S89"/>
      <c r="T89"/>
    </row>
    <row r="90" spans="1:20" x14ac:dyDescent="0.25">
      <c r="O90"/>
      <c r="P90"/>
      <c r="Q90"/>
      <c r="R90"/>
      <c r="S90"/>
      <c r="T90"/>
    </row>
    <row r="91" spans="1:20" x14ac:dyDescent="0.25">
      <c r="O91"/>
      <c r="P91"/>
      <c r="Q91"/>
      <c r="R91"/>
      <c r="S91"/>
      <c r="T91"/>
    </row>
    <row r="92" spans="1:20" x14ac:dyDescent="0.25">
      <c r="O92"/>
      <c r="P92"/>
      <c r="Q92"/>
      <c r="R92"/>
      <c r="S92"/>
      <c r="T92"/>
    </row>
    <row r="93" spans="1:20" x14ac:dyDescent="0.25">
      <c r="O93" s="80"/>
      <c r="P93" s="80"/>
      <c r="Q93" s="80"/>
      <c r="R93" s="80"/>
    </row>
    <row r="94" spans="1:20" x14ac:dyDescent="0.25">
      <c r="O94" s="80"/>
      <c r="P94" s="80"/>
      <c r="Q94" s="80"/>
      <c r="R94" s="80"/>
    </row>
    <row r="95" spans="1:20" x14ac:dyDescent="0.25">
      <c r="O95" s="80"/>
      <c r="P95" s="80"/>
      <c r="Q95" s="80"/>
      <c r="R95" s="80"/>
    </row>
    <row r="96" spans="1:20" x14ac:dyDescent="0.25">
      <c r="O96" s="80"/>
      <c r="P96" s="80"/>
      <c r="Q96" s="80"/>
      <c r="R96" s="80"/>
    </row>
    <row r="97" spans="15:18" x14ac:dyDescent="0.25">
      <c r="O97" s="80"/>
      <c r="P97" s="80"/>
      <c r="Q97" s="80"/>
      <c r="R97" s="80"/>
    </row>
    <row r="98" spans="15:18" x14ac:dyDescent="0.25">
      <c r="O98" s="80"/>
      <c r="P98" s="80"/>
      <c r="Q98" s="80"/>
      <c r="R98" s="80"/>
    </row>
    <row r="99" spans="15:18" x14ac:dyDescent="0.25">
      <c r="O99" s="80"/>
      <c r="P99" s="80"/>
      <c r="Q99" s="80"/>
      <c r="R99" s="80"/>
    </row>
  </sheetData>
  <dataConsolidate link="1"/>
  <mergeCells count="103">
    <mergeCell ref="A69:A70"/>
    <mergeCell ref="B69:B70"/>
    <mergeCell ref="AB65:AB66"/>
    <mergeCell ref="AA65:AA66"/>
    <mergeCell ref="Z65:Z66"/>
    <mergeCell ref="A54:A55"/>
    <mergeCell ref="B54:B55"/>
    <mergeCell ref="B65:B66"/>
    <mergeCell ref="A65:A66"/>
    <mergeCell ref="K65:K66"/>
    <mergeCell ref="Y65:Y66"/>
    <mergeCell ref="X65:X66"/>
    <mergeCell ref="S65:S66"/>
    <mergeCell ref="M65:M66"/>
    <mergeCell ref="L65:L66"/>
    <mergeCell ref="S54:S55"/>
    <mergeCell ref="X54:X55"/>
    <mergeCell ref="Y54:Y55"/>
    <mergeCell ref="Z54:Z55"/>
    <mergeCell ref="AA54:AA55"/>
    <mergeCell ref="G61:G65"/>
    <mergeCell ref="F61:F65"/>
    <mergeCell ref="H61:H65"/>
    <mergeCell ref="G67:G69"/>
    <mergeCell ref="A49:A50"/>
    <mergeCell ref="B49:B50"/>
    <mergeCell ref="AB49:AB50"/>
    <mergeCell ref="Y49:Y50"/>
    <mergeCell ref="A32:A33"/>
    <mergeCell ref="E32:E33"/>
    <mergeCell ref="D32:D33"/>
    <mergeCell ref="C32:C33"/>
    <mergeCell ref="B32:B33"/>
    <mergeCell ref="G38:G48"/>
    <mergeCell ref="F38:F48"/>
    <mergeCell ref="H34:H36"/>
    <mergeCell ref="F34:F36"/>
    <mergeCell ref="H38:H43"/>
    <mergeCell ref="G50:G53"/>
    <mergeCell ref="F50:F53"/>
    <mergeCell ref="C49:C50"/>
    <mergeCell ref="D49:D50"/>
    <mergeCell ref="E49:E50"/>
    <mergeCell ref="AA4:AB4"/>
    <mergeCell ref="F4:J4"/>
    <mergeCell ref="K4:M4"/>
    <mergeCell ref="H27:H31"/>
    <mergeCell ref="T4:X4"/>
    <mergeCell ref="Y4:Y5"/>
    <mergeCell ref="F6:F22"/>
    <mergeCell ref="G6:G22"/>
    <mergeCell ref="F1:Q3"/>
    <mergeCell ref="Y1:Z2"/>
    <mergeCell ref="Z4:Z5"/>
    <mergeCell ref="G25:G32"/>
    <mergeCell ref="F25:F32"/>
    <mergeCell ref="S32:S33"/>
    <mergeCell ref="AA32:AA33"/>
    <mergeCell ref="AB32:AB33"/>
    <mergeCell ref="A4:E4"/>
    <mergeCell ref="N4:S4"/>
    <mergeCell ref="K32:K33"/>
    <mergeCell ref="L32:L33"/>
    <mergeCell ref="M32:M33"/>
    <mergeCell ref="X32:X33"/>
    <mergeCell ref="Y32:Y33"/>
    <mergeCell ref="Z32:Z33"/>
    <mergeCell ref="G34:G36"/>
    <mergeCell ref="C69:C70"/>
    <mergeCell ref="M69:M70"/>
    <mergeCell ref="L69:L70"/>
    <mergeCell ref="K69:K70"/>
    <mergeCell ref="F67:F69"/>
    <mergeCell ref="H67:H68"/>
    <mergeCell ref="C65:C66"/>
    <mergeCell ref="D65:D66"/>
    <mergeCell ref="E65:E66"/>
    <mergeCell ref="C54:C55"/>
    <mergeCell ref="D54:D55"/>
    <mergeCell ref="E54:E55"/>
    <mergeCell ref="L54:L55"/>
    <mergeCell ref="K54:K55"/>
    <mergeCell ref="L49:L50"/>
    <mergeCell ref="K49:K50"/>
    <mergeCell ref="M49:M50"/>
    <mergeCell ref="M54:M55"/>
    <mergeCell ref="Z69:Z70"/>
    <mergeCell ref="AA69:AA70"/>
    <mergeCell ref="AB69:AB70"/>
    <mergeCell ref="E69:E70"/>
    <mergeCell ref="D69:D70"/>
    <mergeCell ref="X69:X70"/>
    <mergeCell ref="Y69:Y70"/>
    <mergeCell ref="S69:S70"/>
    <mergeCell ref="H50:H53"/>
    <mergeCell ref="AB54:AB55"/>
    <mergeCell ref="Z49:Z50"/>
    <mergeCell ref="AA49:AA50"/>
    <mergeCell ref="S49:S50"/>
    <mergeCell ref="X49:X50"/>
    <mergeCell ref="H55:H59"/>
    <mergeCell ref="F55:F59"/>
    <mergeCell ref="G55:G59"/>
  </mergeCells>
  <conditionalFormatting sqref="M67:M72 M6:M21 M51:M65 M23:M49">
    <cfRule type="cellIs" dxfId="5" priority="20" operator="between">
      <formula>0.67</formula>
      <formula>1</formula>
    </cfRule>
    <cfRule type="cellIs" dxfId="4" priority="21" operator="between">
      <formula>0.33</formula>
      <formula>0.67</formula>
    </cfRule>
    <cfRule type="cellIs" dxfId="3" priority="22" operator="between">
      <formula>0</formula>
      <formula>0.33</formula>
    </cfRule>
  </conditionalFormatting>
  <conditionalFormatting sqref="M22">
    <cfRule type="cellIs" dxfId="2" priority="1" operator="between">
      <formula>0.67</formula>
      <formula>1</formula>
    </cfRule>
    <cfRule type="cellIs" dxfId="1" priority="2" operator="between">
      <formula>0.33</formula>
      <formula>0.67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2021-07-07T05:12:51Z</dcterms:modified>
</cp:coreProperties>
</file>