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443ED140-DC43-4BBA-BD1E-D060A93C8F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Acción'!$A$9:$AA$86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85" i="14" l="1"/>
  <c r="AA44" i="14"/>
  <c r="AA43" i="14"/>
  <c r="AA42" i="14"/>
  <c r="AA40" i="14"/>
  <c r="AA38" i="14"/>
  <c r="AA37" i="14"/>
  <c r="AA35" i="14"/>
  <c r="AA34" i="14"/>
  <c r="AA33" i="14"/>
  <c r="AA31" i="14"/>
  <c r="AA30" i="14"/>
  <c r="AA29" i="14"/>
  <c r="AA28" i="14"/>
  <c r="AA27" i="14"/>
  <c r="AA26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1" i="14"/>
  <c r="AA10" i="14"/>
  <c r="AA85" i="14"/>
  <c r="AA84" i="14"/>
  <c r="AA83" i="14"/>
  <c r="AA82" i="14"/>
  <c r="AA81" i="14"/>
  <c r="AA80" i="14"/>
  <c r="AA78" i="14"/>
  <c r="AA77" i="14"/>
  <c r="AA76" i="14"/>
  <c r="AA74" i="14"/>
  <c r="AA73" i="14"/>
  <c r="AA71" i="14"/>
  <c r="AA70" i="14"/>
  <c r="AA69" i="14"/>
  <c r="AA68" i="14"/>
  <c r="AA66" i="14"/>
  <c r="AA64" i="14"/>
  <c r="AA63" i="14"/>
  <c r="AA62" i="14"/>
  <c r="AA60" i="14"/>
  <c r="AA58" i="14"/>
  <c r="AA57" i="14"/>
  <c r="AA56" i="14"/>
  <c r="AA55" i="14"/>
  <c r="AA53" i="14"/>
  <c r="AA52" i="14"/>
  <c r="AA51" i="14"/>
  <c r="AA50" i="14"/>
  <c r="AA49" i="14"/>
  <c r="AA48" i="14"/>
  <c r="AA47" i="14"/>
  <c r="AA46" i="14"/>
  <c r="AA45" i="14"/>
  <c r="U11" i="14"/>
  <c r="Z32" i="14"/>
  <c r="N38" i="14"/>
  <c r="U38" i="14"/>
  <c r="T35" i="14"/>
  <c r="U35" i="14" s="1"/>
  <c r="P74" i="14"/>
  <c r="U74" i="14" s="1"/>
  <c r="P82" i="14"/>
  <c r="P53" i="14"/>
  <c r="U53" i="14" s="1"/>
  <c r="N71" i="14"/>
  <c r="U81" i="14"/>
  <c r="U77" i="14"/>
  <c r="U76" i="14"/>
  <c r="U73" i="14"/>
  <c r="U70" i="14"/>
  <c r="U69" i="14"/>
  <c r="U66" i="14"/>
  <c r="U63" i="14"/>
  <c r="U62" i="14"/>
  <c r="U57" i="14"/>
  <c r="U56" i="14"/>
  <c r="U52" i="14"/>
  <c r="U51" i="14"/>
  <c r="U50" i="14"/>
  <c r="U49" i="14"/>
  <c r="U48" i="14"/>
  <c r="U46" i="14"/>
  <c r="U45" i="14"/>
  <c r="U44" i="14"/>
  <c r="U43" i="14"/>
  <c r="U42" i="14"/>
  <c r="U30" i="14"/>
  <c r="U29" i="14"/>
  <c r="U28" i="14"/>
  <c r="U27" i="14"/>
  <c r="U23" i="14"/>
  <c r="U20" i="14"/>
  <c r="U17" i="14"/>
  <c r="U16" i="14"/>
  <c r="U13" i="14"/>
  <c r="N66" i="14"/>
  <c r="P25" i="14"/>
  <c r="U24" i="14" s="1"/>
  <c r="V24" i="14"/>
  <c r="N24" i="14"/>
  <c r="AC86" i="14"/>
  <c r="R86" i="14"/>
  <c r="T86" i="14"/>
  <c r="X86" i="14"/>
  <c r="Z86" i="14"/>
  <c r="N44" i="14"/>
  <c r="N43" i="14"/>
  <c r="N42" i="14"/>
  <c r="N40" i="14"/>
  <c r="N37" i="14"/>
  <c r="N35" i="14"/>
  <c r="N34" i="14"/>
  <c r="N33" i="14"/>
  <c r="N30" i="14"/>
  <c r="N31" i="14"/>
  <c r="N14" i="14"/>
  <c r="N13" i="14"/>
  <c r="N84" i="14"/>
  <c r="N29" i="14"/>
  <c r="N28" i="14"/>
  <c r="N27" i="14"/>
  <c r="N26" i="14"/>
  <c r="N23" i="14"/>
  <c r="N22" i="14"/>
  <c r="N21" i="14"/>
  <c r="N20" i="14"/>
  <c r="N19" i="14"/>
  <c r="N18" i="14"/>
  <c r="N17" i="14"/>
  <c r="N16" i="14"/>
  <c r="N15" i="14"/>
  <c r="N11" i="14"/>
  <c r="N10" i="14"/>
  <c r="N85" i="14"/>
  <c r="N81" i="14"/>
  <c r="U82" i="14"/>
  <c r="N82" i="14"/>
  <c r="V83" i="14"/>
  <c r="P83" i="14"/>
  <c r="U83" i="14" s="1"/>
  <c r="N83" i="14"/>
  <c r="V80" i="14"/>
  <c r="P80" i="14"/>
  <c r="U80" i="14" s="1"/>
  <c r="N80" i="14"/>
  <c r="P79" i="14"/>
  <c r="U78" i="14" s="1"/>
  <c r="N78" i="14"/>
  <c r="N77" i="14"/>
  <c r="V76" i="14"/>
  <c r="N76" i="14"/>
  <c r="N74" i="14"/>
  <c r="P72" i="14"/>
  <c r="U71" i="14" s="1"/>
  <c r="N73" i="14"/>
  <c r="V70" i="14"/>
  <c r="N70" i="14"/>
  <c r="N69" i="14"/>
  <c r="V68" i="14"/>
  <c r="Q68" i="14"/>
  <c r="P68" i="14"/>
  <c r="N68" i="14"/>
  <c r="W65" i="14"/>
  <c r="V65" i="14"/>
  <c r="Q65" i="14"/>
  <c r="P65" i="14"/>
  <c r="M64" i="14"/>
  <c r="N64" i="14" s="1"/>
  <c r="W63" i="14"/>
  <c r="N63" i="14"/>
  <c r="N62" i="14"/>
  <c r="V58" i="14"/>
  <c r="Q58" i="14"/>
  <c r="U58" i="14" s="1"/>
  <c r="N58" i="14"/>
  <c r="W61" i="14"/>
  <c r="Q61" i="14"/>
  <c r="P60" i="14"/>
  <c r="N60" i="14"/>
  <c r="N56" i="14"/>
  <c r="N51" i="14"/>
  <c r="N50" i="14"/>
  <c r="N49" i="14"/>
  <c r="N48" i="14"/>
  <c r="V57" i="14"/>
  <c r="N57" i="14"/>
  <c r="V55" i="14"/>
  <c r="P55" i="14"/>
  <c r="U55" i="14" s="1"/>
  <c r="N55" i="14"/>
  <c r="N53" i="14"/>
  <c r="N52" i="14"/>
  <c r="V47" i="14"/>
  <c r="P47" i="14"/>
  <c r="U47" i="14" s="1"/>
  <c r="N47" i="14"/>
  <c r="N46" i="14"/>
  <c r="N45" i="14"/>
  <c r="V44" i="14"/>
  <c r="V42" i="14"/>
  <c r="V40" i="14"/>
  <c r="P40" i="14"/>
  <c r="U40" i="14" s="1"/>
  <c r="V38" i="14"/>
  <c r="AB38" i="14" s="1"/>
  <c r="V37" i="14"/>
  <c r="P37" i="14"/>
  <c r="U37" i="14" s="1"/>
  <c r="V35" i="14"/>
  <c r="S86" i="14"/>
  <c r="V34" i="14"/>
  <c r="P34" i="14"/>
  <c r="U34" i="14" s="1"/>
  <c r="P33" i="14"/>
  <c r="U33" i="14" s="1"/>
  <c r="V30" i="14"/>
  <c r="Y86" i="14"/>
  <c r="V32" i="14"/>
  <c r="P32" i="14"/>
  <c r="P14" i="14"/>
  <c r="U14" i="14" s="1"/>
  <c r="V84" i="14"/>
  <c r="P84" i="14"/>
  <c r="U84" i="14" s="1"/>
  <c r="V28" i="14"/>
  <c r="V27" i="14"/>
  <c r="V26" i="14"/>
  <c r="P26" i="14"/>
  <c r="U26" i="14" s="1"/>
  <c r="V22" i="14"/>
  <c r="P22" i="14"/>
  <c r="U22" i="14" s="1"/>
  <c r="V21" i="14"/>
  <c r="P21" i="14"/>
  <c r="U21" i="14" s="1"/>
  <c r="V19" i="14"/>
  <c r="P19" i="14"/>
  <c r="U19" i="14" s="1"/>
  <c r="V18" i="14"/>
  <c r="P18" i="14"/>
  <c r="U18" i="14" s="1"/>
  <c r="V16" i="14"/>
  <c r="V15" i="14"/>
  <c r="P15" i="14"/>
  <c r="U15" i="14" s="1"/>
  <c r="V11" i="14"/>
  <c r="V10" i="14"/>
  <c r="P10" i="14"/>
  <c r="U10" i="14" s="1"/>
  <c r="AA86" i="14" l="1"/>
  <c r="U68" i="14"/>
  <c r="AB68" i="14" s="1"/>
  <c r="U85" i="14"/>
  <c r="U31" i="14"/>
  <c r="U60" i="14"/>
  <c r="AB35" i="14"/>
  <c r="AB53" i="14"/>
  <c r="U64" i="14"/>
  <c r="AB17" i="14"/>
  <c r="AB57" i="14"/>
  <c r="AB63" i="14"/>
  <c r="AB46" i="14"/>
  <c r="AB20" i="14"/>
  <c r="Q86" i="14"/>
  <c r="AB58" i="14"/>
  <c r="AB24" i="14"/>
  <c r="AB13" i="14"/>
  <c r="AB40" i="14"/>
  <c r="AB71" i="14"/>
  <c r="AB29" i="14"/>
  <c r="AB80" i="14"/>
  <c r="W86" i="14"/>
  <c r="AB82" i="14"/>
  <c r="N86" i="14"/>
  <c r="AB11" i="14"/>
  <c r="AB62" i="14"/>
  <c r="AB15" i="14"/>
  <c r="P86" i="14"/>
  <c r="AB60" i="14"/>
  <c r="AB18" i="14"/>
  <c r="AB78" i="14"/>
  <c r="AB74" i="14"/>
  <c r="AB66" i="14"/>
  <c r="V86" i="14"/>
  <c r="AB22" i="14"/>
  <c r="AB49" i="14"/>
  <c r="AB42" i="14"/>
  <c r="AB16" i="14"/>
  <c r="AB27" i="14"/>
  <c r="AB44" i="14"/>
  <c r="AB26" i="14"/>
  <c r="AB19" i="14"/>
  <c r="AB77" i="14"/>
  <c r="AB76" i="14"/>
  <c r="AB37" i="14"/>
  <c r="AB23" i="14"/>
  <c r="AB84" i="14"/>
  <c r="AB48" i="14"/>
  <c r="AB70" i="14"/>
  <c r="AB43" i="14"/>
  <c r="AB51" i="14"/>
  <c r="AB81" i="14"/>
  <c r="AB47" i="14"/>
  <c r="AB52" i="14"/>
  <c r="AB28" i="14"/>
  <c r="AB73" i="14"/>
  <c r="AB14" i="14"/>
  <c r="AB34" i="14"/>
  <c r="AB56" i="14"/>
  <c r="AB69" i="14"/>
  <c r="AB30" i="14"/>
  <c r="AB45" i="14"/>
  <c r="AB50" i="14"/>
  <c r="AB21" i="14"/>
  <c r="AB33" i="14"/>
  <c r="AB55" i="14"/>
  <c r="AB83" i="14"/>
  <c r="A86" i="14"/>
  <c r="U86" i="14" l="1"/>
  <c r="AB31" i="14"/>
  <c r="AB64" i="14"/>
  <c r="AB85" i="14"/>
  <c r="AB10" i="14"/>
  <c r="AB86" i="14" l="1"/>
</calcChain>
</file>

<file path=xl/sharedStrings.xml><?xml version="1.0" encoding="utf-8"?>
<sst xmlns="http://schemas.openxmlformats.org/spreadsheetml/2006/main" count="738" uniqueCount="264">
  <si>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</si>
  <si>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</si>
  <si>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</si>
  <si>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</si>
  <si>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</si>
  <si>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</si>
  <si>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</si>
  <si>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</si>
  <si>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</si>
  <si>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</si>
  <si>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</si>
  <si>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</si>
  <si>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</si>
  <si>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</si>
  <si>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</si>
  <si>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</si>
  <si>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</si>
  <si>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</si>
  <si>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</si>
  <si>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</si>
  <si>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</si>
  <si>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</si>
  <si>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</si>
  <si>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</si>
  <si>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</si>
  <si>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</si>
  <si>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</si>
  <si>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</si>
  <si>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</si>
  <si>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</si>
  <si>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</si>
  <si>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</si>
  <si>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</si>
  <si>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</si>
  <si>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</si>
  <si>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</si>
  <si>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</si>
  <si>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</si>
  <si>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</si>
  <si>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</si>
  <si>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Administración Pública Moderna E Innovadora</t>
  </si>
  <si>
    <t>Gobierno Fortalecido Para Ser Y Hacer</t>
  </si>
  <si>
    <t>BUCARAMANGA EQUITATIVA E INCLUYENTE: UNA CIUDAD DE BIENESTAR</t>
  </si>
  <si>
    <t>Capacidades Y Oportunidades Para Superar Brechas Sociales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</si>
  <si>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</si>
  <si>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</si>
  <si>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Número de estrategias formuladas e implementadas para el fortalecimiento de padres/madres y/o cuidadores en pautas de crianza y vinculos afectivos  tanto en el ámbito familiar como comunitario que permitan disminuir las violencias en primera infancia.</t>
  </si>
  <si>
    <t>IMPLEMENTACIÓN DE ESTRATEGIAS PSICOPEDAGÓGICAS PARA LA DISMINUCIÓN DE FACTORES DE RIESGO EN NIÑOS, NIÑAS Y ADOLESCENTES EN EL MUNICIPIO DE BUCARAMANGA</t>
  </si>
  <si>
    <t>2.3.2.02.02.009.4102021.201 $12.000.000
2.3.2.02.02.009.4102043.201 $12.000.000</t>
  </si>
  <si>
    <t>Sec. Desarrollo Social</t>
  </si>
  <si>
    <t>John Carlos Pabón Mantilla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</si>
  <si>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</si>
  <si>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Número de programas formulados e implementados para la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</si>
  <si>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</si>
  <si>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</si>
  <si>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Número de estrategias de corresponsabilidad en la garantía de derechos, la prevención de vulneración, amenaza o riesgo en el ámbito familiar, comunitario e institucional formuladas e implementadas.</t>
  </si>
  <si>
    <t>2.3.2.02.02.009.4102038.201 $40.000.000
2.3.2.02.02.009.4102043.201 $60.000.000
2.3.2.02.02.009.4102021.201 $28.000.000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</si>
  <si>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</si>
  <si>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Número de iniciativas implementadas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</si>
  <si>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2.3.2.02.02.009.4102043.201</t>
  </si>
  <si>
    <t>Formular e implementar 1 programa para el reconocimiento de la construcción de la identidad de niños y niñas con una perspectiva de género dirigido a padres/madres y educadores.</t>
  </si>
  <si>
    <t>Número de programas formulados e implementados para el reconocimiento de la construcción de la identidad de niños y niñas con una perspectiva de género  dirigido a padres/madres y educadores.</t>
  </si>
  <si>
    <t>2.3.2.02.02.009.4102043.213</t>
  </si>
  <si>
    <t>Formular e implementar 1 estrategia para el fomento de prácticas de autoprotección y cuidado en niños y niñas para la prevención de conductas de riesgo (consumo de SPA, acciones delictivas, abandono familiar y escolar).</t>
  </si>
  <si>
    <t>Número de estrategias formuladas e implementadas para el fomento de prácticas de autoprotección y cuidado en niños y niñas para la prevención de conductas de riesgo (consumo de SPA, acciones delictivas, abandono familiar y escolar).</t>
  </si>
  <si>
    <t>2.3.2.02.02.009.4102043.201 $12.500.000
2.3.2.02.02.009.4102021.201 $10.000.000
2.3.2.02.02.009.4102043.213 $50.000.000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</si>
  <si>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</si>
  <si>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Número de estrategias comunitarias y familiares formuladas e implementadas para la prevención y erradicación del trabajo infantil en niños, niñas y adolescentes de acuerdo a los lineamientos del Plan Nacional  de Erradicación del trabajo infantil y sus peores formas.</t>
  </si>
  <si>
    <t>2.3.2.02.02.009.4102043.201 $10.000.000
2.3.2.02.02.009.4102021.201 $10.000.000</t>
  </si>
  <si>
    <t>Implementar y mantener la Ruta de Prevención, Detección y Atención Interinstitucional frente casos de niños, niñas y adolescentes victimas de bullying, abuso, acoso y/o explotación sexual.</t>
  </si>
  <si>
    <t>Número de Rutas de Prevención, Detección y Atención Interinstitucional implementadas y mantenidas frente casos de niños, niñas y adolescentes victimas de bullying, abuso, acoso y/o explotación sexual.</t>
  </si>
  <si>
    <t>Realizar 4 jornadas de conmemoración del día de la niñez.</t>
  </si>
  <si>
    <t>Número de jornadas de conmemoración del día de la niñez realizadas.</t>
  </si>
  <si>
    <t>2.3.2.02.02.009.4102043.201  40.000.000                                                                                                                                                                                                                                                                                                              2.3.2.02.01.003.4102043.201: 20.000.000</t>
  </si>
  <si>
    <t>Formular e implementar 1 ruta de atención integral para niños, niñas, adolescentes refugiados y migrantes y sus familias.</t>
  </si>
  <si>
    <t>Número de rutas de atención integral formuladas e implementadas para niños, niñas, adolescentes refugiados y migrantes y sus familias.</t>
  </si>
  <si>
    <t>2.3.2.02.02.009.4102016.201 $150.000.000
2.3.2.02.02.009.4102043.201 $1.901.217
2.3.2.02.02.009.4102021.201 $10.000.000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</si>
  <si>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</si>
  <si>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</si>
  <si>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Número de programas formulados e implementados de familias fuertes: amor y límite que permitan fortalecer a las familias como agente protector ante las conductas de riesgo en los adolescentes.</t>
  </si>
  <si>
    <t>Desarrollar 3 jornadas de uso creativo del tiempo y emprendimiento que potencien sus competencias y motiven continuar en diferentes niveles de educación superior.</t>
  </si>
  <si>
    <t>Número de jornadas desarrolladas de uso creativo del tiempo y emprendimiento que potencien sus competencias y motiven continuar en diferentes niveles de educación superior.</t>
  </si>
  <si>
    <t xml:space="preserve">2.3.2.02.02.009.4102043.201 </t>
  </si>
  <si>
    <t xml:space="preserve">Mantener el servicio exequial al 100% de los niños, niñas y adolescentes en extrema vulnerabilidad que fallezcan y que sus familias así lo requieran. </t>
  </si>
  <si>
    <t>Porcentaje de niños, niñas y adolescentes en extrema vulnerabilidad fallecidos con servicio exequial requerido por sus familias.</t>
  </si>
  <si>
    <t>Implementar y mantener 1 proceso de liderazgo b-learning orientada al fortalecimiento de la participación de niños, niñas, adolescentes y jóvenes.</t>
  </si>
  <si>
    <t>Número de procesos de liderazgo b-learning implementados mantenidos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</si>
  <si>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</si>
  <si>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Número de sistematizaciones realizadas de buenas prácticas que aporten al desarrollo de las realizaciones establecidas para los niños, niñas y adolescentes en el marco del proceso de rendición pública de cuentas.</t>
  </si>
  <si>
    <t>BUCARAMANGA CIUDAD VITAL: LA VIDA ES SAGRADA</t>
  </si>
  <si>
    <t>Bucaramanga Segura</t>
  </si>
  <si>
    <t>Prevención Del Delito</t>
  </si>
  <si>
    <t>Mantener la estrategia para la prevención, detección y atención de las violencias en adolescentes.</t>
  </si>
  <si>
    <t>Número de estrategias mantenidas para la prevención, detección y atención de las violencias en adolescentes.</t>
  </si>
  <si>
    <t>2.3.2.02.02.009.4102043.201 $20.000.000
2.3.2.02.02.009.4102021.201 $10.000.000</t>
  </si>
  <si>
    <t>Brindar 150.000 entradas gratuitas de niñas, niños y adolescentes y sus familias a  eventos artísticos, culturales, lúdicos y recreativos.</t>
  </si>
  <si>
    <t>Número de entradas gratuitas brindadas a niñas, niños y adolescentes y sus familias a  eventos artísticos, culturales, lúdicos y recreativos.</t>
  </si>
  <si>
    <t>PENDIENTE POR ADICIONAR</t>
  </si>
  <si>
    <t>Entregar 4 dotaciones a espacios para la primera infancia con enfoque de inclusión que permita el desarrollo de habilidades.</t>
  </si>
  <si>
    <t>Número de dotaciones entregadas a espacios para la primera infancia con enfoque de inclusión que permitan el desarrollo de habilidades.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</si>
  <si>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</si>
  <si>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</si>
  <si>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Adulto Mayor Y Digno</t>
  </si>
  <si>
    <t>Proveer 25.000 ayudas alimentarias anuales mediante complementos nutricionales para personas mayores en condición de pobreza y vulnerabilidad mejorando su calidad de vida a través de la seguridad alimentaria.</t>
  </si>
  <si>
    <t>Número de ayudas alimentarias anuales proveídas mediante complementos nutricionales para personas mayores en condición de pobreza y vulnerabilidad mejorando su calidad de vida a través de la seguridad alimentaria.</t>
  </si>
  <si>
    <t>PENDIENTE POR DEFINIR</t>
  </si>
  <si>
    <t>2.3.2.02.01.002.4104008.201:     200.000.000                                                                                                                                                                                                                                                                                          2.3.2.02.02.009.4103050.501:     800.000.000                                                                                                                                                                                                                                                                                       2.3.2.02.02.009.4104008.520: 1.134.339.181,01</t>
  </si>
  <si>
    <t>IMPLEMENTACIÓN DE ACCIONES TENDIENTES A MEJORAR LAS CONDICIONES DE LOS ADULTOS MAYORES DEL MUNICIPIO DE BUCARAMANGA</t>
  </si>
  <si>
    <t>2.3.2.02.01.002.4104008.220 $603.350.727
2.3.2.02.01.002.4104008.201 $46.000.000
2.3.2.02.01.002.4104008.288</t>
  </si>
  <si>
    <t>Beneficiar y mantener a 11.000 personas mayores con el programa Colombia Mayor.</t>
  </si>
  <si>
    <t>Número de personas mayores beneficiados y mantenidos con el programa Colombia Mayor.</t>
  </si>
  <si>
    <t xml:space="preserve">Coadyuvar en el segumiento, registro, incorporación, retiros y novedades de adultos mayores con posibilidad de ser beneficiarios del programa colombia mayor de prosperidad social </t>
  </si>
  <si>
    <t>2.3.2.02.02.009.4104008.201</t>
  </si>
  <si>
    <t>Beneficiar a 7.000 personas mayores vulnerables de los diferentes barrios del municipio con la oferta de servicios de atencion primaria en salud, recreacion y aprovechamiento del tiempo libre.</t>
  </si>
  <si>
    <t>Número de personas mayores vulnerables de los diferentes barrios del municipio beneficiados con la oferta de servicios de atencion primaria en salud, recreacion y aprovechamiento del tiempo libre.</t>
  </si>
  <si>
    <t>2.3.2.02.02.009.4104008.220</t>
  </si>
  <si>
    <t>Mantener el servicio exequial al 100% de las personas mayores fallecidas en condición de pobreza, vulnerabilidad y sin red familiar de apoyo.</t>
  </si>
  <si>
    <t>Porcentaje de personas mayores fallecidas en condición de pobreza, vulnerabilidad y sin red familiar de apoyo con servicio exequial.</t>
  </si>
  <si>
    <t>Mantener a 1.656 personas mayores vulnerables con atencion integral en instituciones especializadas a través de las modalidades centros vida y centros de bienestar en el marco de la Ley 1276 de 2009.</t>
  </si>
  <si>
    <t>Número de personas mayores vulnerables mantenidas con atencion integral en instituciones especializadas a través de las modalidades centros vida y centros de bienestar en el marco de la Ley 1276 de 2009.</t>
  </si>
  <si>
    <t>Mantener el servicio atención primaria en salud, atención psicosocial que promueva la salud física, salud mental y el bienestar social de las personas mayores en los centros vida.</t>
  </si>
  <si>
    <t>Número de servicios mantenidos de atención primaria en salud, atención psicosocial que promueva la salud física, salud mental y el bienestar social de las personas mayores en los centros vida.</t>
  </si>
  <si>
    <t>2.3.2.02.02.009.4104008.201 $40.000.000
2.3.2.02.02.009.4104008.220 $120.799.850</t>
  </si>
  <si>
    <t>Número de estrategias formuladas e implementadas que promueva  las actividades psicosociales, actividades artísticas y culturales,   actividades físicas y recreación y actividades productivas en las personas mayores.</t>
  </si>
  <si>
    <t>Mantener en funcionamiento los 3 Centros Vida con la prestacion de servicios integrales y/o dotacion de los mismos cumpliendo con la oferta institucional.</t>
  </si>
  <si>
    <t>Número de Centros Vida mantenidos en funcionamiento con la prestacion de servicios integrales y/o dotacion de los mismos cumpliendo con la oferta institucional.</t>
  </si>
  <si>
    <t>Beneficiar a los adultos mayores de centros vida públicos con  la oferta institucional en el marco de la ley 1276 de 2009</t>
  </si>
  <si>
    <t>2.3.2.02.02.009.4104008.201 $130.000.000
2.3.2.02.02.009.4104008.220 $199.091.000</t>
  </si>
  <si>
    <t xml:space="preserve">DOTACION DE CENTROS VIDA PARA LA PRESTACION DE SERVICIOS INTEGRALES A LA POBLACION ADULTOS MAYORES EN EL MUNICIPIO DE BUCARAMANGA </t>
  </si>
  <si>
    <t>Beneficiar a los adultos mayores de centros vida públicos con  la oferta institucional en el marco de la ley 1276 de 2009, y que cuenten con instalaciones idoneas para el desarrollo de las diferentes actividades recreativas, ludicas, sano espacrmirnto, atención primaria en salud, higiene, etc</t>
  </si>
  <si>
    <t>2.3.2.02.02.009.4104008.501: 300.000.000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</si>
  <si>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</si>
  <si>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</si>
  <si>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Número de estrategias formuladas e implementadas que promuevan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</si>
  <si>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</si>
  <si>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</si>
  <si>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2.3.2.02.02.009.4103050.201</t>
  </si>
  <si>
    <t>Mantener el servicio de acceso gratuito a espacios de recreación y cultura a familias inscritas en el programa Familias en Acción.</t>
  </si>
  <si>
    <t>Número de servicios mantenidos de acceso gratuito a espacios de recreación y cultura a familias inscritas en el programa Familias en Acción.</t>
  </si>
  <si>
    <t>2.3.2.02.02.009.4103050.501</t>
  </si>
  <si>
    <t>Mantener el 100% del apoyo logístico a las familias beneficiadas del programa Familias en Acción.</t>
  </si>
  <si>
    <t>Porcentaje de apoyo logístico mantenido a las familias beneficiadas del programa Familias en Acción.</t>
  </si>
  <si>
    <t>Formular e implementar 1 estrategia para brindar asistencia social a la población afectada por las diferentes emergencias y particularmente COVID-19.</t>
  </si>
  <si>
    <t>Número de estrategias formuladas e implementadas para brindar asistencia social a la población afectada por las diferentes emergencias y particularmente COVID-19.</t>
  </si>
  <si>
    <t>DESARROLLO DE ACCIONES DE BIENESTAR SOCIAL EN EL MARCO DE LA EMERGENCIA SANITARIA A CAUSA DEL COVID-19 FOCALIZADAS A LA POBLACIÓN VULNERABLE DEL MUNICIPIO DE BUCARAMANGA</t>
  </si>
  <si>
    <t>Acciones relacionadas con el componenete social, en cuanto a asistencias humanitarias, seguridad alimentaria, bioseguridad, entre otros</t>
  </si>
  <si>
    <t>Más Equidad Para Las Mujeres</t>
  </si>
  <si>
    <t>Potenciar la Escuela de Liderazgo y Participación Política de Mujeres con cobertura en zona rural y urbana.</t>
  </si>
  <si>
    <t>Número de Escuelas de Liderazgo y participación Política para Mujeres mantenidas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</si>
  <si>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</si>
  <si>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</si>
  <si>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2.3.2.02.02.009.4502038.201</t>
  </si>
  <si>
    <t>Atender y mantener de manera integral desde el componente psicosociojurídico y social a 600 mujeres, niñas y personas considerando los enfoques diferenciales y diversidad sexual.</t>
  </si>
  <si>
    <t>Número de mujeres, niñas y/o personas atendidas y mantenidas integralmente desde el componente psicosociojurídico y social considerando los enfoques diferenciales y diversidad sexual.</t>
  </si>
  <si>
    <t>Actualizar e implementar la Política Pública de Mujer.</t>
  </si>
  <si>
    <t>Número de Políticas Públicas de Mujer actualizadas e implementadas.</t>
  </si>
  <si>
    <t>Bucaramanga Hábitat Para El Cuidado Y La Corresponsabilidad</t>
  </si>
  <si>
    <t>Formular e implementar 1 política pública para la población con orientación sexual e identidad de género diversa.</t>
  </si>
  <si>
    <t>Número de políticas públicas formuladas e implementadas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</si>
  <si>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</si>
  <si>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Número de campañas comunicativas diseñadas y ejecutadas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</si>
  <si>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</si>
  <si>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Porcentaje de solicitudes realizadas por éste grupo poblacional y sus familias con orientación psicosocial y jurídica atendidas.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</si>
  <si>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</si>
  <si>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Número de rutas de atención a víctimas de acoso sexual y violengia de género mantenidas y fortalecidas a través redes comunitarias de prevención en zonas priorizadas del área rural y urbana de la ciudad y consolidación de alianzas con otras entidades.</t>
  </si>
  <si>
    <t>Activar los diferentes mecanismos de protección, articulando los diferentes establecimientos y secretarias a fin de lograr la protección de la mujer y sean restablecidos sus derechos.</t>
  </si>
  <si>
    <t>Mantener la garantía de las medidas de atención y protección al 100% de mujeres y sus hijos víctimas de violencia de género con especial situación de riesgos.</t>
  </si>
  <si>
    <t>Porcentaje de mujeres y sus hijos víctmas de violencia de género con especial situación de riesgos con medidas de atención y protección mantenidas.</t>
  </si>
  <si>
    <t>Se busca proteger a la mujer y su familia en caso de vulneración de derechos, en situaciónes de riesgo critico de violencia y riesgo de muerte, entre otras.</t>
  </si>
  <si>
    <t>Mantener la estrategia de prevención con hombres de contextos públicos y privados mediante procesos de intervención colectiva en torno a la resignificación crítica de la masculinidad hegemónica y tradicional.</t>
  </si>
  <si>
    <t>Número de estrategias mantenidas de prevención con hombres de contextos públicos y privados mediante procesos de intervención colectiva en torno a la resignificación crítica de la masculinidad hegemónica y tradicional.</t>
  </si>
  <si>
    <t>Actividades relacionadas con capmapañsas de prevención de violencia en la mujer, igual de derechos, la equidad en las tareas, eliminación del machismo y fenimismo.</t>
  </si>
  <si>
    <t>Mantener el Centro Integral de la Mujer a fin de garantizar el fortalecimiento de los procesos de atención y empoderamiento femenino.</t>
  </si>
  <si>
    <t>Número de Centros Integrales de la Mujer mantenidos a fin de garantizar el fortalecimiento de los procesos de atención y empoderamiento femenino.</t>
  </si>
  <si>
    <t>Atención virtual y precensial a mujeres y población diversa en temas de violencia sexual, intrafamiliar, domestica, cpacitación en temas de liderazgo y empoderamiento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</si>
  <si>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</si>
  <si>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Número de centros para la atención integral de mujeres y población con orientaciones sexuales e identidades de género diversas mantenidos a fin de garantizar el fortalecimiento de los procesos de atención, encuentro y empoderamiento.</t>
  </si>
  <si>
    <t>Habitantes En Situación De Calle</t>
  </si>
  <si>
    <t>Mantener a 284 habitantes de calle con atención integral en la cual se incluya la prestación de servicios básicos.</t>
  </si>
  <si>
    <t>Número de habitantes de calle mantenidos con atención integral en la cual se incluya la prestación de servicios básicos.</t>
  </si>
  <si>
    <t>2.3.2.02.02.009.4104027.201: 519.616.480                                                                                                                                                                                                                                                                                       2.3.2.02.02.009.4104027.501: 281.400.000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</si>
  <si>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</si>
  <si>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</si>
  <si>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>2.3.2.02.02.009.4104027.201
2.3.2.02.02.009.4104027.213</t>
  </si>
  <si>
    <t xml:space="preserve">Mantener la identificación, caracterización y seguimiento de la situación de cada habitante de calle atendido por la Secretaría de Desarrollo Social. </t>
  </si>
  <si>
    <t xml:space="preserve">Número de identificaciones, caracterizaciones y seguimientos mantenidos de la situación de cada habitante de calle atendido por la Secretaría de Desarrollo Social. </t>
  </si>
  <si>
    <t>2.3.2.02.02.009.4104027.201: 190.000.000
2.3.2.02.02.009.4104027.213  119.000.000                                                                                                                                                                                                                                                                                                                 2.3.2.02.02.009.4104027.501:   45.000.000</t>
  </si>
  <si>
    <t>Formular e implementar 1 política pública para habitante de calle.</t>
  </si>
  <si>
    <t>Número de políticas públicas para habitante de calle formuladas e implementadas.</t>
  </si>
  <si>
    <t>Mantener el servicio exequial al 100% de los habitantes de calle fallecidos registrados dentro del censo municipal.</t>
  </si>
  <si>
    <t>Porcentaje de habitantes de calle fallecidos registrados dentro del censo municipal mantenidos con servicio exequial.</t>
  </si>
  <si>
    <t>2.3.2.02.02.009.4104027.213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</si>
  <si>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</si>
  <si>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</si>
  <si>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Número de niñas, niños y adolescentes con discapacidad del serctor urbano y rural en extrema vulnerabilidad mantenidos con atención integral en procesos de habilitación y rehabilitación.</t>
  </si>
  <si>
    <t>2.3.2.02.02.009.4104020.201</t>
  </si>
  <si>
    <t>APOYO A LA OPERATIVIDAD DE LOS PROGRAMAS DE ATENCIÓN INTEGRAL A LAS PERSONAS CON DISCAPACIDAD. FAMILIARES Y/O CUIDADORES DEL MUNICIPIO DE BUCARAMANGA</t>
  </si>
  <si>
    <t>Atender a 750 Personas con discapacidad con servicios integrales</t>
  </si>
  <si>
    <t>2.3.2.02.02.009.4104020.201
2.3.2.02.02.009.4104020.213</t>
  </si>
  <si>
    <t>Mantener el banco de ayudas técnicas, tecnológicas e informáticas para personas con discapacidad que se encuentren en el registro de localización y caracterización.</t>
  </si>
  <si>
    <t>Número de bancos de ayudas técnicas, tecnológicas e informáticas mantenidas para personas con discapacidad que se encuentren en el registro de localización y caracterización.</t>
  </si>
  <si>
    <t>2.3.2.02.02.009.4104020.201: 26.000.000                                                                                                                                                                                                                                                                                         2.3.2.02.02.009.4104020.501: 25.000.000</t>
  </si>
  <si>
    <t>Formular e implementar 1 estrategia de orientación ocupacional, aprovechamiento del tiempo libre, formación y esparcimiento cultural y actividades que mejoren la calidad de vida dirigidas a personas con discapacidad.</t>
  </si>
  <si>
    <t>Número de estrategias formuladas e implementadas 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</si>
  <si>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</si>
  <si>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Número de familias de personas con discapacidad beneficiadas anualmente con una canasta básica alimentaria que según su situación socioeconómica se encuentran en extrema vulnerabilidad.</t>
  </si>
  <si>
    <t xml:space="preserve">2.3.2.02.01.002.4104008.201 </t>
  </si>
  <si>
    <t>Implementar 1 estrategia de apoyo técnico y jurídico para las solicitudes de ayudas técnicas requeridas por personas vulnerables en condición de discapacidad.</t>
  </si>
  <si>
    <t>Número de estrategias implementadas de apoyo técnico y jurídico para las solicitudes de ayudas técnicas requeridas por personas vulnerables en condición de discapacidad.</t>
  </si>
  <si>
    <t>BUCARAMANGA PRODUCTIVA Y COMPETITIVA: EMPRESAS INNOVADORAS, RESPONSABLES Y CONSCIENTES</t>
  </si>
  <si>
    <t>Una Zona Rural Competitiva E Incluyente</t>
  </si>
  <si>
    <t>Desarrollo Del Campo</t>
  </si>
  <si>
    <t>Mantener 2 ciclos de vacunación contra fiebre aftosa y brucelosis en vacunos según normatividad del ICA.</t>
  </si>
  <si>
    <t>Número de ciclos de vacunación mantenidas contra fiebre aftosa y brucelosis en vacunos según normatividad del ICA.</t>
  </si>
  <si>
    <t>Instalar 200 sistemas de riego por goteo en la zona rural.</t>
  </si>
  <si>
    <t>Número de sistemas de riego por goteo instalados en la zona rural.</t>
  </si>
  <si>
    <t>2.3.2.02.01.000.1702010.201</t>
  </si>
  <si>
    <t>FORTALECIMIENTO DE LA PRODUCTIVIDAD Y COMPETITIVIDAD AGROPECUARIA EN EL SECTOR RURAL DEL MUNICIPIO DE BUCARAMANGA</t>
  </si>
  <si>
    <t xml:space="preserve">Atender 500 Unidades productivas con los componentes de asistencia técnica y empresarial,mejoramiento de procesos de cosecha. poscosecha y comercialización. </t>
  </si>
  <si>
    <t>Realizar 12 proyectos productivos agrícolas o pecuarios.</t>
  </si>
  <si>
    <t>Número de proyectos productivos agrícolas o pecuarios realizados.</t>
  </si>
  <si>
    <t>2.3.2.02.02.009.1702010.201</t>
  </si>
  <si>
    <t>Mantener 4 mercadillos campesinos.</t>
  </si>
  <si>
    <t>Número de mercadillos campesinos mantenidos.</t>
  </si>
  <si>
    <t>Mantener el Plan General de Asistencia Técnica.</t>
  </si>
  <si>
    <t>Número de Planes Generales de Asistencia Técnica actualizados e mantenidos.</t>
  </si>
  <si>
    <t>Desarrollar procesos agroindustriales con 20 unidades productivas del sector rural.</t>
  </si>
  <si>
    <t>Número de unidades productivas del sector rural con procesos agroindustriales desarrollados.</t>
  </si>
  <si>
    <t>2.3.2.02.01.000.1702010.201 $150.000.000
2.3.2.02.02.009.1702010.201 $160.461</t>
  </si>
  <si>
    <t>Acceso A La Información Y Participación</t>
  </si>
  <si>
    <t>Fortalecimiento De Las Instituciones Democráticas Y Ciudadanía Participativa</t>
  </si>
  <si>
    <t>Formular e implementar 1 estrategia que fortalezca la democracia participativa (Ley 1757 de 2015).</t>
  </si>
  <si>
    <t>Número de estrategias formuladas e implementadas que fortalezca la democracia participativa (Ley 1757 de 2015).</t>
  </si>
  <si>
    <t>FORTALECIMIENTO DE LA DEMOCRACIA PARTICIPATIVA EN EL MUNICIPIO DE BUCARAMANGA</t>
  </si>
  <si>
    <t>Beneficiar al 100% de los Ediles con póliza. EPS. Pensión y Seguro de vida</t>
  </si>
  <si>
    <t>2.3.2.02.02.009.4502001.201: 227.000.000                                                                                                                                                                                                                                                                                     2.3.2.02.02.009.4502001.501: 140.000.000</t>
  </si>
  <si>
    <t>Mantener el beneficio al 100% de los ediles con pago de EPS, ARL, póliza de vida y dotación.</t>
  </si>
  <si>
    <t>Porcentaje de ediles mantenidos con el beneficio del pago de EPS, Pensión, ARL, póliza de vida y dotación.</t>
  </si>
  <si>
    <t>2.3.2.02.02.009.4502001.201: 400.000.000                                                                                                                                                                                                                                                                                       2.3.2.02.02.009.4502001.501: 543.600.000</t>
  </si>
  <si>
    <t>Mantener en funcionamiento el 100% de los salones comunales que hacen parte del programa Ágoras.</t>
  </si>
  <si>
    <t>Porcentaje de salones comunales mantenidos en funcionamiento que hacen parte del programa Ágoras.</t>
  </si>
  <si>
    <t>2.3.2.02.02.009.4502001.201</t>
  </si>
  <si>
    <t>Construir y/o dotar 10 salones comunales con el programa Ágoras.</t>
  </si>
  <si>
    <t>Número de salones comunales con el programa Ágoras construidos y/o dotados.</t>
  </si>
  <si>
    <t xml:space="preserve">DOTACION DE SALONES COMUNALES PARA FOMENTAR LA INTEGRACION COMUNITARIA Y LA CIUDADANIA PARTICIPATIVA EN EL MUNICIPIO DE BUCARAMANGA </t>
  </si>
  <si>
    <t>2.3.2.02.02.009.4502001.501: 200.000.000</t>
  </si>
  <si>
    <t>Mantener el 100% de los programas que desarrolla la Administración Central.</t>
  </si>
  <si>
    <t>Porcentaje de programas que desarrolla la Administración Central mantenidos.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</si>
  <si>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</si>
  <si>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</si>
  <si>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 xml:space="preserve"> PLAN DE ACCIÓN - PLAN DE DESARROLLO MUNICIPAL
SECRETARÍA DE DESARROLLO SOCIAL</t>
  </si>
  <si>
    <t>Formular e implementar 1 estrategia que promueva  las actividades psicosociales, actividades artísticas y culturales,   actividades físicas y recreación y actividades productivas en las personas mayores.</t>
  </si>
  <si>
    <t>Pendiente por adicionar a proyecto</t>
  </si>
  <si>
    <t>2.3.2.02.02.009.4502038.501: 65.000.000</t>
  </si>
  <si>
    <t xml:space="preserve">2.3.2.02.02.009.4502038.201: 20.000.000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</si>
  <si>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2.3.2.02.02.009.4104008.558</t>
  </si>
  <si>
    <t>2.3.2.02.02.009.4104008.220 
2.3.2.02.02.009.4104008.258 
2.3.2.02.02.009.4104008.201</t>
  </si>
  <si>
    <t xml:space="preserve">2.3.2.02.02.009.4104008.201 </t>
  </si>
  <si>
    <t>2.3.2.02.02.009.4104008.201
2.3.2.02.02.009.4104008.220</t>
  </si>
  <si>
    <t>2.3.2.02.02.009.4102043.201                                                                                                                                                                                                                                                                                    2.3.2.02.01.003.4102043.201</t>
  </si>
  <si>
    <t>2.3.2.02.02.009.4599006.201 $300.000.000
2.3.2.02.02.009.4599031.201 $494.000.000
2.3.2.02.02.009.4599031.501 $120.000.000</t>
  </si>
  <si>
    <t>PREVENCIÓN DEL CONTAGIO Y PROPAGACIÓN DE LA FIEBRE AFTOSA Y BRUCELOSIS EN LA ESPECIE BOVINA DEL MUNICIPIO DE BUCARAMANGA</t>
  </si>
  <si>
    <t>2.3.2.02.01.000.1707042.201 $95.345.490
2.3.2.02.01.000.1707042.201  Pendiente por definir</t>
  </si>
  <si>
    <t xml:space="preserve">2.3.2.02.02.009.4102043.201: 252.000.000,00
2.3.2.01.01.004.4103031.201: 374.200.000,00
 2.3.2.02.02.009.4102043.297:           28.189,13
2.3.2.02.02.009.4102043.298:      5.349 132,00 
 2.3.2.02.02.009.4102043.299:   11.995.542,14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</si>
</sst>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#,##0.0"/>
    <numFmt numFmtId="167" formatCode="_-&quot;$&quot;* #,##0.00_-;\-&quot;$&quot;* #,##0.00_-;_-&quot;$&quot;* &quot;-&quot;??_-;_-@_-"/>
    <numFmt numFmtId="168" formatCode="_-* #,##0_-;\-* #,##0_-;_-* &quot;-&quot;??_-;_-@_-"/>
  </numFmts>
  <fonts count="16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9" fontId="9" fillId="0" borderId="2" xfId="107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164" fontId="8" fillId="0" borderId="2" xfId="0" applyNumberFormat="1" applyFont="1" applyBorder="1" applyAlignment="1">
      <alignment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5" fontId="9" fillId="0" borderId="2" xfId="108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165" fontId="9" fillId="0" borderId="2" xfId="108" applyNumberFormat="1" applyFont="1" applyFill="1" applyBorder="1" applyAlignment="1">
      <alignment horizontal="right" vertical="center" wrapText="1"/>
    </xf>
    <xf numFmtId="165" fontId="8" fillId="0" borderId="2" xfId="108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2" xfId="0" quotePrefix="1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1" fontId="11" fillId="0" borderId="2" xfId="0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164" fontId="15" fillId="2" borderId="2" xfId="0" applyNumberFormat="1" applyFont="1" applyFill="1" applyBorder="1" applyAlignment="1">
      <alignment vertical="center" wrapText="1"/>
    </xf>
    <xf numFmtId="43" fontId="9" fillId="0" borderId="2" xfId="110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/>
    </xf>
    <xf numFmtId="44" fontId="11" fillId="0" borderId="2" xfId="108" applyFont="1" applyFill="1" applyBorder="1" applyAlignment="1">
      <alignment horizontal="right" vertical="center" wrapText="1"/>
    </xf>
    <xf numFmtId="44" fontId="9" fillId="0" borderId="2" xfId="108" applyFont="1" applyFill="1" applyBorder="1" applyAlignment="1">
      <alignment horizontal="right" vertical="center" wrapText="1"/>
    </xf>
    <xf numFmtId="7" fontId="9" fillId="0" borderId="2" xfId="108" applyNumberFormat="1" applyFont="1" applyFill="1" applyBorder="1" applyAlignment="1">
      <alignment horizontal="right" vertical="center" wrapText="1"/>
    </xf>
    <xf numFmtId="44" fontId="8" fillId="0" borderId="2" xfId="108" applyFont="1" applyBorder="1" applyAlignment="1">
      <alignment horizontal="right" vertical="center"/>
    </xf>
    <xf numFmtId="44" fontId="9" fillId="2" borderId="2" xfId="108" applyFont="1" applyFill="1" applyBorder="1" applyAlignment="1">
      <alignment horizontal="right" vertical="center" wrapText="1"/>
    </xf>
    <xf numFmtId="5" fontId="8" fillId="0" borderId="2" xfId="0" applyNumberFormat="1" applyFont="1" applyBorder="1" applyAlignment="1">
      <alignment horizontal="right"/>
    </xf>
    <xf numFmtId="165" fontId="9" fillId="0" borderId="2" xfId="108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5" fontId="9" fillId="2" borderId="2" xfId="108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 wrapText="1"/>
    </xf>
    <xf numFmtId="9" fontId="9" fillId="2" borderId="2" xfId="107" applyFont="1" applyFill="1" applyBorder="1" applyAlignment="1">
      <alignment horizontal="center" vertical="center" wrapText="1"/>
    </xf>
    <xf numFmtId="44" fontId="9" fillId="0" borderId="2" xfId="108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right"/>
    </xf>
    <xf numFmtId="167" fontId="9" fillId="0" borderId="2" xfId="0" applyNumberFormat="1" applyFont="1" applyFill="1" applyBorder="1" applyAlignment="1">
      <alignment horizontal="right" vertical="center" wrapText="1"/>
    </xf>
    <xf numFmtId="5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/>
    </xf>
    <xf numFmtId="44" fontId="9" fillId="0" borderId="2" xfId="108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 vertical="center" wrapText="1"/>
    </xf>
    <xf numFmtId="5" fontId="14" fillId="0" borderId="2" xfId="0" applyNumberFormat="1" applyFont="1" applyFill="1" applyBorder="1" applyAlignment="1">
      <alignment horizontal="right" vertical="center" wrapText="1"/>
    </xf>
    <xf numFmtId="0" fontId="0" fillId="3" borderId="0" xfId="0" applyFont="1" applyFill="1" applyBorder="1" applyAlignment="1">
      <alignment horizontal="left" vertical="top"/>
    </xf>
    <xf numFmtId="44" fontId="8" fillId="0" borderId="2" xfId="108" applyFont="1" applyBorder="1" applyAlignment="1">
      <alignment horizontal="left" vertical="center" wrapText="1"/>
    </xf>
    <xf numFmtId="0" fontId="8" fillId="0" borderId="2" xfId="108" applyNumberFormat="1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168" fontId="0" fillId="0" borderId="0" xfId="110" applyNumberFormat="1" applyFont="1"/>
    <xf numFmtId="168" fontId="0" fillId="0" borderId="0" xfId="0" applyNumberFormat="1"/>
    <xf numFmtId="165" fontId="7" fillId="2" borderId="4" xfId="108" applyNumberFormat="1" applyFont="1" applyFill="1" applyBorder="1" applyAlignment="1">
      <alignment horizontal="right" vertical="center"/>
    </xf>
    <xf numFmtId="44" fontId="9" fillId="2" borderId="2" xfId="108" applyNumberFormat="1" applyFont="1" applyFill="1" applyBorder="1" applyAlignment="1">
      <alignment horizontal="right" vertical="center" wrapText="1"/>
    </xf>
    <xf numFmtId="168" fontId="0" fillId="0" borderId="0" xfId="0" applyNumberFormat="1" applyFont="1"/>
    <xf numFmtId="0" fontId="11" fillId="3" borderId="2" xfId="0" applyFont="1" applyFill="1" applyBorder="1" applyAlignment="1">
      <alignment horizontal="justify" vertical="center" wrapText="1"/>
    </xf>
    <xf numFmtId="1" fontId="11" fillId="0" borderId="2" xfId="0" applyNumberFormat="1" applyFont="1" applyBorder="1" applyAlignment="1">
      <alignment horizontal="right" vertical="center" wrapText="1"/>
    </xf>
    <xf numFmtId="165" fontId="8" fillId="0" borderId="2" xfId="0" applyNumberFormat="1" applyFont="1" applyBorder="1" applyAlignment="1">
      <alignment horizontal="right"/>
    </xf>
    <xf numFmtId="165" fontId="8" fillId="0" borderId="2" xfId="108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9" fontId="9" fillId="0" borderId="2" xfId="107" applyFont="1" applyFill="1" applyBorder="1" applyAlignment="1">
      <alignment horizontal="center" vertical="center" wrapText="1"/>
    </xf>
    <xf numFmtId="5" fontId="9" fillId="0" borderId="2" xfId="108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5" fontId="9" fillId="2" borderId="2" xfId="108" applyNumberFormat="1" applyFont="1" applyFill="1" applyBorder="1" applyAlignment="1">
      <alignment horizontal="right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44" fontId="9" fillId="2" borderId="2" xfId="108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44" fontId="9" fillId="2" borderId="2" xfId="108" applyFont="1" applyFill="1" applyBorder="1" applyAlignment="1">
      <alignment horizontal="right" vertical="center" wrapText="1"/>
    </xf>
    <xf numFmtId="5" fontId="9" fillId="2" borderId="2" xfId="108" applyNumberFormat="1" applyFont="1" applyFill="1" applyBorder="1" applyAlignment="1">
      <alignment horizontal="center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95"/>
  <sheetViews>
    <sheetView tabSelected="1" zoomScale="60" zoomScaleNormal="60" workbookViewId="0">
      <selection activeCell="F9" sqref="F9"/>
    </sheetView>
  </sheetViews>
  <sheetFormatPr baseColWidth="10" defaultRowHeight="13.8" x14ac:dyDescent="0.25"/>
  <cols>
    <col min="1" max="1" width="9.69921875" style="1" customWidth="1"/>
    <col min="2" max="2" width="28.296875" style="1" customWidth="1"/>
    <col min="3" max="4" width="21.09765625" style="1" customWidth="1"/>
    <col min="5" max="6" width="50.59765625" style="1" customWidth="1"/>
    <col min="7" max="7" width="21.59765625" style="1" customWidth="1"/>
    <col min="8" max="8" width="49" style="1" customWidth="1"/>
    <col min="9" max="9" width="53.19921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37.5" style="90" customWidth="1"/>
    <col min="16" max="27" width="23.5" style="1" customWidth="1"/>
    <col min="28" max="28" width="16.296875" style="1" customWidth="1"/>
    <col min="29" max="29" width="21.296875" style="1" customWidth="1"/>
    <col min="30" max="31" width="22" style="1" customWidth="1"/>
    <col min="32" max="16384" width="11.19921875" style="1"/>
  </cols>
  <sheetData>
    <row r="2" spans="1:31" x14ac:dyDescent="0.25">
      <c r="A2" s="108"/>
      <c r="B2" s="113" t="s">
        <v>250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8" t="s">
        <v>34</v>
      </c>
      <c r="AD2" s="118"/>
      <c r="AE2" s="118"/>
    </row>
    <row r="3" spans="1:31" x14ac:dyDescent="0.25">
      <c r="A3" s="108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9" t="s">
        <v>38</v>
      </c>
      <c r="AD3" s="119"/>
      <c r="AE3" s="119"/>
    </row>
    <row r="4" spans="1:31" x14ac:dyDescent="0.25">
      <c r="A4" s="108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9" t="s">
        <v>35</v>
      </c>
      <c r="AD4" s="119"/>
      <c r="AE4" s="119"/>
    </row>
    <row r="5" spans="1:31" x14ac:dyDescent="0.25">
      <c r="A5" s="108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9" t="s">
        <v>33</v>
      </c>
      <c r="AD5" s="119"/>
      <c r="AE5" s="119"/>
    </row>
    <row r="6" spans="1:31" x14ac:dyDescent="0.25">
      <c r="A6" s="109" t="s">
        <v>31</v>
      </c>
      <c r="B6" s="109"/>
      <c r="C6" s="109"/>
      <c r="D6" s="111">
        <v>44385</v>
      </c>
      <c r="E6" s="111"/>
      <c r="F6" s="111"/>
      <c r="G6" s="111"/>
      <c r="H6" s="111"/>
      <c r="I6" s="111"/>
      <c r="J6" s="111"/>
      <c r="K6" s="111"/>
      <c r="L6" s="111"/>
      <c r="M6" s="2"/>
      <c r="N6" s="2"/>
      <c r="O6" s="8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110" t="s">
        <v>32</v>
      </c>
      <c r="B7" s="110"/>
      <c r="C7" s="110"/>
      <c r="D7" s="112">
        <v>44377</v>
      </c>
      <c r="E7" s="112"/>
      <c r="F7" s="112"/>
      <c r="G7" s="112"/>
      <c r="H7" s="112"/>
      <c r="I7" s="112"/>
      <c r="J7" s="112"/>
      <c r="K7" s="112"/>
      <c r="L7" s="112"/>
      <c r="M7" s="2"/>
      <c r="N7" s="2"/>
      <c r="O7" s="8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116" t="s">
        <v>10</v>
      </c>
      <c r="C8" s="116"/>
      <c r="D8" s="116"/>
      <c r="E8" s="116"/>
      <c r="F8" s="116"/>
      <c r="G8" s="116" t="s">
        <v>11</v>
      </c>
      <c r="H8" s="116"/>
      <c r="I8" s="116"/>
      <c r="J8" s="116"/>
      <c r="K8" s="116"/>
      <c r="L8" s="116" t="s">
        <v>26</v>
      </c>
      <c r="M8" s="116"/>
      <c r="N8" s="116"/>
      <c r="O8" s="116" t="s">
        <v>24</v>
      </c>
      <c r="P8" s="116"/>
      <c r="Q8" s="116"/>
      <c r="R8" s="116"/>
      <c r="S8" s="116"/>
      <c r="T8" s="116"/>
      <c r="U8" s="116"/>
      <c r="V8" s="116" t="s">
        <v>18</v>
      </c>
      <c r="W8" s="116"/>
      <c r="X8" s="116"/>
      <c r="Y8" s="116"/>
      <c r="Z8" s="116"/>
      <c r="AA8" s="116"/>
      <c r="AB8" s="117" t="s">
        <v>19</v>
      </c>
      <c r="AC8" s="117" t="s">
        <v>27</v>
      </c>
      <c r="AD8" s="117" t="s">
        <v>25</v>
      </c>
      <c r="AE8" s="117"/>
    </row>
    <row r="9" spans="1:31" ht="27.6" x14ac:dyDescent="0.25">
      <c r="A9" s="7" t="s">
        <v>30</v>
      </c>
      <c r="B9" s="18" t="s">
        <v>1</v>
      </c>
      <c r="C9" s="7" t="s">
        <v>6</v>
      </c>
      <c r="D9" s="7" t="s">
        <v>2</v>
      </c>
      <c r="E9" s="7" t="s">
        <v>7</v>
      </c>
      <c r="F9" s="18" t="s">
        <v>20</v>
      </c>
      <c r="G9" s="18" t="s">
        <v>15</v>
      </c>
      <c r="H9" s="18" t="s">
        <v>3</v>
      </c>
      <c r="I9" s="18" t="s">
        <v>16</v>
      </c>
      <c r="J9" s="18" t="s">
        <v>22</v>
      </c>
      <c r="K9" s="18" t="s">
        <v>23</v>
      </c>
      <c r="L9" s="18" t="s">
        <v>4</v>
      </c>
      <c r="M9" s="18" t="s">
        <v>5</v>
      </c>
      <c r="N9" s="18" t="s">
        <v>0</v>
      </c>
      <c r="O9" s="91" t="s">
        <v>9</v>
      </c>
      <c r="P9" s="69" t="s">
        <v>37</v>
      </c>
      <c r="Q9" s="69" t="s">
        <v>8</v>
      </c>
      <c r="R9" s="69" t="s">
        <v>28</v>
      </c>
      <c r="S9" s="69" t="s">
        <v>36</v>
      </c>
      <c r="T9" s="69" t="s">
        <v>12</v>
      </c>
      <c r="U9" s="69" t="s">
        <v>21</v>
      </c>
      <c r="V9" s="69" t="s">
        <v>37</v>
      </c>
      <c r="W9" s="69" t="s">
        <v>8</v>
      </c>
      <c r="X9" s="69" t="s">
        <v>28</v>
      </c>
      <c r="Y9" s="69" t="s">
        <v>36</v>
      </c>
      <c r="Z9" s="69" t="s">
        <v>12</v>
      </c>
      <c r="AA9" s="69" t="s">
        <v>29</v>
      </c>
      <c r="AB9" s="117"/>
      <c r="AC9" s="117"/>
      <c r="AD9" s="69" t="s">
        <v>13</v>
      </c>
      <c r="AE9" s="69" t="s">
        <v>14</v>
      </c>
    </row>
    <row r="10" spans="1:31" ht="78" x14ac:dyDescent="0.25">
      <c r="A10" s="28">
        <v>67</v>
      </c>
      <c r="B10" s="12" t="s">
        <v>42</v>
      </c>
      <c r="C10" s="12" t="s">
        <v>43</v>
      </c>
      <c r="D10" s="44" t="s">
        <v>44</v>
      </c>
      <c r="E10" s="16" t="s">
        <v>45</v>
      </c>
      <c r="F10" s="13" t="s">
        <v>46</v>
      </c>
      <c r="G10" s="52">
        <v>2021680010003</v>
      </c>
      <c r="H10" s="43" t="s">
        <v>47</v>
      </c>
      <c r="I10" s="9"/>
      <c r="J10" s="11">
        <v>44197</v>
      </c>
      <c r="K10" s="11">
        <v>44561</v>
      </c>
      <c r="L10" s="71">
        <v>1</v>
      </c>
      <c r="M10" s="47">
        <v>0.7</v>
      </c>
      <c r="N10" s="73">
        <f t="shared" ref="N10:N29" si="0">IFERROR(IF(M10/L10&gt;100%,100%,M10/L10),"-")</f>
        <v>0.7</v>
      </c>
      <c r="O10" s="37" t="s">
        <v>48</v>
      </c>
      <c r="P10" s="29">
        <f>24000000</f>
        <v>24000000</v>
      </c>
      <c r="Q10" s="30"/>
      <c r="R10" s="30"/>
      <c r="S10" s="30"/>
      <c r="T10" s="31"/>
      <c r="U10" s="70">
        <f>SUM(P10:T10)</f>
        <v>24000000</v>
      </c>
      <c r="V10" s="29">
        <f>12000000+12000000</f>
        <v>24000000</v>
      </c>
      <c r="W10" s="77"/>
      <c r="X10" s="77"/>
      <c r="Y10" s="77"/>
      <c r="Z10" s="78"/>
      <c r="AA10" s="70">
        <f>SUM(V10:Z10)</f>
        <v>24000000</v>
      </c>
      <c r="AB10" s="8">
        <f t="shared" ref="AB10:AB29" si="1">IFERROR(AA10/U10,"-")</f>
        <v>1</v>
      </c>
      <c r="AC10" s="29"/>
      <c r="AD10" s="10" t="s">
        <v>49</v>
      </c>
      <c r="AE10" s="10" t="s">
        <v>50</v>
      </c>
    </row>
    <row r="11" spans="1:31" ht="109.2" x14ac:dyDescent="0.25">
      <c r="A11" s="28">
        <v>68</v>
      </c>
      <c r="B11" s="12" t="s">
        <v>42</v>
      </c>
      <c r="C11" s="12" t="s">
        <v>43</v>
      </c>
      <c r="D11" s="44" t="s">
        <v>44</v>
      </c>
      <c r="E11" s="16" t="s">
        <v>51</v>
      </c>
      <c r="F11" s="13" t="s">
        <v>52</v>
      </c>
      <c r="G11" s="52">
        <v>2021680010003</v>
      </c>
      <c r="H11" s="43" t="s">
        <v>47</v>
      </c>
      <c r="I11" s="9"/>
      <c r="J11" s="11">
        <v>44197</v>
      </c>
      <c r="K11" s="11">
        <v>44561</v>
      </c>
      <c r="L11" s="104">
        <v>1</v>
      </c>
      <c r="M11" s="120">
        <v>0.6</v>
      </c>
      <c r="N11" s="106">
        <f t="shared" si="0"/>
        <v>0.6</v>
      </c>
      <c r="O11" s="37" t="s">
        <v>259</v>
      </c>
      <c r="P11" s="29">
        <v>192000000</v>
      </c>
      <c r="Q11" s="84"/>
      <c r="R11" s="84"/>
      <c r="S11" s="84"/>
      <c r="T11" s="31"/>
      <c r="U11" s="107">
        <f>SUM(P11:T12)</f>
        <v>205200000</v>
      </c>
      <c r="V11" s="29">
        <f>16000000+16000000+14000000+20998948+10328256+4603848+99990390</f>
        <v>181921442</v>
      </c>
      <c r="W11" s="77"/>
      <c r="X11" s="77"/>
      <c r="Y11" s="77"/>
      <c r="Z11" s="78"/>
      <c r="AA11" s="107">
        <f>SUM(V11:Z12)</f>
        <v>181921442</v>
      </c>
      <c r="AB11" s="102">
        <f t="shared" si="1"/>
        <v>0.88655673489278752</v>
      </c>
      <c r="AC11" s="103"/>
      <c r="AD11" s="101" t="s">
        <v>49</v>
      </c>
      <c r="AE11" s="101" t="s">
        <v>50</v>
      </c>
    </row>
    <row r="12" spans="1:31" ht="109.2" x14ac:dyDescent="0.25">
      <c r="A12" s="68">
        <v>68</v>
      </c>
      <c r="B12" s="12" t="s">
        <v>42</v>
      </c>
      <c r="C12" s="12" t="s">
        <v>43</v>
      </c>
      <c r="D12" s="44" t="s">
        <v>44</v>
      </c>
      <c r="E12" s="16" t="s">
        <v>51</v>
      </c>
      <c r="F12" s="13" t="s">
        <v>52</v>
      </c>
      <c r="G12" s="52">
        <v>2021680010003</v>
      </c>
      <c r="H12" s="43" t="s">
        <v>47</v>
      </c>
      <c r="I12" s="9" t="s">
        <v>252</v>
      </c>
      <c r="J12" s="11"/>
      <c r="K12" s="11"/>
      <c r="L12" s="104"/>
      <c r="M12" s="120"/>
      <c r="N12" s="106"/>
      <c r="O12" s="37"/>
      <c r="P12" s="29">
        <v>13200000</v>
      </c>
      <c r="Q12" s="84"/>
      <c r="R12" s="84"/>
      <c r="S12" s="84"/>
      <c r="T12" s="31"/>
      <c r="U12" s="107"/>
      <c r="V12" s="29"/>
      <c r="W12" s="77"/>
      <c r="X12" s="77"/>
      <c r="Y12" s="77"/>
      <c r="Z12" s="78"/>
      <c r="AA12" s="107"/>
      <c r="AB12" s="102"/>
      <c r="AC12" s="103"/>
      <c r="AD12" s="101"/>
      <c r="AE12" s="101"/>
    </row>
    <row r="13" spans="1:31" ht="60" x14ac:dyDescent="0.25">
      <c r="A13" s="28">
        <v>69</v>
      </c>
      <c r="B13" s="12" t="s">
        <v>42</v>
      </c>
      <c r="C13" s="12" t="s">
        <v>43</v>
      </c>
      <c r="D13" s="44" t="s">
        <v>44</v>
      </c>
      <c r="E13" s="16" t="s">
        <v>98</v>
      </c>
      <c r="F13" s="13" t="s">
        <v>99</v>
      </c>
      <c r="G13" s="36"/>
      <c r="H13" s="36"/>
      <c r="I13" s="9"/>
      <c r="J13" s="11">
        <v>44197</v>
      </c>
      <c r="K13" s="11">
        <v>44561</v>
      </c>
      <c r="L13" s="71">
        <v>0</v>
      </c>
      <c r="M13" s="72">
        <v>0</v>
      </c>
      <c r="N13" s="73" t="str">
        <f>IFERROR(IF(M13/L13&gt;100%,100%,M13/L13),"-")</f>
        <v>-</v>
      </c>
      <c r="O13" s="37"/>
      <c r="P13" s="29"/>
      <c r="Q13" s="84"/>
      <c r="R13" s="84"/>
      <c r="S13" s="84"/>
      <c r="T13" s="31"/>
      <c r="U13" s="70">
        <f t="shared" ref="U13:U23" si="2">SUM(P13:T13)</f>
        <v>0</v>
      </c>
      <c r="V13" s="29"/>
      <c r="W13" s="77"/>
      <c r="X13" s="77"/>
      <c r="Y13" s="77"/>
      <c r="Z13" s="78"/>
      <c r="AA13" s="70">
        <f t="shared" ref="AA13:AA23" si="3">SUM(V13:Z13)</f>
        <v>0</v>
      </c>
      <c r="AB13" s="8" t="str">
        <f>IFERROR(AA13/U13,"-")</f>
        <v>-</v>
      </c>
      <c r="AC13" s="29"/>
      <c r="AD13" s="10" t="s">
        <v>49</v>
      </c>
      <c r="AE13" s="10" t="s">
        <v>50</v>
      </c>
    </row>
    <row r="14" spans="1:31" ht="150" x14ac:dyDescent="0.25">
      <c r="A14" s="28">
        <v>70</v>
      </c>
      <c r="B14" s="12" t="s">
        <v>42</v>
      </c>
      <c r="C14" s="12" t="s">
        <v>43</v>
      </c>
      <c r="D14" s="44" t="s">
        <v>44</v>
      </c>
      <c r="E14" s="16" t="s">
        <v>100</v>
      </c>
      <c r="F14" s="13" t="s">
        <v>101</v>
      </c>
      <c r="G14" s="36"/>
      <c r="H14" s="36" t="s">
        <v>105</v>
      </c>
      <c r="I14" s="9"/>
      <c r="J14" s="11">
        <v>44197</v>
      </c>
      <c r="K14" s="11">
        <v>44561</v>
      </c>
      <c r="L14" s="71">
        <v>1</v>
      </c>
      <c r="M14" s="72">
        <v>0</v>
      </c>
      <c r="N14" s="73">
        <f>IFERROR(IF(M14/L14&gt;100%,100%,M14/L14),"-")</f>
        <v>0</v>
      </c>
      <c r="O14" s="37" t="s">
        <v>263</v>
      </c>
      <c r="P14" s="29">
        <f>622000000-370000000+374200000+28189.13+5349132+11995542.14</f>
        <v>643572863.26999998</v>
      </c>
      <c r="Q14" s="85"/>
      <c r="R14" s="84"/>
      <c r="S14" s="84"/>
      <c r="T14" s="31"/>
      <c r="U14" s="70">
        <f t="shared" si="2"/>
        <v>643572863.26999998</v>
      </c>
      <c r="V14" s="29"/>
      <c r="W14" s="77"/>
      <c r="X14" s="77"/>
      <c r="Y14" s="77"/>
      <c r="Z14" s="78"/>
      <c r="AA14" s="70">
        <f t="shared" si="3"/>
        <v>0</v>
      </c>
      <c r="AB14" s="8">
        <f>IFERROR(AA14/U14,"-")</f>
        <v>0</v>
      </c>
      <c r="AC14" s="29"/>
      <c r="AD14" s="10" t="s">
        <v>49</v>
      </c>
      <c r="AE14" s="10" t="s">
        <v>50</v>
      </c>
    </row>
    <row r="15" spans="1:31" ht="90" x14ac:dyDescent="0.25">
      <c r="A15" s="28">
        <v>71</v>
      </c>
      <c r="B15" s="12" t="s">
        <v>42</v>
      </c>
      <c r="C15" s="12" t="s">
        <v>43</v>
      </c>
      <c r="D15" s="44" t="s">
        <v>53</v>
      </c>
      <c r="E15" s="16" t="s">
        <v>54</v>
      </c>
      <c r="F15" s="13" t="s">
        <v>55</v>
      </c>
      <c r="G15" s="52">
        <v>2021680010003</v>
      </c>
      <c r="H15" s="43" t="s">
        <v>47</v>
      </c>
      <c r="I15" s="9"/>
      <c r="J15" s="11">
        <v>44197</v>
      </c>
      <c r="K15" s="11">
        <v>44561</v>
      </c>
      <c r="L15" s="71">
        <v>1</v>
      </c>
      <c r="M15" s="47">
        <v>0.6</v>
      </c>
      <c r="N15" s="73">
        <f t="shared" si="0"/>
        <v>0.6</v>
      </c>
      <c r="O15" s="37" t="s">
        <v>56</v>
      </c>
      <c r="P15" s="29">
        <f>40000000+60000000+28000000</f>
        <v>128000000</v>
      </c>
      <c r="Q15" s="84"/>
      <c r="R15" s="84"/>
      <c r="S15" s="84"/>
      <c r="T15" s="31"/>
      <c r="U15" s="70">
        <f t="shared" si="2"/>
        <v>128000000</v>
      </c>
      <c r="V15" s="29">
        <f>12000000+16000000+12000000+12000000+8000000+8000000+8000000+16500000</f>
        <v>92500000</v>
      </c>
      <c r="W15" s="77"/>
      <c r="X15" s="77"/>
      <c r="Y15" s="77"/>
      <c r="Z15" s="78"/>
      <c r="AA15" s="70">
        <f t="shared" si="3"/>
        <v>92500000</v>
      </c>
      <c r="AB15" s="8">
        <f t="shared" si="1"/>
        <v>0.72265625</v>
      </c>
      <c r="AC15" s="29"/>
      <c r="AD15" s="10" t="s">
        <v>49</v>
      </c>
      <c r="AE15" s="10" t="s">
        <v>50</v>
      </c>
    </row>
    <row r="16" spans="1:31" ht="93.6" x14ac:dyDescent="0.25">
      <c r="A16" s="28">
        <v>72</v>
      </c>
      <c r="B16" s="12" t="s">
        <v>42</v>
      </c>
      <c r="C16" s="12" t="s">
        <v>43</v>
      </c>
      <c r="D16" s="44" t="s">
        <v>53</v>
      </c>
      <c r="E16" s="16" t="s">
        <v>57</v>
      </c>
      <c r="F16" s="13" t="s">
        <v>58</v>
      </c>
      <c r="G16" s="52">
        <v>2021680010003</v>
      </c>
      <c r="H16" s="43" t="s">
        <v>47</v>
      </c>
      <c r="I16" s="9"/>
      <c r="J16" s="11">
        <v>44197</v>
      </c>
      <c r="K16" s="11">
        <v>44561</v>
      </c>
      <c r="L16" s="71">
        <v>1</v>
      </c>
      <c r="M16" s="47">
        <v>0.6</v>
      </c>
      <c r="N16" s="73">
        <f t="shared" si="0"/>
        <v>0.6</v>
      </c>
      <c r="O16" s="37" t="s">
        <v>59</v>
      </c>
      <c r="P16" s="29">
        <v>90000000</v>
      </c>
      <c r="Q16" s="84"/>
      <c r="R16" s="84"/>
      <c r="S16" s="84"/>
      <c r="T16" s="31"/>
      <c r="U16" s="70">
        <f t="shared" si="2"/>
        <v>90000000</v>
      </c>
      <c r="V16" s="29">
        <f>24000000+15200000+16000000+6000000+16000000+12000000</f>
        <v>89200000</v>
      </c>
      <c r="W16" s="77"/>
      <c r="X16" s="77"/>
      <c r="Y16" s="77"/>
      <c r="Z16" s="78"/>
      <c r="AA16" s="70">
        <f t="shared" si="3"/>
        <v>89200000</v>
      </c>
      <c r="AB16" s="8">
        <f t="shared" si="1"/>
        <v>0.99111111111111116</v>
      </c>
      <c r="AC16" s="29"/>
      <c r="AD16" s="10" t="s">
        <v>49</v>
      </c>
      <c r="AE16" s="10" t="s">
        <v>50</v>
      </c>
    </row>
    <row r="17" spans="1:31" ht="78" x14ac:dyDescent="0.25">
      <c r="A17" s="28">
        <v>73</v>
      </c>
      <c r="B17" s="12" t="s">
        <v>42</v>
      </c>
      <c r="C17" s="12" t="s">
        <v>43</v>
      </c>
      <c r="D17" s="44" t="s">
        <v>53</v>
      </c>
      <c r="E17" s="16" t="s">
        <v>60</v>
      </c>
      <c r="F17" s="13" t="s">
        <v>61</v>
      </c>
      <c r="G17" s="52">
        <v>2021680010003</v>
      </c>
      <c r="H17" s="43" t="s">
        <v>47</v>
      </c>
      <c r="I17" s="9"/>
      <c r="J17" s="11">
        <v>44197</v>
      </c>
      <c r="K17" s="11">
        <v>44561</v>
      </c>
      <c r="L17" s="71">
        <v>1</v>
      </c>
      <c r="M17" s="47">
        <v>0.2</v>
      </c>
      <c r="N17" s="73">
        <f t="shared" si="0"/>
        <v>0.2</v>
      </c>
      <c r="O17" s="37" t="s">
        <v>62</v>
      </c>
      <c r="P17" s="29">
        <v>0</v>
      </c>
      <c r="Q17" s="33">
        <v>70000000</v>
      </c>
      <c r="R17" s="84"/>
      <c r="S17" s="84"/>
      <c r="T17" s="31"/>
      <c r="U17" s="70">
        <f t="shared" si="2"/>
        <v>70000000</v>
      </c>
      <c r="V17" s="29"/>
      <c r="W17" s="77"/>
      <c r="X17" s="77"/>
      <c r="Y17" s="77"/>
      <c r="Z17" s="78"/>
      <c r="AA17" s="70">
        <f t="shared" si="3"/>
        <v>0</v>
      </c>
      <c r="AB17" s="8">
        <f t="shared" si="1"/>
        <v>0</v>
      </c>
      <c r="AC17" s="29"/>
      <c r="AD17" s="10" t="s">
        <v>49</v>
      </c>
      <c r="AE17" s="10" t="s">
        <v>50</v>
      </c>
    </row>
    <row r="18" spans="1:31" ht="90" x14ac:dyDescent="0.25">
      <c r="A18" s="28">
        <v>74</v>
      </c>
      <c r="B18" s="12" t="s">
        <v>42</v>
      </c>
      <c r="C18" s="12" t="s">
        <v>43</v>
      </c>
      <c r="D18" s="44" t="s">
        <v>53</v>
      </c>
      <c r="E18" s="16" t="s">
        <v>63</v>
      </c>
      <c r="F18" s="13" t="s">
        <v>64</v>
      </c>
      <c r="G18" s="52">
        <v>2021680010003</v>
      </c>
      <c r="H18" s="43" t="s">
        <v>47</v>
      </c>
      <c r="I18" s="9"/>
      <c r="J18" s="11">
        <v>44197</v>
      </c>
      <c r="K18" s="11">
        <v>44561</v>
      </c>
      <c r="L18" s="71">
        <v>1</v>
      </c>
      <c r="M18" s="47">
        <v>0.7</v>
      </c>
      <c r="N18" s="73">
        <f t="shared" si="0"/>
        <v>0.7</v>
      </c>
      <c r="O18" s="37" t="s">
        <v>65</v>
      </c>
      <c r="P18" s="29">
        <f>12500000+10000000</f>
        <v>22500000</v>
      </c>
      <c r="Q18" s="33">
        <v>50000000</v>
      </c>
      <c r="R18" s="84"/>
      <c r="S18" s="84"/>
      <c r="T18" s="31"/>
      <c r="U18" s="70">
        <f t="shared" si="2"/>
        <v>72500000</v>
      </c>
      <c r="V18" s="29">
        <f>12500000+10000000</f>
        <v>22500000</v>
      </c>
      <c r="W18" s="58">
        <v>1886133</v>
      </c>
      <c r="X18" s="77"/>
      <c r="Y18" s="77"/>
      <c r="Z18" s="78"/>
      <c r="AA18" s="70">
        <f t="shared" si="3"/>
        <v>24386133</v>
      </c>
      <c r="AB18" s="8">
        <f t="shared" si="1"/>
        <v>0.33636045517241381</v>
      </c>
      <c r="AC18" s="29"/>
      <c r="AD18" s="10" t="s">
        <v>49</v>
      </c>
      <c r="AE18" s="10" t="s">
        <v>50</v>
      </c>
    </row>
    <row r="19" spans="1:31" ht="111.6" customHeight="1" x14ac:dyDescent="0.25">
      <c r="A19" s="28">
        <v>75</v>
      </c>
      <c r="B19" s="12" t="s">
        <v>42</v>
      </c>
      <c r="C19" s="12" t="s">
        <v>43</v>
      </c>
      <c r="D19" s="44" t="s">
        <v>53</v>
      </c>
      <c r="E19" s="16" t="s">
        <v>66</v>
      </c>
      <c r="F19" s="13" t="s">
        <v>67</v>
      </c>
      <c r="G19" s="52">
        <v>2021680010003</v>
      </c>
      <c r="H19" s="43" t="s">
        <v>47</v>
      </c>
      <c r="I19" s="9"/>
      <c r="J19" s="11">
        <v>44197</v>
      </c>
      <c r="K19" s="11">
        <v>44561</v>
      </c>
      <c r="L19" s="71">
        <v>1</v>
      </c>
      <c r="M19" s="47">
        <v>0.8</v>
      </c>
      <c r="N19" s="73">
        <f t="shared" si="0"/>
        <v>0.8</v>
      </c>
      <c r="O19" s="37" t="s">
        <v>68</v>
      </c>
      <c r="P19" s="29">
        <f>10000000+10000000</f>
        <v>20000000</v>
      </c>
      <c r="Q19" s="84"/>
      <c r="R19" s="84"/>
      <c r="S19" s="84"/>
      <c r="T19" s="31"/>
      <c r="U19" s="70">
        <f t="shared" si="2"/>
        <v>20000000</v>
      </c>
      <c r="V19" s="29">
        <f>4000000+10000000</f>
        <v>14000000</v>
      </c>
      <c r="W19" s="77"/>
      <c r="X19" s="77"/>
      <c r="Y19" s="77"/>
      <c r="Z19" s="78"/>
      <c r="AA19" s="70">
        <f t="shared" si="3"/>
        <v>14000000</v>
      </c>
      <c r="AB19" s="8">
        <f t="shared" si="1"/>
        <v>0.7</v>
      </c>
      <c r="AC19" s="29"/>
      <c r="AD19" s="10" t="s">
        <v>49</v>
      </c>
      <c r="AE19" s="10" t="s">
        <v>50</v>
      </c>
    </row>
    <row r="20" spans="1:31" ht="78" x14ac:dyDescent="0.25">
      <c r="A20" s="28">
        <v>76</v>
      </c>
      <c r="B20" s="12" t="s">
        <v>42</v>
      </c>
      <c r="C20" s="12" t="s">
        <v>43</v>
      </c>
      <c r="D20" s="44" t="s">
        <v>53</v>
      </c>
      <c r="E20" s="16" t="s">
        <v>69</v>
      </c>
      <c r="F20" s="13" t="s">
        <v>70</v>
      </c>
      <c r="G20" s="52">
        <v>2021680010003</v>
      </c>
      <c r="H20" s="43" t="s">
        <v>47</v>
      </c>
      <c r="I20" s="9"/>
      <c r="J20" s="11">
        <v>44197</v>
      </c>
      <c r="K20" s="11">
        <v>44561</v>
      </c>
      <c r="L20" s="71">
        <v>1</v>
      </c>
      <c r="M20" s="48">
        <v>0.5</v>
      </c>
      <c r="N20" s="73">
        <f t="shared" si="0"/>
        <v>0.5</v>
      </c>
      <c r="O20" s="37" t="s">
        <v>59</v>
      </c>
      <c r="P20" s="29">
        <v>10000000</v>
      </c>
      <c r="Q20" s="84"/>
      <c r="R20" s="84"/>
      <c r="S20" s="84"/>
      <c r="T20" s="31"/>
      <c r="U20" s="70">
        <f t="shared" si="2"/>
        <v>10000000</v>
      </c>
      <c r="V20" s="29"/>
      <c r="W20" s="77"/>
      <c r="X20" s="77"/>
      <c r="Y20" s="77"/>
      <c r="Z20" s="78"/>
      <c r="AA20" s="70">
        <f t="shared" si="3"/>
        <v>0</v>
      </c>
      <c r="AB20" s="8">
        <f t="shared" si="1"/>
        <v>0</v>
      </c>
      <c r="AC20" s="29"/>
      <c r="AD20" s="10" t="s">
        <v>49</v>
      </c>
      <c r="AE20" s="10" t="s">
        <v>50</v>
      </c>
    </row>
    <row r="21" spans="1:31" ht="78" x14ac:dyDescent="0.25">
      <c r="A21" s="28">
        <v>77</v>
      </c>
      <c r="B21" s="12" t="s">
        <v>42</v>
      </c>
      <c r="C21" s="12" t="s">
        <v>43</v>
      </c>
      <c r="D21" s="44" t="s">
        <v>53</v>
      </c>
      <c r="E21" s="16" t="s">
        <v>71</v>
      </c>
      <c r="F21" s="13" t="s">
        <v>72</v>
      </c>
      <c r="G21" s="52">
        <v>2021680010003</v>
      </c>
      <c r="H21" s="43" t="s">
        <v>47</v>
      </c>
      <c r="I21" s="9"/>
      <c r="J21" s="11">
        <v>44197</v>
      </c>
      <c r="K21" s="11">
        <v>44561</v>
      </c>
      <c r="L21" s="71">
        <v>1</v>
      </c>
      <c r="M21" s="72">
        <v>4</v>
      </c>
      <c r="N21" s="73">
        <f t="shared" si="0"/>
        <v>1</v>
      </c>
      <c r="O21" s="37" t="s">
        <v>73</v>
      </c>
      <c r="P21" s="29">
        <f>40000000+20000000</f>
        <v>60000000</v>
      </c>
      <c r="Q21" s="84"/>
      <c r="R21" s="84"/>
      <c r="S21" s="84"/>
      <c r="T21" s="31"/>
      <c r="U21" s="70">
        <f t="shared" si="2"/>
        <v>60000000</v>
      </c>
      <c r="V21" s="29">
        <f>9600000/2</f>
        <v>4800000</v>
      </c>
      <c r="W21" s="77"/>
      <c r="X21" s="77"/>
      <c r="Y21" s="77"/>
      <c r="Z21" s="78"/>
      <c r="AA21" s="70">
        <f t="shared" si="3"/>
        <v>4800000</v>
      </c>
      <c r="AB21" s="8">
        <f t="shared" si="1"/>
        <v>0.08</v>
      </c>
      <c r="AC21" s="29"/>
      <c r="AD21" s="10" t="s">
        <v>49</v>
      </c>
      <c r="AE21" s="10" t="s">
        <v>50</v>
      </c>
    </row>
    <row r="22" spans="1:31" ht="90" x14ac:dyDescent="0.25">
      <c r="A22" s="28">
        <v>78</v>
      </c>
      <c r="B22" s="12" t="s">
        <v>42</v>
      </c>
      <c r="C22" s="12" t="s">
        <v>43</v>
      </c>
      <c r="D22" s="44" t="s">
        <v>53</v>
      </c>
      <c r="E22" s="16" t="s">
        <v>74</v>
      </c>
      <c r="F22" s="13" t="s">
        <v>75</v>
      </c>
      <c r="G22" s="52">
        <v>2021680010003</v>
      </c>
      <c r="H22" s="43" t="s">
        <v>47</v>
      </c>
      <c r="I22" s="9"/>
      <c r="J22" s="11">
        <v>44197</v>
      </c>
      <c r="K22" s="11">
        <v>44561</v>
      </c>
      <c r="L22" s="71">
        <v>1</v>
      </c>
      <c r="M22" s="47">
        <v>0.4</v>
      </c>
      <c r="N22" s="73">
        <f t="shared" si="0"/>
        <v>0.4</v>
      </c>
      <c r="O22" s="37" t="s">
        <v>76</v>
      </c>
      <c r="P22" s="29">
        <f>150000000+1901217+10000000</f>
        <v>161901217</v>
      </c>
      <c r="Q22" s="84"/>
      <c r="R22" s="84"/>
      <c r="S22" s="84"/>
      <c r="T22" s="31"/>
      <c r="U22" s="70">
        <f t="shared" si="2"/>
        <v>161901217</v>
      </c>
      <c r="V22" s="29">
        <f>10000000+150000000</f>
        <v>160000000</v>
      </c>
      <c r="W22" s="77"/>
      <c r="X22" s="77"/>
      <c r="Y22" s="77"/>
      <c r="Z22" s="78"/>
      <c r="AA22" s="70">
        <f t="shared" si="3"/>
        <v>160000000</v>
      </c>
      <c r="AB22" s="8">
        <f t="shared" si="1"/>
        <v>0.98825693200317322</v>
      </c>
      <c r="AC22" s="29"/>
      <c r="AD22" s="10" t="s">
        <v>49</v>
      </c>
      <c r="AE22" s="10" t="s">
        <v>50</v>
      </c>
    </row>
    <row r="23" spans="1:31" ht="123" customHeight="1" x14ac:dyDescent="0.25">
      <c r="A23" s="28">
        <v>79</v>
      </c>
      <c r="B23" s="12" t="s">
        <v>42</v>
      </c>
      <c r="C23" s="12" t="s">
        <v>43</v>
      </c>
      <c r="D23" s="44" t="s">
        <v>77</v>
      </c>
      <c r="E23" s="16" t="s">
        <v>78</v>
      </c>
      <c r="F23" s="13" t="s">
        <v>79</v>
      </c>
      <c r="G23" s="52">
        <v>2021680010003</v>
      </c>
      <c r="H23" s="43" t="s">
        <v>47</v>
      </c>
      <c r="I23" s="9"/>
      <c r="J23" s="11">
        <v>44197</v>
      </c>
      <c r="K23" s="11">
        <v>44561</v>
      </c>
      <c r="L23" s="71">
        <v>1</v>
      </c>
      <c r="M23" s="47">
        <v>0</v>
      </c>
      <c r="N23" s="73">
        <f t="shared" si="0"/>
        <v>0</v>
      </c>
      <c r="O23" s="37" t="s">
        <v>59</v>
      </c>
      <c r="P23" s="29">
        <v>18000000</v>
      </c>
      <c r="Q23" s="84"/>
      <c r="R23" s="84"/>
      <c r="S23" s="84"/>
      <c r="T23" s="31"/>
      <c r="U23" s="70">
        <f t="shared" si="2"/>
        <v>18000000</v>
      </c>
      <c r="V23" s="29"/>
      <c r="W23" s="77"/>
      <c r="X23" s="77"/>
      <c r="Y23" s="77"/>
      <c r="Z23" s="78"/>
      <c r="AA23" s="70">
        <f t="shared" si="3"/>
        <v>0</v>
      </c>
      <c r="AB23" s="8">
        <f t="shared" si="1"/>
        <v>0</v>
      </c>
      <c r="AC23" s="29"/>
      <c r="AD23" s="10" t="s">
        <v>49</v>
      </c>
      <c r="AE23" s="10" t="s">
        <v>50</v>
      </c>
    </row>
    <row r="24" spans="1:31" ht="102" customHeight="1" x14ac:dyDescent="0.25">
      <c r="A24" s="67">
        <v>80</v>
      </c>
      <c r="B24" s="12" t="s">
        <v>42</v>
      </c>
      <c r="C24" s="12" t="s">
        <v>43</v>
      </c>
      <c r="D24" s="46" t="s">
        <v>77</v>
      </c>
      <c r="E24" s="55" t="s">
        <v>95</v>
      </c>
      <c r="F24" s="36" t="s">
        <v>96</v>
      </c>
      <c r="G24" s="52">
        <v>2021680010003</v>
      </c>
      <c r="H24" s="43" t="s">
        <v>47</v>
      </c>
      <c r="I24" s="9"/>
      <c r="J24" s="11">
        <v>44197</v>
      </c>
      <c r="K24" s="11">
        <v>44561</v>
      </c>
      <c r="L24" s="104">
        <v>50000</v>
      </c>
      <c r="M24" s="105">
        <v>600</v>
      </c>
      <c r="N24" s="106">
        <f t="shared" ref="N24" si="4">IFERROR(IF(M24/L24&gt;100%,100%,M24/L24),"-")</f>
        <v>1.2E-2</v>
      </c>
      <c r="O24" s="37" t="s">
        <v>59</v>
      </c>
      <c r="P24" s="29">
        <v>10000000</v>
      </c>
      <c r="Q24" s="84"/>
      <c r="R24" s="84"/>
      <c r="S24" s="84"/>
      <c r="T24" s="31"/>
      <c r="U24" s="107">
        <f>SUM(P24:T25)</f>
        <v>11901217</v>
      </c>
      <c r="V24" s="29">
        <f>9600000/2</f>
        <v>4800000</v>
      </c>
      <c r="W24" s="77"/>
      <c r="X24" s="77"/>
      <c r="Y24" s="77"/>
      <c r="Z24" s="78"/>
      <c r="AA24" s="107">
        <f>SUM(V24:Z25)</f>
        <v>4800000</v>
      </c>
      <c r="AB24" s="102">
        <f t="shared" ref="AB24" si="5">IFERROR(AA24/U24,"-")</f>
        <v>0.40332009743205255</v>
      </c>
      <c r="AC24" s="103"/>
      <c r="AD24" s="101" t="s">
        <v>49</v>
      </c>
      <c r="AE24" s="101" t="s">
        <v>50</v>
      </c>
    </row>
    <row r="25" spans="1:31" ht="86.4" customHeight="1" x14ac:dyDescent="0.25">
      <c r="A25" s="67">
        <v>80</v>
      </c>
      <c r="B25" s="12" t="s">
        <v>42</v>
      </c>
      <c r="C25" s="12" t="s">
        <v>43</v>
      </c>
      <c r="D25" s="46" t="s">
        <v>77</v>
      </c>
      <c r="E25" s="55" t="s">
        <v>95</v>
      </c>
      <c r="F25" s="36" t="s">
        <v>96</v>
      </c>
      <c r="G25" s="54"/>
      <c r="H25" s="13" t="s">
        <v>97</v>
      </c>
      <c r="I25" s="9"/>
      <c r="J25" s="11"/>
      <c r="K25" s="11"/>
      <c r="L25" s="104"/>
      <c r="M25" s="105"/>
      <c r="N25" s="106"/>
      <c r="O25" s="37" t="s">
        <v>59</v>
      </c>
      <c r="P25" s="29">
        <f>190000000+121901217-310000000</f>
        <v>1901217</v>
      </c>
      <c r="Q25" s="84"/>
      <c r="R25" s="84"/>
      <c r="S25" s="84"/>
      <c r="T25" s="31"/>
      <c r="U25" s="107"/>
      <c r="V25" s="29"/>
      <c r="W25" s="77"/>
      <c r="X25" s="77"/>
      <c r="Y25" s="77"/>
      <c r="Z25" s="78"/>
      <c r="AA25" s="107"/>
      <c r="AB25" s="102"/>
      <c r="AC25" s="103"/>
      <c r="AD25" s="101"/>
      <c r="AE25" s="101"/>
    </row>
    <row r="26" spans="1:31" ht="114" customHeight="1" x14ac:dyDescent="0.25">
      <c r="A26" s="28">
        <v>81</v>
      </c>
      <c r="B26" s="12" t="s">
        <v>42</v>
      </c>
      <c r="C26" s="12" t="s">
        <v>43</v>
      </c>
      <c r="D26" s="44" t="s">
        <v>77</v>
      </c>
      <c r="E26" s="16" t="s">
        <v>80</v>
      </c>
      <c r="F26" s="13" t="s">
        <v>81</v>
      </c>
      <c r="G26" s="52">
        <v>2021680010003</v>
      </c>
      <c r="H26" s="43" t="s">
        <v>47</v>
      </c>
      <c r="I26" s="9"/>
      <c r="J26" s="11">
        <v>44197</v>
      </c>
      <c r="K26" s="11">
        <v>44561</v>
      </c>
      <c r="L26" s="71">
        <v>1</v>
      </c>
      <c r="M26" s="47">
        <v>0.2</v>
      </c>
      <c r="N26" s="73">
        <f t="shared" si="0"/>
        <v>0.2</v>
      </c>
      <c r="O26" s="37" t="s">
        <v>82</v>
      </c>
      <c r="P26" s="29">
        <f>30000000+ 10000000+100000000+140000000-134500000-63802434</f>
        <v>81697566</v>
      </c>
      <c r="Q26" s="84"/>
      <c r="R26" s="84"/>
      <c r="S26" s="84"/>
      <c r="T26" s="31"/>
      <c r="U26" s="70">
        <f>SUM(P26:T26)</f>
        <v>81697566</v>
      </c>
      <c r="V26" s="29">
        <f>20000000+16000000</f>
        <v>36000000</v>
      </c>
      <c r="W26" s="77"/>
      <c r="X26" s="77"/>
      <c r="Y26" s="77"/>
      <c r="Z26" s="78"/>
      <c r="AA26" s="70">
        <f>SUM(V26:Z26)</f>
        <v>36000000</v>
      </c>
      <c r="AB26" s="8">
        <f t="shared" si="1"/>
        <v>0.4406496027066461</v>
      </c>
      <c r="AC26" s="29"/>
      <c r="AD26" s="10" t="s">
        <v>49</v>
      </c>
      <c r="AE26" s="10" t="s">
        <v>50</v>
      </c>
    </row>
    <row r="27" spans="1:31" ht="102" customHeight="1" x14ac:dyDescent="0.25">
      <c r="A27" s="28">
        <v>82</v>
      </c>
      <c r="B27" s="12" t="s">
        <v>42</v>
      </c>
      <c r="C27" s="12" t="s">
        <v>43</v>
      </c>
      <c r="D27" s="44" t="s">
        <v>77</v>
      </c>
      <c r="E27" s="16" t="s">
        <v>83</v>
      </c>
      <c r="F27" s="13" t="s">
        <v>84</v>
      </c>
      <c r="G27" s="52">
        <v>2021680010003</v>
      </c>
      <c r="H27" s="43" t="s">
        <v>47</v>
      </c>
      <c r="I27" s="9"/>
      <c r="J27" s="11">
        <v>44197</v>
      </c>
      <c r="K27" s="11">
        <v>44561</v>
      </c>
      <c r="L27" s="74">
        <v>1</v>
      </c>
      <c r="M27" s="75">
        <v>1</v>
      </c>
      <c r="N27" s="73">
        <f t="shared" si="0"/>
        <v>1</v>
      </c>
      <c r="O27" s="37" t="s">
        <v>59</v>
      </c>
      <c r="P27" s="29">
        <v>30000000</v>
      </c>
      <c r="Q27" s="84"/>
      <c r="R27" s="84"/>
      <c r="S27" s="84"/>
      <c r="T27" s="31"/>
      <c r="U27" s="70">
        <f>SUM(P27:T27)</f>
        <v>30000000</v>
      </c>
      <c r="V27" s="29">
        <f>11124930+18875070-104930</f>
        <v>29895070</v>
      </c>
      <c r="W27" s="77"/>
      <c r="X27" s="77"/>
      <c r="Y27" s="77"/>
      <c r="Z27" s="78"/>
      <c r="AA27" s="70">
        <f>SUM(V27:Z27)</f>
        <v>29895070</v>
      </c>
      <c r="AB27" s="8">
        <f t="shared" si="1"/>
        <v>0.99650233333333338</v>
      </c>
      <c r="AC27" s="29"/>
      <c r="AD27" s="10" t="s">
        <v>49</v>
      </c>
      <c r="AE27" s="10" t="s">
        <v>50</v>
      </c>
    </row>
    <row r="28" spans="1:31" ht="111" customHeight="1" x14ac:dyDescent="0.25">
      <c r="A28" s="28">
        <v>83</v>
      </c>
      <c r="B28" s="12" t="s">
        <v>42</v>
      </c>
      <c r="C28" s="12" t="s">
        <v>43</v>
      </c>
      <c r="D28" s="44" t="s">
        <v>77</v>
      </c>
      <c r="E28" s="16" t="s">
        <v>85</v>
      </c>
      <c r="F28" s="13" t="s">
        <v>86</v>
      </c>
      <c r="G28" s="52">
        <v>2021680010003</v>
      </c>
      <c r="H28" s="43" t="s">
        <v>47</v>
      </c>
      <c r="I28" s="9"/>
      <c r="J28" s="11">
        <v>44197</v>
      </c>
      <c r="K28" s="11">
        <v>44561</v>
      </c>
      <c r="L28" s="71">
        <v>1</v>
      </c>
      <c r="M28" s="47">
        <v>0.6</v>
      </c>
      <c r="N28" s="73">
        <f t="shared" si="0"/>
        <v>0.6</v>
      </c>
      <c r="O28" s="37" t="s">
        <v>59</v>
      </c>
      <c r="P28" s="29">
        <v>30000000</v>
      </c>
      <c r="Q28" s="84"/>
      <c r="R28" s="84"/>
      <c r="S28" s="84"/>
      <c r="T28" s="31"/>
      <c r="U28" s="70">
        <f>SUM(P28:T28)</f>
        <v>30000000</v>
      </c>
      <c r="V28" s="29">
        <f>6000000+14000000</f>
        <v>20000000</v>
      </c>
      <c r="W28" s="77"/>
      <c r="X28" s="77"/>
      <c r="Y28" s="77"/>
      <c r="Z28" s="78"/>
      <c r="AA28" s="70">
        <f>SUM(V28:Z28)</f>
        <v>20000000</v>
      </c>
      <c r="AB28" s="8">
        <f t="shared" si="1"/>
        <v>0.66666666666666663</v>
      </c>
      <c r="AC28" s="29"/>
      <c r="AD28" s="10" t="s">
        <v>49</v>
      </c>
      <c r="AE28" s="10" t="s">
        <v>50</v>
      </c>
    </row>
    <row r="29" spans="1:31" ht="93" customHeight="1" x14ac:dyDescent="0.25">
      <c r="A29" s="28">
        <v>84</v>
      </c>
      <c r="B29" s="12" t="s">
        <v>42</v>
      </c>
      <c r="C29" s="12" t="s">
        <v>43</v>
      </c>
      <c r="D29" s="44" t="s">
        <v>77</v>
      </c>
      <c r="E29" s="16" t="s">
        <v>87</v>
      </c>
      <c r="F29" s="13" t="s">
        <v>88</v>
      </c>
      <c r="G29" s="52">
        <v>2021680010003</v>
      </c>
      <c r="H29" s="43" t="s">
        <v>47</v>
      </c>
      <c r="I29" s="9"/>
      <c r="J29" s="11">
        <v>44197</v>
      </c>
      <c r="K29" s="11">
        <v>44561</v>
      </c>
      <c r="L29" s="71">
        <v>2</v>
      </c>
      <c r="M29" s="47">
        <v>0.4</v>
      </c>
      <c r="N29" s="73">
        <f t="shared" si="0"/>
        <v>0.2</v>
      </c>
      <c r="O29" s="37" t="s">
        <v>59</v>
      </c>
      <c r="P29" s="29">
        <v>30000000</v>
      </c>
      <c r="Q29" s="30"/>
      <c r="R29" s="30"/>
      <c r="S29" s="30"/>
      <c r="T29" s="31"/>
      <c r="U29" s="70">
        <f>SUM(P29:T29)</f>
        <v>30000000</v>
      </c>
      <c r="V29" s="29">
        <v>28000000</v>
      </c>
      <c r="W29" s="77"/>
      <c r="X29" s="77"/>
      <c r="Y29" s="77"/>
      <c r="Z29" s="78"/>
      <c r="AA29" s="70">
        <f>SUM(V29:Z29)</f>
        <v>28000000</v>
      </c>
      <c r="AB29" s="8">
        <f t="shared" si="1"/>
        <v>0.93333333333333335</v>
      </c>
      <c r="AC29" s="29"/>
      <c r="AD29" s="10" t="s">
        <v>49</v>
      </c>
      <c r="AE29" s="10" t="s">
        <v>50</v>
      </c>
    </row>
    <row r="30" spans="1:31" ht="62.4" x14ac:dyDescent="0.25">
      <c r="A30" s="28">
        <v>88</v>
      </c>
      <c r="B30" s="12" t="s">
        <v>42</v>
      </c>
      <c r="C30" s="12" t="s">
        <v>43</v>
      </c>
      <c r="D30" s="44" t="s">
        <v>102</v>
      </c>
      <c r="E30" s="16" t="s">
        <v>109</v>
      </c>
      <c r="F30" s="13" t="s">
        <v>110</v>
      </c>
      <c r="G30" s="52">
        <v>2020680010040</v>
      </c>
      <c r="H30" s="43" t="s">
        <v>107</v>
      </c>
      <c r="I30" s="9" t="s">
        <v>111</v>
      </c>
      <c r="J30" s="11">
        <v>44197</v>
      </c>
      <c r="K30" s="11">
        <v>44561</v>
      </c>
      <c r="L30" s="71">
        <v>11000</v>
      </c>
      <c r="M30" s="72">
        <v>10840</v>
      </c>
      <c r="N30" s="73">
        <f>IFERROR(IF(M30/L30&gt;100%,100%,M30/L30),"-")</f>
        <v>0.98545454545454547</v>
      </c>
      <c r="O30" s="37" t="s">
        <v>112</v>
      </c>
      <c r="P30" s="29">
        <v>60000000</v>
      </c>
      <c r="Q30" s="33"/>
      <c r="R30" s="33"/>
      <c r="S30" s="33"/>
      <c r="T30" s="31"/>
      <c r="U30" s="70">
        <f>SUM(P30:T30)</f>
        <v>60000000</v>
      </c>
      <c r="V30" s="29">
        <f>40800000+14400000</f>
        <v>55200000</v>
      </c>
      <c r="W30" s="77"/>
      <c r="X30" s="77"/>
      <c r="Y30" s="61"/>
      <c r="Z30" s="78"/>
      <c r="AA30" s="70">
        <f>SUM(V30:Z30)</f>
        <v>55200000</v>
      </c>
      <c r="AB30" s="8">
        <f>IFERROR(AA30/U30,"-")</f>
        <v>0.92</v>
      </c>
      <c r="AC30" s="29"/>
      <c r="AD30" s="10" t="s">
        <v>49</v>
      </c>
      <c r="AE30" s="10" t="s">
        <v>50</v>
      </c>
    </row>
    <row r="31" spans="1:31" ht="103.8" customHeight="1" x14ac:dyDescent="0.25">
      <c r="A31" s="28">
        <v>89</v>
      </c>
      <c r="B31" s="12" t="s">
        <v>42</v>
      </c>
      <c r="C31" s="12" t="s">
        <v>43</v>
      </c>
      <c r="D31" s="46" t="s">
        <v>102</v>
      </c>
      <c r="E31" s="55" t="s">
        <v>103</v>
      </c>
      <c r="F31" s="36" t="s">
        <v>104</v>
      </c>
      <c r="G31" s="36"/>
      <c r="H31" s="36" t="s">
        <v>105</v>
      </c>
      <c r="I31" s="9"/>
      <c r="J31" s="15"/>
      <c r="K31" s="15"/>
      <c r="L31" s="104">
        <v>25000</v>
      </c>
      <c r="M31" s="105">
        <v>774</v>
      </c>
      <c r="N31" s="106">
        <f>IFERROR(IF(M31/L31&gt;100%,100%,M31/L31),"-")</f>
        <v>3.0960000000000001E-2</v>
      </c>
      <c r="O31" s="37" t="s">
        <v>106</v>
      </c>
      <c r="P31" s="29">
        <v>2014339181.01</v>
      </c>
      <c r="Q31" s="33"/>
      <c r="R31" s="33"/>
      <c r="S31" s="33"/>
      <c r="T31" s="31"/>
      <c r="U31" s="107">
        <f>SUM(P31:T32)</f>
        <v>3514339182.0100002</v>
      </c>
      <c r="V31" s="29">
        <v>200000000</v>
      </c>
      <c r="W31" s="77"/>
      <c r="X31" s="77"/>
      <c r="Y31" s="77"/>
      <c r="Z31" s="78"/>
      <c r="AA31" s="107">
        <f>SUM(V31:Z32)</f>
        <v>1218992301.0999999</v>
      </c>
      <c r="AB31" s="8">
        <f>IFERROR(AA31/U31,"-")</f>
        <v>0.34686245065361232</v>
      </c>
      <c r="AC31" s="29">
        <v>80496000</v>
      </c>
      <c r="AD31" s="10" t="s">
        <v>49</v>
      </c>
      <c r="AE31" s="10" t="s">
        <v>50</v>
      </c>
    </row>
    <row r="32" spans="1:31" ht="78" x14ac:dyDescent="0.25">
      <c r="A32" s="28">
        <v>89</v>
      </c>
      <c r="B32" s="12" t="s">
        <v>42</v>
      </c>
      <c r="C32" s="12" t="s">
        <v>43</v>
      </c>
      <c r="D32" s="46" t="s">
        <v>102</v>
      </c>
      <c r="E32" s="55" t="s">
        <v>103</v>
      </c>
      <c r="F32" s="36" t="s">
        <v>104</v>
      </c>
      <c r="G32" s="52">
        <v>2020680010040</v>
      </c>
      <c r="H32" s="43" t="s">
        <v>107</v>
      </c>
      <c r="I32" s="9"/>
      <c r="J32" s="15">
        <v>44197</v>
      </c>
      <c r="K32" s="15">
        <v>44561</v>
      </c>
      <c r="L32" s="104"/>
      <c r="M32" s="105"/>
      <c r="N32" s="106"/>
      <c r="O32" s="37" t="s">
        <v>108</v>
      </c>
      <c r="P32" s="29">
        <f>46000000+603350727</f>
        <v>649350727</v>
      </c>
      <c r="Q32" s="33"/>
      <c r="R32" s="33"/>
      <c r="S32" s="33"/>
      <c r="T32" s="33">
        <v>850649274</v>
      </c>
      <c r="U32" s="107"/>
      <c r="V32" s="29">
        <f>46000000+313350726+290000000</f>
        <v>649350726</v>
      </c>
      <c r="W32" s="77"/>
      <c r="X32" s="77"/>
      <c r="Y32" s="29"/>
      <c r="Z32" s="29">
        <f>246245039.9+123396535.2</f>
        <v>369641575.10000002</v>
      </c>
      <c r="AA32" s="107"/>
      <c r="AB32" s="8"/>
      <c r="AC32" s="29"/>
      <c r="AD32" s="10" t="s">
        <v>49</v>
      </c>
      <c r="AE32" s="10" t="s">
        <v>50</v>
      </c>
    </row>
    <row r="33" spans="1:31" ht="78" customHeight="1" x14ac:dyDescent="0.25">
      <c r="A33" s="28">
        <v>90</v>
      </c>
      <c r="B33" s="12" t="s">
        <v>42</v>
      </c>
      <c r="C33" s="12" t="s">
        <v>43</v>
      </c>
      <c r="D33" s="44" t="s">
        <v>102</v>
      </c>
      <c r="E33" s="16" t="s">
        <v>113</v>
      </c>
      <c r="F33" s="13" t="s">
        <v>114</v>
      </c>
      <c r="G33" s="52">
        <v>2020680010040</v>
      </c>
      <c r="H33" s="43" t="s">
        <v>107</v>
      </c>
      <c r="I33" s="36"/>
      <c r="J33" s="11">
        <v>44197</v>
      </c>
      <c r="K33" s="11">
        <v>44561</v>
      </c>
      <c r="L33" s="71">
        <v>2000</v>
      </c>
      <c r="M33" s="72">
        <v>2044</v>
      </c>
      <c r="N33" s="73">
        <f t="shared" ref="N33:N40" si="6">IFERROR(IF(M33/L33&gt;100%,100%,M33/L33),"-")</f>
        <v>1</v>
      </c>
      <c r="O33" s="37" t="s">
        <v>115</v>
      </c>
      <c r="P33" s="29">
        <f>150000000-24000000-24000000-10000000</f>
        <v>92000000</v>
      </c>
      <c r="Q33" s="33"/>
      <c r="R33" s="33"/>
      <c r="S33" s="33"/>
      <c r="T33" s="60"/>
      <c r="U33" s="70">
        <f>SUM(P33:T33)</f>
        <v>92000000</v>
      </c>
      <c r="V33" s="29">
        <v>20000000</v>
      </c>
      <c r="W33" s="77"/>
      <c r="X33" s="77"/>
      <c r="Y33" s="61"/>
      <c r="Z33" s="61"/>
      <c r="AA33" s="70">
        <f>SUM(V33:Z33)</f>
        <v>20000000</v>
      </c>
      <c r="AB33" s="8">
        <f t="shared" ref="AB33:AB40" si="7">IFERROR(AA33/U33,"-")</f>
        <v>0.21739130434782608</v>
      </c>
      <c r="AC33" s="29"/>
      <c r="AD33" s="10" t="s">
        <v>49</v>
      </c>
      <c r="AE33" s="10" t="s">
        <v>50</v>
      </c>
    </row>
    <row r="34" spans="1:31" ht="62.4" x14ac:dyDescent="0.25">
      <c r="A34" s="28">
        <v>91</v>
      </c>
      <c r="B34" s="12" t="s">
        <v>42</v>
      </c>
      <c r="C34" s="12" t="s">
        <v>43</v>
      </c>
      <c r="D34" s="44" t="s">
        <v>102</v>
      </c>
      <c r="E34" s="16" t="s">
        <v>116</v>
      </c>
      <c r="F34" s="13" t="s">
        <v>117</v>
      </c>
      <c r="G34" s="52">
        <v>2020680010040</v>
      </c>
      <c r="H34" s="43" t="s">
        <v>107</v>
      </c>
      <c r="I34" s="36"/>
      <c r="J34" s="11">
        <v>44197</v>
      </c>
      <c r="K34" s="11">
        <v>44561</v>
      </c>
      <c r="L34" s="74">
        <v>1</v>
      </c>
      <c r="M34" s="75">
        <v>1</v>
      </c>
      <c r="N34" s="73">
        <f t="shared" si="6"/>
        <v>1</v>
      </c>
      <c r="O34" s="37" t="s">
        <v>115</v>
      </c>
      <c r="P34" s="29">
        <f>150000000+44909000</f>
        <v>194909000</v>
      </c>
      <c r="Q34" s="33"/>
      <c r="R34" s="33"/>
      <c r="S34" s="33"/>
      <c r="T34" s="60"/>
      <c r="U34" s="70">
        <f>SUM(P34:T34)</f>
        <v>194909000</v>
      </c>
      <c r="V34" s="29">
        <f>31320000+23490000+140099000</f>
        <v>194909000</v>
      </c>
      <c r="W34" s="77"/>
      <c r="X34" s="77"/>
      <c r="Y34" s="61"/>
      <c r="Z34" s="61"/>
      <c r="AA34" s="70">
        <f>SUM(V34:Z34)</f>
        <v>194909000</v>
      </c>
      <c r="AB34" s="8">
        <f t="shared" si="7"/>
        <v>1</v>
      </c>
      <c r="AC34" s="29"/>
      <c r="AD34" s="10" t="s">
        <v>49</v>
      </c>
      <c r="AE34" s="10" t="s">
        <v>50</v>
      </c>
    </row>
    <row r="35" spans="1:31" ht="95.4" customHeight="1" x14ac:dyDescent="0.25">
      <c r="A35" s="28">
        <v>92</v>
      </c>
      <c r="B35" s="12" t="s">
        <v>42</v>
      </c>
      <c r="C35" s="12" t="s">
        <v>43</v>
      </c>
      <c r="D35" s="44" t="s">
        <v>102</v>
      </c>
      <c r="E35" s="16" t="s">
        <v>118</v>
      </c>
      <c r="F35" s="13" t="s">
        <v>119</v>
      </c>
      <c r="G35" s="52">
        <v>2020680010040</v>
      </c>
      <c r="H35" s="43" t="s">
        <v>107</v>
      </c>
      <c r="I35" s="36"/>
      <c r="J35" s="11">
        <v>44197</v>
      </c>
      <c r="K35" s="11">
        <v>44561</v>
      </c>
      <c r="L35" s="104">
        <v>1656</v>
      </c>
      <c r="M35" s="105">
        <v>1601</v>
      </c>
      <c r="N35" s="106">
        <f t="shared" si="6"/>
        <v>0.96678743961352653</v>
      </c>
      <c r="O35" s="37" t="s">
        <v>256</v>
      </c>
      <c r="P35" s="29">
        <v>3564626182.3400002</v>
      </c>
      <c r="Q35" s="33"/>
      <c r="R35" s="33"/>
      <c r="S35" s="33"/>
      <c r="T35" s="33">
        <f>762195777+927807539</f>
        <v>1690003316</v>
      </c>
      <c r="U35" s="107">
        <f>SUM(P35:T36)</f>
        <v>5315471039.4800005</v>
      </c>
      <c r="V35" s="29">
        <f>2628102905.93+663454761</f>
        <v>3291557666.9299998</v>
      </c>
      <c r="W35" s="77"/>
      <c r="X35" s="79"/>
      <c r="Y35" s="61"/>
      <c r="Z35" s="61">
        <v>1661510016</v>
      </c>
      <c r="AA35" s="107">
        <f>SUM(V35:Z36)</f>
        <v>4953067682.9300003</v>
      </c>
      <c r="AB35" s="102">
        <f t="shared" si="7"/>
        <v>0.93182102698739311</v>
      </c>
      <c r="AC35" s="103"/>
      <c r="AD35" s="101" t="s">
        <v>49</v>
      </c>
      <c r="AE35" s="101" t="s">
        <v>50</v>
      </c>
    </row>
    <row r="36" spans="1:31" ht="99" customHeight="1" x14ac:dyDescent="0.25">
      <c r="A36" s="68">
        <v>92</v>
      </c>
      <c r="B36" s="12" t="s">
        <v>42</v>
      </c>
      <c r="C36" s="12" t="s">
        <v>43</v>
      </c>
      <c r="D36" s="44" t="s">
        <v>102</v>
      </c>
      <c r="E36" s="16" t="s">
        <v>118</v>
      </c>
      <c r="F36" s="13" t="s">
        <v>119</v>
      </c>
      <c r="G36" s="52">
        <v>2020680010040</v>
      </c>
      <c r="H36" s="43" t="s">
        <v>107</v>
      </c>
      <c r="I36" s="36" t="s">
        <v>252</v>
      </c>
      <c r="J36" s="11"/>
      <c r="K36" s="11"/>
      <c r="L36" s="104"/>
      <c r="M36" s="105"/>
      <c r="N36" s="106"/>
      <c r="O36" s="37" t="s">
        <v>255</v>
      </c>
      <c r="P36" s="29">
        <v>60841541.140000001</v>
      </c>
      <c r="Q36" s="33"/>
      <c r="R36" s="33"/>
      <c r="S36" s="33"/>
      <c r="T36" s="61"/>
      <c r="U36" s="107"/>
      <c r="V36" s="29"/>
      <c r="W36" s="77"/>
      <c r="X36" s="79"/>
      <c r="Y36" s="61"/>
      <c r="Z36" s="78"/>
      <c r="AA36" s="107"/>
      <c r="AB36" s="102"/>
      <c r="AC36" s="103"/>
      <c r="AD36" s="101"/>
      <c r="AE36" s="101"/>
    </row>
    <row r="37" spans="1:31" ht="78" customHeight="1" x14ac:dyDescent="0.25">
      <c r="A37" s="28">
        <v>94</v>
      </c>
      <c r="B37" s="12" t="s">
        <v>42</v>
      </c>
      <c r="C37" s="12" t="s">
        <v>43</v>
      </c>
      <c r="D37" s="44" t="s">
        <v>102</v>
      </c>
      <c r="E37" s="16" t="s">
        <v>120</v>
      </c>
      <c r="F37" s="13" t="s">
        <v>121</v>
      </c>
      <c r="G37" s="52">
        <v>2020680010040</v>
      </c>
      <c r="H37" s="43" t="s">
        <v>107</v>
      </c>
      <c r="I37" s="36"/>
      <c r="J37" s="11">
        <v>44197</v>
      </c>
      <c r="K37" s="11">
        <v>44561</v>
      </c>
      <c r="L37" s="71">
        <v>1</v>
      </c>
      <c r="M37" s="72">
        <v>1</v>
      </c>
      <c r="N37" s="73">
        <f t="shared" si="6"/>
        <v>1</v>
      </c>
      <c r="O37" s="37" t="s">
        <v>122</v>
      </c>
      <c r="P37" s="29">
        <f>40000000+72799850+24000000+24000000</f>
        <v>160799850</v>
      </c>
      <c r="Q37" s="33"/>
      <c r="R37" s="33"/>
      <c r="S37" s="33"/>
      <c r="T37" s="31"/>
      <c r="U37" s="70">
        <f>SUM(P37:T37)</f>
        <v>160799850</v>
      </c>
      <c r="V37" s="29">
        <f>72000000+10400000+8000000+24000000+24000000-23300000</f>
        <v>115100000</v>
      </c>
      <c r="W37" s="77"/>
      <c r="X37" s="80"/>
      <c r="Y37" s="61"/>
      <c r="Z37" s="78"/>
      <c r="AA37" s="70">
        <f>SUM(V37:Z37)</f>
        <v>115100000</v>
      </c>
      <c r="AB37" s="8">
        <f t="shared" si="7"/>
        <v>0.71579668762128823</v>
      </c>
      <c r="AC37" s="29"/>
      <c r="AD37" s="10" t="s">
        <v>49</v>
      </c>
      <c r="AE37" s="10" t="s">
        <v>50</v>
      </c>
    </row>
    <row r="38" spans="1:31" ht="78" x14ac:dyDescent="0.25">
      <c r="A38" s="28">
        <v>95</v>
      </c>
      <c r="B38" s="12" t="s">
        <v>42</v>
      </c>
      <c r="C38" s="12" t="s">
        <v>43</v>
      </c>
      <c r="D38" s="44" t="s">
        <v>102</v>
      </c>
      <c r="E38" s="16" t="s">
        <v>251</v>
      </c>
      <c r="F38" s="13" t="s">
        <v>123</v>
      </c>
      <c r="G38" s="52">
        <v>2020680010040</v>
      </c>
      <c r="H38" s="43" t="s">
        <v>107</v>
      </c>
      <c r="I38" s="36"/>
      <c r="J38" s="11">
        <v>44197</v>
      </c>
      <c r="K38" s="11">
        <v>44561</v>
      </c>
      <c r="L38" s="104">
        <v>1</v>
      </c>
      <c r="M38" s="105">
        <v>1</v>
      </c>
      <c r="N38" s="106">
        <f>IFERROR(IF(M38/L38&gt;100%,100%,M38/L38),"-")</f>
        <v>1</v>
      </c>
      <c r="O38" s="37" t="s">
        <v>258</v>
      </c>
      <c r="P38" s="29">
        <v>98000000</v>
      </c>
      <c r="Q38" s="33"/>
      <c r="R38" s="33"/>
      <c r="S38" s="33"/>
      <c r="T38" s="31"/>
      <c r="U38" s="107">
        <f>SUM(P38:T39)</f>
        <v>130000000</v>
      </c>
      <c r="V38" s="29">
        <f>52000000+28800000</f>
        <v>80800000</v>
      </c>
      <c r="W38" s="81"/>
      <c r="X38" s="81"/>
      <c r="Y38" s="82"/>
      <c r="Z38" s="78"/>
      <c r="AA38" s="107">
        <f>SUM(V38:Z39)</f>
        <v>80800000</v>
      </c>
      <c r="AB38" s="102">
        <f>IFERROR(AA38/U38,"-")</f>
        <v>0.62153846153846148</v>
      </c>
      <c r="AC38" s="103"/>
      <c r="AD38" s="101" t="s">
        <v>49</v>
      </c>
      <c r="AE38" s="101" t="s">
        <v>50</v>
      </c>
    </row>
    <row r="39" spans="1:31" ht="78" x14ac:dyDescent="0.25">
      <c r="A39" s="68">
        <v>95</v>
      </c>
      <c r="B39" s="12" t="s">
        <v>42</v>
      </c>
      <c r="C39" s="12" t="s">
        <v>43</v>
      </c>
      <c r="D39" s="44" t="s">
        <v>102</v>
      </c>
      <c r="E39" s="16" t="s">
        <v>251</v>
      </c>
      <c r="F39" s="13" t="s">
        <v>123</v>
      </c>
      <c r="G39" s="52">
        <v>2020680010040</v>
      </c>
      <c r="H39" s="43" t="s">
        <v>107</v>
      </c>
      <c r="I39" s="36" t="s">
        <v>252</v>
      </c>
      <c r="J39" s="11"/>
      <c r="K39" s="11"/>
      <c r="L39" s="104"/>
      <c r="M39" s="105"/>
      <c r="N39" s="106"/>
      <c r="O39" s="37" t="s">
        <v>257</v>
      </c>
      <c r="P39" s="29">
        <v>32000000</v>
      </c>
      <c r="Q39" s="33"/>
      <c r="R39" s="33"/>
      <c r="S39" s="33"/>
      <c r="T39" s="31"/>
      <c r="U39" s="107"/>
      <c r="V39" s="29"/>
      <c r="W39" s="81"/>
      <c r="X39" s="81"/>
      <c r="Y39" s="82"/>
      <c r="Z39" s="78"/>
      <c r="AA39" s="107"/>
      <c r="AB39" s="102"/>
      <c r="AC39" s="103"/>
      <c r="AD39" s="101"/>
      <c r="AE39" s="101"/>
    </row>
    <row r="40" spans="1:31" ht="78.599999999999994" customHeight="1" x14ac:dyDescent="0.25">
      <c r="A40" s="28">
        <v>93</v>
      </c>
      <c r="B40" s="17" t="s">
        <v>42</v>
      </c>
      <c r="C40" s="17" t="s">
        <v>43</v>
      </c>
      <c r="D40" s="46" t="s">
        <v>102</v>
      </c>
      <c r="E40" s="55" t="s">
        <v>124</v>
      </c>
      <c r="F40" s="36" t="s">
        <v>125</v>
      </c>
      <c r="G40" s="52">
        <v>2020680010040</v>
      </c>
      <c r="H40" s="43" t="s">
        <v>107</v>
      </c>
      <c r="I40" s="13" t="s">
        <v>126</v>
      </c>
      <c r="J40" s="11">
        <v>44197</v>
      </c>
      <c r="K40" s="11">
        <v>44561</v>
      </c>
      <c r="L40" s="104">
        <v>3</v>
      </c>
      <c r="M40" s="105">
        <v>3</v>
      </c>
      <c r="N40" s="106">
        <f t="shared" si="6"/>
        <v>1</v>
      </c>
      <c r="O40" s="37" t="s">
        <v>127</v>
      </c>
      <c r="P40" s="29">
        <f>35000000+164091000+24000000+80000000+26000000</f>
        <v>329091000</v>
      </c>
      <c r="Q40" s="33"/>
      <c r="R40" s="33"/>
      <c r="S40" s="33"/>
      <c r="T40" s="31"/>
      <c r="U40" s="107">
        <f>SUM(P40:T41)</f>
        <v>629091000</v>
      </c>
      <c r="V40" s="62">
        <f>3314546.93+62400000+24000000+76000000+25600000+2290443.93+2111705.93-10890+86763+1432554.93+3685002.82</f>
        <v>200910127.54000002</v>
      </c>
      <c r="W40" s="77"/>
      <c r="X40" s="77"/>
      <c r="Y40" s="61"/>
      <c r="Z40" s="78"/>
      <c r="AA40" s="107">
        <f>SUM(V40:Z41)</f>
        <v>200910127.54000002</v>
      </c>
      <c r="AB40" s="102">
        <f t="shared" si="7"/>
        <v>0.31936576352228851</v>
      </c>
      <c r="AC40" s="103"/>
      <c r="AD40" s="101" t="s">
        <v>49</v>
      </c>
      <c r="AE40" s="101" t="s">
        <v>50</v>
      </c>
    </row>
    <row r="41" spans="1:31" ht="90" x14ac:dyDescent="0.25">
      <c r="A41" s="28">
        <v>93</v>
      </c>
      <c r="B41" s="17" t="s">
        <v>42</v>
      </c>
      <c r="C41" s="17" t="s">
        <v>43</v>
      </c>
      <c r="D41" s="46" t="s">
        <v>102</v>
      </c>
      <c r="E41" s="55" t="s">
        <v>124</v>
      </c>
      <c r="F41" s="36" t="s">
        <v>125</v>
      </c>
      <c r="G41" s="41">
        <v>2020680010151</v>
      </c>
      <c r="H41" s="38" t="s">
        <v>128</v>
      </c>
      <c r="I41" s="13" t="s">
        <v>129</v>
      </c>
      <c r="J41" s="11">
        <v>44197</v>
      </c>
      <c r="K41" s="11">
        <v>44561</v>
      </c>
      <c r="L41" s="104"/>
      <c r="M41" s="105"/>
      <c r="N41" s="106"/>
      <c r="O41" s="37" t="s">
        <v>130</v>
      </c>
      <c r="P41" s="29">
        <v>300000000</v>
      </c>
      <c r="Q41" s="30"/>
      <c r="R41" s="30"/>
      <c r="S41" s="60"/>
      <c r="T41" s="31"/>
      <c r="U41" s="107"/>
      <c r="V41" s="29"/>
      <c r="W41" s="77"/>
      <c r="X41" s="77"/>
      <c r="Y41" s="61"/>
      <c r="Z41" s="78"/>
      <c r="AA41" s="107"/>
      <c r="AB41" s="102"/>
      <c r="AC41" s="103"/>
      <c r="AD41" s="101"/>
      <c r="AE41" s="101"/>
    </row>
    <row r="42" spans="1:31" ht="78" x14ac:dyDescent="0.25">
      <c r="A42" s="28">
        <v>96</v>
      </c>
      <c r="B42" s="12" t="s">
        <v>42</v>
      </c>
      <c r="C42" s="12" t="s">
        <v>43</v>
      </c>
      <c r="D42" s="44" t="s">
        <v>131</v>
      </c>
      <c r="E42" s="39" t="s">
        <v>132</v>
      </c>
      <c r="F42" s="35" t="s">
        <v>133</v>
      </c>
      <c r="G42" s="52">
        <v>2020680010072</v>
      </c>
      <c r="H42" s="56" t="s">
        <v>134</v>
      </c>
      <c r="I42" s="53" t="s">
        <v>135</v>
      </c>
      <c r="J42" s="11">
        <v>44197</v>
      </c>
      <c r="K42" s="11">
        <v>44561</v>
      </c>
      <c r="L42" s="71">
        <v>1</v>
      </c>
      <c r="M42" s="72">
        <v>0.5</v>
      </c>
      <c r="N42" s="73">
        <f>IFERROR(IF(M42/L42&gt;100%,100%,M42/L42),"-")</f>
        <v>0.5</v>
      </c>
      <c r="O42" s="37" t="s">
        <v>136</v>
      </c>
      <c r="P42" s="29">
        <v>60000000</v>
      </c>
      <c r="Q42" s="32"/>
      <c r="R42" s="32"/>
      <c r="S42" s="32"/>
      <c r="T42" s="31"/>
      <c r="U42" s="70">
        <f t="shared" ref="U42:U52" si="8">SUM(P42:T42)</f>
        <v>60000000</v>
      </c>
      <c r="V42" s="29">
        <f>16000000+2800000+4000000+12800000+7200000+1955373</f>
        <v>44755373</v>
      </c>
      <c r="W42" s="81"/>
      <c r="X42" s="81"/>
      <c r="Y42" s="81"/>
      <c r="Z42" s="78"/>
      <c r="AA42" s="70">
        <f t="shared" ref="AA42:AA52" si="9">SUM(V42:Z42)</f>
        <v>44755373</v>
      </c>
      <c r="AB42" s="8">
        <f t="shared" ref="AB42:AB60" si="10">IFERROR(AA42/U42,"-")</f>
        <v>0.74592288333333334</v>
      </c>
      <c r="AC42" s="29"/>
      <c r="AD42" s="10" t="s">
        <v>49</v>
      </c>
      <c r="AE42" s="10" t="s">
        <v>50</v>
      </c>
    </row>
    <row r="43" spans="1:31" ht="60" x14ac:dyDescent="0.25">
      <c r="A43" s="28">
        <v>97</v>
      </c>
      <c r="B43" s="12" t="s">
        <v>42</v>
      </c>
      <c r="C43" s="12" t="s">
        <v>43</v>
      </c>
      <c r="D43" s="44" t="s">
        <v>131</v>
      </c>
      <c r="E43" s="39" t="s">
        <v>137</v>
      </c>
      <c r="F43" s="35" t="s">
        <v>138</v>
      </c>
      <c r="G43" s="52">
        <v>2020680010072</v>
      </c>
      <c r="H43" s="56" t="s">
        <v>134</v>
      </c>
      <c r="I43" s="53" t="s">
        <v>252</v>
      </c>
      <c r="J43" s="11">
        <v>44197</v>
      </c>
      <c r="K43" s="11">
        <v>44561</v>
      </c>
      <c r="L43" s="71">
        <v>1</v>
      </c>
      <c r="M43" s="72">
        <v>0</v>
      </c>
      <c r="N43" s="73">
        <f>IFERROR(IF(M43/L43&gt;100%,100%,M43/L43),"-")</f>
        <v>0</v>
      </c>
      <c r="O43" s="37" t="s">
        <v>139</v>
      </c>
      <c r="P43" s="29">
        <v>200000000</v>
      </c>
      <c r="Q43" s="32"/>
      <c r="R43" s="32"/>
      <c r="S43" s="32"/>
      <c r="T43" s="31"/>
      <c r="U43" s="70">
        <f t="shared" si="8"/>
        <v>200000000</v>
      </c>
      <c r="V43" s="29"/>
      <c r="W43" s="81"/>
      <c r="X43" s="81"/>
      <c r="Y43" s="81"/>
      <c r="Z43" s="78"/>
      <c r="AA43" s="70">
        <f t="shared" si="9"/>
        <v>0</v>
      </c>
      <c r="AB43" s="8">
        <f t="shared" si="10"/>
        <v>0</v>
      </c>
      <c r="AC43" s="29"/>
      <c r="AD43" s="10" t="s">
        <v>49</v>
      </c>
      <c r="AE43" s="10" t="s">
        <v>50</v>
      </c>
    </row>
    <row r="44" spans="1:31" ht="60" x14ac:dyDescent="0.25">
      <c r="A44" s="28">
        <v>98</v>
      </c>
      <c r="B44" s="12" t="s">
        <v>42</v>
      </c>
      <c r="C44" s="12" t="s">
        <v>43</v>
      </c>
      <c r="D44" s="44" t="s">
        <v>131</v>
      </c>
      <c r="E44" s="39" t="s">
        <v>140</v>
      </c>
      <c r="F44" s="35" t="s">
        <v>141</v>
      </c>
      <c r="G44" s="52">
        <v>2020680010072</v>
      </c>
      <c r="H44" s="56" t="s">
        <v>134</v>
      </c>
      <c r="I44" s="53" t="s">
        <v>135</v>
      </c>
      <c r="J44" s="11">
        <v>44197</v>
      </c>
      <c r="K44" s="11">
        <v>44561</v>
      </c>
      <c r="L44" s="74">
        <v>1</v>
      </c>
      <c r="M44" s="72">
        <v>1</v>
      </c>
      <c r="N44" s="73">
        <f>IFERROR(IF(M44/L44&gt;100%,100%,M44/L44),"-")</f>
        <v>1</v>
      </c>
      <c r="O44" s="37" t="s">
        <v>136</v>
      </c>
      <c r="P44" s="62">
        <v>140000000</v>
      </c>
      <c r="Q44" s="32"/>
      <c r="R44" s="32"/>
      <c r="S44" s="32"/>
      <c r="T44" s="31"/>
      <c r="U44" s="70">
        <f t="shared" si="8"/>
        <v>140000000</v>
      </c>
      <c r="V44" s="62">
        <f>449727.77+438017.77+16000000+25200000+4000000+12800000+16800000+16000000+16000000+188923.77+45667.77+45667.77+57084.71</f>
        <v>108025089.55999997</v>
      </c>
      <c r="W44" s="81"/>
      <c r="X44" s="81"/>
      <c r="Y44" s="81"/>
      <c r="Z44" s="78"/>
      <c r="AA44" s="70">
        <f t="shared" si="9"/>
        <v>108025089.55999997</v>
      </c>
      <c r="AB44" s="8">
        <f t="shared" si="10"/>
        <v>0.77160778257142837</v>
      </c>
      <c r="AC44" s="29"/>
      <c r="AD44" s="10" t="s">
        <v>49</v>
      </c>
      <c r="AE44" s="10" t="s">
        <v>50</v>
      </c>
    </row>
    <row r="45" spans="1:31" ht="75" x14ac:dyDescent="0.25">
      <c r="A45" s="28">
        <v>99</v>
      </c>
      <c r="B45" s="17" t="s">
        <v>42</v>
      </c>
      <c r="C45" s="17" t="s">
        <v>43</v>
      </c>
      <c r="D45" s="45" t="s">
        <v>131</v>
      </c>
      <c r="E45" s="39" t="s">
        <v>142</v>
      </c>
      <c r="F45" s="35" t="s">
        <v>143</v>
      </c>
      <c r="G45" s="41">
        <v>202068001033</v>
      </c>
      <c r="H45" s="38" t="s">
        <v>144</v>
      </c>
      <c r="I45" s="9" t="s">
        <v>145</v>
      </c>
      <c r="J45" s="11">
        <v>44197</v>
      </c>
      <c r="K45" s="11">
        <v>44561</v>
      </c>
      <c r="L45" s="71">
        <v>1</v>
      </c>
      <c r="M45" s="47">
        <v>0</v>
      </c>
      <c r="N45" s="73">
        <f t="shared" ref="N45:N85" si="11">IFERROR(IF(M45/L45&gt;100%,100%,M45/L45),"-")</f>
        <v>0</v>
      </c>
      <c r="O45" s="37"/>
      <c r="P45" s="29"/>
      <c r="Q45" s="32"/>
      <c r="R45" s="32"/>
      <c r="S45" s="32"/>
      <c r="T45" s="31"/>
      <c r="U45" s="70">
        <f t="shared" si="8"/>
        <v>0</v>
      </c>
      <c r="V45" s="29"/>
      <c r="W45" s="81"/>
      <c r="X45" s="81"/>
      <c r="Y45" s="81"/>
      <c r="Z45" s="78"/>
      <c r="AA45" s="70">
        <f t="shared" si="9"/>
        <v>0</v>
      </c>
      <c r="AB45" s="8" t="str">
        <f t="shared" si="10"/>
        <v>-</v>
      </c>
      <c r="AC45" s="29"/>
      <c r="AD45" s="10" t="s">
        <v>49</v>
      </c>
      <c r="AE45" s="10" t="s">
        <v>50</v>
      </c>
    </row>
    <row r="46" spans="1:31" ht="93.6" x14ac:dyDescent="0.25">
      <c r="A46" s="28">
        <v>100</v>
      </c>
      <c r="B46" s="12" t="s">
        <v>42</v>
      </c>
      <c r="C46" s="12" t="s">
        <v>43</v>
      </c>
      <c r="D46" s="44" t="s">
        <v>146</v>
      </c>
      <c r="E46" s="39" t="s">
        <v>147</v>
      </c>
      <c r="F46" s="35" t="s">
        <v>148</v>
      </c>
      <c r="G46" s="52">
        <v>2020680010106</v>
      </c>
      <c r="H46" s="43" t="s">
        <v>149</v>
      </c>
      <c r="I46" s="15" t="s">
        <v>150</v>
      </c>
      <c r="J46" s="11">
        <v>44197</v>
      </c>
      <c r="K46" s="11">
        <v>44561</v>
      </c>
      <c r="L46" s="71">
        <v>1</v>
      </c>
      <c r="M46" s="47">
        <v>0.5</v>
      </c>
      <c r="N46" s="73">
        <f t="shared" si="11"/>
        <v>0.5</v>
      </c>
      <c r="O46" s="37" t="s">
        <v>151</v>
      </c>
      <c r="P46" s="29">
        <v>0</v>
      </c>
      <c r="Q46" s="32"/>
      <c r="R46" s="32"/>
      <c r="S46" s="32"/>
      <c r="T46" s="31"/>
      <c r="U46" s="70">
        <f t="shared" si="8"/>
        <v>0</v>
      </c>
      <c r="V46" s="29">
        <v>0</v>
      </c>
      <c r="W46" s="81"/>
      <c r="X46" s="81"/>
      <c r="Y46" s="81"/>
      <c r="Z46" s="78"/>
      <c r="AA46" s="70">
        <f t="shared" si="9"/>
        <v>0</v>
      </c>
      <c r="AB46" s="8" t="str">
        <f t="shared" si="10"/>
        <v>-</v>
      </c>
      <c r="AC46" s="29">
        <v>1000000</v>
      </c>
      <c r="AD46" s="10" t="s">
        <v>49</v>
      </c>
      <c r="AE46" s="10" t="s">
        <v>50</v>
      </c>
    </row>
    <row r="47" spans="1:31" ht="93.6" x14ac:dyDescent="0.25">
      <c r="A47" s="28">
        <v>101</v>
      </c>
      <c r="B47" s="12" t="s">
        <v>42</v>
      </c>
      <c r="C47" s="12" t="s">
        <v>43</v>
      </c>
      <c r="D47" s="44" t="s">
        <v>146</v>
      </c>
      <c r="E47" s="39" t="s">
        <v>152</v>
      </c>
      <c r="F47" s="35" t="s">
        <v>153</v>
      </c>
      <c r="G47" s="52">
        <v>2020680010106</v>
      </c>
      <c r="H47" s="43" t="s">
        <v>149</v>
      </c>
      <c r="I47" s="15" t="s">
        <v>150</v>
      </c>
      <c r="J47" s="11">
        <v>44197</v>
      </c>
      <c r="K47" s="11">
        <v>44561</v>
      </c>
      <c r="L47" s="71">
        <v>600</v>
      </c>
      <c r="M47" s="72">
        <v>449</v>
      </c>
      <c r="N47" s="73">
        <f t="shared" si="11"/>
        <v>0.74833333333333329</v>
      </c>
      <c r="O47" s="37" t="s">
        <v>151</v>
      </c>
      <c r="P47" s="29">
        <f>20000000+20000000-2000000</f>
        <v>38000000</v>
      </c>
      <c r="Q47" s="32"/>
      <c r="R47" s="32"/>
      <c r="S47" s="32"/>
      <c r="T47" s="31"/>
      <c r="U47" s="70">
        <f t="shared" si="8"/>
        <v>38000000</v>
      </c>
      <c r="V47" s="29">
        <f>18000000+18000000</f>
        <v>36000000</v>
      </c>
      <c r="W47" s="81"/>
      <c r="X47" s="81"/>
      <c r="Y47" s="81"/>
      <c r="Z47" s="78"/>
      <c r="AA47" s="70">
        <f t="shared" si="9"/>
        <v>36000000</v>
      </c>
      <c r="AB47" s="8">
        <f t="shared" si="10"/>
        <v>0.94736842105263153</v>
      </c>
      <c r="AC47" s="29">
        <v>1000000</v>
      </c>
      <c r="AD47" s="10" t="s">
        <v>49</v>
      </c>
      <c r="AE47" s="10" t="s">
        <v>50</v>
      </c>
    </row>
    <row r="48" spans="1:31" ht="162" customHeight="1" x14ac:dyDescent="0.25">
      <c r="A48" s="28">
        <v>102</v>
      </c>
      <c r="B48" s="12" t="s">
        <v>42</v>
      </c>
      <c r="C48" s="12" t="s">
        <v>43</v>
      </c>
      <c r="D48" s="44" t="s">
        <v>146</v>
      </c>
      <c r="E48" s="39" t="s">
        <v>163</v>
      </c>
      <c r="F48" s="35" t="s">
        <v>164</v>
      </c>
      <c r="G48" s="52">
        <v>2020680010106</v>
      </c>
      <c r="H48" s="43" t="s">
        <v>149</v>
      </c>
      <c r="I48" s="9" t="s">
        <v>165</v>
      </c>
      <c r="J48" s="11">
        <v>44197</v>
      </c>
      <c r="K48" s="11">
        <v>44561</v>
      </c>
      <c r="L48" s="71">
        <v>1</v>
      </c>
      <c r="M48" s="72">
        <v>1</v>
      </c>
      <c r="N48" s="73">
        <f>IFERROR(IF(M48/L48&gt;100%,100%,M48/L48),"-")</f>
        <v>1</v>
      </c>
      <c r="O48" s="37" t="s">
        <v>151</v>
      </c>
      <c r="P48" s="29">
        <v>30000000</v>
      </c>
      <c r="Q48" s="32"/>
      <c r="R48" s="32"/>
      <c r="S48" s="32"/>
      <c r="T48" s="31"/>
      <c r="U48" s="70">
        <f t="shared" si="8"/>
        <v>30000000</v>
      </c>
      <c r="V48" s="29">
        <v>24000000</v>
      </c>
      <c r="W48" s="81"/>
      <c r="X48" s="81"/>
      <c r="Y48" s="81"/>
      <c r="Z48" s="78"/>
      <c r="AA48" s="70">
        <f t="shared" si="9"/>
        <v>24000000</v>
      </c>
      <c r="AB48" s="8">
        <f>IFERROR(AA48/U48,"-")</f>
        <v>0.8</v>
      </c>
      <c r="AC48" s="29">
        <v>1000000</v>
      </c>
      <c r="AD48" s="10" t="s">
        <v>49</v>
      </c>
      <c r="AE48" s="10" t="s">
        <v>50</v>
      </c>
    </row>
    <row r="49" spans="1:31" ht="162" customHeight="1" x14ac:dyDescent="0.25">
      <c r="A49" s="28">
        <v>103</v>
      </c>
      <c r="B49" s="12" t="s">
        <v>42</v>
      </c>
      <c r="C49" s="12" t="s">
        <v>43</v>
      </c>
      <c r="D49" s="44" t="s">
        <v>146</v>
      </c>
      <c r="E49" s="39" t="s">
        <v>166</v>
      </c>
      <c r="F49" s="35" t="s">
        <v>167</v>
      </c>
      <c r="G49" s="52">
        <v>2020680010106</v>
      </c>
      <c r="H49" s="43" t="s">
        <v>149</v>
      </c>
      <c r="I49" s="9" t="s">
        <v>168</v>
      </c>
      <c r="J49" s="11">
        <v>44197</v>
      </c>
      <c r="K49" s="11">
        <v>44561</v>
      </c>
      <c r="L49" s="74">
        <v>1</v>
      </c>
      <c r="M49" s="75">
        <v>1</v>
      </c>
      <c r="N49" s="73">
        <f>IFERROR(IF(M49/L49&gt;100%,100%,M49/L49),"-")</f>
        <v>1</v>
      </c>
      <c r="O49" s="37" t="s">
        <v>151</v>
      </c>
      <c r="P49" s="29">
        <v>11000000</v>
      </c>
      <c r="Q49" s="32"/>
      <c r="R49" s="32"/>
      <c r="S49" s="32"/>
      <c r="T49" s="31"/>
      <c r="U49" s="70">
        <f t="shared" si="8"/>
        <v>11000000</v>
      </c>
      <c r="V49" s="29"/>
      <c r="W49" s="81"/>
      <c r="X49" s="81"/>
      <c r="Y49" s="81"/>
      <c r="Z49" s="78"/>
      <c r="AA49" s="70">
        <f t="shared" si="9"/>
        <v>0</v>
      </c>
      <c r="AB49" s="8">
        <f>IFERROR(AA49/U49,"-")</f>
        <v>0</v>
      </c>
      <c r="AC49" s="29">
        <v>1000000</v>
      </c>
      <c r="AD49" s="10" t="s">
        <v>49</v>
      </c>
      <c r="AE49" s="10" t="s">
        <v>50</v>
      </c>
    </row>
    <row r="50" spans="1:31" ht="93.6" x14ac:dyDescent="0.25">
      <c r="A50" s="28">
        <v>104</v>
      </c>
      <c r="B50" s="12" t="s">
        <v>42</v>
      </c>
      <c r="C50" s="12" t="s">
        <v>43</v>
      </c>
      <c r="D50" s="44" t="s">
        <v>146</v>
      </c>
      <c r="E50" s="39" t="s">
        <v>169</v>
      </c>
      <c r="F50" s="35" t="s">
        <v>170</v>
      </c>
      <c r="G50" s="52">
        <v>2020680010106</v>
      </c>
      <c r="H50" s="43" t="s">
        <v>149</v>
      </c>
      <c r="I50" s="9" t="s">
        <v>171</v>
      </c>
      <c r="J50" s="11">
        <v>44197</v>
      </c>
      <c r="K50" s="11">
        <v>44561</v>
      </c>
      <c r="L50" s="71">
        <v>1</v>
      </c>
      <c r="M50" s="72">
        <v>1</v>
      </c>
      <c r="N50" s="73">
        <f>IFERROR(IF(M50/L50&gt;100%,100%,M50/L50),"-")</f>
        <v>1</v>
      </c>
      <c r="O50" s="37" t="s">
        <v>151</v>
      </c>
      <c r="P50" s="29">
        <v>10000000</v>
      </c>
      <c r="Q50" s="32"/>
      <c r="R50" s="32"/>
      <c r="S50" s="32"/>
      <c r="T50" s="31"/>
      <c r="U50" s="70">
        <f t="shared" si="8"/>
        <v>10000000</v>
      </c>
      <c r="V50" s="29"/>
      <c r="W50" s="81"/>
      <c r="X50" s="81"/>
      <c r="Y50" s="81"/>
      <c r="Z50" s="78"/>
      <c r="AA50" s="70">
        <f t="shared" si="9"/>
        <v>0</v>
      </c>
      <c r="AB50" s="8">
        <f>IFERROR(AA50/U50,"-")</f>
        <v>0</v>
      </c>
      <c r="AC50" s="29">
        <v>1000000</v>
      </c>
      <c r="AD50" s="10" t="s">
        <v>49</v>
      </c>
      <c r="AE50" s="10" t="s">
        <v>50</v>
      </c>
    </row>
    <row r="51" spans="1:31" ht="93.6" x14ac:dyDescent="0.25">
      <c r="A51" s="28">
        <v>105</v>
      </c>
      <c r="B51" s="12" t="s">
        <v>42</v>
      </c>
      <c r="C51" s="12" t="s">
        <v>43</v>
      </c>
      <c r="D51" s="44" t="s">
        <v>146</v>
      </c>
      <c r="E51" s="39" t="s">
        <v>172</v>
      </c>
      <c r="F51" s="35" t="s">
        <v>173</v>
      </c>
      <c r="G51" s="52">
        <v>2020680010106</v>
      </c>
      <c r="H51" s="43" t="s">
        <v>149</v>
      </c>
      <c r="I51" s="9" t="s">
        <v>174</v>
      </c>
      <c r="J51" s="11">
        <v>44197</v>
      </c>
      <c r="K51" s="11">
        <v>44561</v>
      </c>
      <c r="L51" s="71">
        <v>1</v>
      </c>
      <c r="M51" s="72">
        <v>1</v>
      </c>
      <c r="N51" s="73">
        <f>IFERROR(IF(M51/L51&gt;100%,100%,M51/L51),"-")</f>
        <v>1</v>
      </c>
      <c r="O51" s="37" t="s">
        <v>151</v>
      </c>
      <c r="P51" s="29">
        <v>24000000</v>
      </c>
      <c r="Q51" s="32"/>
      <c r="R51" s="32"/>
      <c r="S51" s="32"/>
      <c r="T51" s="31"/>
      <c r="U51" s="70">
        <f t="shared" si="8"/>
        <v>24000000</v>
      </c>
      <c r="V51" s="29">
        <v>24000000</v>
      </c>
      <c r="W51" s="81"/>
      <c r="X51" s="81"/>
      <c r="Y51" s="81"/>
      <c r="Z51" s="78"/>
      <c r="AA51" s="70">
        <f t="shared" si="9"/>
        <v>24000000</v>
      </c>
      <c r="AB51" s="8">
        <f>IFERROR(AA51/U51,"-")</f>
        <v>1</v>
      </c>
      <c r="AC51" s="29">
        <v>1000000</v>
      </c>
      <c r="AD51" s="10" t="s">
        <v>49</v>
      </c>
      <c r="AE51" s="10" t="s">
        <v>50</v>
      </c>
    </row>
    <row r="52" spans="1:31" ht="93.6" x14ac:dyDescent="0.25">
      <c r="A52" s="28">
        <v>106</v>
      </c>
      <c r="B52" s="12" t="s">
        <v>42</v>
      </c>
      <c r="C52" s="12" t="s">
        <v>43</v>
      </c>
      <c r="D52" s="44" t="s">
        <v>146</v>
      </c>
      <c r="E52" s="39" t="s">
        <v>154</v>
      </c>
      <c r="F52" s="35" t="s">
        <v>155</v>
      </c>
      <c r="G52" s="52">
        <v>2020680010106</v>
      </c>
      <c r="H52" s="43" t="s">
        <v>149</v>
      </c>
      <c r="I52" s="15" t="s">
        <v>150</v>
      </c>
      <c r="J52" s="11">
        <v>44197</v>
      </c>
      <c r="K52" s="11">
        <v>44561</v>
      </c>
      <c r="L52" s="71">
        <v>1</v>
      </c>
      <c r="M52" s="47">
        <v>0.6</v>
      </c>
      <c r="N52" s="73">
        <f t="shared" si="11"/>
        <v>0.6</v>
      </c>
      <c r="O52" s="37" t="s">
        <v>151</v>
      </c>
      <c r="P52" s="29">
        <v>10000000</v>
      </c>
      <c r="Q52" s="99"/>
      <c r="R52" s="32"/>
      <c r="S52" s="32"/>
      <c r="T52" s="31"/>
      <c r="U52" s="70">
        <f t="shared" si="8"/>
        <v>10000000</v>
      </c>
      <c r="V52" s="29">
        <v>6000000</v>
      </c>
      <c r="W52" s="81"/>
      <c r="X52" s="81"/>
      <c r="Y52" s="81"/>
      <c r="Z52" s="78"/>
      <c r="AA52" s="70">
        <f t="shared" si="9"/>
        <v>6000000</v>
      </c>
      <c r="AB52" s="8">
        <f t="shared" si="10"/>
        <v>0.6</v>
      </c>
      <c r="AC52" s="29">
        <v>1000000</v>
      </c>
      <c r="AD52" s="10" t="s">
        <v>49</v>
      </c>
      <c r="AE52" s="10" t="s">
        <v>50</v>
      </c>
    </row>
    <row r="53" spans="1:31" ht="93.6" x14ac:dyDescent="0.25">
      <c r="A53" s="28">
        <v>107</v>
      </c>
      <c r="B53" s="12" t="s">
        <v>42</v>
      </c>
      <c r="C53" s="12" t="s">
        <v>43</v>
      </c>
      <c r="D53" s="44" t="s">
        <v>156</v>
      </c>
      <c r="E53" s="39" t="s">
        <v>157</v>
      </c>
      <c r="F53" s="35" t="s">
        <v>158</v>
      </c>
      <c r="G53" s="52">
        <v>2020680010106</v>
      </c>
      <c r="H53" s="43" t="s">
        <v>149</v>
      </c>
      <c r="I53" s="15" t="s">
        <v>150</v>
      </c>
      <c r="J53" s="11">
        <v>44197</v>
      </c>
      <c r="K53" s="11">
        <v>44561</v>
      </c>
      <c r="L53" s="104">
        <v>1</v>
      </c>
      <c r="M53" s="120">
        <v>0.5</v>
      </c>
      <c r="N53" s="106">
        <f t="shared" si="11"/>
        <v>0.5</v>
      </c>
      <c r="O53" s="37" t="s">
        <v>254</v>
      </c>
      <c r="P53" s="29">
        <f>20000000</f>
        <v>20000000</v>
      </c>
      <c r="Q53" s="99"/>
      <c r="R53" s="32"/>
      <c r="S53" s="32"/>
      <c r="T53" s="31"/>
      <c r="U53" s="107">
        <f>SUM(P53:T54)</f>
        <v>85000000</v>
      </c>
      <c r="V53" s="29">
        <v>6000000</v>
      </c>
      <c r="W53" s="81"/>
      <c r="X53" s="81"/>
      <c r="Y53" s="81"/>
      <c r="Z53" s="78"/>
      <c r="AA53" s="107">
        <f>SUM(V53:Z54)</f>
        <v>6000000</v>
      </c>
      <c r="AB53" s="102">
        <f>IFERROR(AA53/U53,"-")</f>
        <v>7.0588235294117646E-2</v>
      </c>
      <c r="AC53" s="103">
        <v>1000000</v>
      </c>
      <c r="AD53" s="101" t="s">
        <v>49</v>
      </c>
      <c r="AE53" s="101" t="s">
        <v>50</v>
      </c>
    </row>
    <row r="54" spans="1:31" ht="93.6" x14ac:dyDescent="0.25">
      <c r="A54" s="68">
        <v>107</v>
      </c>
      <c r="B54" s="12" t="s">
        <v>42</v>
      </c>
      <c r="C54" s="12" t="s">
        <v>43</v>
      </c>
      <c r="D54" s="44" t="s">
        <v>156</v>
      </c>
      <c r="E54" s="39" t="s">
        <v>157</v>
      </c>
      <c r="F54" s="35" t="s">
        <v>158</v>
      </c>
      <c r="G54" s="52">
        <v>2020680010106</v>
      </c>
      <c r="H54" s="43" t="s">
        <v>149</v>
      </c>
      <c r="I54" s="15" t="s">
        <v>252</v>
      </c>
      <c r="J54" s="11"/>
      <c r="K54" s="11"/>
      <c r="L54" s="104"/>
      <c r="M54" s="120"/>
      <c r="N54" s="106"/>
      <c r="O54" s="37" t="s">
        <v>253</v>
      </c>
      <c r="P54" s="29">
        <v>65000000</v>
      </c>
      <c r="Q54" s="99"/>
      <c r="R54" s="32"/>
      <c r="S54" s="32"/>
      <c r="T54" s="31"/>
      <c r="U54" s="107"/>
      <c r="V54" s="29"/>
      <c r="W54" s="81"/>
      <c r="X54" s="81"/>
      <c r="Y54" s="81"/>
      <c r="Z54" s="78"/>
      <c r="AA54" s="107"/>
      <c r="AB54" s="102"/>
      <c r="AC54" s="103"/>
      <c r="AD54" s="101"/>
      <c r="AE54" s="101"/>
    </row>
    <row r="55" spans="1:31" ht="124.8" customHeight="1" x14ac:dyDescent="0.25">
      <c r="A55" s="28">
        <v>108</v>
      </c>
      <c r="B55" s="12" t="s">
        <v>42</v>
      </c>
      <c r="C55" s="12" t="s">
        <v>43</v>
      </c>
      <c r="D55" s="44" t="s">
        <v>156</v>
      </c>
      <c r="E55" s="39" t="s">
        <v>159</v>
      </c>
      <c r="F55" s="35" t="s">
        <v>160</v>
      </c>
      <c r="G55" s="52">
        <v>2020680010106</v>
      </c>
      <c r="H55" s="43" t="s">
        <v>149</v>
      </c>
      <c r="I55" s="15" t="s">
        <v>150</v>
      </c>
      <c r="J55" s="11">
        <v>44197</v>
      </c>
      <c r="K55" s="11">
        <v>44561</v>
      </c>
      <c r="L55" s="71">
        <v>4</v>
      </c>
      <c r="M55" s="72">
        <v>2</v>
      </c>
      <c r="N55" s="73">
        <f t="shared" si="11"/>
        <v>0.5</v>
      </c>
      <c r="O55" s="37" t="s">
        <v>151</v>
      </c>
      <c r="P55" s="29">
        <f>30000000+10000000+2000000</f>
        <v>42000000</v>
      </c>
      <c r="Q55" s="99"/>
      <c r="R55" s="32"/>
      <c r="S55" s="32"/>
      <c r="T55" s="31"/>
      <c r="U55" s="70">
        <f>SUM(P55:T55)</f>
        <v>42000000</v>
      </c>
      <c r="V55" s="29">
        <f>16000000+12000000+13731290</f>
        <v>41731290</v>
      </c>
      <c r="W55" s="81"/>
      <c r="X55" s="81"/>
      <c r="Y55" s="81"/>
      <c r="Z55" s="78"/>
      <c r="AA55" s="70">
        <f>SUM(V55:Z55)</f>
        <v>41731290</v>
      </c>
      <c r="AB55" s="8">
        <f t="shared" si="10"/>
        <v>0.99360214285714288</v>
      </c>
      <c r="AC55" s="29">
        <v>1000000</v>
      </c>
      <c r="AD55" s="10" t="s">
        <v>49</v>
      </c>
      <c r="AE55" s="10" t="s">
        <v>50</v>
      </c>
    </row>
    <row r="56" spans="1:31" ht="93.6" x14ac:dyDescent="0.25">
      <c r="A56" s="28">
        <v>109</v>
      </c>
      <c r="B56" s="12" t="s">
        <v>42</v>
      </c>
      <c r="C56" s="12" t="s">
        <v>43</v>
      </c>
      <c r="D56" s="44" t="s">
        <v>156</v>
      </c>
      <c r="E56" s="39" t="s">
        <v>175</v>
      </c>
      <c r="F56" s="35" t="s">
        <v>176</v>
      </c>
      <c r="G56" s="52">
        <v>2020680010106</v>
      </c>
      <c r="H56" s="43" t="s">
        <v>149</v>
      </c>
      <c r="I56" s="9" t="s">
        <v>174</v>
      </c>
      <c r="J56" s="11">
        <v>44197</v>
      </c>
      <c r="K56" s="11">
        <v>44561</v>
      </c>
      <c r="L56" s="71">
        <v>1</v>
      </c>
      <c r="M56" s="72">
        <v>1</v>
      </c>
      <c r="N56" s="73">
        <f>IFERROR(IF(M56/L56&gt;100%,100%,M56/L56),"-")</f>
        <v>1</v>
      </c>
      <c r="O56" s="37" t="s">
        <v>151</v>
      </c>
      <c r="P56" s="29">
        <v>15000000</v>
      </c>
      <c r="Q56" s="99"/>
      <c r="R56" s="32"/>
      <c r="S56" s="32"/>
      <c r="T56" s="31"/>
      <c r="U56" s="70">
        <f>SUM(P56:T56)</f>
        <v>15000000</v>
      </c>
      <c r="V56" s="29">
        <v>12000000</v>
      </c>
      <c r="W56" s="81"/>
      <c r="X56" s="81"/>
      <c r="Y56" s="81"/>
      <c r="Z56" s="78"/>
      <c r="AA56" s="70">
        <f>SUM(V56:Z56)</f>
        <v>12000000</v>
      </c>
      <c r="AB56" s="8">
        <f>IFERROR(AA56/U56,"-")</f>
        <v>0.8</v>
      </c>
      <c r="AC56" s="29">
        <v>1000000</v>
      </c>
      <c r="AD56" s="10" t="s">
        <v>49</v>
      </c>
      <c r="AE56" s="10" t="s">
        <v>50</v>
      </c>
    </row>
    <row r="57" spans="1:31" ht="93.6" x14ac:dyDescent="0.25">
      <c r="A57" s="28">
        <v>110</v>
      </c>
      <c r="B57" s="12" t="s">
        <v>42</v>
      </c>
      <c r="C57" s="12" t="s">
        <v>43</v>
      </c>
      <c r="D57" s="44" t="s">
        <v>156</v>
      </c>
      <c r="E57" s="39" t="s">
        <v>161</v>
      </c>
      <c r="F57" s="35" t="s">
        <v>162</v>
      </c>
      <c r="G57" s="52">
        <v>2020680010106</v>
      </c>
      <c r="H57" s="43" t="s">
        <v>149</v>
      </c>
      <c r="I57" s="15" t="s">
        <v>150</v>
      </c>
      <c r="J57" s="11">
        <v>44197</v>
      </c>
      <c r="K57" s="11">
        <v>44561</v>
      </c>
      <c r="L57" s="74">
        <v>1</v>
      </c>
      <c r="M57" s="75">
        <v>1</v>
      </c>
      <c r="N57" s="73">
        <f t="shared" si="11"/>
        <v>1</v>
      </c>
      <c r="O57" s="37" t="s">
        <v>151</v>
      </c>
      <c r="P57" s="29">
        <v>30000000</v>
      </c>
      <c r="Q57" s="99"/>
      <c r="R57" s="32"/>
      <c r="S57" s="32"/>
      <c r="T57" s="31"/>
      <c r="U57" s="70">
        <f>SUM(P57:T57)</f>
        <v>30000000</v>
      </c>
      <c r="V57" s="29">
        <f>16000000+12000000</f>
        <v>28000000</v>
      </c>
      <c r="W57" s="81"/>
      <c r="X57" s="81"/>
      <c r="Y57" s="81"/>
      <c r="Z57" s="78"/>
      <c r="AA57" s="70">
        <f>SUM(V57:Z57)</f>
        <v>28000000</v>
      </c>
      <c r="AB57" s="8">
        <f t="shared" si="10"/>
        <v>0.93333333333333335</v>
      </c>
      <c r="AC57" s="29">
        <v>1000000</v>
      </c>
      <c r="AD57" s="10" t="s">
        <v>49</v>
      </c>
      <c r="AE57" s="10" t="s">
        <v>50</v>
      </c>
    </row>
    <row r="58" spans="1:31" ht="90" x14ac:dyDescent="0.25">
      <c r="A58" s="28">
        <v>111</v>
      </c>
      <c r="B58" s="12" t="s">
        <v>42</v>
      </c>
      <c r="C58" s="12" t="s">
        <v>43</v>
      </c>
      <c r="D58" s="44" t="s">
        <v>177</v>
      </c>
      <c r="E58" s="39" t="s">
        <v>184</v>
      </c>
      <c r="F58" s="35" t="s">
        <v>185</v>
      </c>
      <c r="G58" s="52">
        <v>2020680010050</v>
      </c>
      <c r="H58" s="43" t="s">
        <v>181</v>
      </c>
      <c r="I58" s="15" t="s">
        <v>182</v>
      </c>
      <c r="J58" s="11">
        <v>44197</v>
      </c>
      <c r="K58" s="11">
        <v>44561</v>
      </c>
      <c r="L58" s="104">
        <v>1</v>
      </c>
      <c r="M58" s="105">
        <v>1</v>
      </c>
      <c r="N58" s="106">
        <f>IFERROR(IF(M58/L58&gt;100%,100%,M58/L58),"-")</f>
        <v>1</v>
      </c>
      <c r="O58" s="37" t="s">
        <v>186</v>
      </c>
      <c r="P58" s="29">
        <v>130000000</v>
      </c>
      <c r="Q58" s="100">
        <f>119000000-50000000</f>
        <v>69000000</v>
      </c>
      <c r="R58" s="32"/>
      <c r="S58" s="32"/>
      <c r="T58" s="31"/>
      <c r="U58" s="107">
        <f>SUM(P58:T59)</f>
        <v>304000000</v>
      </c>
      <c r="V58" s="29">
        <f>89600000-12000000+14400000+14400000+24000000+56000000</f>
        <v>186400000</v>
      </c>
      <c r="W58" s="81"/>
      <c r="X58" s="81"/>
      <c r="Y58" s="81"/>
      <c r="Z58" s="78"/>
      <c r="AA58" s="107">
        <f>SUM(V58:Z59)</f>
        <v>186400000</v>
      </c>
      <c r="AB58" s="102">
        <f>IFERROR(AA58/U58,"-")</f>
        <v>0.61315789473684212</v>
      </c>
      <c r="AC58" s="103"/>
      <c r="AD58" s="101" t="s">
        <v>49</v>
      </c>
      <c r="AE58" s="101" t="s">
        <v>50</v>
      </c>
    </row>
    <row r="59" spans="1:31" ht="62.4" x14ac:dyDescent="0.25">
      <c r="A59" s="68">
        <v>111</v>
      </c>
      <c r="B59" s="12" t="s">
        <v>42</v>
      </c>
      <c r="C59" s="12" t="s">
        <v>43</v>
      </c>
      <c r="D59" s="44" t="s">
        <v>177</v>
      </c>
      <c r="E59" s="39" t="s">
        <v>184</v>
      </c>
      <c r="F59" s="35" t="s">
        <v>185</v>
      </c>
      <c r="G59" s="52">
        <v>2020680010050</v>
      </c>
      <c r="H59" s="43" t="s">
        <v>181</v>
      </c>
      <c r="I59" s="53" t="s">
        <v>252</v>
      </c>
      <c r="J59" s="11"/>
      <c r="K59" s="11"/>
      <c r="L59" s="104"/>
      <c r="M59" s="105"/>
      <c r="N59" s="106"/>
      <c r="O59" s="37"/>
      <c r="P59" s="29">
        <v>105000000</v>
      </c>
      <c r="Q59" s="100"/>
      <c r="R59" s="32"/>
      <c r="S59" s="32"/>
      <c r="T59" s="31"/>
      <c r="U59" s="107"/>
      <c r="V59" s="29"/>
      <c r="W59" s="81"/>
      <c r="X59" s="81"/>
      <c r="Y59" s="81"/>
      <c r="Z59" s="78"/>
      <c r="AA59" s="107"/>
      <c r="AB59" s="102"/>
      <c r="AC59" s="103"/>
      <c r="AD59" s="101"/>
      <c r="AE59" s="101"/>
    </row>
    <row r="60" spans="1:31" ht="60" x14ac:dyDescent="0.25">
      <c r="A60" s="28">
        <v>112</v>
      </c>
      <c r="B60" s="12" t="s">
        <v>42</v>
      </c>
      <c r="C60" s="12" t="s">
        <v>43</v>
      </c>
      <c r="D60" s="46" t="s">
        <v>177</v>
      </c>
      <c r="E60" s="50" t="s">
        <v>178</v>
      </c>
      <c r="F60" s="51" t="s">
        <v>179</v>
      </c>
      <c r="G60" s="40"/>
      <c r="H60" s="13" t="s">
        <v>105</v>
      </c>
      <c r="I60" s="9"/>
      <c r="J60" s="11"/>
      <c r="K60" s="11"/>
      <c r="L60" s="104">
        <v>284</v>
      </c>
      <c r="M60" s="105">
        <v>250</v>
      </c>
      <c r="N60" s="106">
        <f>IFERROR(IF(M60/L60&gt;100%,100%,M60/L60),"-")</f>
        <v>0.88028169014084512</v>
      </c>
      <c r="O60" s="37" t="s">
        <v>180</v>
      </c>
      <c r="P60" s="29">
        <f>201016480+318600000+281400000-60000000</f>
        <v>741016480</v>
      </c>
      <c r="Q60" s="99"/>
      <c r="R60" s="32"/>
      <c r="S60" s="32"/>
      <c r="T60" s="31"/>
      <c r="U60" s="107">
        <f>SUM(P60:T61)</f>
        <v>1711000000</v>
      </c>
      <c r="V60" s="29"/>
      <c r="W60" s="81"/>
      <c r="X60" s="81"/>
      <c r="Y60" s="81"/>
      <c r="Z60" s="78"/>
      <c r="AA60" s="107">
        <f>SUM(V60:Z61)</f>
        <v>956234191</v>
      </c>
      <c r="AB60" s="102">
        <f t="shared" si="10"/>
        <v>0.55887445412039738</v>
      </c>
      <c r="AC60" s="103"/>
      <c r="AD60" s="101" t="s">
        <v>49</v>
      </c>
      <c r="AE60" s="101" t="s">
        <v>50</v>
      </c>
    </row>
    <row r="61" spans="1:31" ht="79.8" customHeight="1" x14ac:dyDescent="0.25">
      <c r="A61" s="28">
        <v>112</v>
      </c>
      <c r="B61" s="12" t="s">
        <v>42</v>
      </c>
      <c r="C61" s="12" t="s">
        <v>43</v>
      </c>
      <c r="D61" s="46" t="s">
        <v>177</v>
      </c>
      <c r="E61" s="50" t="s">
        <v>178</v>
      </c>
      <c r="F61" s="51" t="s">
        <v>179</v>
      </c>
      <c r="G61" s="52">
        <v>2020680010050</v>
      </c>
      <c r="H61" s="43" t="s">
        <v>181</v>
      </c>
      <c r="I61" s="15" t="s">
        <v>182</v>
      </c>
      <c r="J61" s="11">
        <v>44197</v>
      </c>
      <c r="K61" s="11">
        <v>44561</v>
      </c>
      <c r="L61" s="104"/>
      <c r="M61" s="105"/>
      <c r="N61" s="106"/>
      <c r="O61" s="37" t="s">
        <v>183</v>
      </c>
      <c r="P61" s="29">
        <v>6983520</v>
      </c>
      <c r="Q61" s="100">
        <f>913000000+50000000</f>
        <v>963000000</v>
      </c>
      <c r="R61" s="32"/>
      <c r="S61" s="32"/>
      <c r="T61" s="31"/>
      <c r="U61" s="107"/>
      <c r="V61" s="61"/>
      <c r="W61" s="76">
        <f>116814858+839419333</f>
        <v>956234191</v>
      </c>
      <c r="X61" s="82"/>
      <c r="Y61" s="82"/>
      <c r="Z61" s="78"/>
      <c r="AA61" s="107"/>
      <c r="AB61" s="102"/>
      <c r="AC61" s="103"/>
      <c r="AD61" s="101"/>
      <c r="AE61" s="101"/>
    </row>
    <row r="62" spans="1:31" ht="77.400000000000006" customHeight="1" x14ac:dyDescent="0.25">
      <c r="A62" s="28">
        <v>113</v>
      </c>
      <c r="B62" s="12" t="s">
        <v>42</v>
      </c>
      <c r="C62" s="12" t="s">
        <v>43</v>
      </c>
      <c r="D62" s="44" t="s">
        <v>177</v>
      </c>
      <c r="E62" s="39" t="s">
        <v>187</v>
      </c>
      <c r="F62" s="35" t="s">
        <v>188</v>
      </c>
      <c r="G62" s="52">
        <v>2020680010050</v>
      </c>
      <c r="H62" s="43" t="s">
        <v>181</v>
      </c>
      <c r="I62" s="15" t="s">
        <v>182</v>
      </c>
      <c r="J62" s="11">
        <v>44197</v>
      </c>
      <c r="K62" s="11">
        <v>44561</v>
      </c>
      <c r="L62" s="71">
        <v>1</v>
      </c>
      <c r="M62" s="47">
        <v>0.9</v>
      </c>
      <c r="N62" s="73">
        <f t="shared" si="11"/>
        <v>0.9</v>
      </c>
      <c r="O62" s="37" t="s">
        <v>183</v>
      </c>
      <c r="P62" s="29">
        <v>12000000</v>
      </c>
      <c r="Q62" s="100">
        <v>18000000</v>
      </c>
      <c r="R62" s="32"/>
      <c r="S62" s="32"/>
      <c r="T62" s="31"/>
      <c r="U62" s="70">
        <f>SUM(P62:T62)</f>
        <v>30000000</v>
      </c>
      <c r="V62" s="61">
        <v>12000000</v>
      </c>
      <c r="W62" s="82"/>
      <c r="X62" s="82"/>
      <c r="Y62" s="82"/>
      <c r="Z62" s="78"/>
      <c r="AA62" s="95">
        <f>SUM(V62:Z62)</f>
        <v>12000000</v>
      </c>
      <c r="AB62" s="8">
        <f>IFERROR(AA62/U62,"-")</f>
        <v>0.4</v>
      </c>
      <c r="AC62" s="29"/>
      <c r="AD62" s="10" t="s">
        <v>49</v>
      </c>
      <c r="AE62" s="10" t="s">
        <v>50</v>
      </c>
    </row>
    <row r="63" spans="1:31" ht="78.599999999999994" customHeight="1" x14ac:dyDescent="0.25">
      <c r="A63" s="28">
        <v>114</v>
      </c>
      <c r="B63" s="12" t="s">
        <v>42</v>
      </c>
      <c r="C63" s="12" t="s">
        <v>43</v>
      </c>
      <c r="D63" s="44" t="s">
        <v>177</v>
      </c>
      <c r="E63" s="39" t="s">
        <v>189</v>
      </c>
      <c r="F63" s="35" t="s">
        <v>190</v>
      </c>
      <c r="G63" s="52">
        <v>2020680010050</v>
      </c>
      <c r="H63" s="43" t="s">
        <v>181</v>
      </c>
      <c r="I63" s="15" t="s">
        <v>182</v>
      </c>
      <c r="J63" s="11">
        <v>44197</v>
      </c>
      <c r="K63" s="11">
        <v>44561</v>
      </c>
      <c r="L63" s="74">
        <v>1</v>
      </c>
      <c r="M63" s="75">
        <v>1</v>
      </c>
      <c r="N63" s="73">
        <f t="shared" si="11"/>
        <v>1</v>
      </c>
      <c r="O63" s="37" t="s">
        <v>191</v>
      </c>
      <c r="P63" s="29"/>
      <c r="Q63" s="100">
        <v>60000000</v>
      </c>
      <c r="R63" s="32"/>
      <c r="S63" s="32"/>
      <c r="T63" s="31"/>
      <c r="U63" s="70">
        <f>SUM(P63:T63)</f>
        <v>60000000</v>
      </c>
      <c r="V63" s="61"/>
      <c r="W63" s="76">
        <f>13050000+46950000</f>
        <v>60000000</v>
      </c>
      <c r="X63" s="82"/>
      <c r="Y63" s="82"/>
      <c r="Z63" s="78"/>
      <c r="AA63" s="95">
        <f>SUM(V63:Z63)</f>
        <v>60000000</v>
      </c>
      <c r="AB63" s="8">
        <f>IFERROR(AA63/U63,"-")</f>
        <v>1</v>
      </c>
      <c r="AC63" s="29"/>
      <c r="AD63" s="10" t="s">
        <v>49</v>
      </c>
      <c r="AE63" s="10" t="s">
        <v>50</v>
      </c>
    </row>
    <row r="64" spans="1:31" ht="78" customHeight="1" x14ac:dyDescent="0.25">
      <c r="A64" s="28">
        <v>115</v>
      </c>
      <c r="B64" s="12" t="s">
        <v>42</v>
      </c>
      <c r="C64" s="12" t="s">
        <v>43</v>
      </c>
      <c r="D64" s="46" t="s">
        <v>192</v>
      </c>
      <c r="E64" s="50" t="s">
        <v>193</v>
      </c>
      <c r="F64" s="51" t="s">
        <v>194</v>
      </c>
      <c r="G64" s="54"/>
      <c r="H64" s="13" t="s">
        <v>105</v>
      </c>
      <c r="I64" s="15"/>
      <c r="J64" s="11"/>
      <c r="K64" s="11"/>
      <c r="L64" s="104">
        <v>250</v>
      </c>
      <c r="M64" s="105">
        <f>220+30</f>
        <v>250</v>
      </c>
      <c r="N64" s="106">
        <f>IFERROR(IF(M64/L64&gt;100%,100%,M64/L64),"-")</f>
        <v>1</v>
      </c>
      <c r="O64" s="37" t="s">
        <v>195</v>
      </c>
      <c r="P64" s="29">
        <v>20023866</v>
      </c>
      <c r="Q64" s="100"/>
      <c r="R64" s="32"/>
      <c r="S64" s="32"/>
      <c r="T64" s="31"/>
      <c r="U64" s="107">
        <f>SUM(P64:T65)</f>
        <v>1100000000</v>
      </c>
      <c r="V64" s="83"/>
      <c r="W64" s="76"/>
      <c r="X64" s="82"/>
      <c r="Y64" s="82"/>
      <c r="Z64" s="78"/>
      <c r="AA64" s="107">
        <f>SUM(V64:Z65)</f>
        <v>828000000</v>
      </c>
      <c r="AB64" s="102">
        <f>IFERROR(AA64/U64,"-")</f>
        <v>0.75272727272727269</v>
      </c>
      <c r="AC64" s="103"/>
      <c r="AD64" s="101" t="s">
        <v>49</v>
      </c>
      <c r="AE64" s="101" t="s">
        <v>50</v>
      </c>
    </row>
    <row r="65" spans="1:31" ht="78" x14ac:dyDescent="0.25">
      <c r="A65" s="28">
        <v>115</v>
      </c>
      <c r="B65" s="12" t="s">
        <v>42</v>
      </c>
      <c r="C65" s="12" t="s">
        <v>43</v>
      </c>
      <c r="D65" s="46" t="s">
        <v>192</v>
      </c>
      <c r="E65" s="50" t="s">
        <v>193</v>
      </c>
      <c r="F65" s="51" t="s">
        <v>194</v>
      </c>
      <c r="G65" s="52">
        <v>2020680010121</v>
      </c>
      <c r="H65" s="56" t="s">
        <v>196</v>
      </c>
      <c r="I65" s="53" t="s">
        <v>197</v>
      </c>
      <c r="J65" s="11">
        <v>44197</v>
      </c>
      <c r="K65" s="11">
        <v>44561</v>
      </c>
      <c r="L65" s="104"/>
      <c r="M65" s="105"/>
      <c r="N65" s="106"/>
      <c r="O65" s="87" t="s">
        <v>198</v>
      </c>
      <c r="P65" s="29">
        <f>410000000-10000000-20000000-P64</f>
        <v>359976134</v>
      </c>
      <c r="Q65" s="34">
        <f>590000000+130000000</f>
        <v>720000000</v>
      </c>
      <c r="R65" s="63"/>
      <c r="S65" s="63"/>
      <c r="T65" s="31"/>
      <c r="U65" s="107"/>
      <c r="V65" s="61">
        <f>36000000+24000000+49500000</f>
        <v>109500000</v>
      </c>
      <c r="W65" s="76">
        <f>276000000+192000000+150000000+100500000</f>
        <v>718500000</v>
      </c>
      <c r="X65" s="76"/>
      <c r="Y65" s="76"/>
      <c r="Z65" s="78"/>
      <c r="AA65" s="107"/>
      <c r="AB65" s="102"/>
      <c r="AC65" s="103"/>
      <c r="AD65" s="101"/>
      <c r="AE65" s="101"/>
    </row>
    <row r="66" spans="1:31" ht="78" x14ac:dyDescent="0.25">
      <c r="A66" s="28">
        <v>116</v>
      </c>
      <c r="B66" s="12" t="s">
        <v>42</v>
      </c>
      <c r="C66" s="12" t="s">
        <v>43</v>
      </c>
      <c r="D66" s="44" t="s">
        <v>192</v>
      </c>
      <c r="E66" s="39" t="s">
        <v>199</v>
      </c>
      <c r="F66" s="35" t="s">
        <v>200</v>
      </c>
      <c r="G66" s="52">
        <v>2020680010121</v>
      </c>
      <c r="H66" s="56" t="s">
        <v>196</v>
      </c>
      <c r="I66" s="53" t="s">
        <v>197</v>
      </c>
      <c r="J66" s="11">
        <v>44197</v>
      </c>
      <c r="K66" s="11">
        <v>44561</v>
      </c>
      <c r="L66" s="104">
        <v>1</v>
      </c>
      <c r="M66" s="121">
        <v>0.4</v>
      </c>
      <c r="N66" s="106">
        <f>IFERROR(IF(M66/L66&gt;100%,100%,M66/L66),"-")</f>
        <v>0.4</v>
      </c>
      <c r="O66" s="88" t="s">
        <v>201</v>
      </c>
      <c r="P66" s="61">
        <v>26000000</v>
      </c>
      <c r="Q66" s="34"/>
      <c r="R66" s="63"/>
      <c r="S66" s="63"/>
      <c r="T66" s="31"/>
      <c r="U66" s="122">
        <f>SUM(P66:T67)</f>
        <v>51000000</v>
      </c>
      <c r="V66" s="61">
        <v>4000000</v>
      </c>
      <c r="W66" s="76"/>
      <c r="X66" s="76"/>
      <c r="Y66" s="76"/>
      <c r="Z66" s="78"/>
      <c r="AA66" s="115">
        <f>SUM(V66:Z67)</f>
        <v>4000000</v>
      </c>
      <c r="AB66" s="102">
        <f t="shared" ref="AB66:AB73" si="12">IFERROR(AA66/U66,"-")</f>
        <v>7.8431372549019607E-2</v>
      </c>
      <c r="AC66" s="103"/>
      <c r="AD66" s="101" t="s">
        <v>49</v>
      </c>
      <c r="AE66" s="101" t="s">
        <v>50</v>
      </c>
    </row>
    <row r="67" spans="1:31" ht="78" x14ac:dyDescent="0.25">
      <c r="A67" s="68">
        <v>116</v>
      </c>
      <c r="B67" s="12" t="s">
        <v>42</v>
      </c>
      <c r="C67" s="12" t="s">
        <v>43</v>
      </c>
      <c r="D67" s="44" t="s">
        <v>192</v>
      </c>
      <c r="E67" s="39" t="s">
        <v>199</v>
      </c>
      <c r="F67" s="35" t="s">
        <v>200</v>
      </c>
      <c r="G67" s="52">
        <v>2020680010121</v>
      </c>
      <c r="H67" s="56" t="s">
        <v>196</v>
      </c>
      <c r="I67" s="53" t="s">
        <v>252</v>
      </c>
      <c r="J67" s="11"/>
      <c r="K67" s="11"/>
      <c r="L67" s="104"/>
      <c r="M67" s="121"/>
      <c r="N67" s="106"/>
      <c r="O67" s="88"/>
      <c r="P67" s="61">
        <v>25000000</v>
      </c>
      <c r="Q67" s="34"/>
      <c r="R67" s="63"/>
      <c r="S67" s="63"/>
      <c r="T67" s="31"/>
      <c r="U67" s="122"/>
      <c r="V67" s="61"/>
      <c r="W67" s="76"/>
      <c r="X67" s="76"/>
      <c r="Y67" s="76"/>
      <c r="Z67" s="78"/>
      <c r="AA67" s="115"/>
      <c r="AB67" s="102"/>
      <c r="AC67" s="103"/>
      <c r="AD67" s="101"/>
      <c r="AE67" s="101"/>
    </row>
    <row r="68" spans="1:31" ht="109.2" customHeight="1" x14ac:dyDescent="0.25">
      <c r="A68" s="28">
        <v>117</v>
      </c>
      <c r="B68" s="12" t="s">
        <v>42</v>
      </c>
      <c r="C68" s="12" t="s">
        <v>43</v>
      </c>
      <c r="D68" s="44" t="s">
        <v>192</v>
      </c>
      <c r="E68" s="39" t="s">
        <v>202</v>
      </c>
      <c r="F68" s="35" t="s">
        <v>203</v>
      </c>
      <c r="G68" s="52">
        <v>2020680010121</v>
      </c>
      <c r="H68" s="56" t="s">
        <v>196</v>
      </c>
      <c r="I68" s="53" t="s">
        <v>197</v>
      </c>
      <c r="J68" s="11">
        <v>44197</v>
      </c>
      <c r="K68" s="11">
        <v>44561</v>
      </c>
      <c r="L68" s="71">
        <v>1</v>
      </c>
      <c r="M68" s="49">
        <v>0.3</v>
      </c>
      <c r="N68" s="73">
        <f t="shared" si="11"/>
        <v>0.3</v>
      </c>
      <c r="O68" s="87" t="s">
        <v>198</v>
      </c>
      <c r="P68" s="61">
        <f>20000000+10000000+20000000+24000000</f>
        <v>74000000</v>
      </c>
      <c r="Q68" s="34">
        <f>180000000-130000000</f>
        <v>50000000</v>
      </c>
      <c r="R68" s="63"/>
      <c r="S68" s="63"/>
      <c r="T68" s="31"/>
      <c r="U68" s="64">
        <f>SUM(P68:T68)</f>
        <v>124000000</v>
      </c>
      <c r="V68" s="61">
        <f>24000000+16000000+24000000-18100000+19500000</f>
        <v>65400000</v>
      </c>
      <c r="W68" s="76"/>
      <c r="X68" s="76"/>
      <c r="Y68" s="76"/>
      <c r="Z68" s="78"/>
      <c r="AA68" s="64">
        <f>SUM(V68:Z68)</f>
        <v>65400000</v>
      </c>
      <c r="AB68" s="8">
        <f t="shared" si="12"/>
        <v>0.52741935483870972</v>
      </c>
      <c r="AC68" s="29"/>
      <c r="AD68" s="10" t="s">
        <v>49</v>
      </c>
      <c r="AE68" s="10" t="s">
        <v>50</v>
      </c>
    </row>
    <row r="69" spans="1:31" ht="78" x14ac:dyDescent="0.25">
      <c r="A69" s="28">
        <v>118</v>
      </c>
      <c r="B69" s="12" t="s">
        <v>42</v>
      </c>
      <c r="C69" s="12" t="s">
        <v>43</v>
      </c>
      <c r="D69" s="44" t="s">
        <v>192</v>
      </c>
      <c r="E69" s="39" t="s">
        <v>204</v>
      </c>
      <c r="F69" s="35" t="s">
        <v>205</v>
      </c>
      <c r="G69" s="52">
        <v>2020680010121</v>
      </c>
      <c r="H69" s="56" t="s">
        <v>196</v>
      </c>
      <c r="I69" s="53" t="s">
        <v>197</v>
      </c>
      <c r="J69" s="11">
        <v>44197</v>
      </c>
      <c r="K69" s="11">
        <v>44561</v>
      </c>
      <c r="L69" s="71">
        <v>200</v>
      </c>
      <c r="M69" s="72">
        <v>100</v>
      </c>
      <c r="N69" s="73">
        <f t="shared" si="11"/>
        <v>0.5</v>
      </c>
      <c r="O69" s="87" t="s">
        <v>206</v>
      </c>
      <c r="P69" s="61">
        <v>200000000</v>
      </c>
      <c r="Q69" s="63"/>
      <c r="R69" s="63"/>
      <c r="S69" s="63"/>
      <c r="T69" s="31"/>
      <c r="U69" s="64">
        <f>SUM(P69:T69)</f>
        <v>200000000</v>
      </c>
      <c r="V69" s="61">
        <v>200000000</v>
      </c>
      <c r="W69" s="76"/>
      <c r="X69" s="76"/>
      <c r="Y69" s="76"/>
      <c r="Z69" s="78"/>
      <c r="AA69" s="64">
        <f>SUM(V69:Z69)</f>
        <v>200000000</v>
      </c>
      <c r="AB69" s="8">
        <f t="shared" si="12"/>
        <v>1</v>
      </c>
      <c r="AC69" s="29"/>
      <c r="AD69" s="10" t="s">
        <v>49</v>
      </c>
      <c r="AE69" s="10" t="s">
        <v>50</v>
      </c>
    </row>
    <row r="70" spans="1:31" ht="78" x14ac:dyDescent="0.25">
      <c r="A70" s="28">
        <v>119</v>
      </c>
      <c r="B70" s="12" t="s">
        <v>42</v>
      </c>
      <c r="C70" s="12" t="s">
        <v>43</v>
      </c>
      <c r="D70" s="44" t="s">
        <v>192</v>
      </c>
      <c r="E70" s="39" t="s">
        <v>207</v>
      </c>
      <c r="F70" s="35" t="s">
        <v>208</v>
      </c>
      <c r="G70" s="52">
        <v>2020680010121</v>
      </c>
      <c r="H70" s="56" t="s">
        <v>196</v>
      </c>
      <c r="I70" s="53" t="s">
        <v>197</v>
      </c>
      <c r="J70" s="11">
        <v>44197</v>
      </c>
      <c r="K70" s="11">
        <v>44561</v>
      </c>
      <c r="L70" s="71">
        <v>1</v>
      </c>
      <c r="M70" s="72">
        <v>1</v>
      </c>
      <c r="N70" s="73">
        <f t="shared" si="11"/>
        <v>1</v>
      </c>
      <c r="O70" s="87" t="s">
        <v>195</v>
      </c>
      <c r="P70" s="61">
        <v>50000000</v>
      </c>
      <c r="Q70" s="63"/>
      <c r="R70" s="63"/>
      <c r="S70" s="63"/>
      <c r="T70" s="31"/>
      <c r="U70" s="64">
        <f>SUM(P70:T70)</f>
        <v>50000000</v>
      </c>
      <c r="V70" s="61">
        <f>28000000+12800000</f>
        <v>40800000</v>
      </c>
      <c r="W70" s="76"/>
      <c r="X70" s="76"/>
      <c r="Y70" s="76"/>
      <c r="Z70" s="78"/>
      <c r="AA70" s="64">
        <f>SUM(V70:Z70)</f>
        <v>40800000</v>
      </c>
      <c r="AB70" s="8">
        <f t="shared" si="12"/>
        <v>0.81599999999999995</v>
      </c>
      <c r="AC70" s="29"/>
      <c r="AD70" s="10" t="s">
        <v>49</v>
      </c>
      <c r="AE70" s="10" t="s">
        <v>50</v>
      </c>
    </row>
    <row r="71" spans="1:31" ht="90" x14ac:dyDescent="0.25">
      <c r="A71" s="28">
        <v>202</v>
      </c>
      <c r="B71" s="12" t="s">
        <v>209</v>
      </c>
      <c r="C71" s="12" t="s">
        <v>210</v>
      </c>
      <c r="D71" s="46" t="s">
        <v>211</v>
      </c>
      <c r="E71" s="50" t="s">
        <v>214</v>
      </c>
      <c r="F71" s="51" t="s">
        <v>215</v>
      </c>
      <c r="G71" s="41"/>
      <c r="H71" s="13" t="s">
        <v>97</v>
      </c>
      <c r="I71" s="9"/>
      <c r="J71" s="11"/>
      <c r="K71" s="11"/>
      <c r="L71" s="104">
        <v>50</v>
      </c>
      <c r="M71" s="105">
        <v>0</v>
      </c>
      <c r="N71" s="106">
        <f>IFERROR(IF(M71/L71&gt;100%,100%,M71/L71),"-")</f>
        <v>0</v>
      </c>
      <c r="O71" s="37" t="s">
        <v>216</v>
      </c>
      <c r="P71" s="29">
        <v>30000000</v>
      </c>
      <c r="Q71" s="32"/>
      <c r="R71" s="32"/>
      <c r="S71" s="32"/>
      <c r="T71" s="31"/>
      <c r="U71" s="107">
        <f>SUM(P71:T72)</f>
        <v>70000000.659999996</v>
      </c>
      <c r="V71" s="29"/>
      <c r="W71" s="81"/>
      <c r="X71" s="81"/>
      <c r="Y71" s="81"/>
      <c r="Z71" s="78"/>
      <c r="AA71" s="107">
        <f>SUM(V71:Z72)</f>
        <v>0</v>
      </c>
      <c r="AB71" s="102">
        <f>IFERROR(AA71/U71,"-")</f>
        <v>0</v>
      </c>
      <c r="AC71" s="103"/>
      <c r="AD71" s="101" t="s">
        <v>49</v>
      </c>
      <c r="AE71" s="101" t="s">
        <v>50</v>
      </c>
    </row>
    <row r="72" spans="1:31" ht="90" x14ac:dyDescent="0.25">
      <c r="A72" s="28">
        <v>202</v>
      </c>
      <c r="B72" s="12" t="s">
        <v>209</v>
      </c>
      <c r="C72" s="12" t="s">
        <v>210</v>
      </c>
      <c r="D72" s="46" t="s">
        <v>211</v>
      </c>
      <c r="E72" s="50" t="s">
        <v>214</v>
      </c>
      <c r="F72" s="51" t="s">
        <v>215</v>
      </c>
      <c r="G72" s="52">
        <v>2020680010123</v>
      </c>
      <c r="H72" s="43" t="s">
        <v>217</v>
      </c>
      <c r="I72" s="53" t="s">
        <v>218</v>
      </c>
      <c r="J72" s="11">
        <v>44197</v>
      </c>
      <c r="K72" s="11">
        <v>44561</v>
      </c>
      <c r="L72" s="104"/>
      <c r="M72" s="105"/>
      <c r="N72" s="106"/>
      <c r="O72" s="37" t="s">
        <v>216</v>
      </c>
      <c r="P72" s="62">
        <f>40000000.66</f>
        <v>40000000.659999996</v>
      </c>
      <c r="Q72" s="32"/>
      <c r="R72" s="32"/>
      <c r="S72" s="32"/>
      <c r="T72" s="31"/>
      <c r="U72" s="107"/>
      <c r="V72" s="29"/>
      <c r="W72" s="81"/>
      <c r="X72" s="81"/>
      <c r="Y72" s="81"/>
      <c r="Z72" s="78"/>
      <c r="AA72" s="107"/>
      <c r="AB72" s="102"/>
      <c r="AC72" s="103"/>
      <c r="AD72" s="101"/>
      <c r="AE72" s="101"/>
    </row>
    <row r="73" spans="1:31" ht="90" x14ac:dyDescent="0.25">
      <c r="A73" s="28">
        <v>203</v>
      </c>
      <c r="B73" s="12" t="s">
        <v>209</v>
      </c>
      <c r="C73" s="12" t="s">
        <v>210</v>
      </c>
      <c r="D73" s="44" t="s">
        <v>211</v>
      </c>
      <c r="E73" s="39" t="s">
        <v>212</v>
      </c>
      <c r="F73" s="35" t="s">
        <v>213</v>
      </c>
      <c r="G73" s="98">
        <v>20200680010159</v>
      </c>
      <c r="H73" s="97" t="s">
        <v>261</v>
      </c>
      <c r="I73" s="9"/>
      <c r="J73" s="11">
        <v>44197</v>
      </c>
      <c r="K73" s="11">
        <v>44561</v>
      </c>
      <c r="L73" s="71">
        <v>2</v>
      </c>
      <c r="M73" s="72">
        <v>1</v>
      </c>
      <c r="N73" s="73">
        <f t="shared" si="11"/>
        <v>0.5</v>
      </c>
      <c r="O73" s="37" t="s">
        <v>262</v>
      </c>
      <c r="P73" s="29">
        <v>100000000</v>
      </c>
      <c r="Q73" s="32"/>
      <c r="R73" s="32"/>
      <c r="S73" s="32"/>
      <c r="T73" s="31"/>
      <c r="U73" s="70">
        <f>SUM(P73:T73)</f>
        <v>100000000</v>
      </c>
      <c r="V73" s="29">
        <v>47672742</v>
      </c>
      <c r="W73" s="81"/>
      <c r="X73" s="81"/>
      <c r="Y73" s="81"/>
      <c r="Z73" s="78"/>
      <c r="AA73" s="70">
        <f>SUM(V73:Z73)</f>
        <v>47672742</v>
      </c>
      <c r="AB73" s="8">
        <f t="shared" si="12"/>
        <v>0.47672742000000001</v>
      </c>
      <c r="AC73" s="29"/>
      <c r="AD73" s="10" t="s">
        <v>49</v>
      </c>
      <c r="AE73" s="10" t="s">
        <v>50</v>
      </c>
    </row>
    <row r="74" spans="1:31" ht="90" x14ac:dyDescent="0.25">
      <c r="A74" s="28">
        <v>204</v>
      </c>
      <c r="B74" s="12" t="s">
        <v>209</v>
      </c>
      <c r="C74" s="12" t="s">
        <v>210</v>
      </c>
      <c r="D74" s="44" t="s">
        <v>211</v>
      </c>
      <c r="E74" s="39" t="s">
        <v>219</v>
      </c>
      <c r="F74" s="35" t="s">
        <v>220</v>
      </c>
      <c r="G74" s="52">
        <v>2020680010123</v>
      </c>
      <c r="H74" s="43" t="s">
        <v>217</v>
      </c>
      <c r="I74" s="53" t="s">
        <v>218</v>
      </c>
      <c r="J74" s="11">
        <v>44197</v>
      </c>
      <c r="K74" s="11">
        <v>44561</v>
      </c>
      <c r="L74" s="104">
        <v>3</v>
      </c>
      <c r="M74" s="105">
        <v>0</v>
      </c>
      <c r="N74" s="106">
        <f t="shared" si="11"/>
        <v>0</v>
      </c>
      <c r="O74" s="37" t="s">
        <v>221</v>
      </c>
      <c r="P74" s="62">
        <f>59839539</f>
        <v>59839539</v>
      </c>
      <c r="Q74" s="65"/>
      <c r="R74" s="32"/>
      <c r="S74" s="32"/>
      <c r="T74" s="31"/>
      <c r="U74" s="107">
        <f>SUM(P74:T75)</f>
        <v>110000000</v>
      </c>
      <c r="V74" s="29"/>
      <c r="W74" s="81"/>
      <c r="X74" s="81"/>
      <c r="Y74" s="81"/>
      <c r="Z74" s="78"/>
      <c r="AA74" s="123">
        <f>SUM(V74:Z75)</f>
        <v>0</v>
      </c>
      <c r="AB74" s="102">
        <f>IFERROR(AA74/U74,"-")</f>
        <v>0</v>
      </c>
      <c r="AC74" s="103"/>
      <c r="AD74" s="101" t="s">
        <v>49</v>
      </c>
      <c r="AE74" s="101" t="s">
        <v>50</v>
      </c>
    </row>
    <row r="75" spans="1:31" ht="73.8" customHeight="1" x14ac:dyDescent="0.25">
      <c r="A75" s="68">
        <v>204</v>
      </c>
      <c r="B75" s="12" t="s">
        <v>209</v>
      </c>
      <c r="C75" s="12" t="s">
        <v>210</v>
      </c>
      <c r="D75" s="44" t="s">
        <v>211</v>
      </c>
      <c r="E75" s="39" t="s">
        <v>219</v>
      </c>
      <c r="F75" s="35" t="s">
        <v>220</v>
      </c>
      <c r="G75" s="52">
        <v>2020680010123</v>
      </c>
      <c r="H75" s="43" t="s">
        <v>217</v>
      </c>
      <c r="I75" s="53" t="s">
        <v>252</v>
      </c>
      <c r="J75" s="11"/>
      <c r="K75" s="11"/>
      <c r="L75" s="104"/>
      <c r="M75" s="105"/>
      <c r="N75" s="106"/>
      <c r="O75" s="37" t="s">
        <v>221</v>
      </c>
      <c r="P75" s="62">
        <v>50160461</v>
      </c>
      <c r="Q75" s="65"/>
      <c r="R75" s="32"/>
      <c r="S75" s="32"/>
      <c r="T75" s="31"/>
      <c r="U75" s="107"/>
      <c r="V75" s="29"/>
      <c r="W75" s="81"/>
      <c r="X75" s="81"/>
      <c r="Y75" s="81"/>
      <c r="Z75" s="78"/>
      <c r="AA75" s="123"/>
      <c r="AB75" s="102"/>
      <c r="AC75" s="103"/>
      <c r="AD75" s="101"/>
      <c r="AE75" s="101"/>
    </row>
    <row r="76" spans="1:31" ht="90" x14ac:dyDescent="0.25">
      <c r="A76" s="28">
        <v>205</v>
      </c>
      <c r="B76" s="12" t="s">
        <v>209</v>
      </c>
      <c r="C76" s="12" t="s">
        <v>210</v>
      </c>
      <c r="D76" s="44" t="s">
        <v>211</v>
      </c>
      <c r="E76" s="39" t="s">
        <v>222</v>
      </c>
      <c r="F76" s="35" t="s">
        <v>223</v>
      </c>
      <c r="G76" s="52">
        <v>2020680010123</v>
      </c>
      <c r="H76" s="43" t="s">
        <v>217</v>
      </c>
      <c r="I76" s="53" t="s">
        <v>218</v>
      </c>
      <c r="J76" s="11">
        <v>44197</v>
      </c>
      <c r="K76" s="11">
        <v>44561</v>
      </c>
      <c r="L76" s="71">
        <v>4</v>
      </c>
      <c r="M76" s="72">
        <v>4</v>
      </c>
      <c r="N76" s="73">
        <f t="shared" si="11"/>
        <v>1</v>
      </c>
      <c r="O76" s="37" t="s">
        <v>221</v>
      </c>
      <c r="P76" s="29">
        <v>100000000</v>
      </c>
      <c r="Q76" s="32"/>
      <c r="R76" s="32"/>
      <c r="S76" s="32"/>
      <c r="T76" s="31"/>
      <c r="U76" s="70">
        <f>SUM(P76:T76)</f>
        <v>100000000</v>
      </c>
      <c r="V76" s="29">
        <f>32000000+32000000</f>
        <v>64000000</v>
      </c>
      <c r="W76" s="81"/>
      <c r="X76" s="81"/>
      <c r="Y76" s="81"/>
      <c r="Z76" s="78"/>
      <c r="AA76" s="70">
        <f>SUM(V76:Z76)</f>
        <v>64000000</v>
      </c>
      <c r="AB76" s="8">
        <f>IFERROR(AA76/U76,"-")</f>
        <v>0.64</v>
      </c>
      <c r="AC76" s="29"/>
      <c r="AD76" s="10" t="s">
        <v>49</v>
      </c>
      <c r="AE76" s="10" t="s">
        <v>50</v>
      </c>
    </row>
    <row r="77" spans="1:31" ht="90" x14ac:dyDescent="0.25">
      <c r="A77" s="28">
        <v>206</v>
      </c>
      <c r="B77" s="12" t="s">
        <v>209</v>
      </c>
      <c r="C77" s="12" t="s">
        <v>210</v>
      </c>
      <c r="D77" s="44" t="s">
        <v>211</v>
      </c>
      <c r="E77" s="39" t="s">
        <v>224</v>
      </c>
      <c r="F77" s="35" t="s">
        <v>225</v>
      </c>
      <c r="G77" s="52">
        <v>2020680010123</v>
      </c>
      <c r="H77" s="43" t="s">
        <v>217</v>
      </c>
      <c r="I77" s="53" t="s">
        <v>218</v>
      </c>
      <c r="J77" s="11">
        <v>44197</v>
      </c>
      <c r="K77" s="11">
        <v>44561</v>
      </c>
      <c r="L77" s="71">
        <v>1</v>
      </c>
      <c r="M77" s="72">
        <v>1</v>
      </c>
      <c r="N77" s="73">
        <f t="shared" si="11"/>
        <v>1</v>
      </c>
      <c r="O77" s="37" t="s">
        <v>221</v>
      </c>
      <c r="P77" s="29">
        <v>30000000</v>
      </c>
      <c r="Q77" s="32"/>
      <c r="R77" s="32"/>
      <c r="S77" s="32"/>
      <c r="T77" s="31"/>
      <c r="U77" s="70">
        <f>SUM(P77:T77)</f>
        <v>30000000</v>
      </c>
      <c r="V77" s="29">
        <v>24000000</v>
      </c>
      <c r="W77" s="81"/>
      <c r="X77" s="81"/>
      <c r="Y77" s="81"/>
      <c r="Z77" s="78"/>
      <c r="AA77" s="70">
        <f>SUM(V77:Z77)</f>
        <v>24000000</v>
      </c>
      <c r="AB77" s="8">
        <f>IFERROR(AA77/U77,"-")</f>
        <v>0.8</v>
      </c>
      <c r="AC77" s="29"/>
      <c r="AD77" s="10" t="s">
        <v>49</v>
      </c>
      <c r="AE77" s="10" t="s">
        <v>50</v>
      </c>
    </row>
    <row r="78" spans="1:31" ht="90" x14ac:dyDescent="0.25">
      <c r="A78" s="28">
        <v>207</v>
      </c>
      <c r="B78" s="12" t="s">
        <v>209</v>
      </c>
      <c r="C78" s="12" t="s">
        <v>210</v>
      </c>
      <c r="D78" s="46" t="s">
        <v>211</v>
      </c>
      <c r="E78" s="50" t="s">
        <v>226</v>
      </c>
      <c r="F78" s="51" t="s">
        <v>227</v>
      </c>
      <c r="G78" s="52">
        <v>2020680010123</v>
      </c>
      <c r="H78" s="43" t="s">
        <v>217</v>
      </c>
      <c r="I78" s="53" t="s">
        <v>218</v>
      </c>
      <c r="J78" s="11">
        <v>44197</v>
      </c>
      <c r="K78" s="11">
        <v>44561</v>
      </c>
      <c r="L78" s="104">
        <v>6</v>
      </c>
      <c r="M78" s="105">
        <v>0</v>
      </c>
      <c r="N78" s="106">
        <f t="shared" si="11"/>
        <v>0</v>
      </c>
      <c r="O78" s="37"/>
      <c r="P78" s="29"/>
      <c r="Q78" s="32"/>
      <c r="R78" s="32"/>
      <c r="S78" s="32"/>
      <c r="T78" s="31"/>
      <c r="U78" s="107">
        <f>SUM(P78:T79)</f>
        <v>100000000</v>
      </c>
      <c r="V78" s="29"/>
      <c r="W78" s="81"/>
      <c r="X78" s="81"/>
      <c r="Y78" s="81"/>
      <c r="Z78" s="78"/>
      <c r="AA78" s="107">
        <f>SUM(V78:Z79)</f>
        <v>0</v>
      </c>
      <c r="AB78" s="102">
        <f>IFERROR(AA78/U78,"-")</f>
        <v>0</v>
      </c>
      <c r="AC78" s="103"/>
      <c r="AD78" s="101" t="s">
        <v>49</v>
      </c>
      <c r="AE78" s="101" t="s">
        <v>50</v>
      </c>
    </row>
    <row r="79" spans="1:31" ht="90" x14ac:dyDescent="0.25">
      <c r="A79" s="28">
        <v>207</v>
      </c>
      <c r="B79" s="12" t="s">
        <v>209</v>
      </c>
      <c r="C79" s="12" t="s">
        <v>210</v>
      </c>
      <c r="D79" s="46" t="s">
        <v>211</v>
      </c>
      <c r="E79" s="50" t="s">
        <v>226</v>
      </c>
      <c r="F79" s="51" t="s">
        <v>227</v>
      </c>
      <c r="G79" s="54"/>
      <c r="H79" s="13" t="s">
        <v>97</v>
      </c>
      <c r="I79" s="14"/>
      <c r="J79" s="11"/>
      <c r="K79" s="11"/>
      <c r="L79" s="104"/>
      <c r="M79" s="105"/>
      <c r="N79" s="106"/>
      <c r="O79" s="37" t="s">
        <v>228</v>
      </c>
      <c r="P79" s="29">
        <f>90000000+30000000+30000000+160461-50160461</f>
        <v>100000000</v>
      </c>
      <c r="Q79" s="32"/>
      <c r="R79" s="32"/>
      <c r="S79" s="32"/>
      <c r="T79" s="31"/>
      <c r="U79" s="107"/>
      <c r="V79" s="29"/>
      <c r="W79" s="81"/>
      <c r="X79" s="81"/>
      <c r="Y79" s="81"/>
      <c r="Z79" s="78"/>
      <c r="AA79" s="107"/>
      <c r="AB79" s="102"/>
      <c r="AC79" s="103"/>
      <c r="AD79" s="101"/>
      <c r="AE79" s="101"/>
    </row>
    <row r="80" spans="1:31" ht="75" x14ac:dyDescent="0.25">
      <c r="A80" s="28">
        <v>283</v>
      </c>
      <c r="B80" s="12" t="s">
        <v>39</v>
      </c>
      <c r="C80" s="12" t="s">
        <v>229</v>
      </c>
      <c r="D80" s="44" t="s">
        <v>230</v>
      </c>
      <c r="E80" s="39" t="s">
        <v>231</v>
      </c>
      <c r="F80" s="35" t="s">
        <v>232</v>
      </c>
      <c r="G80" s="52">
        <v>20200680010063</v>
      </c>
      <c r="H80" s="43" t="s">
        <v>233</v>
      </c>
      <c r="I80" s="15" t="s">
        <v>234</v>
      </c>
      <c r="J80" s="11">
        <v>44197</v>
      </c>
      <c r="K80" s="11">
        <v>44561</v>
      </c>
      <c r="L80" s="71">
        <v>1</v>
      </c>
      <c r="M80" s="72">
        <v>1</v>
      </c>
      <c r="N80" s="73">
        <f t="shared" si="11"/>
        <v>1</v>
      </c>
      <c r="O80" s="37" t="s">
        <v>235</v>
      </c>
      <c r="P80" s="29">
        <f>371000000-144000000+140000000</f>
        <v>367000000</v>
      </c>
      <c r="Q80" s="32"/>
      <c r="R80" s="32"/>
      <c r="S80" s="32"/>
      <c r="T80" s="31"/>
      <c r="U80" s="70">
        <f t="shared" ref="U80:U85" si="13">SUM(P80:T80)</f>
        <v>367000000</v>
      </c>
      <c r="V80" s="29">
        <f>164067.77+45667.77+213600000+27200000+46667.77+45667.77</f>
        <v>241102071.08000001</v>
      </c>
      <c r="W80" s="81"/>
      <c r="X80" s="81"/>
      <c r="Y80" s="81"/>
      <c r="Z80" s="78"/>
      <c r="AA80" s="70">
        <f t="shared" ref="AA80:AA85" si="14">SUM(V80:Z80)</f>
        <v>241102071.08000001</v>
      </c>
      <c r="AB80" s="8">
        <f t="shared" ref="AB80:AB86" si="15">IFERROR(AA80/U80,"-")</f>
        <v>0.6569538721525886</v>
      </c>
      <c r="AC80" s="29"/>
      <c r="AD80" s="10" t="s">
        <v>49</v>
      </c>
      <c r="AE80" s="10" t="s">
        <v>50</v>
      </c>
    </row>
    <row r="81" spans="1:31" ht="75" x14ac:dyDescent="0.25">
      <c r="A81" s="28">
        <v>284</v>
      </c>
      <c r="B81" s="12" t="s">
        <v>39</v>
      </c>
      <c r="C81" s="12" t="s">
        <v>229</v>
      </c>
      <c r="D81" s="44" t="s">
        <v>230</v>
      </c>
      <c r="E81" s="39" t="s">
        <v>242</v>
      </c>
      <c r="F81" s="35" t="s">
        <v>243</v>
      </c>
      <c r="G81" s="41"/>
      <c r="H81" s="38" t="s">
        <v>244</v>
      </c>
      <c r="I81" s="9"/>
      <c r="J81" s="11">
        <v>44197</v>
      </c>
      <c r="K81" s="11">
        <v>44561</v>
      </c>
      <c r="L81" s="71">
        <v>2</v>
      </c>
      <c r="M81" s="72">
        <v>0</v>
      </c>
      <c r="N81" s="73">
        <f>IFERROR(IF(M81/L81&gt;100%,100%,M81/L81),"-")</f>
        <v>0</v>
      </c>
      <c r="O81" s="37" t="s">
        <v>245</v>
      </c>
      <c r="P81" s="29">
        <v>200000000</v>
      </c>
      <c r="Q81" s="32"/>
      <c r="R81" s="32"/>
      <c r="S81" s="32"/>
      <c r="T81" s="31"/>
      <c r="U81" s="70">
        <f t="shared" si="13"/>
        <v>200000000</v>
      </c>
      <c r="V81" s="29">
        <v>0</v>
      </c>
      <c r="W81" s="81"/>
      <c r="X81" s="81"/>
      <c r="Y81" s="81"/>
      <c r="Z81" s="78"/>
      <c r="AA81" s="70">
        <f t="shared" si="14"/>
        <v>0</v>
      </c>
      <c r="AB81" s="8">
        <f t="shared" si="15"/>
        <v>0</v>
      </c>
      <c r="AC81" s="29"/>
      <c r="AD81" s="10" t="s">
        <v>49</v>
      </c>
      <c r="AE81" s="10" t="s">
        <v>50</v>
      </c>
    </row>
    <row r="82" spans="1:31" ht="75" x14ac:dyDescent="0.25">
      <c r="A82" s="28">
        <v>285</v>
      </c>
      <c r="B82" s="17" t="s">
        <v>39</v>
      </c>
      <c r="C82" s="12" t="s">
        <v>229</v>
      </c>
      <c r="D82" s="46" t="s">
        <v>230</v>
      </c>
      <c r="E82" s="57" t="s">
        <v>239</v>
      </c>
      <c r="F82" s="51" t="s">
        <v>240</v>
      </c>
      <c r="G82" s="52">
        <v>20200680010063</v>
      </c>
      <c r="H82" s="43" t="s">
        <v>233</v>
      </c>
      <c r="I82" s="11"/>
      <c r="J82" s="11">
        <v>44197</v>
      </c>
      <c r="K82" s="11">
        <v>44561</v>
      </c>
      <c r="L82" s="74">
        <v>1</v>
      </c>
      <c r="M82" s="75">
        <v>1</v>
      </c>
      <c r="N82" s="73">
        <f>IFERROR(IF(M82/L82&gt;100%,100%,M82/L82),"-")</f>
        <v>1</v>
      </c>
      <c r="O82" s="37" t="s">
        <v>241</v>
      </c>
      <c r="P82" s="29">
        <f>113501549+30498451+229000000</f>
        <v>373000000</v>
      </c>
      <c r="Q82" s="33"/>
      <c r="R82" s="32"/>
      <c r="S82" s="32"/>
      <c r="T82" s="31"/>
      <c r="U82" s="70">
        <f t="shared" si="13"/>
        <v>373000000</v>
      </c>
      <c r="V82" s="29">
        <v>144000000</v>
      </c>
      <c r="W82" s="33"/>
      <c r="X82" s="81"/>
      <c r="Y82" s="81"/>
      <c r="Z82" s="78"/>
      <c r="AA82" s="70">
        <f t="shared" si="14"/>
        <v>144000000</v>
      </c>
      <c r="AB82" s="8">
        <f t="shared" si="15"/>
        <v>0.38605898123324395</v>
      </c>
      <c r="AC82" s="29"/>
      <c r="AD82" s="10" t="s">
        <v>49</v>
      </c>
      <c r="AE82" s="10" t="s">
        <v>50</v>
      </c>
    </row>
    <row r="83" spans="1:31" ht="75" x14ac:dyDescent="0.25">
      <c r="A83" s="28">
        <v>286</v>
      </c>
      <c r="B83" s="12" t="s">
        <v>39</v>
      </c>
      <c r="C83" s="12" t="s">
        <v>229</v>
      </c>
      <c r="D83" s="46" t="s">
        <v>230</v>
      </c>
      <c r="E83" s="39" t="s">
        <v>236</v>
      </c>
      <c r="F83" s="35" t="s">
        <v>237</v>
      </c>
      <c r="G83" s="52">
        <v>20200680010063</v>
      </c>
      <c r="H83" s="43" t="s">
        <v>233</v>
      </c>
      <c r="I83" s="15" t="s">
        <v>234</v>
      </c>
      <c r="J83" s="11">
        <v>44197</v>
      </c>
      <c r="K83" s="11">
        <v>44561</v>
      </c>
      <c r="L83" s="74">
        <v>1</v>
      </c>
      <c r="M83" s="75">
        <v>1</v>
      </c>
      <c r="N83" s="73">
        <f t="shared" si="11"/>
        <v>1</v>
      </c>
      <c r="O83" s="37" t="s">
        <v>238</v>
      </c>
      <c r="P83" s="29">
        <f>400000000+443600000+100000000</f>
        <v>943600000</v>
      </c>
      <c r="Q83" s="32"/>
      <c r="R83" s="32"/>
      <c r="S83" s="34"/>
      <c r="T83" s="31"/>
      <c r="U83" s="70">
        <f t="shared" si="13"/>
        <v>943600000</v>
      </c>
      <c r="V83" s="29">
        <f>14208000+14208000+14253667.77+14208000+14208000+14265084.71+107382550</f>
        <v>192733302.47999999</v>
      </c>
      <c r="W83" s="59"/>
      <c r="X83" s="59"/>
      <c r="Y83" s="66"/>
      <c r="Z83" s="31"/>
      <c r="AA83" s="70">
        <f t="shared" si="14"/>
        <v>192733302.47999999</v>
      </c>
      <c r="AB83" s="8">
        <f t="shared" si="15"/>
        <v>0.20425318194150063</v>
      </c>
      <c r="AC83" s="29"/>
      <c r="AD83" s="10" t="s">
        <v>49</v>
      </c>
      <c r="AE83" s="10" t="s">
        <v>50</v>
      </c>
    </row>
    <row r="84" spans="1:31" ht="94.8" customHeight="1" x14ac:dyDescent="0.25">
      <c r="A84" s="28">
        <v>234</v>
      </c>
      <c r="B84" s="12" t="s">
        <v>89</v>
      </c>
      <c r="C84" s="12" t="s">
        <v>90</v>
      </c>
      <c r="D84" s="44" t="s">
        <v>91</v>
      </c>
      <c r="E84" s="39" t="s">
        <v>92</v>
      </c>
      <c r="F84" s="35" t="s">
        <v>93</v>
      </c>
      <c r="G84" s="52">
        <v>20210680010003</v>
      </c>
      <c r="H84" s="43" t="s">
        <v>47</v>
      </c>
      <c r="I84" s="9"/>
      <c r="J84" s="11">
        <v>44197</v>
      </c>
      <c r="K84" s="11">
        <v>44561</v>
      </c>
      <c r="L84" s="71">
        <v>1</v>
      </c>
      <c r="M84" s="49">
        <v>0.5</v>
      </c>
      <c r="N84" s="73">
        <f>IFERROR(IF(M84/L84&gt;100%,100%,M84/L84),"-")</f>
        <v>0.5</v>
      </c>
      <c r="O84" s="37" t="s">
        <v>94</v>
      </c>
      <c r="P84" s="29">
        <f>10000000+20000000</f>
        <v>30000000</v>
      </c>
      <c r="Q84" s="32"/>
      <c r="R84" s="32"/>
      <c r="S84" s="32"/>
      <c r="T84" s="31"/>
      <c r="U84" s="70">
        <f t="shared" si="13"/>
        <v>30000000</v>
      </c>
      <c r="V84" s="29">
        <f>20000000+10000000</f>
        <v>30000000</v>
      </c>
      <c r="W84" s="59"/>
      <c r="X84" s="59"/>
      <c r="Y84" s="59"/>
      <c r="Z84" s="31"/>
      <c r="AA84" s="70">
        <f t="shared" si="14"/>
        <v>30000000</v>
      </c>
      <c r="AB84" s="8">
        <f t="shared" si="15"/>
        <v>1</v>
      </c>
      <c r="AC84" s="29"/>
      <c r="AD84" s="10" t="s">
        <v>49</v>
      </c>
      <c r="AE84" s="10" t="s">
        <v>50</v>
      </c>
    </row>
    <row r="85" spans="1:31" ht="104.4" customHeight="1" x14ac:dyDescent="0.25">
      <c r="A85" s="28">
        <v>300</v>
      </c>
      <c r="B85" s="17" t="s">
        <v>39</v>
      </c>
      <c r="C85" s="17" t="s">
        <v>40</v>
      </c>
      <c r="D85" s="36" t="s">
        <v>41</v>
      </c>
      <c r="E85" s="50" t="s">
        <v>246</v>
      </c>
      <c r="F85" s="51" t="s">
        <v>247</v>
      </c>
      <c r="G85" s="42">
        <v>20200680010025</v>
      </c>
      <c r="H85" s="43" t="s">
        <v>248</v>
      </c>
      <c r="I85" s="15" t="s">
        <v>249</v>
      </c>
      <c r="J85" s="11">
        <v>44197</v>
      </c>
      <c r="K85" s="11">
        <v>44561</v>
      </c>
      <c r="L85" s="74">
        <v>1</v>
      </c>
      <c r="M85" s="75">
        <v>1</v>
      </c>
      <c r="N85" s="73">
        <f t="shared" si="11"/>
        <v>1</v>
      </c>
      <c r="O85" s="37" t="s">
        <v>260</v>
      </c>
      <c r="P85" s="29">
        <v>914000000</v>
      </c>
      <c r="Q85" s="32"/>
      <c r="R85" s="32"/>
      <c r="S85" s="34"/>
      <c r="T85" s="31"/>
      <c r="U85" s="70">
        <f t="shared" si="13"/>
        <v>914000000</v>
      </c>
      <c r="V85" s="29">
        <f>466400000+64000000-25066666+12000000-23000001+29566667+38000000</f>
        <v>561900000</v>
      </c>
      <c r="W85" s="59"/>
      <c r="X85" s="59"/>
      <c r="Y85" s="66"/>
      <c r="Z85" s="31"/>
      <c r="AA85" s="70">
        <f t="shared" si="14"/>
        <v>561900000</v>
      </c>
      <c r="AB85" s="8">
        <f t="shared" si="15"/>
        <v>0.6147702407002188</v>
      </c>
      <c r="AC85" s="29"/>
      <c r="AD85" s="10" t="s">
        <v>49</v>
      </c>
      <c r="AE85" s="10" t="s">
        <v>50</v>
      </c>
    </row>
    <row r="86" spans="1:31" ht="24" customHeight="1" x14ac:dyDescent="0.25">
      <c r="A86" s="19">
        <f>SUM(--(FREQUENCY(A10:A85,A10:A85)&gt;0))</f>
        <v>62</v>
      </c>
      <c r="B86" s="20"/>
      <c r="C86" s="21"/>
      <c r="D86" s="21"/>
      <c r="E86" s="21"/>
      <c r="F86" s="21"/>
      <c r="G86" s="21"/>
      <c r="H86" s="21"/>
      <c r="I86" s="21"/>
      <c r="J86" s="21"/>
      <c r="K86" s="22"/>
      <c r="L86" s="22"/>
      <c r="M86" s="23" t="s">
        <v>17</v>
      </c>
      <c r="N86" s="22">
        <f>IFERROR(AVERAGE(N10:N85),"-")</f>
        <v>0.64629208210724998</v>
      </c>
      <c r="O86" s="89"/>
      <c r="P86" s="25">
        <f t="shared" ref="P86:AA86" si="16">SUM(P10:P85)</f>
        <v>14905330345.42</v>
      </c>
      <c r="Q86" s="25">
        <f t="shared" si="16"/>
        <v>2000000000</v>
      </c>
      <c r="R86" s="25">
        <f t="shared" si="16"/>
        <v>0</v>
      </c>
      <c r="S86" s="25">
        <f t="shared" si="16"/>
        <v>0</v>
      </c>
      <c r="T86" s="25">
        <f t="shared" si="16"/>
        <v>2540652590</v>
      </c>
      <c r="U86" s="94">
        <f t="shared" si="16"/>
        <v>19445982935.420002</v>
      </c>
      <c r="V86" s="25">
        <f t="shared" si="16"/>
        <v>7769463900.5900002</v>
      </c>
      <c r="W86" s="25">
        <f t="shared" si="16"/>
        <v>1736620324</v>
      </c>
      <c r="X86" s="25">
        <f t="shared" si="16"/>
        <v>0</v>
      </c>
      <c r="Y86" s="25">
        <f t="shared" si="16"/>
        <v>0</v>
      </c>
      <c r="Z86" s="25">
        <f t="shared" si="16"/>
        <v>2031151591.0999999</v>
      </c>
      <c r="AA86" s="27">
        <f t="shared" si="16"/>
        <v>11537235815.690001</v>
      </c>
      <c r="AB86" s="26">
        <f t="shared" si="15"/>
        <v>0.59329661318767457</v>
      </c>
      <c r="AC86" s="27">
        <f>SUM(AC10:AC85)</f>
        <v>91496000</v>
      </c>
      <c r="AD86" s="24"/>
      <c r="AE86" s="24"/>
    </row>
    <row r="88" spans="1:31" x14ac:dyDescent="0.25">
      <c r="AA88"/>
    </row>
    <row r="89" spans="1:31" x14ac:dyDescent="0.25">
      <c r="P89"/>
      <c r="Q89"/>
      <c r="R89"/>
      <c r="U89"/>
      <c r="V89"/>
      <c r="AA89"/>
    </row>
    <row r="90" spans="1:31" x14ac:dyDescent="0.25">
      <c r="P90"/>
      <c r="Q90"/>
      <c r="R90"/>
      <c r="U90"/>
      <c r="V90"/>
      <c r="AA90"/>
    </row>
    <row r="91" spans="1:31" x14ac:dyDescent="0.25">
      <c r="P91"/>
      <c r="Q91"/>
      <c r="R91"/>
      <c r="U91" s="92"/>
      <c r="V91" s="92"/>
      <c r="W91" s="92"/>
      <c r="X91" s="92"/>
      <c r="Y91" s="92"/>
    </row>
    <row r="92" spans="1:31" x14ac:dyDescent="0.25">
      <c r="P92"/>
      <c r="Q92"/>
      <c r="R92"/>
      <c r="U92" s="92"/>
      <c r="V92" s="92"/>
      <c r="W92" s="92"/>
      <c r="X92" s="92"/>
      <c r="Y92" s="92"/>
    </row>
    <row r="93" spans="1:31" x14ac:dyDescent="0.25">
      <c r="U93" s="92"/>
      <c r="V93" s="92"/>
      <c r="W93" s="92"/>
      <c r="X93" s="92"/>
      <c r="Y93" s="92"/>
    </row>
    <row r="94" spans="1:31" x14ac:dyDescent="0.25">
      <c r="U94"/>
      <c r="V94"/>
    </row>
    <row r="95" spans="1:31" x14ac:dyDescent="0.25">
      <c r="U95" s="93"/>
      <c r="V95"/>
      <c r="Z95" s="96"/>
    </row>
  </sheetData>
  <mergeCells count="140">
    <mergeCell ref="N38:N39"/>
    <mergeCell ref="M38:M39"/>
    <mergeCell ref="L38:L39"/>
    <mergeCell ref="N11:N12"/>
    <mergeCell ref="M11:M12"/>
    <mergeCell ref="L11:L12"/>
    <mergeCell ref="U11:U12"/>
    <mergeCell ref="AA11:AA12"/>
    <mergeCell ref="AB11:AB12"/>
    <mergeCell ref="AD74:AD75"/>
    <mergeCell ref="AE74:AE75"/>
    <mergeCell ref="N35:N36"/>
    <mergeCell ref="M35:M36"/>
    <mergeCell ref="L35:L36"/>
    <mergeCell ref="U35:U36"/>
    <mergeCell ref="AA35:AA36"/>
    <mergeCell ref="AB35:AB36"/>
    <mergeCell ref="AE35:AE36"/>
    <mergeCell ref="AD35:AD36"/>
    <mergeCell ref="AC35:AC36"/>
    <mergeCell ref="U38:U39"/>
    <mergeCell ref="AA38:AA39"/>
    <mergeCell ref="AB38:AB39"/>
    <mergeCell ref="AC38:AC39"/>
    <mergeCell ref="AD38:AD39"/>
    <mergeCell ref="L74:L75"/>
    <mergeCell ref="U74:U75"/>
    <mergeCell ref="AA74:AA75"/>
    <mergeCell ref="AB74:AB75"/>
    <mergeCell ref="AC74:AC75"/>
    <mergeCell ref="AA53:AA54"/>
    <mergeCell ref="AB53:AB54"/>
    <mergeCell ref="AC53:AC54"/>
    <mergeCell ref="AE53:AE54"/>
    <mergeCell ref="M58:M59"/>
    <mergeCell ref="L58:L59"/>
    <mergeCell ref="U58:U59"/>
    <mergeCell ref="L71:L72"/>
    <mergeCell ref="N53:N54"/>
    <mergeCell ref="M53:M54"/>
    <mergeCell ref="L53:L54"/>
    <mergeCell ref="U53:U54"/>
    <mergeCell ref="AB66:AB67"/>
    <mergeCell ref="AC66:AC67"/>
    <mergeCell ref="AD66:AD67"/>
    <mergeCell ref="AE66:AE67"/>
    <mergeCell ref="N58:N59"/>
    <mergeCell ref="AA58:AA59"/>
    <mergeCell ref="AB58:AB59"/>
    <mergeCell ref="AC58:AC59"/>
    <mergeCell ref="AD58:AD59"/>
    <mergeCell ref="AE58:AE59"/>
    <mergeCell ref="N66:N67"/>
    <mergeCell ref="M66:M67"/>
    <mergeCell ref="L66:L67"/>
    <mergeCell ref="U66:U67"/>
    <mergeCell ref="L40:L41"/>
    <mergeCell ref="M40:M41"/>
    <mergeCell ref="N40:N41"/>
    <mergeCell ref="U40:U41"/>
    <mergeCell ref="N64:N65"/>
    <mergeCell ref="U64:U65"/>
    <mergeCell ref="L64:L65"/>
    <mergeCell ref="M64:M65"/>
    <mergeCell ref="AD53:AD54"/>
    <mergeCell ref="AC2:AE2"/>
    <mergeCell ref="AC3:AE3"/>
    <mergeCell ref="AC4:AE4"/>
    <mergeCell ref="AC5:AE5"/>
    <mergeCell ref="AC8:AC9"/>
    <mergeCell ref="AD8:AE8"/>
    <mergeCell ref="AA40:AA41"/>
    <mergeCell ref="AB40:AB41"/>
    <mergeCell ref="AC40:AC41"/>
    <mergeCell ref="AE38:AE39"/>
    <mergeCell ref="AC11:AC12"/>
    <mergeCell ref="AD11:AD12"/>
    <mergeCell ref="AE11:AE12"/>
    <mergeCell ref="A2:A5"/>
    <mergeCell ref="A6:C6"/>
    <mergeCell ref="A7:C7"/>
    <mergeCell ref="D6:L6"/>
    <mergeCell ref="D7:L7"/>
    <mergeCell ref="B2:AB5"/>
    <mergeCell ref="L31:L32"/>
    <mergeCell ref="M31:M32"/>
    <mergeCell ref="N31:N32"/>
    <mergeCell ref="U31:U32"/>
    <mergeCell ref="AA31:AA32"/>
    <mergeCell ref="L8:N8"/>
    <mergeCell ref="O8:U8"/>
    <mergeCell ref="V8:AA8"/>
    <mergeCell ref="AB8:AB9"/>
    <mergeCell ref="B8:F8"/>
    <mergeCell ref="G8:K8"/>
    <mergeCell ref="AC60:AC61"/>
    <mergeCell ref="AA60:AA61"/>
    <mergeCell ref="L60:L61"/>
    <mergeCell ref="M60:M61"/>
    <mergeCell ref="N60:N61"/>
    <mergeCell ref="U60:U61"/>
    <mergeCell ref="AB78:AB79"/>
    <mergeCell ref="AC78:AC79"/>
    <mergeCell ref="U71:U72"/>
    <mergeCell ref="M71:M72"/>
    <mergeCell ref="N71:N72"/>
    <mergeCell ref="N74:N75"/>
    <mergeCell ref="M74:M75"/>
    <mergeCell ref="L78:L79"/>
    <mergeCell ref="M78:M79"/>
    <mergeCell ref="N78:N79"/>
    <mergeCell ref="U78:U79"/>
    <mergeCell ref="AA78:AA79"/>
    <mergeCell ref="AA64:AA65"/>
    <mergeCell ref="AA71:AA72"/>
    <mergeCell ref="AA66:AA67"/>
    <mergeCell ref="AD78:AD79"/>
    <mergeCell ref="AE78:AE79"/>
    <mergeCell ref="AB24:AB25"/>
    <mergeCell ref="AC24:AC25"/>
    <mergeCell ref="AD24:AD25"/>
    <mergeCell ref="AE24:AE25"/>
    <mergeCell ref="L24:L25"/>
    <mergeCell ref="M24:M25"/>
    <mergeCell ref="N24:N25"/>
    <mergeCell ref="U24:U25"/>
    <mergeCell ref="AA24:AA25"/>
    <mergeCell ref="AD40:AD41"/>
    <mergeCell ref="AE40:AE41"/>
    <mergeCell ref="AD60:AD61"/>
    <mergeCell ref="AE60:AE61"/>
    <mergeCell ref="AD64:AD65"/>
    <mergeCell ref="AE64:AE65"/>
    <mergeCell ref="AB71:AB72"/>
    <mergeCell ref="AD71:AD72"/>
    <mergeCell ref="AE71:AE72"/>
    <mergeCell ref="AC71:AC72"/>
    <mergeCell ref="AB64:AB65"/>
    <mergeCell ref="AC64:AC65"/>
    <mergeCell ref="AB60:AB61"/>
  </mergeCells>
  <conditionalFormatting sqref="N10:N11 N60:N66 N55:N58 N68:N74 N76:N85 N37:N38 N40:N53 N13:N35">
    <cfRule type="cellIs" dxfId="5" priority="4" operator="between">
      <formula>0.66</formula>
      <formula>1</formula>
    </cfRule>
    <cfRule type="cellIs" dxfId="4" priority="5" operator="between">
      <formula>0.33</formula>
      <formula>0.67</formula>
    </cfRule>
    <cfRule type="cellIs" dxfId="3" priority="6" operator="between">
      <formula>0</formula>
      <formula>0.33</formula>
    </cfRule>
  </conditionalFormatting>
  <conditionalFormatting sqref="N24:N25">
    <cfRule type="cellIs" dxfId="2" priority="1" operator="between">
      <formula>0.66</formula>
      <formula>1</formula>
    </cfRule>
    <cfRule type="cellIs" dxfId="1" priority="2" operator="between">
      <formula>0.33</formula>
      <formula>0.67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2021-07-27T20:33:40Z</dcterms:modified>
</cp:coreProperties>
</file>