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4 - Abril\Publicados\"/>
    </mc:Choice>
  </mc:AlternateContent>
  <xr:revisionPtr revIDLastSave="0" documentId="13_ncr:1_{94BB32B1-FB8D-45B9-944F-4EF7F91EC1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calcPr calcId="181029"/>
</workbook>
</file>

<file path=xl/calcChain.xml><?xml version="1.0" encoding="utf-8"?>
<calcChain xmlns="http://schemas.openxmlformats.org/spreadsheetml/2006/main">
  <c r="X77" i="12" l="1"/>
  <c r="X75" i="12"/>
  <c r="X74" i="12"/>
  <c r="X72" i="12"/>
  <c r="X71" i="12"/>
  <c r="X70" i="12"/>
  <c r="X68" i="12"/>
  <c r="X67" i="12"/>
  <c r="X66" i="12"/>
  <c r="X65" i="12"/>
  <c r="X63" i="12"/>
  <c r="X62" i="12"/>
  <c r="Y62" i="12" s="1"/>
  <c r="X61" i="12"/>
  <c r="Y61" i="12" s="1"/>
  <c r="X60" i="12"/>
  <c r="Y60" i="12" s="1"/>
  <c r="X59" i="12"/>
  <c r="X58" i="12"/>
  <c r="Y58" i="12" s="1"/>
  <c r="X56" i="12"/>
  <c r="Y56" i="12" s="1"/>
  <c r="X55" i="12"/>
  <c r="Y55" i="12" s="1"/>
  <c r="X54" i="12"/>
  <c r="Y54" i="12" s="1"/>
  <c r="X53" i="12"/>
  <c r="X51" i="12"/>
  <c r="Y51" i="12" s="1"/>
  <c r="X50" i="12"/>
  <c r="Y50" i="12" s="1"/>
  <c r="X49" i="12"/>
  <c r="Y49" i="12" s="1"/>
  <c r="X48" i="12"/>
  <c r="X47" i="12"/>
  <c r="Y47" i="12" s="1"/>
  <c r="X46" i="12"/>
  <c r="Y46" i="12" s="1"/>
  <c r="X45" i="12"/>
  <c r="Y45" i="12" s="1"/>
  <c r="X44" i="12"/>
  <c r="Y44" i="12" s="1"/>
  <c r="X43" i="12"/>
  <c r="Y43" i="12" s="1"/>
  <c r="X42" i="12"/>
  <c r="Y42" i="12" s="1"/>
  <c r="X41" i="12"/>
  <c r="Y41" i="12" s="1"/>
  <c r="X40" i="12"/>
  <c r="Y40" i="12" s="1"/>
  <c r="X39" i="12"/>
  <c r="Y39" i="12" s="1"/>
  <c r="X38" i="12"/>
  <c r="Y38" i="12" s="1"/>
  <c r="X37" i="12"/>
  <c r="Y37" i="12" s="1"/>
  <c r="X36" i="12"/>
  <c r="Y36" i="12" s="1"/>
  <c r="X34" i="12"/>
  <c r="Y34" i="12" s="1"/>
  <c r="X33" i="12"/>
  <c r="Y33" i="12" s="1"/>
  <c r="X32" i="12"/>
  <c r="Y32" i="12" s="1"/>
  <c r="X31" i="12"/>
  <c r="Y31" i="12" s="1"/>
  <c r="X9" i="12"/>
  <c r="X8" i="12"/>
  <c r="X7" i="12"/>
  <c r="Y7" i="12" s="1"/>
  <c r="X6" i="12"/>
  <c r="Y6" i="12" s="1"/>
  <c r="Y59" i="12"/>
  <c r="Y53" i="12"/>
  <c r="Y48" i="12"/>
  <c r="Y30" i="12"/>
  <c r="Y29" i="12"/>
  <c r="Y28" i="12"/>
  <c r="Y26" i="12"/>
  <c r="Y25" i="12"/>
  <c r="Y24" i="12"/>
  <c r="Y22" i="12"/>
  <c r="Y21" i="12"/>
  <c r="Y20" i="12"/>
  <c r="Y19" i="12"/>
  <c r="Y18" i="12"/>
  <c r="Y17" i="12"/>
  <c r="Y10" i="12"/>
  <c r="Y13" i="12"/>
  <c r="Y12" i="12"/>
  <c r="Y11" i="12"/>
  <c r="Y9" i="12"/>
  <c r="Y8" i="12"/>
  <c r="M77" i="12"/>
  <c r="Z77" i="12"/>
  <c r="U77" i="12"/>
  <c r="T77" i="12"/>
  <c r="V77" i="12"/>
  <c r="T34" i="12"/>
  <c r="T32" i="12"/>
  <c r="T38" i="12"/>
  <c r="O29" i="12"/>
  <c r="T28" i="12"/>
  <c r="T70" i="12"/>
  <c r="T71" i="12"/>
  <c r="O69" i="12"/>
  <c r="T75" i="12"/>
  <c r="U55" i="12"/>
  <c r="T53" i="12"/>
  <c r="T59" i="12"/>
  <c r="O59" i="12"/>
  <c r="O58" i="12"/>
  <c r="O32" i="12"/>
  <c r="T30" i="12"/>
  <c r="T8" i="12"/>
  <c r="T18" i="12"/>
  <c r="T66" i="12"/>
  <c r="S74" i="12"/>
  <c r="S70" i="12"/>
  <c r="S68" i="12"/>
  <c r="S67" i="12"/>
  <c r="S66" i="12"/>
  <c r="S65" i="12"/>
  <c r="S62" i="12"/>
  <c r="S61" i="12"/>
  <c r="S60" i="12"/>
  <c r="S59" i="12"/>
  <c r="S58" i="12"/>
  <c r="S56" i="12"/>
  <c r="S55" i="12"/>
  <c r="S54" i="12"/>
  <c r="S53" i="12"/>
  <c r="S51" i="12"/>
  <c r="S50" i="12"/>
  <c r="S49" i="12"/>
  <c r="S48" i="12"/>
  <c r="S47" i="12"/>
  <c r="S46" i="12"/>
  <c r="S45" i="12"/>
  <c r="S44" i="12"/>
  <c r="S43" i="12"/>
  <c r="S42" i="12"/>
  <c r="S40" i="12"/>
  <c r="S39" i="12"/>
  <c r="S38" i="12"/>
  <c r="S37" i="12"/>
  <c r="S36" i="12"/>
  <c r="S32" i="12"/>
  <c r="S29" i="12"/>
  <c r="S28" i="12"/>
  <c r="S25" i="12"/>
  <c r="S24" i="12"/>
  <c r="S20" i="12"/>
  <c r="S19" i="12"/>
  <c r="S18" i="12"/>
  <c r="S16" i="12"/>
  <c r="S14" i="12"/>
  <c r="S13" i="12"/>
  <c r="S10" i="12"/>
  <c r="S9" i="12"/>
  <c r="S7" i="12"/>
  <c r="T31" i="12"/>
  <c r="W77" i="12"/>
  <c r="Q77" i="12"/>
  <c r="P77" i="12"/>
  <c r="O34" i="12"/>
  <c r="S34" i="12"/>
  <c r="O57" i="12"/>
  <c r="O73" i="12"/>
  <c r="S72" i="12"/>
  <c r="Y72" i="12"/>
  <c r="Y74" i="12"/>
  <c r="O12" i="12"/>
  <c r="S12" i="12"/>
  <c r="Y66" i="12"/>
  <c r="X29" i="12"/>
  <c r="X28" i="12"/>
  <c r="X26" i="12"/>
  <c r="X25" i="12"/>
  <c r="X24" i="12"/>
  <c r="X20" i="12"/>
  <c r="X18" i="12"/>
  <c r="X16" i="12"/>
  <c r="Y16" i="12"/>
  <c r="X15" i="12"/>
  <c r="X13" i="12"/>
  <c r="X10" i="12"/>
  <c r="O17" i="12"/>
  <c r="S17" i="12"/>
  <c r="T22" i="12"/>
  <c r="X22" i="12"/>
  <c r="O23" i="12"/>
  <c r="S22" i="12"/>
  <c r="O15" i="12"/>
  <c r="S15" i="12"/>
  <c r="Y15" i="12"/>
  <c r="M22" i="12"/>
  <c r="Y67" i="12"/>
  <c r="Y65" i="12"/>
  <c r="M34" i="12"/>
  <c r="Y68" i="12"/>
  <c r="O64" i="12"/>
  <c r="S63" i="12"/>
  <c r="Y63" i="12"/>
  <c r="M51" i="12"/>
  <c r="O75" i="12"/>
  <c r="S75" i="12"/>
  <c r="Y75" i="12"/>
  <c r="O30" i="12"/>
  <c r="S30" i="12"/>
  <c r="M72" i="12"/>
  <c r="O27" i="12"/>
  <c r="S26" i="12"/>
  <c r="M26" i="12"/>
  <c r="O21" i="12"/>
  <c r="S21" i="12"/>
  <c r="O8" i="12"/>
  <c r="S8" i="12"/>
  <c r="T11" i="12"/>
  <c r="X11" i="12"/>
  <c r="O11" i="12"/>
  <c r="S11" i="12"/>
  <c r="T21" i="12"/>
  <c r="X21" i="12"/>
  <c r="T12" i="12"/>
  <c r="X12" i="12"/>
  <c r="T6" i="12"/>
  <c r="O6" i="12"/>
  <c r="T7" i="12"/>
  <c r="T19" i="12"/>
  <c r="X19" i="12"/>
  <c r="T17" i="12"/>
  <c r="X17" i="12"/>
  <c r="T9" i="12"/>
  <c r="T14" i="12"/>
  <c r="X14" i="12"/>
  <c r="Y14" i="12"/>
  <c r="S6" i="12"/>
  <c r="O41" i="12"/>
  <c r="S41" i="12"/>
  <c r="T41" i="12"/>
  <c r="T36" i="12"/>
  <c r="M75" i="12"/>
  <c r="M74" i="12"/>
  <c r="O71" i="12"/>
  <c r="S71" i="12"/>
  <c r="M71" i="12"/>
  <c r="Y70" i="12"/>
  <c r="M70" i="12"/>
  <c r="M68" i="12"/>
  <c r="M67" i="12"/>
  <c r="M66" i="12"/>
  <c r="M65" i="12"/>
  <c r="M63" i="12"/>
  <c r="M62" i="12"/>
  <c r="T61" i="12"/>
  <c r="M61" i="12"/>
  <c r="M60" i="12"/>
  <c r="M59" i="12"/>
  <c r="M58" i="12"/>
  <c r="T57" i="12"/>
  <c r="M56" i="12"/>
  <c r="M55" i="12"/>
  <c r="M54" i="12"/>
  <c r="M53" i="12"/>
  <c r="M50" i="12"/>
  <c r="M49" i="12"/>
  <c r="M48" i="12"/>
  <c r="M47" i="12"/>
  <c r="M46" i="12"/>
  <c r="T45" i="12"/>
  <c r="M45" i="12"/>
  <c r="T44" i="12"/>
  <c r="M44" i="12"/>
  <c r="M43" i="12"/>
  <c r="M42" i="12"/>
  <c r="M41" i="12"/>
  <c r="M40" i="12"/>
  <c r="M39" i="12"/>
  <c r="M38" i="12"/>
  <c r="M37" i="12"/>
  <c r="M36" i="12"/>
  <c r="T33" i="12"/>
  <c r="O33" i="12"/>
  <c r="S33" i="12"/>
  <c r="M33" i="12"/>
  <c r="M32" i="12"/>
  <c r="R31" i="12"/>
  <c r="R77" i="12"/>
  <c r="O31" i="12"/>
  <c r="M31" i="12"/>
  <c r="X30" i="12"/>
  <c r="M30" i="12"/>
  <c r="M29" i="12"/>
  <c r="M28" i="12"/>
  <c r="M25" i="12"/>
  <c r="M24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Y71" i="12"/>
  <c r="S31" i="12"/>
  <c r="S77" i="12"/>
  <c r="O77" i="12"/>
  <c r="Y77" i="12" l="1"/>
</calcChain>
</file>

<file path=xl/sharedStrings.xml><?xml version="1.0" encoding="utf-8"?>
<sst xmlns="http://schemas.openxmlformats.org/spreadsheetml/2006/main" count="574" uniqueCount="245">
  <si>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</si>
  <si>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</si>
  <si>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</si>
  <si>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</si>
  <si>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</si>
  <si>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</si>
  <si>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</si>
  <si>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</si>
  <si>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</si>
  <si>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</si>
  <si>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</si>
  <si>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</si>
  <si>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</si>
  <si>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</si>
  <si>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</si>
  <si>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</si>
  <si>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</si>
  <si>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</si>
  <si>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</si>
  <si>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</si>
  <si>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</si>
  <si>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</si>
  <si>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</si>
  <si>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</si>
  <si>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</si>
  <si>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</si>
  <si>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</si>
  <si>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</si>
  <si>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</si>
  <si>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</si>
  <si>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BUCARAMANGA EQUITATIVA E INCLUYENTE: UNA CIUDAD DE BIENESTAR</t>
  </si>
  <si>
    <t>BUCARAMANGA CIUDAD VITAL: LA VIDA ES SAGRADA</t>
  </si>
  <si>
    <t>PLAN DE ACCIÓN
SECRETARÍA DE DESARROLLO SOCIAL</t>
  </si>
  <si>
    <t>Capacidades Y Oportunidades Para Superar Brechas Sociales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</si>
  <si>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</si>
  <si>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</si>
  <si>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</si>
  <si>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</si>
  <si>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</si>
  <si>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Entregar 4 dotaciones a espacios para la primera infancia con enfoque de inclusión que permita el desarrollo de habilidades.</t>
  </si>
  <si>
    <t>Número de dotaciones entregadas a espacios para la primera infancia con enfoque de inclusión que permitan el desarrollo de habilidades.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</si>
  <si>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</si>
  <si>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</si>
  <si>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</si>
  <si>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</si>
  <si>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Número de estrategias de corresponsabilidad en la garantía de derechos, la prevención de vulneración, amenaza o riesgo en el ámbito familiar, comunitario e institucional formuladas e implementadas.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</si>
  <si>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</si>
  <si>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</si>
  <si>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</si>
  <si>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Número de programas formulados e implementados para el reconocimiento de la construcción de la identidad de niños y niñas con una perspectiva de género 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</si>
  <si>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</si>
  <si>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</si>
  <si>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</si>
  <si>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</si>
  <si>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</si>
  <si>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Número de Rutas de Prevención, Detección y Atención Interinstitucional implementadas y mantenidas frente casos de niños, niñas y adolescentes victimas de bullying, abuso, acoso y/o explotación sexual.</t>
  </si>
  <si>
    <t>Realizar 4 jornadas de conmemoración del día de la niñez.</t>
  </si>
  <si>
    <t>Número de jornadas de conmemoración del día de la niñez realizadas.</t>
  </si>
  <si>
    <t>Formular e implementar 1 ruta de atención integral para niños, niñas, adolescentes refugiados y migrantes y sus familias.</t>
  </si>
  <si>
    <t>Número de rutas de atención integral formuladas e implementadas para niños, niñas, adolescentes refugiados y migrantes y sus familias.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</si>
  <si>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</si>
  <si>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</si>
  <si>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Número de programas formulados e implementados de familias fuertes: amor y límite que permitan fortalecer a las familias como agente protector ante las conductas de riesgo en los adolescentes.</t>
  </si>
  <si>
    <t>Brindar 150.000 entradas gratuitas de niñas, niños y adolescentes y sus familias a  eventos artísticos, culturales, lúdicos y recreativos.</t>
  </si>
  <si>
    <t>Número de entradas gratuitas brindadas a niñas, niños y adolescentes y sus familias a  eventos artísticos, culturales, lúdicos y recreativos.</t>
  </si>
  <si>
    <t>Desarrollar 3 jornadas de uso creativo del tiempo y emprendimiento que potencien sus competencias y motiven continuar en diferentes niveles de educación superior.</t>
  </si>
  <si>
    <t>Número de jornadas desarrolladas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</si>
  <si>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</si>
  <si>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Porcentaje de niños, niñas y adolescentes en extrema vulnerabilidad fallecidos con servicio exequial requerido por sus familias.</t>
  </si>
  <si>
    <t>Implementar y mantener 1 proceso de liderazgo b-learning orientada al fortalecimiento de la participación de niños, niñas, adolescentes y jóvenes.</t>
  </si>
  <si>
    <t>Número de procesos de liderazgo b-learning implementados mantenidos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</si>
  <si>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</si>
  <si>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Número de sistematizaciones realizadas de buenas prácticas que aporten al desarrollo de las realizaciones establecidas para los niños, niñas y adolescentes en el marco del proceso de rendición pública de cuentas.</t>
  </si>
  <si>
    <t>Adulto Mayor Y Digno</t>
  </si>
  <si>
    <t>Beneficiar y mantener a 11.000 personas mayores con el programa Colombia Mayor.</t>
  </si>
  <si>
    <t>Número de personas mayores beneficiados y mantenidos con el programa Colombia Mayor.</t>
  </si>
  <si>
    <t>Proveer 25.000 ayudas alimentarias anuales mediante complementos nutricionales para personas mayores en condición de pobreza y vulnerabilidad mejorando su calidad de vida a través de la seguridad alimentaria.</t>
  </si>
  <si>
    <t>Número de ayudas alimentarias anuales proveídas mediante complementos nutricionales para personas mayores en condición de pobreza y vulnerabilidad mejorando su calidad de vida a través de la seguridad alimentaria.</t>
  </si>
  <si>
    <t>Beneficiar a 7.000 personas mayores vulnerables de los diferentes barrios del municipio con la oferta de servicios de atencion primaria en salud, recreacion y aprovechamiento del tiempo libre.</t>
  </si>
  <si>
    <t>Número de personas mayores vulnerables de los diferentes barrios del municipio beneficiados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</si>
  <si>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</si>
  <si>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Porcentaje de personas mayores fallecidas en condición de pobreza, vulnerabilidad y sin red familiar de apoyo con servicio exequial.</t>
  </si>
  <si>
    <t>Mantener a 1.656 personas mayores vulnerables con atencion integral en instituciones especializadas a través de las modalidades centros vida y centros de bienestar en el marco de la Ley 1276 de 2009.</t>
  </si>
  <si>
    <t>Número de personas mayores vulnerables mantenidas con atencion integral en instituciones especializadas a través de las modalidades centros vida y centros de bienestar en el marco de la Ley 1276 de 2009.</t>
  </si>
  <si>
    <t>Mantener en funcionamiento los 3 Centros Vida con la prestacion de servicios integrales y/o dotacion de los mismos cumpliendo con la oferta institucional.</t>
  </si>
  <si>
    <t>Número de Centros Vida mantenidos en funcionamiento con la prestacion de servicios integrales y/o dotacion de los mismos cumpliendo con la oferta institucional.</t>
  </si>
  <si>
    <t>Mantener el servicio atención primaria en salud, atención psicosocial que promueva la salud física, salud mental y el bienestar social de las personas mayores en los centros vida.</t>
  </si>
  <si>
    <t>Número de servicios mantenidos de atención primaria en salud, atención psicosocial que promueva la salud física, salud mental y el bienestar social de las personas mayores en los centros vida.</t>
  </si>
  <si>
    <t>Formular y implementar 1 estrategia que promueva  las actividades psicosociales, actividades artísticas y culturales,   actividades físicas y recreación y actividades productivas en las personas mayores.</t>
  </si>
  <si>
    <t>Número de estrategias formuladas e implementadas que promueva  las actividades psicosociales, actividades artísticas y culturales,   actividades físicas y recreación y actividades productivas en las personas mayores.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</si>
  <si>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</si>
  <si>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</si>
  <si>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Número de estrategias formuladas e implementadas que promuevan la democratización familiar apoyada en el componente de bienestar comunitario del programa Familias en Acción con impacto en barrios priorizados por NBI.</t>
  </si>
  <si>
    <t>Mantener el servicio de acceso gratuito a espacios de recreación y cultura a familias inscritas en el programa Familias en Acción.</t>
  </si>
  <si>
    <t>Número de servicios mantenidos de acceso gratuito a espacios de recreación y cultura a familias inscritas en el programa Familias en Acción.</t>
  </si>
  <si>
    <t>Mantener el 100% del apoyo logístico a las familias beneficiadas del programa Familias en Acción.</t>
  </si>
  <si>
    <t>Porcentaje de apoyo logístico mantenido a las familias beneficiadas del programa Familias en Acción.</t>
  </si>
  <si>
    <t>Más Equidad Para Las Mujeres</t>
  </si>
  <si>
    <t>Potenciar la Escuela de Liderazgo y Participación Política de Mujeres con cobertura en zona rural y urbana.</t>
  </si>
  <si>
    <t>Número de Escuelas de Liderazgo y participación Política para Mujeres mantenidas con cobertura en zona rural y urbana.</t>
  </si>
  <si>
    <t>Atender y mantener de manera integral desde el componente psicosociojurídico y social a 600 mujeres, niñas y personas considerando los enfoques diferenciales y diversidad sexual.</t>
  </si>
  <si>
    <t>Número de mujeres, niñas y/o personas atendidas y mantenidas integralmente desde el componente psicosociojurídico y social considerando los enfoques diferenciales y diversidad sexual.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</si>
  <si>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</si>
  <si>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</si>
  <si>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Mantener la garantía de las medidas de atención y protección al 100% de mujeres y sus hijos víctimas de violencia de género con especial situación de riesgos.</t>
  </si>
  <si>
    <t>Porcentaje de mujeres y sus hijos víctmas de violencia de género con especial situación de riesgos con medidas de atención y protección mantenidas.</t>
  </si>
  <si>
    <t>Mantener la estrategia de prevención con hombres de contextos públicos y privados mediante procesos de intervención colectiva en torno a la resignificación crítica de la masculinidad hegemónica y tradicional.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</si>
  <si>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</si>
  <si>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Mantener el Centro Integral de la Mujer a fin de garantizar el fortalecimiento de los procesos de atención y empoderamiento femenino.</t>
  </si>
  <si>
    <t>Número de Centros Integrales de la Mujer mantenidos a fin de garantizar el fortalecimiento de los procesos de atención y empoderamiento femenino.</t>
  </si>
  <si>
    <t>Actualizar e implementar la Política Pública de Mujer.</t>
  </si>
  <si>
    <t>Número de Políticas Públicas de Mujer actualizadas e implementadas.</t>
  </si>
  <si>
    <t>Bucaramanga Hábitat Para El Cuidado Y La Corresponsabilidad</t>
  </si>
  <si>
    <t>Formular e implementar 1 política pública para la población con orientación sexual e identidad de género diversa.</t>
  </si>
  <si>
    <t>Número de políticas públicas formuladas e implementadas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</si>
  <si>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</si>
  <si>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</si>
  <si>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</si>
  <si>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</si>
  <si>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Atender el 100% de la solicitudes realizadas por éste grupo poblacional y sus familias con orientación psicosocial y jurídica.</t>
  </si>
  <si>
    <t>Porcentaje de solicitudes realizadas por éste grupo poblacional y sus familias con orientación psicosocial y jurídica atendidas.</t>
  </si>
  <si>
    <t>Habitantes En Situación De Calle</t>
  </si>
  <si>
    <t xml:space="preserve">Mantener la identificación, caracterización y seguimiento de la situación de cada habitante de calle atendido por la Secretaría de Desarrollo Social. </t>
  </si>
  <si>
    <t xml:space="preserve">Número de identificaciones, caracterizaciones y seguimientos mantenidos de la situación de cada habitante de calle atendido por la Secretaría de Desarrollo Social. </t>
  </si>
  <si>
    <t>Mantener a 284 habitantes de calle con atención integral en la cual se incluya la prestación de servicios básicos.</t>
  </si>
  <si>
    <t>Número de habitantes de calle mantenidos con atención integral en la cual se incluya la prestación de servicios básicos.</t>
  </si>
  <si>
    <t>Formular e implementar 1 política pública para habitante de calle.</t>
  </si>
  <si>
    <t>Número de políticas públicas para habitante de calle formuladas e implementadas.</t>
  </si>
  <si>
    <t>Mantener el servicio exequial al 100% de los habitantes de calle fallecidos registrados dentro del censo municipal.</t>
  </si>
  <si>
    <t>Porcentaje de habitantes de calle fallecidos registrados dentro del censo municipal mantenidos con servicio exequial.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</si>
  <si>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</si>
  <si>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</si>
  <si>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Número de niñas, niños y adolescentes con discapacidad del serctor urbano y rural en extrema vulnerabilidad mantenidos con atención integral en procesos de habilitación y rehabilitación.</t>
  </si>
  <si>
    <t>Mantener el banco de ayudas técnicas, tecnológicas e informáticas para personas con discapacidad que se encuentren en el registro de localización y caracterización.</t>
  </si>
  <si>
    <t>Número de bancos de ayudas técnicas, tecnológicas e informáticas mantenidas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</si>
  <si>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</si>
  <si>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</si>
  <si>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</si>
  <si>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Número de familias de personas con discapacidad beneficiadas anualmente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</si>
  <si>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</si>
  <si>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Número de estrategias implementadas de apoyo técnico y jurídico para las solicitudes de ayudas técnicas requeridas por personas vulnerables en condición de discapacidad.</t>
  </si>
  <si>
    <t>BUCARAMANGA PRODUCTIVA Y COMPETITIVA: EMPRESAS INNOVADORAS, RESPONSABLES Y CONSCIENTES</t>
  </si>
  <si>
    <t>Una Zona Rural Competitiva E Incluyente</t>
  </si>
  <si>
    <t>Desarrollo Del Campo</t>
  </si>
  <si>
    <t>Instalar 200 sistemas de riego por goteo en la zona rural.</t>
  </si>
  <si>
    <t>Número de sistemas de riego por goteo instalados en la zona rural.</t>
  </si>
  <si>
    <t>Mantener 2 ciclos de vacunación contra fiebre aftosa y brucelosis en vacunos según normatividad del ICA.</t>
  </si>
  <si>
    <t>Número de ciclos de vacunación mantenidas contra fiebre aftosa y brucelosis en vacunos según normatividad del ICA.</t>
  </si>
  <si>
    <t>Realizar 12 proyectos productivos agrícolas o pecuarios.</t>
  </si>
  <si>
    <t>Número de proyectos productivos agrícolas o pecuarios realizados.</t>
  </si>
  <si>
    <t>Mantener 4 mercadillos campesinos.</t>
  </si>
  <si>
    <t>Número de mercadillos campesinos mantenidos.</t>
  </si>
  <si>
    <t>Mantener el Plan General de Asistencia Técnica.</t>
  </si>
  <si>
    <t>Número de Planes Generales de Asistencia Técnica actualizados e mantenidos.</t>
  </si>
  <si>
    <t>Desarrollar procesos agroindustriales con 20 unidades productivas del sector rural.</t>
  </si>
  <si>
    <t>Número de unidades productivas del sector rural con procesos agroindustriales desarrollados.</t>
  </si>
  <si>
    <t>Bucaramanga Segura</t>
  </si>
  <si>
    <t>Prevención Del Delito</t>
  </si>
  <si>
    <t>Mantener la estrategia para la prevención, detección y atención de las violencias en adolescentes.</t>
  </si>
  <si>
    <t>Número de estrategias mantenidas para la prevención, detección y atención de las violencias en adolescentes.</t>
  </si>
  <si>
    <t>BUCARAMANGA TERRITORIO LIBRE DE CORRUPCIÓN: INSTITUCIONES SÓLIDAS Y CONFIABLES</t>
  </si>
  <si>
    <t>Acceso A La Información Y Participación</t>
  </si>
  <si>
    <t>Fortalecimiento De Las Instituciones Democráticas Y Ciudadanía Participativa</t>
  </si>
  <si>
    <t>Formular e implementar 1 estrategia que fortalezca la democracia participativa (Ley 1757 de 2015).</t>
  </si>
  <si>
    <t>Número de estrategias formuladas e implementadas que fortalezca la democracia participativa (Ley 1757 de 2015).</t>
  </si>
  <si>
    <t>Construir y/o dotar 10 salones comunales con el programa Ágoras.</t>
  </si>
  <si>
    <t>Número de salones comunales con el programa Ágoras construidos y/o dotados.</t>
  </si>
  <si>
    <t>Mantener en funcionamiento el 100% de los salones comunales que hacen parte del programa Ágoras.</t>
  </si>
  <si>
    <t>Porcentaje de salones comunales mantenidos en funcionamiento que hacen parte del programa Ágoras.</t>
  </si>
  <si>
    <t>Mantener el beneficio al 100% de los ediles con pago de EPS, ARL, póliza de vida y dotación.</t>
  </si>
  <si>
    <t>Porcentaje de ediles mantenidos con el beneficio del pago de EPS, Pensión, ARL, póliza de vida y dotación.</t>
  </si>
  <si>
    <t>Sec. Desarrollo Social</t>
  </si>
  <si>
    <t>MEJORAMIENTO DE LOS PROCESOS TRANSVERSALES PARA UNA ADMINISTRACIÓN PUBLICA MODERNA Y EFICIENTE EN LA SECRETARÍA DE DESARROLLO SOCIAL DEL MUNICIPIO BUCARAMANGA</t>
  </si>
  <si>
    <t>IMPLEMENTACIÓN DE ACCIONES TENDIENTES A MEJORAR LAS CONDICIONES DE LOS ADULTOS MAYORES DEL MUNICIPIO DE BUCARAMANGA</t>
  </si>
  <si>
    <t>FORTALECIMIENTO DE LA DEMOCRACIA PARTICIPATIVA EN EL MUNICIPIO DE BUCARAMANGA</t>
  </si>
  <si>
    <t>APOYO A LA OPERATIVIDAD DEL PROGRAMA NACIONAL MÁS FAMILIAS EN ACCIÓN EN EL MUNICIPIO DE BUCARAMANGA</t>
  </si>
  <si>
    <t>APOYO A LA OPERATIVIDAD DE LOS PROGRAMAS DE ATENCIÓN INTEGRAL A LAS PERSONAS CON DISCAPACIDAD. FAMILIARES Y/O CUIDADORES DEL MUNICIPIO DE BUCARAMANGA</t>
  </si>
  <si>
    <t>IMPLEMENTACIÓN DE ESTRATEGIAS PSICOPEDAGÓGICAS PARA LA DISMINUCIÓN DE FACTORES DE RIESGO EN NIÑOS, NIÑAS Y ADOLESCENTES EN EL MUNICIPIO DE BUCARAMANGA</t>
  </si>
  <si>
    <t>FORTALECIMIENTO DE ESPACIOS DE PARTICIPACIÓN Y PREVENCIÓN DE VIOLENCIAS EN MUJERES Y POBLACIÓN CON ORIENTACIONES SEXUALES E IDENTIDADES DE GÉNERO DIVERSAS DEL MUNICIPIO DE BUCARAMANGA</t>
  </si>
  <si>
    <t>DESARROLLO DE ACCIONES ENCAMINADAS A GENERAR ATENCIÓN INTEGRAL HACIA LA POBLACIÓN HABITANTES EN SITUACIÓN DE CALLE DEL MUNICIPIO DE BUCARAMANGA</t>
  </si>
  <si>
    <t>FORTALECIMIENTO DE LA PRODUCTIVIDAD Y COMPETITIVIDAD AGROPECUARIA EN EL SECTOR RURAL DEL MUNICIPIO DE BUCARAMANGA</t>
  </si>
  <si>
    <t>Administración Pública Moderna E Innovadora</t>
  </si>
  <si>
    <t>Gobierno Fortalecido Para Ser Y Hacer</t>
  </si>
  <si>
    <t>Mantener el 100% de los programas que desarrolla la Administración Central.</t>
  </si>
  <si>
    <t>Porcentaje de programas que desarrolla la Administración Central mantenidos.</t>
  </si>
  <si>
    <t>Atender a 75.600 personas en los servicios y programas que adelanta la Secretaría de Desarrollo Social</t>
  </si>
  <si>
    <t>John Carlos Pabón Mantilla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</si>
  <si>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</si>
  <si>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</si>
  <si>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Beneficiar al 100% de los Ediles con póliza. EPS. Pensión y Seguro de vida</t>
  </si>
  <si>
    <t>Beneficiar 14.000 familias en condición de vulnerabilidad a través del programas Más Familias en Acción</t>
  </si>
  <si>
    <t>Atender a 750 Personas con discapacidad con servicios integrales</t>
  </si>
  <si>
    <t>Atender y mantener de manera integral desde el componente psicosociojurídico y social a 600 mujeres. niñas y personas considerando los enfoques diferenciales y diversidad sexual.</t>
  </si>
  <si>
    <t>Brindar atención integral a 284 personas en habitancia de calle</t>
  </si>
  <si>
    <t xml:space="preserve">Atender 500 Unidades productivas con los componentes de asistencia técnica y empresarial,mejoramiento de procesos de cosecha. poscosecha y comercialización. </t>
  </si>
  <si>
    <t>RECURSOS GESTIONADOS</t>
  </si>
  <si>
    <t>DESARROLLO DE ACCIONES DE BIENESTAR SOCIAL EN EL MARCO DE LA EMERGENCIA SANITARIA A CAUSA DEL COVID-19 FOCALIZADAS A LA POBLACIÓN VULNERABLE DEL MUNICIPIO DE BUCARAMANGA</t>
  </si>
  <si>
    <t xml:space="preserve">PREVENCIÓN DEL CONTAGIO Y PROPAGACION DE LA FIEBRE AFTOSA Y BRUCELOSIS EN LA ESPECIE BOVINA DEL MUNICIPIO DE BUCARAMANGA </t>
  </si>
  <si>
    <t xml:space="preserve">DOTACION DE SALONES COMUNALES PARA FOMENTAR LA INTEGRACION COMUNITARIA Y LA CIUDADANIA PARTICIPATIVA EN EL MUNICIPIO DE BUCARAMANGA </t>
  </si>
  <si>
    <t xml:space="preserve">DOTACION DE CENTROS VIDA PARA LA PRESTACION DE SERVICIOS INTEGRALES A LA POBLACION ADULTOS MAYORES EN EL MUNICIPIO DE BUCARAMANGA </t>
  </si>
  <si>
    <t>TOTAL EJECUTADO</t>
  </si>
  <si>
    <t>SGR</t>
  </si>
  <si>
    <t>Atención virtual y precensial a mujeres y población diversa en temas de violencia sexual, intrafamiliar, domestica, cpacitación en temas de liderazgo y empoderamiento</t>
  </si>
  <si>
    <t>Actividades relacionadas con capmapañsas de prevención de violencia en la mujer, igual de derechos, la equidad en las tareas, eliminación del machismo y fenimismo.</t>
  </si>
  <si>
    <t>Se busca proteger a la mujer y su familia en caso de vulneración de derechos, en situaciónes de riesgo critico de violencia y riesgo de muerte, entre otras.</t>
  </si>
  <si>
    <t>Activar los diferentes mecanismos de protección, articulando los diferentes establecimientos y secretarias a fin de lograr la protección de la mujer y sean restablecidos sus derechos.</t>
  </si>
  <si>
    <t>Acciones relacionadas con el componenete social, en cuanto a asistencias humanitarias, seguridad alimentaria, bioseguridad, entre otros</t>
  </si>
  <si>
    <t>2.3.2.02.02.009.4502038.201</t>
  </si>
  <si>
    <t>2.3.2.02.02.009.4104008.201</t>
  </si>
  <si>
    <t>2.3.2.02.02.009.4104008.220</t>
  </si>
  <si>
    <t>2.3.2.02.01.000.1702010.201</t>
  </si>
  <si>
    <t>2.3.2.02.01.000.1707042.201</t>
  </si>
  <si>
    <t>2.3.2.02.02.009.1702010.201</t>
  </si>
  <si>
    <t>2.3.2.02.02.009.4502001.201</t>
  </si>
  <si>
    <t>2.3.2.02.02.009.4104027.213</t>
  </si>
  <si>
    <t>2.3.2.02.02.009.4104020.201</t>
  </si>
  <si>
    <t xml:space="preserve">Coadyuvar en el segumiento, registro, incorporación, retiros y novedades de adultos mayores con posibilidad de ser beneficiarios del programa colombia mayor de prosperidad social </t>
  </si>
  <si>
    <t>Beneficiar a los adultos mayores de centros vida públicos con  la oferta institucional en el marco de la ley 1276 de 2009</t>
  </si>
  <si>
    <t>Beneficiar a los adultos mayores de centros vida públicos con  la oferta institucional en el marco de la ley 1276 de 2009, y que cuenten con instalaciones idoneas para el desarrollo de las diferentes actividades recreativas, ludicas, sano espacrmirnto, atención primaria en salud, higiene, etc</t>
  </si>
  <si>
    <t>2.3.2.02.02.009.4103050.201</t>
  </si>
  <si>
    <t>2.3.2.02.02.009.4102043.201</t>
  </si>
  <si>
    <t>2.3.2.02.02.009.4102043.213</t>
  </si>
  <si>
    <t xml:space="preserve">2.3.2.02.02.009.4102043.201 </t>
  </si>
  <si>
    <t>PENDIENTE POR DEFINIR</t>
  </si>
  <si>
    <t>2.3.2.02.02.009.4599031.201</t>
  </si>
  <si>
    <t>2.3.2.02.02.009.4102021.201 $12.000.000
2.3.2.02.02.009.4102043.201 $12.000.000</t>
  </si>
  <si>
    <t>2.3.2.02.02.009.4102038.201 $40.000.000
2.3.2.02.02.009.4102043.201 $50.000.000
2.3.2.02.02.009.4102021.201 $28.000.000</t>
  </si>
  <si>
    <t>2.3.2.02.02.009.4102043.201 $12.500.000
2.3.2.02.02.009.4102021.201 $10.000.000
2.3.2.02.02.009.4102043.213 $50.000.000</t>
  </si>
  <si>
    <t>2.3.2.02.02.009.4102043.201 $70.000.000
2.3.2.02.02.009.4102021.201 $10.000.000</t>
  </si>
  <si>
    <t>2.3.2.02.02.009.4102043.201 $20.000.000
2.3.2.02.02.009.4102021.201 $10.000.000</t>
  </si>
  <si>
    <t>2.3.2.02.02.009.4104008.201 $30.000.000
2.3.2.02.02.009.4104008.220 $68.000.000</t>
  </si>
  <si>
    <t>2.3.2.02.02.009.4599006.201 $300.000.000
2.3.2.02.02.009.4599031.201 $440.000.000</t>
  </si>
  <si>
    <t xml:space="preserve">2.3.2.02.01.002.4104008.201 </t>
  </si>
  <si>
    <t>2.3.2.02.01.002.4104008.201</t>
  </si>
  <si>
    <t>2.3.2.02.02.009.4104027.201</t>
  </si>
  <si>
    <t>2.3.2.02.02.009.4104020.201
2.3.2.02.02.009.4104020.213</t>
  </si>
  <si>
    <t>2.3.2.02.02.009.4104027.201
2.3.2.02.02.009.4104027.213</t>
  </si>
  <si>
    <t>PENDIENTE POR ADICIONAR</t>
  </si>
  <si>
    <t>2.3.2.02.01.002.4104008.220 $603.350.727
2.3.2.02.01.002.4104008.201 $46.000.000
2.3.2.02.01.002.4104008.288</t>
  </si>
  <si>
    <t>2.3.2.02.02.009.4104008.220 $2.559.196.618
2.3.2.02.02.009.4104008.258 $101.429.564,34
2.3.2.02.02.009.4104008.201 $904.000.000
2.3.2.02.02.009.4104008.288</t>
  </si>
  <si>
    <t>2.3.2.02.02.009.4102016.201 $150.000.000
2.3.2.02.02.009.4102043.201 $101.901.217
2.3.2.02.02.009.4102021.201 $10.000.000</t>
  </si>
  <si>
    <t>2.3.2.02.02.009.4502001.201 $30.498.451
2.3.2.02.02.009.3301053.201 $229.000.000</t>
  </si>
  <si>
    <t>2.3.2.02.01.000.1702010.201 $150.000.000
2.3.2.02.02.009.1702010.201 $160.461</t>
  </si>
  <si>
    <t>2.3.2.02.02.009.4104008.201 $130.000.000
2.3.2.02.02.009.4104008.220 $199.091.000</t>
  </si>
  <si>
    <t>2.3.2.02.02.009.4104008.201 $40.000.000
2.3.2.02.02.009.4104008.220 $120.799.850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</si>
</sst>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#,##0.0"/>
    <numFmt numFmtId="167" formatCode="_-* #,##0_-;\-* #,##0_-;_-* &quot;-&quot;??_-;_-@_-"/>
  </numFmts>
  <fonts count="16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3" fillId="0" borderId="2" xfId="0" applyFont="1" applyFill="1" applyBorder="1" applyAlignment="1">
      <alignment horizontal="justify" vertical="center" wrapText="1"/>
    </xf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165" fontId="1" fillId="0" borderId="2" xfId="108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2" fillId="0" borderId="2" xfId="108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/>
    </xf>
    <xf numFmtId="0" fontId="2" fillId="2" borderId="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2" fillId="0" borderId="2" xfId="0" applyFont="1" applyBorder="1" applyAlignment="1">
      <alignment horizontal="justify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3" fontId="3" fillId="4" borderId="2" xfId="0" applyNumberFormat="1" applyFont="1" applyFill="1" applyBorder="1" applyAlignment="1">
      <alignment horizontal="center" vertical="center" wrapText="1"/>
    </xf>
    <xf numFmtId="166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4" fontId="2" fillId="0" borderId="2" xfId="108" applyFont="1" applyBorder="1" applyAlignment="1">
      <alignment horizontal="justify" vertical="center" wrapText="1"/>
    </xf>
    <xf numFmtId="9" fontId="3" fillId="4" borderId="2" xfId="107" applyFont="1" applyFill="1" applyBorder="1" applyAlignment="1">
      <alignment horizontal="center" vertical="center" wrapText="1"/>
    </xf>
    <xf numFmtId="43" fontId="2" fillId="0" borderId="0" xfId="109" applyFont="1" applyBorder="1"/>
    <xf numFmtId="43" fontId="2" fillId="0" borderId="0" xfId="109" applyFont="1"/>
    <xf numFmtId="165" fontId="1" fillId="0" borderId="2" xfId="108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justify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vertical="center" wrapText="1"/>
    </xf>
    <xf numFmtId="1" fontId="8" fillId="0" borderId="2" xfId="0" applyNumberFormat="1" applyFont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7" fontId="0" fillId="0" borderId="0" xfId="0" applyNumberFormat="1"/>
    <xf numFmtId="164" fontId="2" fillId="0" borderId="9" xfId="0" applyNumberFormat="1" applyFont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justify" vertical="center" wrapText="1"/>
    </xf>
    <xf numFmtId="167" fontId="14" fillId="0" borderId="0" xfId="109" applyNumberFormat="1" applyFont="1"/>
    <xf numFmtId="164" fontId="2" fillId="0" borderId="2" xfId="0" applyNumberFormat="1" applyFont="1" applyBorder="1" applyAlignment="1">
      <alignment horizontal="left" vertical="center" wrapText="1"/>
    </xf>
    <xf numFmtId="43" fontId="2" fillId="0" borderId="0" xfId="0" applyNumberFormat="1" applyFont="1" applyBorder="1"/>
    <xf numFmtId="10" fontId="2" fillId="0" borderId="0" xfId="107" applyNumberFormat="1" applyFont="1" applyBorder="1"/>
    <xf numFmtId="4" fontId="3" fillId="4" borderId="2" xfId="0" quotePrefix="1" applyNumberFormat="1" applyFont="1" applyFill="1" applyBorder="1" applyAlignment="1">
      <alignment horizontal="center" vertical="center" wrapText="1"/>
    </xf>
    <xf numFmtId="165" fontId="15" fillId="2" borderId="2" xfId="108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justify" vertical="center" wrapText="1"/>
    </xf>
    <xf numFmtId="165" fontId="7" fillId="0" borderId="2" xfId="108" applyNumberFormat="1" applyFont="1" applyFill="1" applyBorder="1" applyAlignment="1">
      <alignment horizontal="center" vertical="center" wrapText="1"/>
    </xf>
    <xf numFmtId="165" fontId="1" fillId="4" borderId="2" xfId="108" applyNumberFormat="1" applyFont="1" applyFill="1" applyBorder="1" applyAlignment="1">
      <alignment horizontal="center" vertical="center" wrapText="1"/>
    </xf>
    <xf numFmtId="165" fontId="2" fillId="0" borderId="2" xfId="108" applyNumberFormat="1" applyFont="1" applyBorder="1"/>
    <xf numFmtId="165" fontId="1" fillId="0" borderId="2" xfId="108" applyNumberFormat="1" applyFont="1" applyBorder="1"/>
    <xf numFmtId="165" fontId="1" fillId="0" borderId="2" xfId="108" applyNumberFormat="1" applyFont="1" applyFill="1" applyBorder="1" applyAlignment="1">
      <alignment vertical="center" wrapText="1"/>
    </xf>
    <xf numFmtId="165" fontId="1" fillId="0" borderId="7" xfId="108" applyNumberFormat="1" applyFont="1" applyFill="1" applyBorder="1" applyAlignment="1">
      <alignment vertical="center" wrapText="1"/>
    </xf>
    <xf numFmtId="165" fontId="12" fillId="0" borderId="2" xfId="108" applyNumberFormat="1" applyFont="1" applyFill="1" applyBorder="1" applyAlignment="1">
      <alignment horizontal="center" vertical="center" wrapText="1"/>
    </xf>
    <xf numFmtId="165" fontId="1" fillId="0" borderId="7" xfId="108" applyNumberFormat="1" applyFont="1" applyFill="1" applyBorder="1" applyAlignment="1">
      <alignment horizontal="center" vertical="center" wrapText="1"/>
    </xf>
    <xf numFmtId="165" fontId="7" fillId="0" borderId="7" xfId="108" applyNumberFormat="1" applyFont="1" applyFill="1" applyBorder="1" applyAlignment="1">
      <alignment horizontal="center" vertical="center" wrapText="1"/>
    </xf>
    <xf numFmtId="165" fontId="12" fillId="0" borderId="7" xfId="108" applyNumberFormat="1" applyFont="1" applyFill="1" applyBorder="1" applyAlignment="1">
      <alignment horizontal="center" vertical="center" wrapText="1"/>
    </xf>
    <xf numFmtId="165" fontId="2" fillId="0" borderId="7" xfId="108" applyNumberFormat="1" applyFont="1" applyBorder="1" applyAlignment="1">
      <alignment vertical="center"/>
    </xf>
    <xf numFmtId="165" fontId="2" fillId="0" borderId="7" xfId="108" applyNumberFormat="1" applyFont="1" applyBorder="1"/>
    <xf numFmtId="165" fontId="2" fillId="0" borderId="2" xfId="108" applyNumberFormat="1" applyFont="1" applyBorder="1" applyAlignment="1">
      <alignment vertical="center"/>
    </xf>
    <xf numFmtId="165" fontId="1" fillId="0" borderId="2" xfId="108" applyNumberFormat="1" applyFont="1" applyBorder="1" applyAlignment="1">
      <alignment vertical="center"/>
    </xf>
    <xf numFmtId="165" fontId="2" fillId="0" borderId="0" xfId="108" applyNumberFormat="1" applyFont="1"/>
    <xf numFmtId="165" fontId="1" fillId="0" borderId="1" xfId="108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5" fontId="1" fillId="0" borderId="1" xfId="108" applyNumberFormat="1" applyFont="1" applyFill="1" applyBorder="1" applyAlignment="1">
      <alignment horizontal="center" vertical="center" wrapText="1"/>
    </xf>
    <xf numFmtId="5" fontId="1" fillId="0" borderId="7" xfId="108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1" fillId="4" borderId="1" xfId="108" applyNumberFormat="1" applyFont="1" applyFill="1" applyBorder="1" applyAlignment="1">
      <alignment horizontal="center" vertical="center" wrapText="1"/>
    </xf>
    <xf numFmtId="165" fontId="1" fillId="4" borderId="7" xfId="108" applyNumberFormat="1" applyFont="1" applyFill="1" applyBorder="1" applyAlignment="1">
      <alignment horizontal="center" vertical="center" wrapText="1"/>
    </xf>
    <xf numFmtId="9" fontId="1" fillId="0" borderId="1" xfId="107" applyFont="1" applyFill="1" applyBorder="1" applyAlignment="1">
      <alignment horizontal="center" vertical="center" wrapText="1"/>
    </xf>
    <xf numFmtId="9" fontId="1" fillId="0" borderId="7" xfId="107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7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164" fontId="8" fillId="4" borderId="1" xfId="0" applyNumberFormat="1" applyFont="1" applyFill="1" applyBorder="1" applyAlignment="1">
      <alignment horizontal="justify" vertical="center" wrapText="1"/>
    </xf>
    <xf numFmtId="164" fontId="8" fillId="4" borderId="7" xfId="0" applyNumberFormat="1" applyFont="1" applyFill="1" applyBorder="1" applyAlignment="1">
      <alignment horizontal="justify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9" fontId="3" fillId="4" borderId="1" xfId="107" applyFont="1" applyFill="1" applyBorder="1" applyAlignment="1">
      <alignment horizontal="center" vertical="center" wrapText="1"/>
    </xf>
    <xf numFmtId="9" fontId="3" fillId="4" borderId="7" xfId="107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justify" vertical="center" wrapText="1"/>
    </xf>
    <xf numFmtId="0" fontId="12" fillId="3" borderId="7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8" xfId="0" applyFont="1" applyFill="1" applyBorder="1" applyAlignment="1">
      <alignment horizontal="justify" vertical="center" wrapText="1"/>
    </xf>
    <xf numFmtId="0" fontId="12" fillId="0" borderId="7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justify" vertical="center" wrapText="1"/>
    </xf>
    <xf numFmtId="164" fontId="2" fillId="0" borderId="8" xfId="0" applyNumberFormat="1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7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1" fontId="12" fillId="0" borderId="1" xfId="0" applyNumberFormat="1" applyFont="1" applyFill="1" applyBorder="1" applyAlignment="1">
      <alignment horizontal="justify" vertical="center" wrapText="1"/>
    </xf>
    <xf numFmtId="1" fontId="12" fillId="0" borderId="8" xfId="0" applyNumberFormat="1" applyFont="1" applyFill="1" applyBorder="1" applyAlignment="1">
      <alignment horizontal="justify" vertical="center" wrapText="1"/>
    </xf>
    <xf numFmtId="1" fontId="12" fillId="0" borderId="7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09" builtinId="3"/>
    <cellStyle name="Moneda" xfId="108" builtinId="4"/>
    <cellStyle name="Normal" xfId="0" builtinId="0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846730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3"/>
  <sheetViews>
    <sheetView showGridLines="0" tabSelected="1" topLeftCell="K1" zoomScale="50" zoomScaleNormal="50" zoomScaleSheetLayoutView="51" workbookViewId="0">
      <pane ySplit="5" topLeftCell="A67" activePane="bottomLeft" state="frozen"/>
      <selection activeCell="D1" sqref="D1"/>
      <selection pane="bottomLeft" activeCell="T71" sqref="T71"/>
    </sheetView>
  </sheetViews>
  <sheetFormatPr baseColWidth="10" defaultColWidth="11" defaultRowHeight="15" x14ac:dyDescent="0.25"/>
  <cols>
    <col min="1" max="1" width="23" style="12" customWidth="1"/>
    <col min="2" max="3" width="23" style="1" customWidth="1"/>
    <col min="4" max="4" width="51.69921875" style="1" customWidth="1"/>
    <col min="5" max="5" width="46.3984375" style="1" customWidth="1"/>
    <col min="6" max="6" width="23.5" style="1" customWidth="1"/>
    <col min="7" max="7" width="40.59765625" style="1" customWidth="1"/>
    <col min="8" max="8" width="38.5" style="1" customWidth="1"/>
    <col min="9" max="9" width="14.8984375" style="1" customWidth="1"/>
    <col min="10" max="10" width="17.8984375" style="1" customWidth="1"/>
    <col min="11" max="11" width="18" style="1" customWidth="1"/>
    <col min="12" max="13" width="17.5" style="1" customWidth="1"/>
    <col min="14" max="14" width="41.19921875" style="1" customWidth="1"/>
    <col min="15" max="15" width="24" style="1" customWidth="1"/>
    <col min="16" max="16" width="22" style="1" customWidth="1"/>
    <col min="17" max="17" width="9.59765625" style="1" customWidth="1"/>
    <col min="18" max="18" width="22" style="1" customWidth="1"/>
    <col min="19" max="19" width="26.09765625" style="1" customWidth="1"/>
    <col min="20" max="21" width="24.59765625" style="1" customWidth="1"/>
    <col min="22" max="22" width="9" style="1" customWidth="1"/>
    <col min="23" max="23" width="24.59765625" style="1" customWidth="1"/>
    <col min="24" max="24" width="26.69921875" style="1" customWidth="1"/>
    <col min="25" max="25" width="22.5" style="1" customWidth="1"/>
    <col min="26" max="26" width="28.6992187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4" t="s">
        <v>18</v>
      </c>
      <c r="C1"/>
      <c r="F1" s="159" t="s">
        <v>32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Y1" s="162" t="s">
        <v>28</v>
      </c>
      <c r="Z1" s="162"/>
    </row>
    <row r="2" spans="1:28" ht="15" customHeight="1" x14ac:dyDescent="0.25">
      <c r="A2" s="22">
        <v>44316</v>
      </c>
      <c r="B2" s="21"/>
      <c r="C2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Y2" s="162"/>
      <c r="Z2" s="162"/>
    </row>
    <row r="3" spans="1:28" ht="15.6" x14ac:dyDescent="0.25"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Y3" s="58"/>
      <c r="Z3" s="51"/>
    </row>
    <row r="4" spans="1:28" s="37" customFormat="1" ht="23.25" customHeight="1" x14ac:dyDescent="0.25">
      <c r="A4" s="141" t="s">
        <v>10</v>
      </c>
      <c r="B4" s="142"/>
      <c r="C4" s="142"/>
      <c r="D4" s="142"/>
      <c r="E4" s="142"/>
      <c r="F4" s="141" t="s">
        <v>11</v>
      </c>
      <c r="G4" s="142"/>
      <c r="H4" s="142"/>
      <c r="I4" s="142"/>
      <c r="J4" s="142"/>
      <c r="K4" s="143" t="s">
        <v>29</v>
      </c>
      <c r="L4" s="143"/>
      <c r="M4" s="143"/>
      <c r="N4" s="143" t="s">
        <v>26</v>
      </c>
      <c r="O4" s="143"/>
      <c r="P4" s="143"/>
      <c r="Q4" s="143"/>
      <c r="R4" s="143"/>
      <c r="S4" s="143"/>
      <c r="T4" s="141" t="s">
        <v>20</v>
      </c>
      <c r="U4" s="142"/>
      <c r="V4" s="142"/>
      <c r="W4" s="142"/>
      <c r="X4" s="175"/>
      <c r="Y4" s="171" t="s">
        <v>21</v>
      </c>
      <c r="Z4" s="171" t="s">
        <v>195</v>
      </c>
      <c r="AA4" s="173" t="s">
        <v>27</v>
      </c>
      <c r="AB4" s="173"/>
    </row>
    <row r="5" spans="1:28" ht="42" customHeight="1" x14ac:dyDescent="0.25">
      <c r="A5" s="5" t="s">
        <v>1</v>
      </c>
      <c r="B5" s="5" t="s">
        <v>6</v>
      </c>
      <c r="C5" s="5" t="s">
        <v>2</v>
      </c>
      <c r="D5" s="5" t="s">
        <v>7</v>
      </c>
      <c r="E5" s="36" t="s">
        <v>22</v>
      </c>
      <c r="F5" s="6" t="s">
        <v>16</v>
      </c>
      <c r="G5" s="6" t="s">
        <v>3</v>
      </c>
      <c r="H5" s="6" t="s">
        <v>17</v>
      </c>
      <c r="I5" s="20" t="s">
        <v>24</v>
      </c>
      <c r="J5" s="20" t="s">
        <v>25</v>
      </c>
      <c r="K5" s="6" t="s">
        <v>4</v>
      </c>
      <c r="L5" s="6" t="s">
        <v>5</v>
      </c>
      <c r="M5" s="20" t="s">
        <v>0</v>
      </c>
      <c r="N5" s="5" t="s">
        <v>9</v>
      </c>
      <c r="O5" s="6" t="s">
        <v>12</v>
      </c>
      <c r="P5" s="6" t="s">
        <v>8</v>
      </c>
      <c r="Q5" s="52" t="s">
        <v>201</v>
      </c>
      <c r="R5" s="6" t="s">
        <v>13</v>
      </c>
      <c r="S5" s="6" t="s">
        <v>23</v>
      </c>
      <c r="T5" s="52" t="s">
        <v>12</v>
      </c>
      <c r="U5" s="52" t="s">
        <v>8</v>
      </c>
      <c r="V5" s="52" t="s">
        <v>201</v>
      </c>
      <c r="W5" s="52" t="s">
        <v>13</v>
      </c>
      <c r="X5" s="52" t="s">
        <v>200</v>
      </c>
      <c r="Y5" s="172"/>
      <c r="Z5" s="172"/>
      <c r="AA5" s="6" t="s">
        <v>14</v>
      </c>
      <c r="AB5" s="6" t="s">
        <v>15</v>
      </c>
    </row>
    <row r="6" spans="1:28" s="10" customFormat="1" ht="114.6" customHeight="1" x14ac:dyDescent="0.25">
      <c r="A6" s="41" t="s">
        <v>30</v>
      </c>
      <c r="B6" s="41" t="s">
        <v>33</v>
      </c>
      <c r="C6" s="90" t="s">
        <v>34</v>
      </c>
      <c r="D6" s="54" t="s">
        <v>35</v>
      </c>
      <c r="E6" s="34" t="s">
        <v>36</v>
      </c>
      <c r="F6" s="168">
        <v>20210680010003</v>
      </c>
      <c r="G6" s="151" t="s">
        <v>177</v>
      </c>
      <c r="H6" s="7"/>
      <c r="I6" s="38">
        <v>44197</v>
      </c>
      <c r="J6" s="38">
        <v>44561</v>
      </c>
      <c r="K6" s="42">
        <v>1</v>
      </c>
      <c r="L6" s="61">
        <v>0.3</v>
      </c>
      <c r="M6" s="3">
        <f>IFERROR(IF(L6/K6&gt;100%,100%,L6/K6),"-")</f>
        <v>0.3</v>
      </c>
      <c r="N6" s="7" t="s">
        <v>225</v>
      </c>
      <c r="O6" s="8">
        <f>24000000</f>
        <v>24000000</v>
      </c>
      <c r="P6" s="91"/>
      <c r="Q6" s="91"/>
      <c r="R6" s="91"/>
      <c r="S6" s="92">
        <f t="shared" ref="S6:S21" si="0">SUM(O6:R6)</f>
        <v>24000000</v>
      </c>
      <c r="T6" s="8">
        <f>12000000+12000000</f>
        <v>24000000</v>
      </c>
      <c r="U6" s="8"/>
      <c r="V6" s="8"/>
      <c r="W6" s="8"/>
      <c r="X6" s="92">
        <f>SUM(T6:W6)</f>
        <v>24000000</v>
      </c>
      <c r="Y6" s="24">
        <f t="shared" ref="Y6:Y13" si="1">IFERROR(X6/S6,"-")</f>
        <v>1</v>
      </c>
      <c r="Z6" s="23"/>
      <c r="AA6" s="9" t="s">
        <v>171</v>
      </c>
      <c r="AB6" s="9" t="s">
        <v>186</v>
      </c>
    </row>
    <row r="7" spans="1:28" s="10" customFormat="1" ht="142.80000000000001" customHeight="1" x14ac:dyDescent="0.25">
      <c r="A7" s="41" t="s">
        <v>30</v>
      </c>
      <c r="B7" s="41" t="s">
        <v>33</v>
      </c>
      <c r="C7" s="90" t="s">
        <v>34</v>
      </c>
      <c r="D7" s="54" t="s">
        <v>37</v>
      </c>
      <c r="E7" s="34" t="s">
        <v>38</v>
      </c>
      <c r="F7" s="169"/>
      <c r="G7" s="152"/>
      <c r="H7" s="7"/>
      <c r="I7" s="38">
        <v>44197</v>
      </c>
      <c r="J7" s="38">
        <v>44561</v>
      </c>
      <c r="K7" s="42">
        <v>1</v>
      </c>
      <c r="L7" s="61">
        <v>0.5</v>
      </c>
      <c r="M7" s="3">
        <f t="shared" ref="M7:M75" si="2">IFERROR(IF(L7/K7&gt;100%,100%,L7/K7),"-")</f>
        <v>0.5</v>
      </c>
      <c r="N7" s="7" t="s">
        <v>220</v>
      </c>
      <c r="O7" s="8">
        <v>50000000</v>
      </c>
      <c r="P7" s="91"/>
      <c r="Q7" s="91"/>
      <c r="R7" s="91"/>
      <c r="S7" s="92">
        <f t="shared" si="0"/>
        <v>50000000</v>
      </c>
      <c r="T7" s="8">
        <f>16000000+16000000+14000000</f>
        <v>46000000</v>
      </c>
      <c r="U7" s="8"/>
      <c r="V7" s="8"/>
      <c r="W7" s="8"/>
      <c r="X7" s="92">
        <f>SUM(T7:W7)</f>
        <v>46000000</v>
      </c>
      <c r="Y7" s="24">
        <f t="shared" si="1"/>
        <v>0.92</v>
      </c>
      <c r="Z7" s="23"/>
      <c r="AA7" s="9" t="s">
        <v>171</v>
      </c>
      <c r="AB7" s="9" t="s">
        <v>186</v>
      </c>
    </row>
    <row r="8" spans="1:28" s="10" customFormat="1" ht="105.6" customHeight="1" x14ac:dyDescent="0.25">
      <c r="A8" s="41" t="s">
        <v>30</v>
      </c>
      <c r="B8" s="41" t="s">
        <v>33</v>
      </c>
      <c r="C8" s="90" t="s">
        <v>43</v>
      </c>
      <c r="D8" s="54" t="s">
        <v>44</v>
      </c>
      <c r="E8" s="34" t="s">
        <v>45</v>
      </c>
      <c r="F8" s="169"/>
      <c r="G8" s="152"/>
      <c r="H8" s="7"/>
      <c r="I8" s="38">
        <v>44197</v>
      </c>
      <c r="J8" s="38">
        <v>44561</v>
      </c>
      <c r="K8" s="42">
        <v>1</v>
      </c>
      <c r="L8" s="61">
        <v>0.5</v>
      </c>
      <c r="M8" s="3">
        <f t="shared" si="2"/>
        <v>0.5</v>
      </c>
      <c r="N8" s="7" t="s">
        <v>226</v>
      </c>
      <c r="O8" s="8">
        <f>40000000+50000000+28000000</f>
        <v>118000000</v>
      </c>
      <c r="P8" s="91"/>
      <c r="Q8" s="91"/>
      <c r="R8" s="91"/>
      <c r="S8" s="92">
        <f t="shared" si="0"/>
        <v>118000000</v>
      </c>
      <c r="T8" s="8">
        <f>12000000+16000000+12000000+12000000+8000000+8000000+8000000</f>
        <v>76000000</v>
      </c>
      <c r="U8" s="8"/>
      <c r="V8" s="8"/>
      <c r="W8" s="8"/>
      <c r="X8" s="92">
        <f>SUM(T8:W8)</f>
        <v>76000000</v>
      </c>
      <c r="Y8" s="24">
        <f t="shared" si="1"/>
        <v>0.64406779661016944</v>
      </c>
      <c r="Z8" s="23"/>
      <c r="AA8" s="9" t="s">
        <v>171</v>
      </c>
      <c r="AB8" s="9" t="s">
        <v>186</v>
      </c>
    </row>
    <row r="9" spans="1:28" s="10" customFormat="1" ht="129" customHeight="1" x14ac:dyDescent="0.25">
      <c r="A9" s="41" t="s">
        <v>30</v>
      </c>
      <c r="B9" s="41" t="s">
        <v>33</v>
      </c>
      <c r="C9" s="90" t="s">
        <v>43</v>
      </c>
      <c r="D9" s="54" t="s">
        <v>46</v>
      </c>
      <c r="E9" s="34" t="s">
        <v>47</v>
      </c>
      <c r="F9" s="169"/>
      <c r="G9" s="152"/>
      <c r="H9" s="7"/>
      <c r="I9" s="38">
        <v>44197</v>
      </c>
      <c r="J9" s="38">
        <v>44561</v>
      </c>
      <c r="K9" s="42">
        <v>1</v>
      </c>
      <c r="L9" s="61">
        <v>0.5</v>
      </c>
      <c r="M9" s="3">
        <f t="shared" si="2"/>
        <v>0.5</v>
      </c>
      <c r="N9" s="7" t="s">
        <v>220</v>
      </c>
      <c r="O9" s="8">
        <v>90000000</v>
      </c>
      <c r="P9" s="91"/>
      <c r="Q9" s="91"/>
      <c r="R9" s="91"/>
      <c r="S9" s="92">
        <f t="shared" si="0"/>
        <v>90000000</v>
      </c>
      <c r="T9" s="8">
        <f>24000000+15200000+16000000+6000000+16000000+12000000</f>
        <v>89200000</v>
      </c>
      <c r="U9" s="8"/>
      <c r="V9" s="8"/>
      <c r="W9" s="8"/>
      <c r="X9" s="92">
        <f>SUM(T9:W9)</f>
        <v>89200000</v>
      </c>
      <c r="Y9" s="24">
        <f t="shared" si="1"/>
        <v>0.99111111111111116</v>
      </c>
      <c r="Z9" s="23"/>
      <c r="AA9" s="9" t="s">
        <v>171</v>
      </c>
      <c r="AB9" s="9" t="s">
        <v>186</v>
      </c>
    </row>
    <row r="10" spans="1:28" s="10" customFormat="1" ht="99" customHeight="1" x14ac:dyDescent="0.25">
      <c r="A10" s="41" t="s">
        <v>30</v>
      </c>
      <c r="B10" s="41" t="s">
        <v>33</v>
      </c>
      <c r="C10" s="90" t="s">
        <v>43</v>
      </c>
      <c r="D10" s="54" t="s">
        <v>48</v>
      </c>
      <c r="E10" s="34" t="s">
        <v>49</v>
      </c>
      <c r="F10" s="169"/>
      <c r="G10" s="152"/>
      <c r="H10" s="7"/>
      <c r="I10" s="38">
        <v>44197</v>
      </c>
      <c r="J10" s="38">
        <v>44561</v>
      </c>
      <c r="K10" s="42">
        <v>1</v>
      </c>
      <c r="L10" s="61">
        <v>0</v>
      </c>
      <c r="M10" s="3">
        <f t="shared" si="2"/>
        <v>0</v>
      </c>
      <c r="N10" s="7" t="s">
        <v>221</v>
      </c>
      <c r="O10" s="8">
        <v>0</v>
      </c>
      <c r="P10" s="8">
        <v>70000000</v>
      </c>
      <c r="Q10" s="91"/>
      <c r="R10" s="91"/>
      <c r="S10" s="92">
        <f t="shared" si="0"/>
        <v>70000000</v>
      </c>
      <c r="T10" s="8"/>
      <c r="U10" s="8"/>
      <c r="V10" s="8"/>
      <c r="W10" s="8"/>
      <c r="X10" s="92">
        <f t="shared" ref="X6:X21" si="3">SUM(T10:W10)</f>
        <v>0</v>
      </c>
      <c r="Y10" s="24">
        <f t="shared" si="1"/>
        <v>0</v>
      </c>
      <c r="Z10" s="23"/>
      <c r="AA10" s="9" t="s">
        <v>171</v>
      </c>
      <c r="AB10" s="9" t="s">
        <v>186</v>
      </c>
    </row>
    <row r="11" spans="1:28" s="10" customFormat="1" ht="130.94999999999999" customHeight="1" x14ac:dyDescent="0.25">
      <c r="A11" s="41" t="s">
        <v>30</v>
      </c>
      <c r="B11" s="41" t="s">
        <v>33</v>
      </c>
      <c r="C11" s="90" t="s">
        <v>43</v>
      </c>
      <c r="D11" s="54" t="s">
        <v>50</v>
      </c>
      <c r="E11" s="34" t="s">
        <v>51</v>
      </c>
      <c r="F11" s="169"/>
      <c r="G11" s="152"/>
      <c r="H11" s="7"/>
      <c r="I11" s="38">
        <v>44197</v>
      </c>
      <c r="J11" s="38">
        <v>44561</v>
      </c>
      <c r="K11" s="42">
        <v>1</v>
      </c>
      <c r="L11" s="61">
        <v>0.5</v>
      </c>
      <c r="M11" s="3">
        <f t="shared" si="2"/>
        <v>0.5</v>
      </c>
      <c r="N11" s="7" t="s">
        <v>227</v>
      </c>
      <c r="O11" s="8">
        <f>12500000+10000000</f>
        <v>22500000</v>
      </c>
      <c r="P11" s="8">
        <v>50000000</v>
      </c>
      <c r="Q11" s="91"/>
      <c r="R11" s="91"/>
      <c r="S11" s="92">
        <f t="shared" si="0"/>
        <v>72500000</v>
      </c>
      <c r="T11" s="8">
        <f>12500000+10000000</f>
        <v>22500000</v>
      </c>
      <c r="U11" s="8"/>
      <c r="V11" s="8"/>
      <c r="W11" s="8"/>
      <c r="X11" s="92">
        <f t="shared" si="3"/>
        <v>22500000</v>
      </c>
      <c r="Y11" s="24">
        <f t="shared" si="1"/>
        <v>0.31034482758620691</v>
      </c>
      <c r="Z11" s="23"/>
      <c r="AA11" s="9" t="s">
        <v>171</v>
      </c>
      <c r="AB11" s="9" t="s">
        <v>186</v>
      </c>
    </row>
    <row r="12" spans="1:28" s="10" customFormat="1" ht="132.6" customHeight="1" x14ac:dyDescent="0.25">
      <c r="A12" s="41" t="s">
        <v>30</v>
      </c>
      <c r="B12" s="41" t="s">
        <v>33</v>
      </c>
      <c r="C12" s="90" t="s">
        <v>43</v>
      </c>
      <c r="D12" s="54" t="s">
        <v>52</v>
      </c>
      <c r="E12" s="34" t="s">
        <v>53</v>
      </c>
      <c r="F12" s="169"/>
      <c r="G12" s="152"/>
      <c r="H12" s="7"/>
      <c r="I12" s="38">
        <v>44197</v>
      </c>
      <c r="J12" s="38">
        <v>44561</v>
      </c>
      <c r="K12" s="42">
        <v>1</v>
      </c>
      <c r="L12" s="61">
        <v>0.3</v>
      </c>
      <c r="M12" s="3">
        <f t="shared" si="2"/>
        <v>0.3</v>
      </c>
      <c r="N12" s="7" t="s">
        <v>228</v>
      </c>
      <c r="O12" s="8">
        <f>70000000+10000000</f>
        <v>80000000</v>
      </c>
      <c r="P12" s="91"/>
      <c r="Q12" s="91"/>
      <c r="R12" s="91"/>
      <c r="S12" s="92">
        <f t="shared" si="0"/>
        <v>80000000</v>
      </c>
      <c r="T12" s="8">
        <f>4000000+10000000</f>
        <v>14000000</v>
      </c>
      <c r="U12" s="8"/>
      <c r="V12" s="8"/>
      <c r="W12" s="8"/>
      <c r="X12" s="92">
        <f t="shared" si="3"/>
        <v>14000000</v>
      </c>
      <c r="Y12" s="24">
        <f t="shared" si="1"/>
        <v>0.17499999999999999</v>
      </c>
      <c r="Z12" s="23"/>
      <c r="AA12" s="9" t="s">
        <v>171</v>
      </c>
      <c r="AB12" s="9" t="s">
        <v>186</v>
      </c>
    </row>
    <row r="13" spans="1:28" s="10" customFormat="1" ht="117" customHeight="1" x14ac:dyDescent="0.25">
      <c r="A13" s="41" t="s">
        <v>30</v>
      </c>
      <c r="B13" s="41" t="s">
        <v>33</v>
      </c>
      <c r="C13" s="90" t="s">
        <v>43</v>
      </c>
      <c r="D13" s="54" t="s">
        <v>54</v>
      </c>
      <c r="E13" s="34" t="s">
        <v>55</v>
      </c>
      <c r="F13" s="169"/>
      <c r="G13" s="152"/>
      <c r="H13" s="7"/>
      <c r="I13" s="38">
        <v>44197</v>
      </c>
      <c r="J13" s="38">
        <v>44561</v>
      </c>
      <c r="K13" s="42">
        <v>1</v>
      </c>
      <c r="L13" s="88">
        <v>0.2</v>
      </c>
      <c r="M13" s="3">
        <f t="shared" si="2"/>
        <v>0.2</v>
      </c>
      <c r="N13" s="7" t="s">
        <v>220</v>
      </c>
      <c r="O13" s="8">
        <v>20000000</v>
      </c>
      <c r="P13" s="91"/>
      <c r="Q13" s="91"/>
      <c r="R13" s="91"/>
      <c r="S13" s="92">
        <f t="shared" si="0"/>
        <v>20000000</v>
      </c>
      <c r="T13" s="8"/>
      <c r="U13" s="8"/>
      <c r="V13" s="8"/>
      <c r="W13" s="8"/>
      <c r="X13" s="92">
        <f t="shared" si="3"/>
        <v>0</v>
      </c>
      <c r="Y13" s="24">
        <f t="shared" si="1"/>
        <v>0</v>
      </c>
      <c r="Z13" s="23"/>
      <c r="AA13" s="9" t="s">
        <v>171</v>
      </c>
      <c r="AB13" s="9" t="s">
        <v>186</v>
      </c>
    </row>
    <row r="14" spans="1:28" s="10" customFormat="1" ht="61.95" customHeight="1" x14ac:dyDescent="0.25">
      <c r="A14" s="41" t="s">
        <v>30</v>
      </c>
      <c r="B14" s="41" t="s">
        <v>33</v>
      </c>
      <c r="C14" s="90" t="s">
        <v>43</v>
      </c>
      <c r="D14" s="54" t="s">
        <v>56</v>
      </c>
      <c r="E14" s="34" t="s">
        <v>57</v>
      </c>
      <c r="F14" s="169"/>
      <c r="G14" s="152"/>
      <c r="H14" s="7"/>
      <c r="I14" s="38">
        <v>44197</v>
      </c>
      <c r="J14" s="38">
        <v>44561</v>
      </c>
      <c r="K14" s="42">
        <v>1</v>
      </c>
      <c r="L14" s="59">
        <v>3</v>
      </c>
      <c r="M14" s="3">
        <f t="shared" si="2"/>
        <v>1</v>
      </c>
      <c r="N14" s="7" t="s">
        <v>220</v>
      </c>
      <c r="O14" s="8">
        <v>40000000</v>
      </c>
      <c r="P14" s="91"/>
      <c r="Q14" s="91"/>
      <c r="R14" s="91"/>
      <c r="S14" s="92">
        <f t="shared" si="0"/>
        <v>40000000</v>
      </c>
      <c r="T14" s="8">
        <f>9600000/2</f>
        <v>4800000</v>
      </c>
      <c r="U14" s="8"/>
      <c r="V14" s="8"/>
      <c r="W14" s="8"/>
      <c r="X14" s="92">
        <f t="shared" si="3"/>
        <v>4800000</v>
      </c>
      <c r="Y14" s="24">
        <f t="shared" ref="Y14:Y16" si="4">IFERROR(X14/S14,"-")</f>
        <v>0.12</v>
      </c>
      <c r="Z14" s="23"/>
      <c r="AA14" s="9" t="s">
        <v>171</v>
      </c>
      <c r="AB14" s="9" t="s">
        <v>186</v>
      </c>
    </row>
    <row r="15" spans="1:28" s="10" customFormat="1" ht="100.95" customHeight="1" x14ac:dyDescent="0.25">
      <c r="A15" s="41" t="s">
        <v>30</v>
      </c>
      <c r="B15" s="41" t="s">
        <v>33</v>
      </c>
      <c r="C15" s="90" t="s">
        <v>43</v>
      </c>
      <c r="D15" s="54" t="s">
        <v>58</v>
      </c>
      <c r="E15" s="34" t="s">
        <v>59</v>
      </c>
      <c r="F15" s="169"/>
      <c r="G15" s="152"/>
      <c r="H15" s="7"/>
      <c r="I15" s="38">
        <v>44197</v>
      </c>
      <c r="J15" s="38">
        <v>44561</v>
      </c>
      <c r="K15" s="42">
        <v>1</v>
      </c>
      <c r="L15" s="61">
        <v>0.3</v>
      </c>
      <c r="M15" s="3">
        <f t="shared" si="2"/>
        <v>0.3</v>
      </c>
      <c r="N15" s="7" t="s">
        <v>240</v>
      </c>
      <c r="O15" s="8">
        <f>150000000+101901217+10000000</f>
        <v>261901217</v>
      </c>
      <c r="P15" s="91"/>
      <c r="Q15" s="91"/>
      <c r="R15" s="91"/>
      <c r="S15" s="92">
        <f t="shared" si="0"/>
        <v>261901217</v>
      </c>
      <c r="T15" s="8">
        <v>10000000</v>
      </c>
      <c r="U15" s="8"/>
      <c r="V15" s="8"/>
      <c r="W15" s="8"/>
      <c r="X15" s="92">
        <f t="shared" si="3"/>
        <v>10000000</v>
      </c>
      <c r="Y15" s="24">
        <f t="shared" si="4"/>
        <v>3.8182334983193303E-2</v>
      </c>
      <c r="Z15" s="23"/>
      <c r="AA15" s="9" t="s">
        <v>171</v>
      </c>
      <c r="AB15" s="9" t="s">
        <v>186</v>
      </c>
    </row>
    <row r="16" spans="1:28" s="10" customFormat="1" ht="113.4" customHeight="1" x14ac:dyDescent="0.25">
      <c r="A16" s="41" t="s">
        <v>30</v>
      </c>
      <c r="B16" s="41" t="s">
        <v>33</v>
      </c>
      <c r="C16" s="90" t="s">
        <v>60</v>
      </c>
      <c r="D16" s="54" t="s">
        <v>61</v>
      </c>
      <c r="E16" s="34" t="s">
        <v>62</v>
      </c>
      <c r="F16" s="169"/>
      <c r="G16" s="152"/>
      <c r="H16" s="7"/>
      <c r="I16" s="38">
        <v>44197</v>
      </c>
      <c r="J16" s="38">
        <v>44561</v>
      </c>
      <c r="K16" s="42">
        <v>1</v>
      </c>
      <c r="L16" s="61">
        <v>0</v>
      </c>
      <c r="M16" s="3">
        <f t="shared" si="2"/>
        <v>0</v>
      </c>
      <c r="N16" s="7" t="s">
        <v>220</v>
      </c>
      <c r="O16" s="8">
        <v>20000000</v>
      </c>
      <c r="P16" s="91"/>
      <c r="Q16" s="91"/>
      <c r="R16" s="91"/>
      <c r="S16" s="92">
        <f t="shared" si="0"/>
        <v>20000000</v>
      </c>
      <c r="T16" s="8"/>
      <c r="U16" s="8"/>
      <c r="V16" s="8"/>
      <c r="W16" s="8"/>
      <c r="X16" s="92">
        <f t="shared" si="3"/>
        <v>0</v>
      </c>
      <c r="Y16" s="24">
        <f t="shared" si="4"/>
        <v>0</v>
      </c>
      <c r="Z16" s="23"/>
      <c r="AA16" s="9" t="s">
        <v>171</v>
      </c>
      <c r="AB16" s="9" t="s">
        <v>186</v>
      </c>
    </row>
    <row r="17" spans="1:28" s="10" customFormat="1" ht="110.4" customHeight="1" x14ac:dyDescent="0.25">
      <c r="A17" s="41" t="s">
        <v>30</v>
      </c>
      <c r="B17" s="41" t="s">
        <v>33</v>
      </c>
      <c r="C17" s="90" t="s">
        <v>60</v>
      </c>
      <c r="D17" s="54" t="s">
        <v>65</v>
      </c>
      <c r="E17" s="34" t="s">
        <v>66</v>
      </c>
      <c r="F17" s="169"/>
      <c r="G17" s="152"/>
      <c r="H17" s="7"/>
      <c r="I17" s="38">
        <v>44197</v>
      </c>
      <c r="J17" s="38">
        <v>44561</v>
      </c>
      <c r="K17" s="42">
        <v>1</v>
      </c>
      <c r="L17" s="61">
        <v>0.1</v>
      </c>
      <c r="M17" s="3">
        <f t="shared" si="2"/>
        <v>0.1</v>
      </c>
      <c r="N17" s="7" t="s">
        <v>222</v>
      </c>
      <c r="O17" s="8">
        <f>30000000+ 10000000+100000000+140000000-134500000-63802434</f>
        <v>81697566</v>
      </c>
      <c r="P17" s="91"/>
      <c r="Q17" s="91"/>
      <c r="R17" s="91"/>
      <c r="S17" s="92">
        <f t="shared" si="0"/>
        <v>81697566</v>
      </c>
      <c r="T17" s="8">
        <f>20000000+16000000</f>
        <v>36000000</v>
      </c>
      <c r="U17" s="8"/>
      <c r="V17" s="8"/>
      <c r="W17" s="8"/>
      <c r="X17" s="92">
        <f t="shared" si="3"/>
        <v>36000000</v>
      </c>
      <c r="Y17" s="24">
        <f t="shared" ref="Y17:Y22" si="5">IFERROR(X17/S17,"-")</f>
        <v>0.4406496027066461</v>
      </c>
      <c r="Z17" s="23"/>
      <c r="AA17" s="9" t="s">
        <v>171</v>
      </c>
      <c r="AB17" s="9" t="s">
        <v>186</v>
      </c>
    </row>
    <row r="18" spans="1:28" s="10" customFormat="1" ht="83.4" customHeight="1" x14ac:dyDescent="0.25">
      <c r="A18" s="41" t="s">
        <v>30</v>
      </c>
      <c r="B18" s="41" t="s">
        <v>33</v>
      </c>
      <c r="C18" s="90" t="s">
        <v>60</v>
      </c>
      <c r="D18" s="54" t="s">
        <v>67</v>
      </c>
      <c r="E18" s="34" t="s">
        <v>68</v>
      </c>
      <c r="F18" s="169"/>
      <c r="G18" s="152"/>
      <c r="H18" s="7"/>
      <c r="I18" s="38">
        <v>44197</v>
      </c>
      <c r="J18" s="38">
        <v>44561</v>
      </c>
      <c r="K18" s="43">
        <v>1</v>
      </c>
      <c r="L18" s="63">
        <v>1</v>
      </c>
      <c r="M18" s="3">
        <f t="shared" si="2"/>
        <v>1</v>
      </c>
      <c r="N18" s="7" t="s">
        <v>220</v>
      </c>
      <c r="O18" s="8">
        <v>30000000</v>
      </c>
      <c r="P18" s="91"/>
      <c r="Q18" s="91"/>
      <c r="R18" s="91"/>
      <c r="S18" s="92">
        <f t="shared" si="0"/>
        <v>30000000</v>
      </c>
      <c r="T18" s="8">
        <f>11124930+18875070</f>
        <v>30000000</v>
      </c>
      <c r="U18" s="8"/>
      <c r="V18" s="8"/>
      <c r="W18" s="8"/>
      <c r="X18" s="92">
        <f t="shared" si="3"/>
        <v>30000000</v>
      </c>
      <c r="Y18" s="24">
        <f t="shared" si="5"/>
        <v>1</v>
      </c>
      <c r="Z18" s="23"/>
      <c r="AA18" s="9" t="s">
        <v>171</v>
      </c>
      <c r="AB18" s="9" t="s">
        <v>186</v>
      </c>
    </row>
    <row r="19" spans="1:28" s="10" customFormat="1" ht="100.95" customHeight="1" x14ac:dyDescent="0.25">
      <c r="A19" s="41" t="s">
        <v>30</v>
      </c>
      <c r="B19" s="41" t="s">
        <v>33</v>
      </c>
      <c r="C19" s="90" t="s">
        <v>60</v>
      </c>
      <c r="D19" s="54" t="s">
        <v>69</v>
      </c>
      <c r="E19" s="34" t="s">
        <v>70</v>
      </c>
      <c r="F19" s="169"/>
      <c r="G19" s="152"/>
      <c r="H19" s="7"/>
      <c r="I19" s="38">
        <v>44197</v>
      </c>
      <c r="J19" s="38">
        <v>44561</v>
      </c>
      <c r="K19" s="42">
        <v>1</v>
      </c>
      <c r="L19" s="61">
        <v>0.4</v>
      </c>
      <c r="M19" s="3">
        <f t="shared" si="2"/>
        <v>0.4</v>
      </c>
      <c r="N19" s="7" t="s">
        <v>220</v>
      </c>
      <c r="O19" s="8">
        <v>30000000</v>
      </c>
      <c r="P19" s="91"/>
      <c r="Q19" s="91"/>
      <c r="R19" s="91"/>
      <c r="S19" s="92">
        <f t="shared" si="0"/>
        <v>30000000</v>
      </c>
      <c r="T19" s="8">
        <f>6000000+14000000</f>
        <v>20000000</v>
      </c>
      <c r="U19" s="8"/>
      <c r="V19" s="8"/>
      <c r="W19" s="8"/>
      <c r="X19" s="92">
        <f t="shared" si="3"/>
        <v>20000000</v>
      </c>
      <c r="Y19" s="24">
        <f t="shared" si="5"/>
        <v>0.66666666666666663</v>
      </c>
      <c r="Z19" s="23"/>
      <c r="AA19" s="9" t="s">
        <v>171</v>
      </c>
      <c r="AB19" s="9" t="s">
        <v>186</v>
      </c>
    </row>
    <row r="20" spans="1:28" s="10" customFormat="1" ht="113.4" customHeight="1" x14ac:dyDescent="0.25">
      <c r="A20" s="41" t="s">
        <v>30</v>
      </c>
      <c r="B20" s="41" t="s">
        <v>33</v>
      </c>
      <c r="C20" s="90" t="s">
        <v>60</v>
      </c>
      <c r="D20" s="54" t="s">
        <v>71</v>
      </c>
      <c r="E20" s="34" t="s">
        <v>72</v>
      </c>
      <c r="F20" s="169"/>
      <c r="G20" s="152"/>
      <c r="H20" s="7"/>
      <c r="I20" s="38">
        <v>44197</v>
      </c>
      <c r="J20" s="38">
        <v>44561</v>
      </c>
      <c r="K20" s="42">
        <v>1</v>
      </c>
      <c r="L20" s="61">
        <v>0.2</v>
      </c>
      <c r="M20" s="3">
        <f t="shared" si="2"/>
        <v>0.2</v>
      </c>
      <c r="N20" s="7" t="s">
        <v>220</v>
      </c>
      <c r="O20" s="8">
        <v>30000000</v>
      </c>
      <c r="P20" s="91"/>
      <c r="Q20" s="91"/>
      <c r="R20" s="91"/>
      <c r="S20" s="92">
        <f t="shared" si="0"/>
        <v>30000000</v>
      </c>
      <c r="T20" s="8">
        <v>28000000</v>
      </c>
      <c r="U20" s="8"/>
      <c r="V20" s="8"/>
      <c r="W20" s="8"/>
      <c r="X20" s="92">
        <f t="shared" si="3"/>
        <v>28000000</v>
      </c>
      <c r="Y20" s="24">
        <f t="shared" si="5"/>
        <v>0.93333333333333335</v>
      </c>
      <c r="Z20" s="23"/>
      <c r="AA20" s="9" t="s">
        <v>171</v>
      </c>
      <c r="AB20" s="9" t="s">
        <v>186</v>
      </c>
    </row>
    <row r="21" spans="1:28" ht="66" customHeight="1" x14ac:dyDescent="0.25">
      <c r="A21" s="41" t="s">
        <v>31</v>
      </c>
      <c r="B21" s="41" t="s">
        <v>156</v>
      </c>
      <c r="C21" s="90" t="s">
        <v>157</v>
      </c>
      <c r="D21" s="55" t="s">
        <v>158</v>
      </c>
      <c r="E21" s="2" t="s">
        <v>159</v>
      </c>
      <c r="F21" s="169"/>
      <c r="G21" s="152"/>
      <c r="H21" s="7"/>
      <c r="I21" s="38">
        <v>44197</v>
      </c>
      <c r="J21" s="38">
        <v>44561</v>
      </c>
      <c r="K21" s="42">
        <v>1</v>
      </c>
      <c r="L21" s="60">
        <v>0.5</v>
      </c>
      <c r="M21" s="3">
        <f t="shared" si="2"/>
        <v>0.5</v>
      </c>
      <c r="N21" s="7" t="s">
        <v>229</v>
      </c>
      <c r="O21" s="8">
        <f>10000000+20000000</f>
        <v>30000000</v>
      </c>
      <c r="P21" s="93"/>
      <c r="Q21" s="93"/>
      <c r="R21" s="93"/>
      <c r="S21" s="92">
        <f t="shared" si="0"/>
        <v>30000000</v>
      </c>
      <c r="T21" s="8">
        <f>20000000+10000000</f>
        <v>30000000</v>
      </c>
      <c r="U21" s="94"/>
      <c r="V21" s="94"/>
      <c r="W21" s="94"/>
      <c r="X21" s="92">
        <f t="shared" si="3"/>
        <v>30000000</v>
      </c>
      <c r="Y21" s="24">
        <f t="shared" si="5"/>
        <v>1</v>
      </c>
      <c r="Z21" s="23"/>
      <c r="AA21" s="9" t="s">
        <v>171</v>
      </c>
      <c r="AB21" s="9" t="s">
        <v>186</v>
      </c>
    </row>
    <row r="22" spans="1:28" s="10" customFormat="1" ht="58.2" customHeight="1" x14ac:dyDescent="0.25">
      <c r="A22" s="164" t="s">
        <v>30</v>
      </c>
      <c r="B22" s="164" t="s">
        <v>33</v>
      </c>
      <c r="C22" s="127" t="s">
        <v>60</v>
      </c>
      <c r="D22" s="117" t="s">
        <v>63</v>
      </c>
      <c r="E22" s="166" t="s">
        <v>64</v>
      </c>
      <c r="F22" s="170"/>
      <c r="G22" s="153"/>
      <c r="H22" s="7"/>
      <c r="I22" s="38">
        <v>44197</v>
      </c>
      <c r="J22" s="38">
        <v>44561</v>
      </c>
      <c r="K22" s="129">
        <v>50000</v>
      </c>
      <c r="L22" s="123">
        <v>1</v>
      </c>
      <c r="M22" s="125">
        <f t="shared" ref="M22" si="6">IFERROR(IF(L22/K22&gt;100%,100%,L22/K22),"-")</f>
        <v>2.0000000000000002E-5</v>
      </c>
      <c r="N22" s="7" t="s">
        <v>220</v>
      </c>
      <c r="O22" s="8">
        <v>10000000</v>
      </c>
      <c r="P22" s="91"/>
      <c r="Q22" s="91"/>
      <c r="R22" s="91"/>
      <c r="S22" s="113">
        <f>SUM(O22:R23)</f>
        <v>321901217</v>
      </c>
      <c r="T22" s="95">
        <f>9600000/2</f>
        <v>4800000</v>
      </c>
      <c r="U22" s="8"/>
      <c r="V22" s="8"/>
      <c r="W22" s="8"/>
      <c r="X22" s="113">
        <f>SUM(T22:W23)</f>
        <v>4800000</v>
      </c>
      <c r="Y22" s="115">
        <f t="shared" si="5"/>
        <v>1.491140681210907E-2</v>
      </c>
      <c r="Z22" s="109"/>
      <c r="AA22" s="111" t="s">
        <v>171</v>
      </c>
      <c r="AB22" s="111" t="s">
        <v>186</v>
      </c>
    </row>
    <row r="23" spans="1:28" s="10" customFormat="1" ht="33.6" customHeight="1" x14ac:dyDescent="0.25">
      <c r="A23" s="165"/>
      <c r="B23" s="165"/>
      <c r="C23" s="128"/>
      <c r="D23" s="118"/>
      <c r="E23" s="167"/>
      <c r="F23" s="72"/>
      <c r="G23" s="74" t="s">
        <v>237</v>
      </c>
      <c r="H23" s="7"/>
      <c r="I23" s="38"/>
      <c r="J23" s="38"/>
      <c r="K23" s="130"/>
      <c r="L23" s="124"/>
      <c r="M23" s="126"/>
      <c r="N23" s="7" t="s">
        <v>220</v>
      </c>
      <c r="O23" s="8">
        <f>190000000+121901217</f>
        <v>311901217</v>
      </c>
      <c r="P23" s="91"/>
      <c r="Q23" s="91"/>
      <c r="R23" s="91"/>
      <c r="S23" s="114"/>
      <c r="T23" s="96"/>
      <c r="U23" s="8"/>
      <c r="V23" s="8"/>
      <c r="W23" s="8"/>
      <c r="X23" s="114"/>
      <c r="Y23" s="116"/>
      <c r="Z23" s="110"/>
      <c r="AA23" s="112"/>
      <c r="AB23" s="112"/>
    </row>
    <row r="24" spans="1:28" s="10" customFormat="1" ht="79.95" customHeight="1" x14ac:dyDescent="0.25">
      <c r="A24" s="41" t="s">
        <v>30</v>
      </c>
      <c r="B24" s="41" t="s">
        <v>33</v>
      </c>
      <c r="C24" s="90" t="s">
        <v>34</v>
      </c>
      <c r="D24" s="54" t="s">
        <v>39</v>
      </c>
      <c r="E24" s="34" t="s">
        <v>40</v>
      </c>
      <c r="F24" s="46"/>
      <c r="G24" s="46"/>
      <c r="H24" s="7"/>
      <c r="I24" s="38">
        <v>44197</v>
      </c>
      <c r="J24" s="38">
        <v>44561</v>
      </c>
      <c r="K24" s="42">
        <v>0</v>
      </c>
      <c r="L24" s="59">
        <v>0</v>
      </c>
      <c r="M24" s="3" t="str">
        <f t="shared" si="2"/>
        <v>-</v>
      </c>
      <c r="N24" s="7"/>
      <c r="O24" s="8"/>
      <c r="P24" s="91"/>
      <c r="Q24" s="91"/>
      <c r="R24" s="91"/>
      <c r="S24" s="92">
        <f>SUM(O24:R24)</f>
        <v>0</v>
      </c>
      <c r="T24" s="8"/>
      <c r="U24" s="8"/>
      <c r="V24" s="8"/>
      <c r="W24" s="8"/>
      <c r="X24" s="92">
        <f>SUM(T24:W24)</f>
        <v>0</v>
      </c>
      <c r="Y24" s="24" t="str">
        <f>IFERROR(X24/S24,"-")</f>
        <v>-</v>
      </c>
      <c r="Z24" s="23"/>
      <c r="AA24" s="9" t="s">
        <v>171</v>
      </c>
      <c r="AB24" s="9" t="s">
        <v>186</v>
      </c>
    </row>
    <row r="25" spans="1:28" s="10" customFormat="1" ht="75" x14ac:dyDescent="0.25">
      <c r="A25" s="41" t="s">
        <v>30</v>
      </c>
      <c r="B25" s="41" t="s">
        <v>33</v>
      </c>
      <c r="C25" s="90" t="s">
        <v>34</v>
      </c>
      <c r="D25" s="54" t="s">
        <v>41</v>
      </c>
      <c r="E25" s="34" t="s">
        <v>42</v>
      </c>
      <c r="F25" s="46"/>
      <c r="G25" s="46"/>
      <c r="H25" s="7"/>
      <c r="I25" s="38">
        <v>44197</v>
      </c>
      <c r="J25" s="38">
        <v>44561</v>
      </c>
      <c r="K25" s="108">
        <v>1</v>
      </c>
      <c r="L25" s="59">
        <v>0</v>
      </c>
      <c r="M25" s="3">
        <f t="shared" si="2"/>
        <v>0</v>
      </c>
      <c r="N25" s="7" t="s">
        <v>220</v>
      </c>
      <c r="O25" s="8">
        <v>622000000</v>
      </c>
      <c r="P25" s="91"/>
      <c r="Q25" s="91"/>
      <c r="R25" s="91"/>
      <c r="S25" s="92">
        <f>SUM(O25:R25)</f>
        <v>622000000</v>
      </c>
      <c r="T25" s="8"/>
      <c r="U25" s="8"/>
      <c r="V25" s="8"/>
      <c r="W25" s="8"/>
      <c r="X25" s="92">
        <f>SUM(T25:W25)</f>
        <v>0</v>
      </c>
      <c r="Y25" s="24">
        <f>IFERROR(X25/S25,"-")</f>
        <v>0</v>
      </c>
      <c r="Z25" s="23"/>
      <c r="AA25" s="9" t="s">
        <v>171</v>
      </c>
      <c r="AB25" s="9" t="s">
        <v>186</v>
      </c>
    </row>
    <row r="26" spans="1:28" s="10" customFormat="1" ht="31.2" customHeight="1" x14ac:dyDescent="0.25">
      <c r="A26" s="164" t="s">
        <v>30</v>
      </c>
      <c r="B26" s="164" t="s">
        <v>33</v>
      </c>
      <c r="C26" s="127" t="s">
        <v>73</v>
      </c>
      <c r="D26" s="117" t="s">
        <v>76</v>
      </c>
      <c r="E26" s="166" t="s">
        <v>77</v>
      </c>
      <c r="F26" s="80"/>
      <c r="G26" s="80" t="s">
        <v>223</v>
      </c>
      <c r="H26" s="7"/>
      <c r="I26" s="77"/>
      <c r="J26" s="77"/>
      <c r="K26" s="129">
        <v>25000</v>
      </c>
      <c r="L26" s="123">
        <v>774</v>
      </c>
      <c r="M26" s="125">
        <f>IFERROR(IF(L26/K26&gt;100%,100%,L26/K26),"-")</f>
        <v>3.0960000000000001E-2</v>
      </c>
      <c r="N26" s="7" t="s">
        <v>233</v>
      </c>
      <c r="O26" s="8">
        <v>200000000</v>
      </c>
      <c r="P26" s="91"/>
      <c r="Q26" s="91"/>
      <c r="R26" s="91"/>
      <c r="S26" s="113">
        <f>SUM(O26:R27)</f>
        <v>1700000001</v>
      </c>
      <c r="T26" s="8"/>
      <c r="U26" s="8"/>
      <c r="V26" s="8"/>
      <c r="W26" s="8"/>
      <c r="X26" s="113">
        <f>SUM(T26:W27)</f>
        <v>0</v>
      </c>
      <c r="Y26" s="115">
        <f>IFERROR(X26/S26,"-")</f>
        <v>0</v>
      </c>
      <c r="Z26" s="109">
        <v>80496000</v>
      </c>
      <c r="AA26" s="111" t="s">
        <v>171</v>
      </c>
      <c r="AB26" s="111" t="s">
        <v>186</v>
      </c>
    </row>
    <row r="27" spans="1:28" s="10" customFormat="1" ht="104.4" customHeight="1" x14ac:dyDescent="0.25">
      <c r="A27" s="165"/>
      <c r="B27" s="165"/>
      <c r="C27" s="128"/>
      <c r="D27" s="118"/>
      <c r="E27" s="167"/>
      <c r="F27" s="168">
        <v>20200680010040</v>
      </c>
      <c r="G27" s="151" t="s">
        <v>173</v>
      </c>
      <c r="H27" s="7"/>
      <c r="I27" s="77">
        <v>44197</v>
      </c>
      <c r="J27" s="77">
        <v>44561</v>
      </c>
      <c r="K27" s="130"/>
      <c r="L27" s="124"/>
      <c r="M27" s="126"/>
      <c r="N27" s="7" t="s">
        <v>238</v>
      </c>
      <c r="O27" s="8">
        <f>46000000+603350727</f>
        <v>649350727</v>
      </c>
      <c r="P27" s="91"/>
      <c r="Q27" s="91"/>
      <c r="R27" s="8">
        <v>850649274</v>
      </c>
      <c r="S27" s="114"/>
      <c r="T27" s="8">
        <v>0</v>
      </c>
      <c r="U27" s="8"/>
      <c r="V27" s="8"/>
      <c r="W27" s="8"/>
      <c r="X27" s="114"/>
      <c r="Y27" s="116"/>
      <c r="Z27" s="110"/>
      <c r="AA27" s="112"/>
      <c r="AB27" s="112"/>
    </row>
    <row r="28" spans="1:28" s="10" customFormat="1" ht="114" customHeight="1" x14ac:dyDescent="0.25">
      <c r="A28" s="41" t="s">
        <v>30</v>
      </c>
      <c r="B28" s="41" t="s">
        <v>33</v>
      </c>
      <c r="C28" s="90" t="s">
        <v>73</v>
      </c>
      <c r="D28" s="54" t="s">
        <v>74</v>
      </c>
      <c r="E28" s="34" t="s">
        <v>75</v>
      </c>
      <c r="F28" s="169"/>
      <c r="G28" s="152"/>
      <c r="H28" s="7" t="s">
        <v>216</v>
      </c>
      <c r="I28" s="38">
        <v>44197</v>
      </c>
      <c r="J28" s="38">
        <v>44561</v>
      </c>
      <c r="K28" s="42">
        <v>11000</v>
      </c>
      <c r="L28" s="59">
        <v>10840</v>
      </c>
      <c r="M28" s="3">
        <f t="shared" si="2"/>
        <v>0.98545454545454547</v>
      </c>
      <c r="N28" s="7" t="s">
        <v>208</v>
      </c>
      <c r="O28" s="8">
        <v>60000000</v>
      </c>
      <c r="P28" s="97"/>
      <c r="Q28" s="91"/>
      <c r="R28" s="97"/>
      <c r="S28" s="92">
        <f t="shared" ref="S28:S33" si="7">SUM(O28:R28)</f>
        <v>60000000</v>
      </c>
      <c r="T28" s="8">
        <f>40800000+14400000</f>
        <v>55200000</v>
      </c>
      <c r="U28" s="8"/>
      <c r="V28" s="8"/>
      <c r="W28" s="8"/>
      <c r="X28" s="92">
        <f t="shared" ref="X28:X33" si="8">SUM(T28:W28)</f>
        <v>55200000</v>
      </c>
      <c r="Y28" s="24">
        <f t="shared" ref="Y28:Y34" si="9">IFERROR(X28/S28,"-")</f>
        <v>0.92</v>
      </c>
      <c r="Z28" s="23"/>
      <c r="AA28" s="9" t="s">
        <v>171</v>
      </c>
      <c r="AB28" s="9" t="s">
        <v>186</v>
      </c>
    </row>
    <row r="29" spans="1:28" s="10" customFormat="1" ht="115.2" customHeight="1" x14ac:dyDescent="0.25">
      <c r="A29" s="41" t="s">
        <v>30</v>
      </c>
      <c r="B29" s="41" t="s">
        <v>33</v>
      </c>
      <c r="C29" s="90" t="s">
        <v>73</v>
      </c>
      <c r="D29" s="54" t="s">
        <v>78</v>
      </c>
      <c r="E29" s="34" t="s">
        <v>79</v>
      </c>
      <c r="F29" s="169"/>
      <c r="G29" s="152"/>
      <c r="H29" s="174"/>
      <c r="I29" s="38">
        <v>44197</v>
      </c>
      <c r="J29" s="38">
        <v>44561</v>
      </c>
      <c r="K29" s="42">
        <v>2000</v>
      </c>
      <c r="L29" s="59">
        <v>900</v>
      </c>
      <c r="M29" s="3">
        <f t="shared" si="2"/>
        <v>0.45</v>
      </c>
      <c r="N29" s="7" t="s">
        <v>209</v>
      </c>
      <c r="O29" s="8">
        <f>150000000-24000000-24000000-10000000</f>
        <v>92000000</v>
      </c>
      <c r="P29" s="97"/>
      <c r="Q29" s="91"/>
      <c r="R29" s="97"/>
      <c r="S29" s="92">
        <f t="shared" si="7"/>
        <v>92000000</v>
      </c>
      <c r="T29" s="8">
        <v>20000000</v>
      </c>
      <c r="U29" s="8"/>
      <c r="V29" s="8"/>
      <c r="W29" s="8"/>
      <c r="X29" s="92">
        <f t="shared" si="8"/>
        <v>20000000</v>
      </c>
      <c r="Y29" s="24">
        <f t="shared" si="9"/>
        <v>0.21739130434782608</v>
      </c>
      <c r="Z29" s="23"/>
      <c r="AA29" s="9" t="s">
        <v>171</v>
      </c>
      <c r="AB29" s="9" t="s">
        <v>186</v>
      </c>
    </row>
    <row r="30" spans="1:28" s="10" customFormat="1" ht="100.2" customHeight="1" x14ac:dyDescent="0.25">
      <c r="A30" s="41" t="s">
        <v>30</v>
      </c>
      <c r="B30" s="41" t="s">
        <v>33</v>
      </c>
      <c r="C30" s="90" t="s">
        <v>73</v>
      </c>
      <c r="D30" s="54" t="s">
        <v>80</v>
      </c>
      <c r="E30" s="34" t="s">
        <v>81</v>
      </c>
      <c r="F30" s="169"/>
      <c r="G30" s="152"/>
      <c r="H30" s="174"/>
      <c r="I30" s="38">
        <v>44197</v>
      </c>
      <c r="J30" s="38">
        <v>44561</v>
      </c>
      <c r="K30" s="43">
        <v>1</v>
      </c>
      <c r="L30" s="63">
        <v>1</v>
      </c>
      <c r="M30" s="3">
        <f t="shared" si="2"/>
        <v>1</v>
      </c>
      <c r="N30" s="7" t="s">
        <v>209</v>
      </c>
      <c r="O30" s="8">
        <f>150000000+44909000</f>
        <v>194909000</v>
      </c>
      <c r="P30" s="91"/>
      <c r="Q30" s="91"/>
      <c r="R30" s="97"/>
      <c r="S30" s="92">
        <f t="shared" si="7"/>
        <v>194909000</v>
      </c>
      <c r="T30" s="8">
        <f>31320000+23490000+140099000</f>
        <v>194909000</v>
      </c>
      <c r="U30" s="8"/>
      <c r="V30" s="8"/>
      <c r="W30" s="8"/>
      <c r="X30" s="92">
        <f t="shared" si="8"/>
        <v>194909000</v>
      </c>
      <c r="Y30" s="24">
        <f t="shared" si="9"/>
        <v>1</v>
      </c>
      <c r="Z30" s="23"/>
      <c r="AA30" s="9" t="s">
        <v>171</v>
      </c>
      <c r="AB30" s="9" t="s">
        <v>186</v>
      </c>
    </row>
    <row r="31" spans="1:28" s="10" customFormat="1" ht="130.19999999999999" customHeight="1" x14ac:dyDescent="0.25">
      <c r="A31" s="41" t="s">
        <v>30</v>
      </c>
      <c r="B31" s="41" t="s">
        <v>33</v>
      </c>
      <c r="C31" s="90" t="s">
        <v>73</v>
      </c>
      <c r="D31" s="54" t="s">
        <v>82</v>
      </c>
      <c r="E31" s="34" t="s">
        <v>83</v>
      </c>
      <c r="F31" s="169"/>
      <c r="G31" s="152"/>
      <c r="H31" s="174"/>
      <c r="I31" s="38">
        <v>44197</v>
      </c>
      <c r="J31" s="38">
        <v>44561</v>
      </c>
      <c r="K31" s="42">
        <v>1656</v>
      </c>
      <c r="L31" s="59">
        <v>1601</v>
      </c>
      <c r="M31" s="3">
        <f t="shared" si="2"/>
        <v>0.96678743961352653</v>
      </c>
      <c r="N31" s="7" t="s">
        <v>239</v>
      </c>
      <c r="O31" s="8">
        <f>2559196618+101429564.34+904000000</f>
        <v>3564626182.3400002</v>
      </c>
      <c r="P31" s="91"/>
      <c r="Q31" s="91"/>
      <c r="R31" s="8">
        <f>762195777+927807539</f>
        <v>1690003316</v>
      </c>
      <c r="S31" s="92">
        <f t="shared" si="7"/>
        <v>5254629498.3400002</v>
      </c>
      <c r="T31" s="8">
        <f>2628102905.93+663454761</f>
        <v>3291557666.9299998</v>
      </c>
      <c r="U31" s="8"/>
      <c r="V31" s="8"/>
      <c r="W31" s="8">
        <v>1661510016</v>
      </c>
      <c r="X31" s="92">
        <f>SUM(T31:W31)</f>
        <v>4953067682.9300003</v>
      </c>
      <c r="Y31" s="24">
        <f t="shared" si="9"/>
        <v>0.94261026100788514</v>
      </c>
      <c r="Z31" s="23"/>
      <c r="AA31" s="9" t="s">
        <v>171</v>
      </c>
      <c r="AB31" s="9" t="s">
        <v>186</v>
      </c>
    </row>
    <row r="32" spans="1:28" s="10" customFormat="1" ht="138" customHeight="1" x14ac:dyDescent="0.25">
      <c r="A32" s="41" t="s">
        <v>30</v>
      </c>
      <c r="B32" s="41" t="s">
        <v>33</v>
      </c>
      <c r="C32" s="90" t="s">
        <v>73</v>
      </c>
      <c r="D32" s="54" t="s">
        <v>86</v>
      </c>
      <c r="E32" s="34" t="s">
        <v>87</v>
      </c>
      <c r="F32" s="169"/>
      <c r="G32" s="152"/>
      <c r="H32" s="174"/>
      <c r="I32" s="38">
        <v>44197</v>
      </c>
      <c r="J32" s="38">
        <v>44561</v>
      </c>
      <c r="K32" s="42">
        <v>1</v>
      </c>
      <c r="L32" s="59">
        <v>1</v>
      </c>
      <c r="M32" s="3">
        <f t="shared" si="2"/>
        <v>1</v>
      </c>
      <c r="N32" s="7" t="s">
        <v>244</v>
      </c>
      <c r="O32" s="8">
        <f>40000000+72799850+24000000+24000000</f>
        <v>160799850</v>
      </c>
      <c r="P32" s="91"/>
      <c r="Q32" s="91"/>
      <c r="R32" s="97"/>
      <c r="S32" s="92">
        <f t="shared" si="7"/>
        <v>160799850</v>
      </c>
      <c r="T32" s="8">
        <f>72000000+10400000+8000000+24000000+24000000</f>
        <v>138400000</v>
      </c>
      <c r="U32" s="8"/>
      <c r="V32" s="8"/>
      <c r="W32" s="8"/>
      <c r="X32" s="92">
        <f>SUM(T32:W32)</f>
        <v>138400000</v>
      </c>
      <c r="Y32" s="24">
        <f t="shared" si="9"/>
        <v>0.86069732030222668</v>
      </c>
      <c r="Z32" s="23"/>
      <c r="AA32" s="9" t="s">
        <v>171</v>
      </c>
      <c r="AB32" s="9" t="s">
        <v>186</v>
      </c>
    </row>
    <row r="33" spans="1:28" ht="132" customHeight="1" x14ac:dyDescent="0.25">
      <c r="A33" s="41" t="s">
        <v>30</v>
      </c>
      <c r="B33" s="41" t="s">
        <v>33</v>
      </c>
      <c r="C33" s="90" t="s">
        <v>73</v>
      </c>
      <c r="D33" s="54" t="s">
        <v>88</v>
      </c>
      <c r="E33" s="34" t="s">
        <v>89</v>
      </c>
      <c r="F33" s="169"/>
      <c r="G33" s="152"/>
      <c r="H33" s="167"/>
      <c r="I33" s="38">
        <v>44197</v>
      </c>
      <c r="J33" s="38">
        <v>44561</v>
      </c>
      <c r="K33" s="42">
        <v>1</v>
      </c>
      <c r="L33" s="59">
        <v>1</v>
      </c>
      <c r="M33" s="3">
        <f t="shared" si="2"/>
        <v>1</v>
      </c>
      <c r="N33" s="7" t="s">
        <v>230</v>
      </c>
      <c r="O33" s="8">
        <f>30000000+68000000</f>
        <v>98000000</v>
      </c>
      <c r="P33" s="93"/>
      <c r="Q33" s="93"/>
      <c r="R33" s="94"/>
      <c r="S33" s="92">
        <f t="shared" si="7"/>
        <v>98000000</v>
      </c>
      <c r="T33" s="8">
        <f>52000000+28800000</f>
        <v>80800000</v>
      </c>
      <c r="U33" s="94"/>
      <c r="V33" s="94"/>
      <c r="W33" s="94"/>
      <c r="X33" s="92">
        <f>SUM(T33:W33)</f>
        <v>80800000</v>
      </c>
      <c r="Y33" s="24">
        <f t="shared" si="9"/>
        <v>0.82448979591836735</v>
      </c>
      <c r="Z33" s="23"/>
      <c r="AA33" s="9" t="s">
        <v>171</v>
      </c>
      <c r="AB33" s="9" t="s">
        <v>186</v>
      </c>
    </row>
    <row r="34" spans="1:28" s="10" customFormat="1" ht="79.8" customHeight="1" x14ac:dyDescent="0.25">
      <c r="A34" s="164" t="s">
        <v>30</v>
      </c>
      <c r="B34" s="164" t="s">
        <v>33</v>
      </c>
      <c r="C34" s="127" t="s">
        <v>73</v>
      </c>
      <c r="D34" s="117" t="s">
        <v>84</v>
      </c>
      <c r="E34" s="166" t="s">
        <v>85</v>
      </c>
      <c r="F34" s="170"/>
      <c r="G34" s="153"/>
      <c r="H34" s="34" t="s">
        <v>217</v>
      </c>
      <c r="I34" s="38">
        <v>44197</v>
      </c>
      <c r="J34" s="38">
        <v>44561</v>
      </c>
      <c r="K34" s="129">
        <v>3</v>
      </c>
      <c r="L34" s="123">
        <v>3</v>
      </c>
      <c r="M34" s="125">
        <f>IFERROR(IF(L34/K34&gt;100%,100%,L34/K34),"-")</f>
        <v>1</v>
      </c>
      <c r="N34" s="85" t="s">
        <v>243</v>
      </c>
      <c r="O34" s="8">
        <f>35000000+164091000+24000000+80000000+26000000</f>
        <v>329091000</v>
      </c>
      <c r="P34" s="8"/>
      <c r="Q34" s="91"/>
      <c r="R34" s="97"/>
      <c r="S34" s="113">
        <f>SUM(O34:R35)</f>
        <v>329091000</v>
      </c>
      <c r="T34" s="8">
        <f>3314546.93+62400000+24000000+76000000+25600000+2290443.93+2111705.93-10890</f>
        <v>195705806.79000002</v>
      </c>
      <c r="U34" s="8"/>
      <c r="V34" s="8"/>
      <c r="W34" s="8"/>
      <c r="X34" s="113">
        <f>SUM(T34:W35)</f>
        <v>195705806.79000002</v>
      </c>
      <c r="Y34" s="115">
        <f t="shared" si="9"/>
        <v>0.59468598895138436</v>
      </c>
      <c r="Z34" s="109"/>
      <c r="AA34" s="111" t="s">
        <v>171</v>
      </c>
      <c r="AB34" s="111" t="s">
        <v>186</v>
      </c>
    </row>
    <row r="35" spans="1:28" s="10" customFormat="1" ht="127.8" customHeight="1" x14ac:dyDescent="0.25">
      <c r="A35" s="165"/>
      <c r="B35" s="165"/>
      <c r="C35" s="128"/>
      <c r="D35" s="118"/>
      <c r="E35" s="167"/>
      <c r="F35" s="49">
        <v>2020680010151</v>
      </c>
      <c r="G35" s="57" t="s">
        <v>199</v>
      </c>
      <c r="H35" s="50" t="s">
        <v>218</v>
      </c>
      <c r="I35" s="38">
        <v>44197</v>
      </c>
      <c r="J35" s="38">
        <v>44561</v>
      </c>
      <c r="K35" s="130"/>
      <c r="L35" s="124"/>
      <c r="M35" s="126"/>
      <c r="N35" s="53"/>
      <c r="O35" s="98">
        <v>0</v>
      </c>
      <c r="P35" s="99"/>
      <c r="Q35" s="99"/>
      <c r="R35" s="100"/>
      <c r="S35" s="114"/>
      <c r="T35" s="98"/>
      <c r="U35" s="98"/>
      <c r="V35" s="98"/>
      <c r="W35" s="98"/>
      <c r="X35" s="114"/>
      <c r="Y35" s="116"/>
      <c r="Z35" s="110"/>
      <c r="AA35" s="112"/>
      <c r="AB35" s="112"/>
    </row>
    <row r="36" spans="1:28" ht="137.4" customHeight="1" x14ac:dyDescent="0.25">
      <c r="A36" s="41" t="s">
        <v>30</v>
      </c>
      <c r="B36" s="41" t="s">
        <v>33</v>
      </c>
      <c r="C36" s="90" t="s">
        <v>90</v>
      </c>
      <c r="D36" s="55" t="s">
        <v>91</v>
      </c>
      <c r="E36" s="2" t="s">
        <v>92</v>
      </c>
      <c r="F36" s="135">
        <v>20200680010072</v>
      </c>
      <c r="G36" s="146" t="s">
        <v>175</v>
      </c>
      <c r="H36" s="148" t="s">
        <v>190</v>
      </c>
      <c r="I36" s="38">
        <v>44197</v>
      </c>
      <c r="J36" s="38">
        <v>44561</v>
      </c>
      <c r="K36" s="42">
        <v>1</v>
      </c>
      <c r="L36" s="59">
        <v>0.5</v>
      </c>
      <c r="M36" s="3">
        <f t="shared" si="2"/>
        <v>0.5</v>
      </c>
      <c r="N36" s="7" t="s">
        <v>219</v>
      </c>
      <c r="O36" s="8">
        <v>60000000</v>
      </c>
      <c r="P36" s="93"/>
      <c r="Q36" s="93"/>
      <c r="R36" s="93"/>
      <c r="S36" s="92">
        <f t="shared" ref="S36:S50" si="10">SUM(O36:R36)</f>
        <v>60000000</v>
      </c>
      <c r="T36" s="8">
        <f>16000000+2800000+4000000+12800000+7200000</f>
        <v>42800000</v>
      </c>
      <c r="U36" s="94"/>
      <c r="V36" s="94"/>
      <c r="W36" s="94"/>
      <c r="X36" s="92">
        <f>SUM(T36:W36)</f>
        <v>42800000</v>
      </c>
      <c r="Y36" s="24">
        <f t="shared" ref="Y36:Y51" si="11">IFERROR(X36/S36,"-")</f>
        <v>0.71333333333333337</v>
      </c>
      <c r="Z36" s="23"/>
      <c r="AA36" s="9" t="s">
        <v>171</v>
      </c>
      <c r="AB36" s="9" t="s">
        <v>186</v>
      </c>
    </row>
    <row r="37" spans="1:28" ht="95.4" customHeight="1" x14ac:dyDescent="0.25">
      <c r="A37" s="41" t="s">
        <v>30</v>
      </c>
      <c r="B37" s="41" t="s">
        <v>33</v>
      </c>
      <c r="C37" s="90" t="s">
        <v>90</v>
      </c>
      <c r="D37" s="55" t="s">
        <v>93</v>
      </c>
      <c r="E37" s="2" t="s">
        <v>94</v>
      </c>
      <c r="F37" s="136"/>
      <c r="G37" s="146"/>
      <c r="H37" s="149"/>
      <c r="I37" s="38">
        <v>44197</v>
      </c>
      <c r="J37" s="38">
        <v>44561</v>
      </c>
      <c r="K37" s="42">
        <v>1</v>
      </c>
      <c r="L37" s="59">
        <v>0</v>
      </c>
      <c r="M37" s="3">
        <f t="shared" si="2"/>
        <v>0</v>
      </c>
      <c r="N37" s="7"/>
      <c r="O37" s="8"/>
      <c r="P37" s="93"/>
      <c r="Q37" s="93"/>
      <c r="R37" s="93"/>
      <c r="S37" s="92">
        <f t="shared" si="10"/>
        <v>0</v>
      </c>
      <c r="T37" s="8"/>
      <c r="U37" s="94"/>
      <c r="V37" s="94"/>
      <c r="W37" s="94"/>
      <c r="X37" s="92">
        <f>SUM(T37:W37)</f>
        <v>0</v>
      </c>
      <c r="Y37" s="24" t="str">
        <f t="shared" si="11"/>
        <v>-</v>
      </c>
      <c r="Z37" s="23"/>
      <c r="AA37" s="9" t="s">
        <v>171</v>
      </c>
      <c r="AB37" s="9" t="s">
        <v>186</v>
      </c>
    </row>
    <row r="38" spans="1:28" ht="83.4" customHeight="1" x14ac:dyDescent="0.25">
      <c r="A38" s="41" t="s">
        <v>30</v>
      </c>
      <c r="B38" s="41" t="s">
        <v>33</v>
      </c>
      <c r="C38" s="90" t="s">
        <v>90</v>
      </c>
      <c r="D38" s="55" t="s">
        <v>95</v>
      </c>
      <c r="E38" s="2" t="s">
        <v>96</v>
      </c>
      <c r="F38" s="137"/>
      <c r="G38" s="147"/>
      <c r="H38" s="150"/>
      <c r="I38" s="38">
        <v>44197</v>
      </c>
      <c r="J38" s="38">
        <v>44561</v>
      </c>
      <c r="K38" s="43">
        <v>1</v>
      </c>
      <c r="L38" s="59">
        <v>1</v>
      </c>
      <c r="M38" s="3">
        <f t="shared" si="2"/>
        <v>1</v>
      </c>
      <c r="N38" s="7" t="s">
        <v>219</v>
      </c>
      <c r="O38" s="8">
        <v>140000000</v>
      </c>
      <c r="P38" s="93"/>
      <c r="Q38" s="93"/>
      <c r="R38" s="93"/>
      <c r="S38" s="92">
        <f t="shared" si="10"/>
        <v>140000000</v>
      </c>
      <c r="T38" s="8">
        <f>449727.77+438017.77+16000000+25200000+4000000+12800000+16800000+16000000+16000000+188923.77+45667.77</f>
        <v>107922337.07999998</v>
      </c>
      <c r="U38" s="94"/>
      <c r="V38" s="94"/>
      <c r="W38" s="94"/>
      <c r="X38" s="92">
        <f>SUM(T38:W38)</f>
        <v>107922337.07999998</v>
      </c>
      <c r="Y38" s="24">
        <f t="shared" si="11"/>
        <v>0.77087383628571415</v>
      </c>
      <c r="Z38" s="23"/>
      <c r="AA38" s="9" t="s">
        <v>171</v>
      </c>
      <c r="AB38" s="9" t="s">
        <v>186</v>
      </c>
    </row>
    <row r="39" spans="1:28" ht="126" customHeight="1" x14ac:dyDescent="0.25">
      <c r="A39" s="41" t="s">
        <v>30</v>
      </c>
      <c r="B39" s="41" t="s">
        <v>33</v>
      </c>
      <c r="C39" s="34" t="s">
        <v>90</v>
      </c>
      <c r="D39" s="56" t="s">
        <v>187</v>
      </c>
      <c r="E39" s="2" t="s">
        <v>188</v>
      </c>
      <c r="F39" s="45">
        <v>2020068001033</v>
      </c>
      <c r="G39" s="57" t="s">
        <v>196</v>
      </c>
      <c r="H39" s="7" t="s">
        <v>206</v>
      </c>
      <c r="I39" s="38">
        <v>44197</v>
      </c>
      <c r="J39" s="38">
        <v>44561</v>
      </c>
      <c r="K39" s="107">
        <v>1</v>
      </c>
      <c r="L39" s="59">
        <v>0</v>
      </c>
      <c r="M39" s="3">
        <f t="shared" si="2"/>
        <v>0</v>
      </c>
      <c r="N39" s="7"/>
      <c r="O39" s="8"/>
      <c r="P39" s="93"/>
      <c r="Q39" s="93"/>
      <c r="R39" s="93"/>
      <c r="S39" s="92">
        <f t="shared" si="10"/>
        <v>0</v>
      </c>
      <c r="T39" s="8"/>
      <c r="U39" s="94"/>
      <c r="V39" s="94"/>
      <c r="W39" s="94"/>
      <c r="X39" s="92">
        <f>SUM(T39:W39)</f>
        <v>0</v>
      </c>
      <c r="Y39" s="24" t="str">
        <f t="shared" si="11"/>
        <v>-</v>
      </c>
      <c r="Z39" s="23"/>
      <c r="AA39" s="9" t="s">
        <v>171</v>
      </c>
      <c r="AB39" s="9" t="s">
        <v>186</v>
      </c>
    </row>
    <row r="40" spans="1:28" ht="93.6" customHeight="1" x14ac:dyDescent="0.25">
      <c r="A40" s="41" t="s">
        <v>30</v>
      </c>
      <c r="B40" s="41" t="s">
        <v>33</v>
      </c>
      <c r="C40" s="90" t="s">
        <v>97</v>
      </c>
      <c r="D40" s="55" t="s">
        <v>98</v>
      </c>
      <c r="E40" s="2" t="s">
        <v>99</v>
      </c>
      <c r="F40" s="168">
        <v>20200680010106</v>
      </c>
      <c r="G40" s="151" t="s">
        <v>178</v>
      </c>
      <c r="H40" s="163" t="s">
        <v>192</v>
      </c>
      <c r="I40" s="38">
        <v>44197</v>
      </c>
      <c r="J40" s="38">
        <v>44561</v>
      </c>
      <c r="K40" s="42">
        <v>1</v>
      </c>
      <c r="L40" s="61">
        <v>0.2</v>
      </c>
      <c r="M40" s="3">
        <f t="shared" si="2"/>
        <v>0.2</v>
      </c>
      <c r="N40" s="7" t="s">
        <v>207</v>
      </c>
      <c r="O40" s="8">
        <v>0</v>
      </c>
      <c r="P40" s="93"/>
      <c r="Q40" s="93"/>
      <c r="R40" s="93"/>
      <c r="S40" s="92">
        <f t="shared" si="10"/>
        <v>0</v>
      </c>
      <c r="T40" s="8">
        <v>0</v>
      </c>
      <c r="U40" s="94"/>
      <c r="V40" s="94"/>
      <c r="W40" s="94"/>
      <c r="X40" s="92">
        <f>SUM(T40:W40)</f>
        <v>0</v>
      </c>
      <c r="Y40" s="24" t="str">
        <f t="shared" si="11"/>
        <v>-</v>
      </c>
      <c r="Z40" s="23">
        <v>1000000</v>
      </c>
      <c r="AA40" s="9" t="s">
        <v>171</v>
      </c>
      <c r="AB40" s="9" t="s">
        <v>186</v>
      </c>
    </row>
    <row r="41" spans="1:28" ht="121.2" customHeight="1" x14ac:dyDescent="0.25">
      <c r="A41" s="41" t="s">
        <v>30</v>
      </c>
      <c r="B41" s="41" t="s">
        <v>33</v>
      </c>
      <c r="C41" s="90" t="s">
        <v>97</v>
      </c>
      <c r="D41" s="55" t="s">
        <v>100</v>
      </c>
      <c r="E41" s="2" t="s">
        <v>101</v>
      </c>
      <c r="F41" s="169"/>
      <c r="G41" s="152"/>
      <c r="H41" s="155"/>
      <c r="I41" s="38">
        <v>44197</v>
      </c>
      <c r="J41" s="38">
        <v>44561</v>
      </c>
      <c r="K41" s="42">
        <v>600</v>
      </c>
      <c r="L41" s="59">
        <v>214</v>
      </c>
      <c r="M41" s="3">
        <f t="shared" si="2"/>
        <v>0.35666666666666669</v>
      </c>
      <c r="N41" s="7" t="s">
        <v>207</v>
      </c>
      <c r="O41" s="8">
        <f>20000000+20000000</f>
        <v>40000000</v>
      </c>
      <c r="P41" s="93"/>
      <c r="Q41" s="93"/>
      <c r="R41" s="93"/>
      <c r="S41" s="92">
        <f t="shared" si="10"/>
        <v>40000000</v>
      </c>
      <c r="T41" s="8">
        <f>18000000+18000000</f>
        <v>36000000</v>
      </c>
      <c r="U41" s="94"/>
      <c r="V41" s="94"/>
      <c r="W41" s="94"/>
      <c r="X41" s="92">
        <f>SUM(T41:W41)</f>
        <v>36000000</v>
      </c>
      <c r="Y41" s="24">
        <f t="shared" si="11"/>
        <v>0.9</v>
      </c>
      <c r="Z41" s="23">
        <v>1000000</v>
      </c>
      <c r="AA41" s="9" t="s">
        <v>171</v>
      </c>
      <c r="AB41" s="9" t="s">
        <v>186</v>
      </c>
    </row>
    <row r="42" spans="1:28" ht="67.2" customHeight="1" x14ac:dyDescent="0.25">
      <c r="A42" s="41" t="s">
        <v>30</v>
      </c>
      <c r="B42" s="41" t="s">
        <v>33</v>
      </c>
      <c r="C42" s="90" t="s">
        <v>97</v>
      </c>
      <c r="D42" s="55" t="s">
        <v>110</v>
      </c>
      <c r="E42" s="2" t="s">
        <v>111</v>
      </c>
      <c r="F42" s="169"/>
      <c r="G42" s="152"/>
      <c r="H42" s="155"/>
      <c r="I42" s="38">
        <v>44197</v>
      </c>
      <c r="J42" s="38">
        <v>44561</v>
      </c>
      <c r="K42" s="42">
        <v>1</v>
      </c>
      <c r="L42" s="61">
        <v>0.4</v>
      </c>
      <c r="M42" s="3">
        <f t="shared" si="2"/>
        <v>0.4</v>
      </c>
      <c r="N42" s="7" t="s">
        <v>207</v>
      </c>
      <c r="O42" s="8">
        <v>20000000</v>
      </c>
      <c r="P42" s="93"/>
      <c r="Q42" s="93"/>
      <c r="R42" s="93"/>
      <c r="S42" s="92">
        <f t="shared" si="10"/>
        <v>20000000</v>
      </c>
      <c r="T42" s="8">
        <v>6000000</v>
      </c>
      <c r="U42" s="94"/>
      <c r="V42" s="94"/>
      <c r="W42" s="94"/>
      <c r="X42" s="92">
        <f>SUM(T42:W42)</f>
        <v>6000000</v>
      </c>
      <c r="Y42" s="24">
        <f t="shared" si="11"/>
        <v>0.3</v>
      </c>
      <c r="Z42" s="23">
        <v>1000000</v>
      </c>
      <c r="AA42" s="9" t="s">
        <v>171</v>
      </c>
      <c r="AB42" s="9" t="s">
        <v>186</v>
      </c>
    </row>
    <row r="43" spans="1:28" ht="82.95" customHeight="1" x14ac:dyDescent="0.25">
      <c r="A43" s="41" t="s">
        <v>30</v>
      </c>
      <c r="B43" s="41" t="s">
        <v>33</v>
      </c>
      <c r="C43" s="90" t="s">
        <v>112</v>
      </c>
      <c r="D43" s="55" t="s">
        <v>113</v>
      </c>
      <c r="E43" s="2" t="s">
        <v>114</v>
      </c>
      <c r="F43" s="169"/>
      <c r="G43" s="152"/>
      <c r="H43" s="155"/>
      <c r="I43" s="38">
        <v>44197</v>
      </c>
      <c r="J43" s="38">
        <v>44561</v>
      </c>
      <c r="K43" s="42">
        <v>1</v>
      </c>
      <c r="L43" s="61">
        <v>0.4</v>
      </c>
      <c r="M43" s="3">
        <f t="shared" si="2"/>
        <v>0.4</v>
      </c>
      <c r="N43" s="7" t="s">
        <v>207</v>
      </c>
      <c r="O43" s="8">
        <v>20000000</v>
      </c>
      <c r="P43" s="93"/>
      <c r="Q43" s="93"/>
      <c r="R43" s="93"/>
      <c r="S43" s="92">
        <f t="shared" si="10"/>
        <v>20000000</v>
      </c>
      <c r="T43" s="8">
        <v>6000000</v>
      </c>
      <c r="U43" s="94"/>
      <c r="V43" s="94"/>
      <c r="W43" s="94"/>
      <c r="X43" s="92">
        <f>SUM(T43:W43)</f>
        <v>6000000</v>
      </c>
      <c r="Y43" s="24">
        <f t="shared" si="11"/>
        <v>0.3</v>
      </c>
      <c r="Z43" s="23">
        <v>1000000</v>
      </c>
      <c r="AA43" s="9" t="s">
        <v>171</v>
      </c>
      <c r="AB43" s="9" t="s">
        <v>186</v>
      </c>
    </row>
    <row r="44" spans="1:28" ht="151.94999999999999" customHeight="1" x14ac:dyDescent="0.25">
      <c r="A44" s="41" t="s">
        <v>30</v>
      </c>
      <c r="B44" s="41" t="s">
        <v>33</v>
      </c>
      <c r="C44" s="90" t="s">
        <v>112</v>
      </c>
      <c r="D44" s="55" t="s">
        <v>115</v>
      </c>
      <c r="E44" s="2" t="s">
        <v>116</v>
      </c>
      <c r="F44" s="169"/>
      <c r="G44" s="152"/>
      <c r="H44" s="155"/>
      <c r="I44" s="38">
        <v>44197</v>
      </c>
      <c r="J44" s="38">
        <v>44561</v>
      </c>
      <c r="K44" s="42">
        <v>4</v>
      </c>
      <c r="L44" s="59">
        <v>1</v>
      </c>
      <c r="M44" s="3">
        <f t="shared" si="2"/>
        <v>0.25</v>
      </c>
      <c r="N44" s="7" t="s">
        <v>207</v>
      </c>
      <c r="O44" s="8">
        <v>30000000</v>
      </c>
      <c r="P44" s="93"/>
      <c r="Q44" s="93"/>
      <c r="R44" s="93"/>
      <c r="S44" s="92">
        <f t="shared" si="10"/>
        <v>30000000</v>
      </c>
      <c r="T44" s="8">
        <f>16000000+12000000</f>
        <v>28000000</v>
      </c>
      <c r="U44" s="94"/>
      <c r="V44" s="94"/>
      <c r="W44" s="94"/>
      <c r="X44" s="92">
        <f>SUM(T44:W44)</f>
        <v>28000000</v>
      </c>
      <c r="Y44" s="24">
        <f t="shared" si="11"/>
        <v>0.93333333333333335</v>
      </c>
      <c r="Z44" s="23">
        <v>1000000</v>
      </c>
      <c r="AA44" s="9" t="s">
        <v>171</v>
      </c>
      <c r="AB44" s="9" t="s">
        <v>186</v>
      </c>
    </row>
    <row r="45" spans="1:28" ht="76.2" customHeight="1" x14ac:dyDescent="0.25">
      <c r="A45" s="41" t="s">
        <v>30</v>
      </c>
      <c r="B45" s="41" t="s">
        <v>33</v>
      </c>
      <c r="C45" s="90" t="s">
        <v>112</v>
      </c>
      <c r="D45" s="55" t="s">
        <v>119</v>
      </c>
      <c r="E45" s="2" t="s">
        <v>120</v>
      </c>
      <c r="F45" s="169"/>
      <c r="G45" s="152"/>
      <c r="H45" s="156"/>
      <c r="I45" s="38">
        <v>44197</v>
      </c>
      <c r="J45" s="38">
        <v>44561</v>
      </c>
      <c r="K45" s="43">
        <v>1</v>
      </c>
      <c r="L45" s="63">
        <v>1</v>
      </c>
      <c r="M45" s="3">
        <f t="shared" si="2"/>
        <v>1</v>
      </c>
      <c r="N45" s="7" t="s">
        <v>207</v>
      </c>
      <c r="O45" s="8">
        <v>30000000</v>
      </c>
      <c r="P45" s="93"/>
      <c r="Q45" s="93"/>
      <c r="R45" s="93"/>
      <c r="S45" s="92">
        <f t="shared" si="10"/>
        <v>30000000</v>
      </c>
      <c r="T45" s="8">
        <f>16000000+12000000</f>
        <v>28000000</v>
      </c>
      <c r="U45" s="94"/>
      <c r="V45" s="94"/>
      <c r="W45" s="94"/>
      <c r="X45" s="92">
        <f>SUM(T45:W45)</f>
        <v>28000000</v>
      </c>
      <c r="Y45" s="24">
        <f t="shared" si="11"/>
        <v>0.93333333333333335</v>
      </c>
      <c r="Z45" s="23">
        <v>1000000</v>
      </c>
      <c r="AA45" s="9" t="s">
        <v>171</v>
      </c>
      <c r="AB45" s="9" t="s">
        <v>186</v>
      </c>
    </row>
    <row r="46" spans="1:28" ht="155.4" customHeight="1" x14ac:dyDescent="0.25">
      <c r="A46" s="41" t="s">
        <v>30</v>
      </c>
      <c r="B46" s="41" t="s">
        <v>33</v>
      </c>
      <c r="C46" s="90" t="s">
        <v>97</v>
      </c>
      <c r="D46" s="55" t="s">
        <v>102</v>
      </c>
      <c r="E46" s="2" t="s">
        <v>103</v>
      </c>
      <c r="F46" s="169"/>
      <c r="G46" s="152"/>
      <c r="H46" s="7" t="s">
        <v>205</v>
      </c>
      <c r="I46" s="38">
        <v>44197</v>
      </c>
      <c r="J46" s="38">
        <v>44561</v>
      </c>
      <c r="K46" s="42">
        <v>1</v>
      </c>
      <c r="L46" s="59">
        <v>1</v>
      </c>
      <c r="M46" s="3">
        <f t="shared" si="2"/>
        <v>1</v>
      </c>
      <c r="N46" s="7" t="s">
        <v>207</v>
      </c>
      <c r="O46" s="8">
        <v>30000000</v>
      </c>
      <c r="P46" s="93"/>
      <c r="Q46" s="93"/>
      <c r="R46" s="93"/>
      <c r="S46" s="92">
        <f t="shared" si="10"/>
        <v>30000000</v>
      </c>
      <c r="T46" s="8">
        <v>24000000</v>
      </c>
      <c r="U46" s="94"/>
      <c r="V46" s="94"/>
      <c r="W46" s="94"/>
      <c r="X46" s="92">
        <f>SUM(T46:W46)</f>
        <v>24000000</v>
      </c>
      <c r="Y46" s="24">
        <f t="shared" si="11"/>
        <v>0.8</v>
      </c>
      <c r="Z46" s="23">
        <v>1000000</v>
      </c>
      <c r="AA46" s="9" t="s">
        <v>171</v>
      </c>
      <c r="AB46" s="9" t="s">
        <v>186</v>
      </c>
    </row>
    <row r="47" spans="1:28" ht="95.4" customHeight="1" x14ac:dyDescent="0.25">
      <c r="A47" s="41" t="s">
        <v>30</v>
      </c>
      <c r="B47" s="41" t="s">
        <v>33</v>
      </c>
      <c r="C47" s="90" t="s">
        <v>97</v>
      </c>
      <c r="D47" s="55" t="s">
        <v>104</v>
      </c>
      <c r="E47" s="2" t="s">
        <v>105</v>
      </c>
      <c r="F47" s="169"/>
      <c r="G47" s="152"/>
      <c r="H47" s="7" t="s">
        <v>204</v>
      </c>
      <c r="I47" s="38">
        <v>44197</v>
      </c>
      <c r="J47" s="38">
        <v>44561</v>
      </c>
      <c r="K47" s="43">
        <v>1</v>
      </c>
      <c r="L47" s="63">
        <v>1</v>
      </c>
      <c r="M47" s="3">
        <f t="shared" si="2"/>
        <v>1</v>
      </c>
      <c r="N47" s="7" t="s">
        <v>207</v>
      </c>
      <c r="O47" s="8">
        <v>11000000</v>
      </c>
      <c r="P47" s="93"/>
      <c r="Q47" s="93"/>
      <c r="R47" s="93"/>
      <c r="S47" s="92">
        <f t="shared" si="10"/>
        <v>11000000</v>
      </c>
      <c r="T47" s="8"/>
      <c r="U47" s="94"/>
      <c r="V47" s="94"/>
      <c r="W47" s="94"/>
      <c r="X47" s="92">
        <f>SUM(T47:W47)</f>
        <v>0</v>
      </c>
      <c r="Y47" s="24">
        <f t="shared" si="11"/>
        <v>0</v>
      </c>
      <c r="Z47" s="23">
        <v>1000000</v>
      </c>
      <c r="AA47" s="9" t="s">
        <v>171</v>
      </c>
      <c r="AB47" s="9" t="s">
        <v>186</v>
      </c>
    </row>
    <row r="48" spans="1:28" ht="144.6" customHeight="1" x14ac:dyDescent="0.25">
      <c r="A48" s="41" t="s">
        <v>30</v>
      </c>
      <c r="B48" s="41" t="s">
        <v>33</v>
      </c>
      <c r="C48" s="90" t="s">
        <v>97</v>
      </c>
      <c r="D48" s="55" t="s">
        <v>106</v>
      </c>
      <c r="E48" s="2" t="s">
        <v>107</v>
      </c>
      <c r="F48" s="169"/>
      <c r="G48" s="152"/>
      <c r="H48" s="7" t="s">
        <v>203</v>
      </c>
      <c r="I48" s="38">
        <v>44197</v>
      </c>
      <c r="J48" s="38">
        <v>44561</v>
      </c>
      <c r="K48" s="42">
        <v>1</v>
      </c>
      <c r="L48" s="59">
        <v>1</v>
      </c>
      <c r="M48" s="3">
        <f t="shared" si="2"/>
        <v>1</v>
      </c>
      <c r="N48" s="7" t="s">
        <v>207</v>
      </c>
      <c r="O48" s="8">
        <v>10000000</v>
      </c>
      <c r="P48" s="93"/>
      <c r="Q48" s="93"/>
      <c r="R48" s="93"/>
      <c r="S48" s="92">
        <f t="shared" si="10"/>
        <v>10000000</v>
      </c>
      <c r="T48" s="8"/>
      <c r="U48" s="94"/>
      <c r="V48" s="94"/>
      <c r="W48" s="94"/>
      <c r="X48" s="92">
        <f>SUM(T48:W48)</f>
        <v>0</v>
      </c>
      <c r="Y48" s="24">
        <f t="shared" si="11"/>
        <v>0</v>
      </c>
      <c r="Z48" s="23">
        <v>1000000</v>
      </c>
      <c r="AA48" s="9" t="s">
        <v>171</v>
      </c>
      <c r="AB48" s="9" t="s">
        <v>186</v>
      </c>
    </row>
    <row r="49" spans="1:28" ht="94.95" customHeight="1" x14ac:dyDescent="0.25">
      <c r="A49" s="41" t="s">
        <v>30</v>
      </c>
      <c r="B49" s="41" t="s">
        <v>33</v>
      </c>
      <c r="C49" s="90" t="s">
        <v>97</v>
      </c>
      <c r="D49" s="55" t="s">
        <v>108</v>
      </c>
      <c r="E49" s="2" t="s">
        <v>109</v>
      </c>
      <c r="F49" s="169"/>
      <c r="G49" s="152"/>
      <c r="H49" s="7" t="s">
        <v>202</v>
      </c>
      <c r="I49" s="38">
        <v>44197</v>
      </c>
      <c r="J49" s="38">
        <v>44561</v>
      </c>
      <c r="K49" s="42">
        <v>1</v>
      </c>
      <c r="L49" s="59">
        <v>1</v>
      </c>
      <c r="M49" s="3">
        <f t="shared" si="2"/>
        <v>1</v>
      </c>
      <c r="N49" s="7" t="s">
        <v>207</v>
      </c>
      <c r="O49" s="8">
        <v>24000000</v>
      </c>
      <c r="P49" s="93"/>
      <c r="Q49" s="93"/>
      <c r="R49" s="93"/>
      <c r="S49" s="92">
        <f t="shared" si="10"/>
        <v>24000000</v>
      </c>
      <c r="T49" s="8">
        <v>24000000</v>
      </c>
      <c r="U49" s="94"/>
      <c r="V49" s="94"/>
      <c r="W49" s="94"/>
      <c r="X49" s="92">
        <f>SUM(T49:W49)</f>
        <v>24000000</v>
      </c>
      <c r="Y49" s="24">
        <f t="shared" si="11"/>
        <v>1</v>
      </c>
      <c r="Z49" s="23">
        <v>1000000</v>
      </c>
      <c r="AA49" s="9" t="s">
        <v>171</v>
      </c>
      <c r="AB49" s="9" t="s">
        <v>186</v>
      </c>
    </row>
    <row r="50" spans="1:28" ht="142.94999999999999" customHeight="1" x14ac:dyDescent="0.25">
      <c r="A50" s="41" t="s">
        <v>30</v>
      </c>
      <c r="B50" s="41" t="s">
        <v>33</v>
      </c>
      <c r="C50" s="90" t="s">
        <v>112</v>
      </c>
      <c r="D50" s="55" t="s">
        <v>117</v>
      </c>
      <c r="E50" s="2" t="s">
        <v>118</v>
      </c>
      <c r="F50" s="170"/>
      <c r="G50" s="153"/>
      <c r="H50" s="7" t="s">
        <v>202</v>
      </c>
      <c r="I50" s="38">
        <v>44197</v>
      </c>
      <c r="J50" s="38">
        <v>44561</v>
      </c>
      <c r="K50" s="42">
        <v>1</v>
      </c>
      <c r="L50" s="59">
        <v>1</v>
      </c>
      <c r="M50" s="3">
        <f t="shared" si="2"/>
        <v>1</v>
      </c>
      <c r="N50" s="7" t="s">
        <v>207</v>
      </c>
      <c r="O50" s="8">
        <v>15000000</v>
      </c>
      <c r="P50" s="93"/>
      <c r="Q50" s="93"/>
      <c r="R50" s="93"/>
      <c r="S50" s="92">
        <f t="shared" si="10"/>
        <v>15000000</v>
      </c>
      <c r="T50" s="8">
        <v>12000000</v>
      </c>
      <c r="U50" s="94"/>
      <c r="V50" s="94"/>
      <c r="W50" s="94"/>
      <c r="X50" s="92">
        <f>SUM(T50:W50)</f>
        <v>12000000</v>
      </c>
      <c r="Y50" s="24">
        <f t="shared" si="11"/>
        <v>0.8</v>
      </c>
      <c r="Z50" s="23">
        <v>1000000</v>
      </c>
      <c r="AA50" s="9" t="s">
        <v>171</v>
      </c>
      <c r="AB50" s="9" t="s">
        <v>186</v>
      </c>
    </row>
    <row r="51" spans="1:28" ht="29.4" customHeight="1" x14ac:dyDescent="0.25">
      <c r="A51" s="164" t="s">
        <v>30</v>
      </c>
      <c r="B51" s="164" t="s">
        <v>33</v>
      </c>
      <c r="C51" s="127" t="s">
        <v>121</v>
      </c>
      <c r="D51" s="157" t="s">
        <v>124</v>
      </c>
      <c r="E51" s="119" t="s">
        <v>125</v>
      </c>
      <c r="F51" s="83"/>
      <c r="G51" s="34" t="s">
        <v>223</v>
      </c>
      <c r="H51" s="7"/>
      <c r="I51" s="47"/>
      <c r="J51" s="47"/>
      <c r="K51" s="129">
        <v>284</v>
      </c>
      <c r="L51" s="176">
        <v>0</v>
      </c>
      <c r="M51" s="125">
        <f>IFERROR(IF(L51/K51&gt;100%,100%,L51/K51),"-")</f>
        <v>0</v>
      </c>
      <c r="N51" s="7" t="s">
        <v>234</v>
      </c>
      <c r="O51" s="98">
        <v>201016480</v>
      </c>
      <c r="P51" s="93"/>
      <c r="Q51" s="93"/>
      <c r="R51" s="93"/>
      <c r="S51" s="113">
        <f>SUM(O51:R52)</f>
        <v>1121000000</v>
      </c>
      <c r="T51" s="8"/>
      <c r="U51" s="94"/>
      <c r="V51" s="94"/>
      <c r="W51" s="94"/>
      <c r="X51" s="113">
        <f>SUM(T51:W52)</f>
        <v>0</v>
      </c>
      <c r="Y51" s="115">
        <f t="shared" si="11"/>
        <v>0</v>
      </c>
      <c r="Z51" s="109"/>
      <c r="AA51" s="111" t="s">
        <v>171</v>
      </c>
      <c r="AB51" s="111" t="s">
        <v>186</v>
      </c>
    </row>
    <row r="52" spans="1:28" ht="82.95" customHeight="1" x14ac:dyDescent="0.25">
      <c r="A52" s="165"/>
      <c r="B52" s="165"/>
      <c r="C52" s="128"/>
      <c r="D52" s="158"/>
      <c r="E52" s="120"/>
      <c r="F52" s="169">
        <v>20200680010050</v>
      </c>
      <c r="G52" s="152" t="s">
        <v>179</v>
      </c>
      <c r="H52" s="155" t="s">
        <v>193</v>
      </c>
      <c r="I52" s="82">
        <v>44197</v>
      </c>
      <c r="J52" s="82">
        <v>44561</v>
      </c>
      <c r="K52" s="130"/>
      <c r="L52" s="177"/>
      <c r="M52" s="126"/>
      <c r="N52" s="76" t="s">
        <v>236</v>
      </c>
      <c r="O52" s="98">
        <v>6983520</v>
      </c>
      <c r="P52" s="101">
        <v>913000000</v>
      </c>
      <c r="Q52" s="102"/>
      <c r="R52" s="102"/>
      <c r="S52" s="114"/>
      <c r="T52" s="8"/>
      <c r="U52" s="94"/>
      <c r="V52" s="94"/>
      <c r="W52" s="94"/>
      <c r="X52" s="114"/>
      <c r="Y52" s="116"/>
      <c r="Z52" s="110"/>
      <c r="AA52" s="112"/>
      <c r="AB52" s="112"/>
    </row>
    <row r="53" spans="1:28" ht="111.6" customHeight="1" x14ac:dyDescent="0.25">
      <c r="A53" s="41" t="s">
        <v>30</v>
      </c>
      <c r="B53" s="41" t="s">
        <v>33</v>
      </c>
      <c r="C53" s="90" t="s">
        <v>121</v>
      </c>
      <c r="D53" s="55" t="s">
        <v>122</v>
      </c>
      <c r="E53" s="2" t="s">
        <v>123</v>
      </c>
      <c r="F53" s="169"/>
      <c r="G53" s="152"/>
      <c r="H53" s="155"/>
      <c r="I53" s="38">
        <v>44197</v>
      </c>
      <c r="J53" s="38">
        <v>44561</v>
      </c>
      <c r="K53" s="42">
        <v>1</v>
      </c>
      <c r="L53" s="59">
        <v>1</v>
      </c>
      <c r="M53" s="3">
        <f t="shared" si="2"/>
        <v>1</v>
      </c>
      <c r="N53" s="7" t="s">
        <v>236</v>
      </c>
      <c r="O53" s="8">
        <v>130000000</v>
      </c>
      <c r="P53" s="103">
        <v>119000000</v>
      </c>
      <c r="Q53" s="93"/>
      <c r="R53" s="93"/>
      <c r="S53" s="92">
        <f>SUM(O53:R53)</f>
        <v>249000000</v>
      </c>
      <c r="T53" s="8">
        <f>89600000-12000000+14400000+14400000</f>
        <v>106400000</v>
      </c>
      <c r="U53" s="94"/>
      <c r="V53" s="94"/>
      <c r="W53" s="94"/>
      <c r="X53" s="92">
        <f>SUM(T53:W53)</f>
        <v>106400000</v>
      </c>
      <c r="Y53" s="24">
        <f>IFERROR(X53/S53,"-")</f>
        <v>0.42730923694779116</v>
      </c>
      <c r="Z53" s="23"/>
      <c r="AA53" s="9" t="s">
        <v>171</v>
      </c>
      <c r="AB53" s="9" t="s">
        <v>186</v>
      </c>
    </row>
    <row r="54" spans="1:28" ht="68.400000000000006" customHeight="1" x14ac:dyDescent="0.25">
      <c r="A54" s="41" t="s">
        <v>30</v>
      </c>
      <c r="B54" s="41" t="s">
        <v>33</v>
      </c>
      <c r="C54" s="90" t="s">
        <v>121</v>
      </c>
      <c r="D54" s="55" t="s">
        <v>126</v>
      </c>
      <c r="E54" s="2" t="s">
        <v>127</v>
      </c>
      <c r="F54" s="169"/>
      <c r="G54" s="152"/>
      <c r="H54" s="155"/>
      <c r="I54" s="38">
        <v>44197</v>
      </c>
      <c r="J54" s="38">
        <v>44561</v>
      </c>
      <c r="K54" s="42">
        <v>1</v>
      </c>
      <c r="L54" s="61">
        <v>0.25</v>
      </c>
      <c r="M54" s="3">
        <f t="shared" si="2"/>
        <v>0.25</v>
      </c>
      <c r="N54" s="7" t="s">
        <v>236</v>
      </c>
      <c r="O54" s="8">
        <v>12000000</v>
      </c>
      <c r="P54" s="103">
        <v>18000000</v>
      </c>
      <c r="Q54" s="93"/>
      <c r="R54" s="93"/>
      <c r="S54" s="92">
        <f>SUM(O54:R54)</f>
        <v>30000000</v>
      </c>
      <c r="T54" s="8">
        <v>12000000</v>
      </c>
      <c r="U54" s="94"/>
      <c r="V54" s="94"/>
      <c r="W54" s="94"/>
      <c r="X54" s="92">
        <f>SUM(T54:W54)</f>
        <v>12000000</v>
      </c>
      <c r="Y54" s="24">
        <f>IFERROR(X54/S54,"-")</f>
        <v>0.4</v>
      </c>
      <c r="Z54" s="23"/>
      <c r="AA54" s="9" t="s">
        <v>171</v>
      </c>
      <c r="AB54" s="9" t="s">
        <v>186</v>
      </c>
    </row>
    <row r="55" spans="1:28" ht="76.95" customHeight="1" x14ac:dyDescent="0.25">
      <c r="A55" s="41" t="s">
        <v>30</v>
      </c>
      <c r="B55" s="41" t="s">
        <v>33</v>
      </c>
      <c r="C55" s="90" t="s">
        <v>121</v>
      </c>
      <c r="D55" s="55" t="s">
        <v>128</v>
      </c>
      <c r="E55" s="2" t="s">
        <v>129</v>
      </c>
      <c r="F55" s="170"/>
      <c r="G55" s="153"/>
      <c r="H55" s="156"/>
      <c r="I55" s="38">
        <v>44197</v>
      </c>
      <c r="J55" s="38">
        <v>44561</v>
      </c>
      <c r="K55" s="43">
        <v>1</v>
      </c>
      <c r="L55" s="61">
        <v>1</v>
      </c>
      <c r="M55" s="3">
        <f t="shared" si="2"/>
        <v>1</v>
      </c>
      <c r="N55" s="7" t="s">
        <v>214</v>
      </c>
      <c r="O55" s="8"/>
      <c r="P55" s="103">
        <v>60000000</v>
      </c>
      <c r="Q55" s="93"/>
      <c r="R55" s="93"/>
      <c r="S55" s="92">
        <f>SUM(O55:R55)</f>
        <v>60000000</v>
      </c>
      <c r="T55" s="8"/>
      <c r="U55" s="104">
        <f>13050000+46950000</f>
        <v>60000000</v>
      </c>
      <c r="V55" s="94"/>
      <c r="W55" s="94"/>
      <c r="X55" s="92">
        <f>SUM(T55:W55)</f>
        <v>60000000</v>
      </c>
      <c r="Y55" s="24">
        <f>IFERROR(X55/S55,"-")</f>
        <v>1</v>
      </c>
      <c r="Z55" s="23"/>
      <c r="AA55" s="9" t="s">
        <v>171</v>
      </c>
      <c r="AB55" s="9" t="s">
        <v>186</v>
      </c>
    </row>
    <row r="56" spans="1:28" ht="31.8" customHeight="1" x14ac:dyDescent="0.25">
      <c r="A56" s="164" t="s">
        <v>30</v>
      </c>
      <c r="B56" s="164" t="s">
        <v>33</v>
      </c>
      <c r="C56" s="127" t="s">
        <v>130</v>
      </c>
      <c r="D56" s="157" t="s">
        <v>131</v>
      </c>
      <c r="E56" s="119" t="s">
        <v>132</v>
      </c>
      <c r="F56" s="71"/>
      <c r="G56" s="73" t="s">
        <v>223</v>
      </c>
      <c r="H56" s="77"/>
      <c r="I56" s="38"/>
      <c r="J56" s="38"/>
      <c r="K56" s="129">
        <v>250</v>
      </c>
      <c r="L56" s="123">
        <v>1</v>
      </c>
      <c r="M56" s="125">
        <f>IFERROR(IF(L56/K56&gt;100%,100%,L56/K56),"-")</f>
        <v>4.0000000000000001E-3</v>
      </c>
      <c r="N56" s="7" t="s">
        <v>215</v>
      </c>
      <c r="O56" s="8">
        <v>20023866</v>
      </c>
      <c r="P56" s="103"/>
      <c r="Q56" s="93"/>
      <c r="R56" s="93"/>
      <c r="S56" s="113">
        <f>SUM(O56:R57)</f>
        <v>970000000</v>
      </c>
      <c r="T56" s="105"/>
      <c r="U56" s="104"/>
      <c r="V56" s="94"/>
      <c r="W56" s="94"/>
      <c r="X56" s="113">
        <f>SUM(T56:W57)</f>
        <v>60000000</v>
      </c>
      <c r="Y56" s="115">
        <f>IFERROR(X56/S56,"-")</f>
        <v>6.1855670103092786E-2</v>
      </c>
      <c r="Z56" s="109"/>
      <c r="AA56" s="111" t="s">
        <v>171</v>
      </c>
      <c r="AB56" s="111" t="s">
        <v>186</v>
      </c>
    </row>
    <row r="57" spans="1:28" ht="78.599999999999994" customHeight="1" x14ac:dyDescent="0.25">
      <c r="A57" s="165"/>
      <c r="B57" s="165"/>
      <c r="C57" s="128"/>
      <c r="D57" s="158"/>
      <c r="E57" s="120"/>
      <c r="F57" s="135">
        <v>20200680010121</v>
      </c>
      <c r="G57" s="154" t="s">
        <v>176</v>
      </c>
      <c r="H57" s="148" t="s">
        <v>191</v>
      </c>
      <c r="I57" s="38">
        <v>44197</v>
      </c>
      <c r="J57" s="38">
        <v>44561</v>
      </c>
      <c r="K57" s="130"/>
      <c r="L57" s="124"/>
      <c r="M57" s="126"/>
      <c r="N57" s="62" t="s">
        <v>235</v>
      </c>
      <c r="O57" s="8">
        <f>410000000-10000000-20000000-O56</f>
        <v>359976134</v>
      </c>
      <c r="P57" s="103">
        <v>590000000</v>
      </c>
      <c r="Q57" s="103"/>
      <c r="R57" s="103"/>
      <c r="S57" s="114"/>
      <c r="T57" s="106">
        <f>36000000+24000000</f>
        <v>60000000</v>
      </c>
      <c r="U57" s="104"/>
      <c r="V57" s="104"/>
      <c r="W57" s="104"/>
      <c r="X57" s="114"/>
      <c r="Y57" s="116"/>
      <c r="Z57" s="110"/>
      <c r="AA57" s="112"/>
      <c r="AB57" s="112"/>
    </row>
    <row r="58" spans="1:28" ht="106.95" customHeight="1" x14ac:dyDescent="0.25">
      <c r="A58" s="41" t="s">
        <v>30</v>
      </c>
      <c r="B58" s="41" t="s">
        <v>33</v>
      </c>
      <c r="C58" s="90" t="s">
        <v>130</v>
      </c>
      <c r="D58" s="55" t="s">
        <v>133</v>
      </c>
      <c r="E58" s="2" t="s">
        <v>134</v>
      </c>
      <c r="F58" s="136"/>
      <c r="G58" s="146"/>
      <c r="H58" s="149"/>
      <c r="I58" s="38">
        <v>44197</v>
      </c>
      <c r="J58" s="38">
        <v>44561</v>
      </c>
      <c r="K58" s="42">
        <v>1</v>
      </c>
      <c r="L58" s="60">
        <v>0.1</v>
      </c>
      <c r="M58" s="3">
        <f t="shared" si="2"/>
        <v>0.1</v>
      </c>
      <c r="N58" s="62" t="s">
        <v>215</v>
      </c>
      <c r="O58" s="8">
        <f>50000000-24000000</f>
        <v>26000000</v>
      </c>
      <c r="P58" s="103"/>
      <c r="Q58" s="103"/>
      <c r="R58" s="103"/>
      <c r="S58" s="92">
        <f>SUM(O58:R58)</f>
        <v>26000000</v>
      </c>
      <c r="T58" s="8">
        <v>4000000</v>
      </c>
      <c r="U58" s="104"/>
      <c r="V58" s="104"/>
      <c r="W58" s="104"/>
      <c r="X58" s="92">
        <f>SUM(T58:W58)</f>
        <v>4000000</v>
      </c>
      <c r="Y58" s="24">
        <f>IFERROR(X58/S58,"-")</f>
        <v>0.15384615384615385</v>
      </c>
      <c r="Z58" s="23"/>
      <c r="AA58" s="9" t="s">
        <v>171</v>
      </c>
      <c r="AB58" s="9" t="s">
        <v>186</v>
      </c>
    </row>
    <row r="59" spans="1:28" ht="133.19999999999999" customHeight="1" x14ac:dyDescent="0.25">
      <c r="A59" s="41" t="s">
        <v>30</v>
      </c>
      <c r="B59" s="41" t="s">
        <v>33</v>
      </c>
      <c r="C59" s="90" t="s">
        <v>130</v>
      </c>
      <c r="D59" s="55" t="s">
        <v>135</v>
      </c>
      <c r="E59" s="2" t="s">
        <v>136</v>
      </c>
      <c r="F59" s="136"/>
      <c r="G59" s="146"/>
      <c r="H59" s="149"/>
      <c r="I59" s="38">
        <v>44197</v>
      </c>
      <c r="J59" s="38">
        <v>44561</v>
      </c>
      <c r="K59" s="42">
        <v>1</v>
      </c>
      <c r="L59" s="60">
        <v>0.3</v>
      </c>
      <c r="M59" s="3">
        <f t="shared" si="2"/>
        <v>0.3</v>
      </c>
      <c r="N59" s="62" t="s">
        <v>235</v>
      </c>
      <c r="O59" s="8">
        <f>20000000+10000000+20000000+24000000</f>
        <v>74000000</v>
      </c>
      <c r="P59" s="103">
        <v>180000000</v>
      </c>
      <c r="Q59" s="103"/>
      <c r="R59" s="103"/>
      <c r="S59" s="92">
        <f>SUM(O59:R59)</f>
        <v>254000000</v>
      </c>
      <c r="T59" s="8">
        <f>24000000+16000000+24000000</f>
        <v>64000000</v>
      </c>
      <c r="U59" s="104"/>
      <c r="V59" s="104"/>
      <c r="W59" s="104"/>
      <c r="X59" s="92">
        <f>SUM(T59:W59)</f>
        <v>64000000</v>
      </c>
      <c r="Y59" s="24">
        <f>IFERROR(X59/S59,"-")</f>
        <v>0.25196850393700787</v>
      </c>
      <c r="Z59" s="23"/>
      <c r="AA59" s="9" t="s">
        <v>171</v>
      </c>
      <c r="AB59" s="9" t="s">
        <v>186</v>
      </c>
    </row>
    <row r="60" spans="1:28" ht="126" customHeight="1" x14ac:dyDescent="0.25">
      <c r="A60" s="41" t="s">
        <v>30</v>
      </c>
      <c r="B60" s="41" t="s">
        <v>33</v>
      </c>
      <c r="C60" s="90" t="s">
        <v>130</v>
      </c>
      <c r="D60" s="55" t="s">
        <v>137</v>
      </c>
      <c r="E60" s="2" t="s">
        <v>138</v>
      </c>
      <c r="F60" s="136"/>
      <c r="G60" s="146"/>
      <c r="H60" s="149"/>
      <c r="I60" s="38">
        <v>44197</v>
      </c>
      <c r="J60" s="38">
        <v>44561</v>
      </c>
      <c r="K60" s="42">
        <v>200</v>
      </c>
      <c r="L60" s="59">
        <v>1</v>
      </c>
      <c r="M60" s="3">
        <f t="shared" si="2"/>
        <v>5.0000000000000001E-3</v>
      </c>
      <c r="N60" s="62" t="s">
        <v>232</v>
      </c>
      <c r="O60" s="8">
        <v>200000000</v>
      </c>
      <c r="P60" s="103"/>
      <c r="Q60" s="103"/>
      <c r="R60" s="103"/>
      <c r="S60" s="92">
        <f>SUM(O60:R60)</f>
        <v>200000000</v>
      </c>
      <c r="T60" s="8"/>
      <c r="U60" s="104"/>
      <c r="V60" s="104"/>
      <c r="W60" s="104"/>
      <c r="X60" s="92">
        <f>SUM(T60:W60)</f>
        <v>0</v>
      </c>
      <c r="Y60" s="24">
        <f>IFERROR(X60/S60,"-")</f>
        <v>0</v>
      </c>
      <c r="Z60" s="23"/>
      <c r="AA60" s="9" t="s">
        <v>171</v>
      </c>
      <c r="AB60" s="9" t="s">
        <v>186</v>
      </c>
    </row>
    <row r="61" spans="1:28" ht="99.6" customHeight="1" x14ac:dyDescent="0.25">
      <c r="A61" s="41" t="s">
        <v>30</v>
      </c>
      <c r="B61" s="41" t="s">
        <v>33</v>
      </c>
      <c r="C61" s="90" t="s">
        <v>130</v>
      </c>
      <c r="D61" s="55" t="s">
        <v>139</v>
      </c>
      <c r="E61" s="2" t="s">
        <v>140</v>
      </c>
      <c r="F61" s="137"/>
      <c r="G61" s="147"/>
      <c r="H61" s="150"/>
      <c r="I61" s="38">
        <v>44197</v>
      </c>
      <c r="J61" s="38">
        <v>44561</v>
      </c>
      <c r="K61" s="42">
        <v>1</v>
      </c>
      <c r="L61" s="59">
        <v>1</v>
      </c>
      <c r="M61" s="3">
        <f t="shared" si="2"/>
        <v>1</v>
      </c>
      <c r="N61" s="62" t="s">
        <v>215</v>
      </c>
      <c r="O61" s="8">
        <v>50000000</v>
      </c>
      <c r="P61" s="103"/>
      <c r="Q61" s="103"/>
      <c r="R61" s="103"/>
      <c r="S61" s="92">
        <f>SUM(O61:R61)</f>
        <v>50000000</v>
      </c>
      <c r="T61" s="8">
        <f>28000000+12800000</f>
        <v>40800000</v>
      </c>
      <c r="U61" s="104"/>
      <c r="V61" s="104"/>
      <c r="W61" s="104"/>
      <c r="X61" s="92">
        <f>SUM(T61:W61)</f>
        <v>40800000</v>
      </c>
      <c r="Y61" s="24">
        <f>IFERROR(X61/S61,"-")</f>
        <v>0.81599999999999995</v>
      </c>
      <c r="Z61" s="23"/>
      <c r="AA61" s="9" t="s">
        <v>171</v>
      </c>
      <c r="AB61" s="9" t="s">
        <v>186</v>
      </c>
    </row>
    <row r="62" spans="1:28" ht="99.6" customHeight="1" x14ac:dyDescent="0.25">
      <c r="A62" s="41" t="s">
        <v>141</v>
      </c>
      <c r="B62" s="41" t="s">
        <v>142</v>
      </c>
      <c r="C62" s="90" t="s">
        <v>143</v>
      </c>
      <c r="D62" s="55" t="s">
        <v>146</v>
      </c>
      <c r="E62" s="2" t="s">
        <v>147</v>
      </c>
      <c r="F62" s="44"/>
      <c r="G62" s="57" t="s">
        <v>197</v>
      </c>
      <c r="H62" s="7"/>
      <c r="I62" s="38">
        <v>44197</v>
      </c>
      <c r="J62" s="38">
        <v>44561</v>
      </c>
      <c r="K62" s="42">
        <v>2</v>
      </c>
      <c r="L62" s="61">
        <v>0</v>
      </c>
      <c r="M62" s="3">
        <f t="shared" si="2"/>
        <v>0</v>
      </c>
      <c r="N62" s="7" t="s">
        <v>211</v>
      </c>
      <c r="O62" s="8">
        <v>100000000</v>
      </c>
      <c r="P62" s="93"/>
      <c r="Q62" s="93"/>
      <c r="R62" s="93"/>
      <c r="S62" s="92">
        <f>SUM(O62:R62)</f>
        <v>100000000</v>
      </c>
      <c r="T62" s="8"/>
      <c r="U62" s="94"/>
      <c r="V62" s="94"/>
      <c r="W62" s="94"/>
      <c r="X62" s="92">
        <f>SUM(T62:W62)</f>
        <v>0</v>
      </c>
      <c r="Y62" s="24">
        <f>IFERROR(X62/S62,"-")</f>
        <v>0</v>
      </c>
      <c r="Z62" s="23"/>
      <c r="AA62" s="9" t="s">
        <v>171</v>
      </c>
      <c r="AB62" s="9" t="s">
        <v>186</v>
      </c>
    </row>
    <row r="63" spans="1:28" ht="31.2" customHeight="1" x14ac:dyDescent="0.25">
      <c r="A63" s="164" t="s">
        <v>141</v>
      </c>
      <c r="B63" s="164" t="s">
        <v>142</v>
      </c>
      <c r="C63" s="127" t="s">
        <v>143</v>
      </c>
      <c r="D63" s="157" t="s">
        <v>144</v>
      </c>
      <c r="E63" s="119" t="s">
        <v>145</v>
      </c>
      <c r="F63" s="45"/>
      <c r="G63" s="73" t="s">
        <v>237</v>
      </c>
      <c r="H63" s="75"/>
      <c r="I63" s="38"/>
      <c r="J63" s="38"/>
      <c r="K63" s="42"/>
      <c r="L63" s="176">
        <v>0</v>
      </c>
      <c r="M63" s="125">
        <f>IFERROR(IF(L64/K64&gt;100%,100%,L64/K64),"-")</f>
        <v>0</v>
      </c>
      <c r="N63" s="7" t="s">
        <v>210</v>
      </c>
      <c r="O63" s="8">
        <v>100000000</v>
      </c>
      <c r="P63" s="93"/>
      <c r="Q63" s="93"/>
      <c r="R63" s="93"/>
      <c r="S63" s="113">
        <f>SUM(O63:R64)</f>
        <v>140000000.66</v>
      </c>
      <c r="T63" s="8"/>
      <c r="U63" s="94"/>
      <c r="V63" s="94"/>
      <c r="W63" s="94"/>
      <c r="X63" s="113">
        <f>SUM(T63:W64)</f>
        <v>0</v>
      </c>
      <c r="Y63" s="115">
        <f t="shared" ref="Y63" si="12">IFERROR(X63/S63,"-")</f>
        <v>0</v>
      </c>
      <c r="Z63" s="109"/>
      <c r="AA63" s="111" t="s">
        <v>171</v>
      </c>
      <c r="AB63" s="111" t="s">
        <v>186</v>
      </c>
    </row>
    <row r="64" spans="1:28" ht="43.95" customHeight="1" x14ac:dyDescent="0.25">
      <c r="A64" s="165"/>
      <c r="B64" s="165"/>
      <c r="C64" s="128"/>
      <c r="D64" s="158"/>
      <c r="E64" s="120"/>
      <c r="F64" s="135">
        <v>20200680010123</v>
      </c>
      <c r="G64" s="151" t="s">
        <v>180</v>
      </c>
      <c r="H64" s="148" t="s">
        <v>194</v>
      </c>
      <c r="I64" s="38">
        <v>44197</v>
      </c>
      <c r="J64" s="38">
        <v>44561</v>
      </c>
      <c r="K64" s="42">
        <v>50</v>
      </c>
      <c r="L64" s="177"/>
      <c r="M64" s="126"/>
      <c r="N64" s="7" t="s">
        <v>210</v>
      </c>
      <c r="O64" s="8">
        <f>40000000.66</f>
        <v>40000000.659999996</v>
      </c>
      <c r="P64" s="93"/>
      <c r="Q64" s="93"/>
      <c r="R64" s="93"/>
      <c r="S64" s="114"/>
      <c r="T64" s="8"/>
      <c r="U64" s="94"/>
      <c r="V64" s="94"/>
      <c r="W64" s="94"/>
      <c r="X64" s="114"/>
      <c r="Y64" s="116"/>
      <c r="Z64" s="110"/>
      <c r="AA64" s="112"/>
      <c r="AB64" s="112"/>
    </row>
    <row r="65" spans="1:28" ht="67.95" customHeight="1" x14ac:dyDescent="0.25">
      <c r="A65" s="41" t="s">
        <v>141</v>
      </c>
      <c r="B65" s="41" t="s">
        <v>142</v>
      </c>
      <c r="C65" s="90" t="s">
        <v>143</v>
      </c>
      <c r="D65" s="55" t="s">
        <v>148</v>
      </c>
      <c r="E65" s="2" t="s">
        <v>149</v>
      </c>
      <c r="F65" s="136"/>
      <c r="G65" s="152"/>
      <c r="H65" s="149"/>
      <c r="I65" s="38">
        <v>44197</v>
      </c>
      <c r="J65" s="38">
        <v>44561</v>
      </c>
      <c r="K65" s="42">
        <v>3</v>
      </c>
      <c r="L65" s="61">
        <v>0</v>
      </c>
      <c r="M65" s="3">
        <f t="shared" si="2"/>
        <v>0</v>
      </c>
      <c r="N65" s="7" t="s">
        <v>212</v>
      </c>
      <c r="O65" s="8">
        <v>59839539</v>
      </c>
      <c r="P65" s="93"/>
      <c r="Q65" s="93"/>
      <c r="R65" s="93"/>
      <c r="S65" s="92">
        <f>SUM(O65:R65)</f>
        <v>59839539</v>
      </c>
      <c r="T65" s="8"/>
      <c r="U65" s="94"/>
      <c r="V65" s="94"/>
      <c r="W65" s="94"/>
      <c r="X65" s="92">
        <f>SUM(T65:W65)</f>
        <v>0</v>
      </c>
      <c r="Y65" s="24">
        <f>IFERROR(X65/S65,"-")</f>
        <v>0</v>
      </c>
      <c r="Z65" s="23"/>
      <c r="AA65" s="9" t="s">
        <v>171</v>
      </c>
      <c r="AB65" s="9" t="s">
        <v>186</v>
      </c>
    </row>
    <row r="66" spans="1:28" ht="43.8" customHeight="1" x14ac:dyDescent="0.25">
      <c r="A66" s="41" t="s">
        <v>141</v>
      </c>
      <c r="B66" s="41" t="s">
        <v>142</v>
      </c>
      <c r="C66" s="90" t="s">
        <v>143</v>
      </c>
      <c r="D66" s="55" t="s">
        <v>150</v>
      </c>
      <c r="E66" s="2" t="s">
        <v>151</v>
      </c>
      <c r="F66" s="136"/>
      <c r="G66" s="152"/>
      <c r="H66" s="149"/>
      <c r="I66" s="38">
        <v>44197</v>
      </c>
      <c r="J66" s="38">
        <v>44561</v>
      </c>
      <c r="K66" s="42">
        <v>4</v>
      </c>
      <c r="L66" s="59">
        <v>4</v>
      </c>
      <c r="M66" s="3">
        <f t="shared" si="2"/>
        <v>1</v>
      </c>
      <c r="N66" s="7" t="s">
        <v>212</v>
      </c>
      <c r="O66" s="8">
        <v>100000000</v>
      </c>
      <c r="P66" s="93"/>
      <c r="Q66" s="93"/>
      <c r="R66" s="93"/>
      <c r="S66" s="92">
        <f>SUM(O66:R66)</f>
        <v>100000000</v>
      </c>
      <c r="T66" s="8">
        <f>32000000+32000000</f>
        <v>64000000</v>
      </c>
      <c r="U66" s="94"/>
      <c r="V66" s="94"/>
      <c r="W66" s="94"/>
      <c r="X66" s="92">
        <f>SUM(T66:W66)</f>
        <v>64000000</v>
      </c>
      <c r="Y66" s="24">
        <f>IFERROR(X66/S66,"-")</f>
        <v>0.64</v>
      </c>
      <c r="Z66" s="23"/>
      <c r="AA66" s="9" t="s">
        <v>171</v>
      </c>
      <c r="AB66" s="9" t="s">
        <v>186</v>
      </c>
    </row>
    <row r="67" spans="1:28" ht="40.200000000000003" customHeight="1" x14ac:dyDescent="0.25">
      <c r="A67" s="41" t="s">
        <v>141</v>
      </c>
      <c r="B67" s="41" t="s">
        <v>142</v>
      </c>
      <c r="C67" s="90" t="s">
        <v>143</v>
      </c>
      <c r="D67" s="55" t="s">
        <v>152</v>
      </c>
      <c r="E67" s="2" t="s">
        <v>153</v>
      </c>
      <c r="F67" s="136"/>
      <c r="G67" s="152"/>
      <c r="H67" s="149"/>
      <c r="I67" s="38">
        <v>44197</v>
      </c>
      <c r="J67" s="38">
        <v>44561</v>
      </c>
      <c r="K67" s="42">
        <v>1</v>
      </c>
      <c r="L67" s="61">
        <v>0.5</v>
      </c>
      <c r="M67" s="3">
        <f t="shared" si="2"/>
        <v>0.5</v>
      </c>
      <c r="N67" s="7" t="s">
        <v>212</v>
      </c>
      <c r="O67" s="8">
        <v>30000000</v>
      </c>
      <c r="P67" s="93"/>
      <c r="Q67" s="93"/>
      <c r="R67" s="93"/>
      <c r="S67" s="92">
        <f>SUM(O67:R67)</f>
        <v>30000000</v>
      </c>
      <c r="T67" s="8">
        <v>24000000</v>
      </c>
      <c r="U67" s="94"/>
      <c r="V67" s="94"/>
      <c r="W67" s="94"/>
      <c r="X67" s="92">
        <f>SUM(T67:W67)</f>
        <v>24000000</v>
      </c>
      <c r="Y67" s="24">
        <f>IFERROR(X67/S67,"-")</f>
        <v>0.8</v>
      </c>
      <c r="Z67" s="23"/>
      <c r="AA67" s="9" t="s">
        <v>171</v>
      </c>
      <c r="AB67" s="9" t="s">
        <v>186</v>
      </c>
    </row>
    <row r="68" spans="1:28" ht="50.4" customHeight="1" x14ac:dyDescent="0.25">
      <c r="A68" s="164" t="s">
        <v>141</v>
      </c>
      <c r="B68" s="164" t="s">
        <v>142</v>
      </c>
      <c r="C68" s="127" t="s">
        <v>143</v>
      </c>
      <c r="D68" s="157" t="s">
        <v>154</v>
      </c>
      <c r="E68" s="119" t="s">
        <v>155</v>
      </c>
      <c r="F68" s="137"/>
      <c r="G68" s="153"/>
      <c r="H68" s="150"/>
      <c r="I68" s="38">
        <v>44197</v>
      </c>
      <c r="J68" s="38">
        <v>44561</v>
      </c>
      <c r="K68" s="129">
        <v>6</v>
      </c>
      <c r="L68" s="176">
        <v>0</v>
      </c>
      <c r="M68" s="125">
        <f t="shared" si="2"/>
        <v>0</v>
      </c>
      <c r="N68" s="7"/>
      <c r="O68" s="8"/>
      <c r="P68" s="93"/>
      <c r="Q68" s="93"/>
      <c r="R68" s="93"/>
      <c r="S68" s="113">
        <f>SUM(O68:R69)</f>
        <v>150160461</v>
      </c>
      <c r="T68" s="8"/>
      <c r="U68" s="94"/>
      <c r="V68" s="94"/>
      <c r="W68" s="94"/>
      <c r="X68" s="113">
        <f>SUM(T68:W69)</f>
        <v>0</v>
      </c>
      <c r="Y68" s="115">
        <f>IFERROR(X68/S68,"-")</f>
        <v>0</v>
      </c>
      <c r="Z68" s="109"/>
      <c r="AA68" s="111" t="s">
        <v>171</v>
      </c>
      <c r="AB68" s="111" t="s">
        <v>186</v>
      </c>
    </row>
    <row r="69" spans="1:28" ht="45.6" customHeight="1" x14ac:dyDescent="0.25">
      <c r="A69" s="165"/>
      <c r="B69" s="165"/>
      <c r="C69" s="128"/>
      <c r="D69" s="158"/>
      <c r="E69" s="120"/>
      <c r="F69" s="71"/>
      <c r="G69" s="73" t="s">
        <v>237</v>
      </c>
      <c r="H69" s="70"/>
      <c r="I69" s="38"/>
      <c r="J69" s="38"/>
      <c r="K69" s="130"/>
      <c r="L69" s="177"/>
      <c r="M69" s="126"/>
      <c r="N69" s="7" t="s">
        <v>242</v>
      </c>
      <c r="O69" s="8">
        <f>90000000+30000000+30000000+160461</f>
        <v>150160461</v>
      </c>
      <c r="P69" s="93"/>
      <c r="Q69" s="93"/>
      <c r="R69" s="93"/>
      <c r="S69" s="114"/>
      <c r="T69" s="8"/>
      <c r="U69" s="94"/>
      <c r="V69" s="94"/>
      <c r="W69" s="94"/>
      <c r="X69" s="114"/>
      <c r="Y69" s="116"/>
      <c r="Z69" s="110"/>
      <c r="AA69" s="112"/>
      <c r="AB69" s="112"/>
    </row>
    <row r="70" spans="1:28" ht="94.95" customHeight="1" x14ac:dyDescent="0.25">
      <c r="A70" s="41" t="s">
        <v>160</v>
      </c>
      <c r="B70" s="41" t="s">
        <v>161</v>
      </c>
      <c r="C70" s="90" t="s">
        <v>162</v>
      </c>
      <c r="D70" s="55" t="s">
        <v>163</v>
      </c>
      <c r="E70" s="2" t="s">
        <v>164</v>
      </c>
      <c r="F70" s="135">
        <v>20200680010063</v>
      </c>
      <c r="G70" s="151" t="s">
        <v>174</v>
      </c>
      <c r="H70" s="144" t="s">
        <v>189</v>
      </c>
      <c r="I70" s="38">
        <v>44197</v>
      </c>
      <c r="J70" s="38">
        <v>44561</v>
      </c>
      <c r="K70" s="42">
        <v>1</v>
      </c>
      <c r="L70" s="59">
        <v>1</v>
      </c>
      <c r="M70" s="3">
        <f t="shared" si="2"/>
        <v>1</v>
      </c>
      <c r="N70" s="7" t="s">
        <v>213</v>
      </c>
      <c r="O70" s="8">
        <v>331000000</v>
      </c>
      <c r="P70" s="93"/>
      <c r="Q70" s="93"/>
      <c r="R70" s="93"/>
      <c r="S70" s="92">
        <f>SUM(O70:R70)</f>
        <v>331000000</v>
      </c>
      <c r="T70" s="8">
        <f>164067.77+45667.77+213600000+27200000+46667.77</f>
        <v>241056403.31</v>
      </c>
      <c r="U70" s="94"/>
      <c r="V70" s="94"/>
      <c r="W70" s="94"/>
      <c r="X70" s="92">
        <f>SUM(T70:W70)</f>
        <v>241056403.31</v>
      </c>
      <c r="Y70" s="24">
        <f>IFERROR(X70/S70,"-")</f>
        <v>0.72826707948640479</v>
      </c>
      <c r="Z70" s="23"/>
      <c r="AA70" s="9" t="s">
        <v>171</v>
      </c>
      <c r="AB70" s="9" t="s">
        <v>186</v>
      </c>
    </row>
    <row r="71" spans="1:28" ht="88.95" customHeight="1" x14ac:dyDescent="0.25">
      <c r="A71" s="41" t="s">
        <v>160</v>
      </c>
      <c r="B71" s="41" t="s">
        <v>161</v>
      </c>
      <c r="C71" s="90" t="s">
        <v>162</v>
      </c>
      <c r="D71" s="55" t="s">
        <v>169</v>
      </c>
      <c r="E71" s="2" t="s">
        <v>170</v>
      </c>
      <c r="F71" s="136"/>
      <c r="G71" s="152"/>
      <c r="H71" s="145"/>
      <c r="I71" s="38">
        <v>44197</v>
      </c>
      <c r="J71" s="38">
        <v>44561</v>
      </c>
      <c r="K71" s="43">
        <v>1</v>
      </c>
      <c r="L71" s="63">
        <v>1</v>
      </c>
      <c r="M71" s="3">
        <f t="shared" si="2"/>
        <v>1</v>
      </c>
      <c r="N71" s="7" t="s">
        <v>213</v>
      </c>
      <c r="O71" s="8">
        <f>440000000-144000000</f>
        <v>296000000</v>
      </c>
      <c r="P71" s="93"/>
      <c r="Q71" s="93"/>
      <c r="R71" s="11"/>
      <c r="S71" s="92">
        <f>SUM(O71:R71)</f>
        <v>296000000</v>
      </c>
      <c r="T71" s="8">
        <f>14208000+14208000+14253667.77+14208000</f>
        <v>56877667.769999996</v>
      </c>
      <c r="U71" s="94"/>
      <c r="V71" s="94"/>
      <c r="W71" s="66"/>
      <c r="X71" s="92">
        <f>SUM(T71:W71)</f>
        <v>56877667.769999996</v>
      </c>
      <c r="Y71" s="24">
        <f>IFERROR(X71/S71,"-")</f>
        <v>0.19215428300675674</v>
      </c>
      <c r="Z71" s="23"/>
      <c r="AA71" s="9" t="s">
        <v>171</v>
      </c>
      <c r="AB71" s="9" t="s">
        <v>186</v>
      </c>
    </row>
    <row r="72" spans="1:28" ht="54" customHeight="1" x14ac:dyDescent="0.25">
      <c r="A72" s="164" t="s">
        <v>160</v>
      </c>
      <c r="B72" s="164" t="s">
        <v>161</v>
      </c>
      <c r="C72" s="127" t="s">
        <v>162</v>
      </c>
      <c r="D72" s="121" t="s">
        <v>167</v>
      </c>
      <c r="E72" s="119" t="s">
        <v>168</v>
      </c>
      <c r="F72" s="137"/>
      <c r="G72" s="153"/>
      <c r="H72" s="69"/>
      <c r="I72" s="38">
        <v>44197</v>
      </c>
      <c r="J72" s="38">
        <v>44561</v>
      </c>
      <c r="K72" s="133">
        <v>1</v>
      </c>
      <c r="L72" s="131">
        <v>0.3</v>
      </c>
      <c r="M72" s="125">
        <f t="shared" ref="M72" si="13">IFERROR(IF(L72/K72&gt;100%,100%,L72/K72),"-")</f>
        <v>0.3</v>
      </c>
      <c r="N72" s="7" t="s">
        <v>213</v>
      </c>
      <c r="O72" s="8">
        <v>113501549</v>
      </c>
      <c r="P72" s="8"/>
      <c r="Q72" s="93"/>
      <c r="R72" s="93"/>
      <c r="S72" s="113">
        <f>SUM(O72:R73)</f>
        <v>373000000</v>
      </c>
      <c r="T72" s="8">
        <v>144000000</v>
      </c>
      <c r="U72" s="8"/>
      <c r="V72" s="94"/>
      <c r="W72" s="94"/>
      <c r="X72" s="113">
        <f>SUM(T72:W73)</f>
        <v>144000000</v>
      </c>
      <c r="Y72" s="115">
        <f>IFERROR(X72/S72,"-")</f>
        <v>0.38605898123324395</v>
      </c>
      <c r="Z72" s="109"/>
      <c r="AA72" s="111" t="s">
        <v>171</v>
      </c>
      <c r="AB72" s="111" t="s">
        <v>186</v>
      </c>
    </row>
    <row r="73" spans="1:28" ht="53.4" customHeight="1" x14ac:dyDescent="0.25">
      <c r="A73" s="165"/>
      <c r="B73" s="165"/>
      <c r="C73" s="128"/>
      <c r="D73" s="122"/>
      <c r="E73" s="120"/>
      <c r="F73" s="67"/>
      <c r="G73" s="68" t="s">
        <v>223</v>
      </c>
      <c r="H73" s="69"/>
      <c r="I73" s="38"/>
      <c r="J73" s="38"/>
      <c r="K73" s="134"/>
      <c r="L73" s="132"/>
      <c r="M73" s="126"/>
      <c r="N73" s="7" t="s">
        <v>241</v>
      </c>
      <c r="O73" s="8">
        <f>30498451+229000000</f>
        <v>259498451</v>
      </c>
      <c r="P73" s="8"/>
      <c r="Q73" s="93"/>
      <c r="R73" s="93"/>
      <c r="S73" s="114"/>
      <c r="T73" s="8"/>
      <c r="U73" s="8"/>
      <c r="V73" s="94"/>
      <c r="W73" s="94"/>
      <c r="X73" s="114"/>
      <c r="Y73" s="116"/>
      <c r="Z73" s="110"/>
      <c r="AA73" s="112"/>
      <c r="AB73" s="112"/>
    </row>
    <row r="74" spans="1:28" ht="106.2" customHeight="1" x14ac:dyDescent="0.25">
      <c r="A74" s="41" t="s">
        <v>160</v>
      </c>
      <c r="B74" s="41" t="s">
        <v>161</v>
      </c>
      <c r="C74" s="90" t="s">
        <v>162</v>
      </c>
      <c r="D74" s="55" t="s">
        <v>165</v>
      </c>
      <c r="E74" s="2" t="s">
        <v>166</v>
      </c>
      <c r="F74" s="44"/>
      <c r="G74" s="57" t="s">
        <v>198</v>
      </c>
      <c r="H74" s="7"/>
      <c r="I74" s="38">
        <v>44197</v>
      </c>
      <c r="J74" s="38">
        <v>44561</v>
      </c>
      <c r="K74" s="42">
        <v>2</v>
      </c>
      <c r="L74" s="61">
        <v>0</v>
      </c>
      <c r="M74" s="3">
        <f t="shared" si="2"/>
        <v>0</v>
      </c>
      <c r="N74" s="7"/>
      <c r="O74" s="8">
        <v>0</v>
      </c>
      <c r="P74" s="93"/>
      <c r="Q74" s="93"/>
      <c r="R74" s="93"/>
      <c r="S74" s="92">
        <f>SUM(O74:R74)</f>
        <v>0</v>
      </c>
      <c r="T74" s="8">
        <v>0</v>
      </c>
      <c r="U74" s="94"/>
      <c r="V74" s="94"/>
      <c r="W74" s="94"/>
      <c r="X74" s="92">
        <f>SUM(T74:W74)</f>
        <v>0</v>
      </c>
      <c r="Y74" s="24" t="str">
        <f>IFERROR(X74/S74,"-")</f>
        <v>-</v>
      </c>
      <c r="Z74" s="23"/>
      <c r="AA74" s="9" t="s">
        <v>171</v>
      </c>
      <c r="AB74" s="9" t="s">
        <v>186</v>
      </c>
    </row>
    <row r="75" spans="1:28" ht="115.8" customHeight="1" x14ac:dyDescent="0.25">
      <c r="A75" s="138" t="s">
        <v>160</v>
      </c>
      <c r="B75" s="138" t="s">
        <v>181</v>
      </c>
      <c r="C75" s="138" t="s">
        <v>182</v>
      </c>
      <c r="D75" s="139" t="s">
        <v>183</v>
      </c>
      <c r="E75" s="140" t="s">
        <v>184</v>
      </c>
      <c r="F75" s="78">
        <v>20200680010025</v>
      </c>
      <c r="G75" s="79" t="s">
        <v>172</v>
      </c>
      <c r="H75" s="48" t="s">
        <v>185</v>
      </c>
      <c r="I75" s="47">
        <v>44197</v>
      </c>
      <c r="J75" s="47">
        <v>44561</v>
      </c>
      <c r="K75" s="133">
        <v>1</v>
      </c>
      <c r="L75" s="131">
        <v>1</v>
      </c>
      <c r="M75" s="125">
        <f t="shared" si="2"/>
        <v>1</v>
      </c>
      <c r="N75" s="7" t="s">
        <v>231</v>
      </c>
      <c r="O75" s="8">
        <f>300000000+440000000</f>
        <v>740000000</v>
      </c>
      <c r="P75" s="93"/>
      <c r="Q75" s="93"/>
      <c r="R75" s="11"/>
      <c r="S75" s="113">
        <f>SUM(O75:R76)</f>
        <v>782000000</v>
      </c>
      <c r="T75" s="8">
        <f>466400000+64000000</f>
        <v>530400000</v>
      </c>
      <c r="U75" s="94"/>
      <c r="V75" s="94"/>
      <c r="W75" s="66"/>
      <c r="X75" s="113">
        <f>SUM(T75:W76)</f>
        <v>554400000</v>
      </c>
      <c r="Y75" s="115">
        <f>IFERROR(X75/S75,"-")</f>
        <v>0.70895140664961642</v>
      </c>
      <c r="Z75" s="109"/>
      <c r="AA75" s="111" t="s">
        <v>171</v>
      </c>
      <c r="AB75" s="111" t="s">
        <v>186</v>
      </c>
    </row>
    <row r="76" spans="1:28" ht="28.95" customHeight="1" x14ac:dyDescent="0.25">
      <c r="A76" s="138"/>
      <c r="B76" s="138"/>
      <c r="C76" s="138"/>
      <c r="D76" s="139"/>
      <c r="E76" s="140"/>
      <c r="F76" s="78"/>
      <c r="G76" s="46" t="s">
        <v>223</v>
      </c>
      <c r="H76" s="48"/>
      <c r="I76" s="47"/>
      <c r="J76" s="47"/>
      <c r="K76" s="134"/>
      <c r="L76" s="132"/>
      <c r="M76" s="126"/>
      <c r="N76" s="7" t="s">
        <v>224</v>
      </c>
      <c r="O76" s="8">
        <v>42000000</v>
      </c>
      <c r="P76" s="93"/>
      <c r="Q76" s="93"/>
      <c r="R76" s="11"/>
      <c r="S76" s="114"/>
      <c r="T76" s="8">
        <v>24000000</v>
      </c>
      <c r="U76" s="94"/>
      <c r="V76" s="94"/>
      <c r="W76" s="66"/>
      <c r="X76" s="114"/>
      <c r="Y76" s="116"/>
      <c r="Z76" s="110"/>
      <c r="AA76" s="112"/>
      <c r="AB76" s="112"/>
    </row>
    <row r="77" spans="1:28" ht="27.75" customHeight="1" x14ac:dyDescent="0.25">
      <c r="A77" s="28"/>
      <c r="B77" s="29"/>
      <c r="C77" s="29"/>
      <c r="D77" s="29"/>
      <c r="E77" s="35"/>
      <c r="F77" s="29"/>
      <c r="G77" s="29"/>
      <c r="H77" s="40"/>
      <c r="I77" s="29"/>
      <c r="J77" s="29"/>
      <c r="K77" s="30"/>
      <c r="L77" s="39" t="s">
        <v>19</v>
      </c>
      <c r="M77" s="25">
        <f>AVERAGE(M6:M76)</f>
        <v>0.49670309265138923</v>
      </c>
      <c r="N77" s="26"/>
      <c r="O77" s="89">
        <f t="shared" ref="O77:R77" si="14">SUM(O6:O76)</f>
        <v>11092776760</v>
      </c>
      <c r="P77" s="89">
        <f t="shared" si="14"/>
        <v>2000000000</v>
      </c>
      <c r="Q77" s="89">
        <f t="shared" si="14"/>
        <v>0</v>
      </c>
      <c r="R77" s="89">
        <f t="shared" si="14"/>
        <v>2540652590</v>
      </c>
      <c r="S77" s="27">
        <f t="shared" ref="S77:X77" si="15">SUM(S6:S76)</f>
        <v>15633429350</v>
      </c>
      <c r="T77" s="89">
        <f t="shared" si="15"/>
        <v>6098128881.8800011</v>
      </c>
      <c r="U77" s="89">
        <f t="shared" si="15"/>
        <v>60000000</v>
      </c>
      <c r="V77" s="89">
        <f t="shared" si="15"/>
        <v>0</v>
      </c>
      <c r="W77" s="89">
        <f t="shared" si="15"/>
        <v>1661510016</v>
      </c>
      <c r="X77" s="27">
        <f>SUM(X6:X76)</f>
        <v>7819638897.8800011</v>
      </c>
      <c r="Y77" s="31">
        <f>IFERROR(X77/S77,"-")</f>
        <v>0.50018704935523317</v>
      </c>
      <c r="Z77" s="27">
        <f>SUM(Z6:Z76)</f>
        <v>91496000</v>
      </c>
      <c r="AA77" s="32"/>
      <c r="AB77" s="33"/>
    </row>
    <row r="78" spans="1:28" s="14" customFormat="1" x14ac:dyDescent="0.25">
      <c r="A78" s="15"/>
      <c r="B78" s="16"/>
      <c r="C78" s="16"/>
      <c r="D78" s="16"/>
      <c r="E78" s="16"/>
      <c r="G78" s="17"/>
      <c r="H78" s="17"/>
      <c r="I78" s="17"/>
      <c r="J78" s="17"/>
      <c r="K78" s="17"/>
      <c r="L78" s="18"/>
      <c r="M78" s="18"/>
      <c r="N78" s="17"/>
      <c r="S78"/>
      <c r="X78" s="64"/>
    </row>
    <row r="79" spans="1:28" s="14" customFormat="1" ht="17.399999999999999" x14ac:dyDescent="0.3">
      <c r="A79" s="15"/>
      <c r="B79" s="16"/>
      <c r="C79" s="16"/>
      <c r="D79" s="16"/>
      <c r="E79" s="16"/>
      <c r="G79" s="17"/>
      <c r="H79" s="17"/>
      <c r="I79" s="17"/>
      <c r="J79" s="17"/>
      <c r="K79" s="17"/>
      <c r="L79" s="18"/>
      <c r="M79" s="18"/>
      <c r="N79" s="17"/>
      <c r="O79"/>
      <c r="P79"/>
      <c r="Q79"/>
      <c r="R79"/>
      <c r="S79" s="84"/>
      <c r="T79"/>
      <c r="X79" s="64"/>
    </row>
    <row r="80" spans="1:28" s="14" customFormat="1" x14ac:dyDescent="0.25">
      <c r="A80" s="15"/>
      <c r="B80" s="16"/>
      <c r="C80" s="16"/>
      <c r="D80" s="16"/>
      <c r="G80" s="17"/>
      <c r="H80" s="17"/>
      <c r="I80" s="17"/>
      <c r="J80" s="17"/>
      <c r="K80" s="17"/>
      <c r="L80" s="18"/>
      <c r="M80" s="18"/>
      <c r="N80" s="17"/>
      <c r="O80"/>
      <c r="P80"/>
      <c r="Q80"/>
      <c r="R80"/>
      <c r="S80" s="81"/>
      <c r="T80"/>
      <c r="X80" s="86"/>
    </row>
    <row r="81" spans="1:24" s="14" customFormat="1" x14ac:dyDescent="0.25">
      <c r="A81" s="15"/>
      <c r="B81" s="16"/>
      <c r="C81" s="16"/>
      <c r="D81" s="16"/>
      <c r="G81" s="17"/>
      <c r="H81" s="17"/>
      <c r="I81" s="17"/>
      <c r="J81" s="17"/>
      <c r="K81" s="17"/>
      <c r="L81" s="18"/>
      <c r="M81" s="18"/>
      <c r="N81" s="17"/>
      <c r="O81"/>
      <c r="P81"/>
      <c r="Q81"/>
      <c r="R81"/>
      <c r="S81"/>
      <c r="T81"/>
      <c r="X81" s="87"/>
    </row>
    <row r="82" spans="1:24" s="14" customFormat="1" x14ac:dyDescent="0.25">
      <c r="A82" s="15"/>
      <c r="B82" s="16"/>
      <c r="C82" s="16"/>
      <c r="D82" s="16"/>
      <c r="G82" s="17"/>
      <c r="H82" s="17"/>
      <c r="I82" s="17"/>
      <c r="J82" s="17"/>
      <c r="K82" s="17"/>
      <c r="L82" s="18"/>
      <c r="M82" s="18"/>
      <c r="N82" s="17"/>
      <c r="O82"/>
      <c r="P82"/>
      <c r="Q82"/>
      <c r="R82"/>
      <c r="S82"/>
      <c r="T82"/>
    </row>
    <row r="83" spans="1:24" s="14" customFormat="1" x14ac:dyDescent="0.25">
      <c r="A83" s="15"/>
      <c r="B83" s="16"/>
      <c r="C83" s="16"/>
      <c r="D83" s="16"/>
      <c r="G83" s="17"/>
      <c r="H83" s="17"/>
      <c r="I83" s="17"/>
      <c r="J83" s="17"/>
      <c r="K83" s="17"/>
      <c r="L83" s="18"/>
      <c r="M83" s="18"/>
      <c r="N83" s="17"/>
      <c r="O83"/>
      <c r="P83"/>
      <c r="Q83"/>
      <c r="R83"/>
      <c r="S83"/>
      <c r="T83"/>
    </row>
    <row r="84" spans="1:24" s="14" customFormat="1" x14ac:dyDescent="0.25">
      <c r="A84" s="15"/>
      <c r="B84" s="16"/>
      <c r="C84" s="16"/>
      <c r="D84" s="16"/>
      <c r="E84" s="16"/>
      <c r="G84" s="17"/>
      <c r="H84" s="17"/>
      <c r="I84" s="17"/>
      <c r="J84" s="17"/>
      <c r="K84" s="17"/>
      <c r="L84" s="18"/>
      <c r="M84" s="18"/>
      <c r="N84" s="17"/>
      <c r="O84"/>
      <c r="P84"/>
      <c r="Q84"/>
      <c r="R84"/>
      <c r="S84"/>
      <c r="T84"/>
    </row>
    <row r="85" spans="1:24" s="14" customFormat="1" x14ac:dyDescent="0.25">
      <c r="A85" s="13"/>
      <c r="O85"/>
      <c r="P85"/>
      <c r="Q85"/>
      <c r="R85"/>
      <c r="S85"/>
      <c r="T85"/>
    </row>
    <row r="86" spans="1:24" s="14" customFormat="1" x14ac:dyDescent="0.25">
      <c r="A86" s="13"/>
      <c r="O86"/>
      <c r="P86"/>
      <c r="Q86"/>
      <c r="R86"/>
      <c r="S86"/>
      <c r="T86"/>
    </row>
    <row r="87" spans="1:24" s="14" customFormat="1" x14ac:dyDescent="0.25">
      <c r="A87" s="13"/>
      <c r="O87"/>
      <c r="P87"/>
      <c r="Q87"/>
      <c r="R87"/>
      <c r="S87"/>
      <c r="T87"/>
    </row>
    <row r="88" spans="1:24" s="14" customFormat="1" x14ac:dyDescent="0.25">
      <c r="A88" s="15"/>
      <c r="B88" s="16"/>
      <c r="C88" s="16"/>
      <c r="D88" s="16"/>
      <c r="E88" s="16"/>
      <c r="G88" s="17"/>
      <c r="H88" s="17"/>
      <c r="I88" s="17"/>
      <c r="J88" s="17"/>
      <c r="K88" s="17"/>
      <c r="L88" s="19"/>
      <c r="M88" s="19"/>
      <c r="N88" s="17"/>
      <c r="O88"/>
      <c r="P88"/>
      <c r="Q88"/>
      <c r="R88"/>
      <c r="S88"/>
      <c r="T88"/>
    </row>
    <row r="89" spans="1:24" s="14" customFormat="1" x14ac:dyDescent="0.25">
      <c r="A89" s="13"/>
      <c r="O89"/>
      <c r="P89"/>
      <c r="Q89"/>
      <c r="R89"/>
      <c r="S89"/>
      <c r="T89"/>
    </row>
    <row r="90" spans="1:24" s="14" customFormat="1" x14ac:dyDescent="0.25">
      <c r="A90" s="13"/>
      <c r="O90"/>
      <c r="P90"/>
      <c r="Q90"/>
      <c r="R90"/>
      <c r="S90"/>
      <c r="T90"/>
    </row>
    <row r="91" spans="1:24" s="14" customFormat="1" x14ac:dyDescent="0.25">
      <c r="A91" s="13"/>
      <c r="O91"/>
      <c r="P91"/>
      <c r="Q91"/>
      <c r="R91"/>
      <c r="S91"/>
      <c r="T91"/>
    </row>
    <row r="92" spans="1:24" x14ac:dyDescent="0.25">
      <c r="O92"/>
      <c r="P92"/>
      <c r="Q92"/>
      <c r="R92"/>
      <c r="S92"/>
      <c r="T92"/>
    </row>
    <row r="93" spans="1:24" x14ac:dyDescent="0.25">
      <c r="O93"/>
      <c r="P93"/>
      <c r="Q93"/>
      <c r="R93"/>
      <c r="S93"/>
      <c r="T93"/>
    </row>
    <row r="94" spans="1:24" x14ac:dyDescent="0.25">
      <c r="O94"/>
      <c r="P94"/>
      <c r="Q94"/>
      <c r="R94"/>
      <c r="S94"/>
      <c r="T94"/>
    </row>
    <row r="95" spans="1:24" x14ac:dyDescent="0.25">
      <c r="O95"/>
      <c r="P95"/>
      <c r="Q95"/>
      <c r="R95"/>
      <c r="S95"/>
      <c r="T95"/>
    </row>
    <row r="96" spans="1:24" x14ac:dyDescent="0.25">
      <c r="O96"/>
      <c r="P96"/>
      <c r="Q96"/>
      <c r="R96"/>
      <c r="S96"/>
      <c r="T96"/>
    </row>
    <row r="97" spans="15:18" x14ac:dyDescent="0.25">
      <c r="O97" s="65"/>
      <c r="P97" s="65"/>
      <c r="Q97" s="65"/>
      <c r="R97" s="65"/>
    </row>
    <row r="98" spans="15:18" x14ac:dyDescent="0.25">
      <c r="O98" s="65"/>
      <c r="P98" s="65"/>
      <c r="Q98" s="65"/>
      <c r="R98" s="65"/>
    </row>
    <row r="99" spans="15:18" x14ac:dyDescent="0.25">
      <c r="O99" s="65"/>
      <c r="P99" s="65"/>
      <c r="Q99" s="65"/>
      <c r="R99" s="65"/>
    </row>
    <row r="100" spans="15:18" x14ac:dyDescent="0.25">
      <c r="O100" s="65"/>
      <c r="P100" s="65"/>
      <c r="Q100" s="65"/>
      <c r="R100" s="65"/>
    </row>
    <row r="101" spans="15:18" x14ac:dyDescent="0.25">
      <c r="O101" s="65"/>
      <c r="P101" s="65"/>
      <c r="Q101" s="65"/>
      <c r="R101" s="65"/>
    </row>
    <row r="102" spans="15:18" x14ac:dyDescent="0.25">
      <c r="O102" s="65"/>
      <c r="P102" s="65"/>
      <c r="Q102" s="65"/>
      <c r="R102" s="65"/>
    </row>
    <row r="103" spans="15:18" x14ac:dyDescent="0.25">
      <c r="O103" s="65"/>
      <c r="P103" s="65"/>
      <c r="Q103" s="65"/>
      <c r="R103" s="65"/>
    </row>
  </sheetData>
  <dataConsolidate link="1"/>
  <mergeCells count="158">
    <mergeCell ref="B26:B27"/>
    <mergeCell ref="A26:A27"/>
    <mergeCell ref="B22:B23"/>
    <mergeCell ref="A22:A23"/>
    <mergeCell ref="B56:B57"/>
    <mergeCell ref="A56:A57"/>
    <mergeCell ref="B75:B76"/>
    <mergeCell ref="A75:A76"/>
    <mergeCell ref="B72:B73"/>
    <mergeCell ref="A72:A73"/>
    <mergeCell ref="B68:B69"/>
    <mergeCell ref="A68:A69"/>
    <mergeCell ref="B63:B64"/>
    <mergeCell ref="A63:A64"/>
    <mergeCell ref="B51:B52"/>
    <mergeCell ref="A51:A52"/>
    <mergeCell ref="AA56:AA57"/>
    <mergeCell ref="AB56:AB57"/>
    <mergeCell ref="K68:K69"/>
    <mergeCell ref="Y68:Y69"/>
    <mergeCell ref="X68:X69"/>
    <mergeCell ref="S68:S69"/>
    <mergeCell ref="M68:M69"/>
    <mergeCell ref="L68:L69"/>
    <mergeCell ref="Z63:Z64"/>
    <mergeCell ref="AA63:AA64"/>
    <mergeCell ref="AB63:AB64"/>
    <mergeCell ref="AB68:AB69"/>
    <mergeCell ref="AA68:AA69"/>
    <mergeCell ref="Z68:Z69"/>
    <mergeCell ref="M63:M64"/>
    <mergeCell ref="L63:L64"/>
    <mergeCell ref="S63:S64"/>
    <mergeCell ref="X63:X64"/>
    <mergeCell ref="Y63:Y64"/>
    <mergeCell ref="C63:C64"/>
    <mergeCell ref="D63:D64"/>
    <mergeCell ref="E63:E64"/>
    <mergeCell ref="G52:G55"/>
    <mergeCell ref="F52:F55"/>
    <mergeCell ref="L51:L52"/>
    <mergeCell ref="K51:K52"/>
    <mergeCell ref="M51:M52"/>
    <mergeCell ref="S51:S52"/>
    <mergeCell ref="S56:S57"/>
    <mergeCell ref="AA4:AB4"/>
    <mergeCell ref="F4:J4"/>
    <mergeCell ref="K4:M4"/>
    <mergeCell ref="H29:H33"/>
    <mergeCell ref="T4:X4"/>
    <mergeCell ref="Y4:Y5"/>
    <mergeCell ref="S26:S27"/>
    <mergeCell ref="M22:M23"/>
    <mergeCell ref="L22:L23"/>
    <mergeCell ref="K22:K23"/>
    <mergeCell ref="S22:S23"/>
    <mergeCell ref="X22:X23"/>
    <mergeCell ref="Y22:Y23"/>
    <mergeCell ref="F6:F22"/>
    <mergeCell ref="G6:G22"/>
    <mergeCell ref="Z22:Z23"/>
    <mergeCell ref="AA22:AA23"/>
    <mergeCell ref="AB22:AB23"/>
    <mergeCell ref="F1:Q3"/>
    <mergeCell ref="Y1:Z2"/>
    <mergeCell ref="H40:H45"/>
    <mergeCell ref="A34:A35"/>
    <mergeCell ref="E34:E35"/>
    <mergeCell ref="D34:D35"/>
    <mergeCell ref="C34:C35"/>
    <mergeCell ref="B34:B35"/>
    <mergeCell ref="G40:G50"/>
    <mergeCell ref="F40:F50"/>
    <mergeCell ref="Z4:Z5"/>
    <mergeCell ref="G27:G34"/>
    <mergeCell ref="F27:F34"/>
    <mergeCell ref="E26:E27"/>
    <mergeCell ref="H36:H38"/>
    <mergeCell ref="F36:F38"/>
    <mergeCell ref="D22:D23"/>
    <mergeCell ref="E22:E23"/>
    <mergeCell ref="C22:C23"/>
    <mergeCell ref="S34:S35"/>
    <mergeCell ref="X34:X35"/>
    <mergeCell ref="Y34:Y35"/>
    <mergeCell ref="Z34:Z35"/>
    <mergeCell ref="K34:K35"/>
    <mergeCell ref="A4:E4"/>
    <mergeCell ref="N4:S4"/>
    <mergeCell ref="H70:H71"/>
    <mergeCell ref="G36:G38"/>
    <mergeCell ref="H57:H61"/>
    <mergeCell ref="G64:G68"/>
    <mergeCell ref="F64:F68"/>
    <mergeCell ref="H64:H68"/>
    <mergeCell ref="F57:F61"/>
    <mergeCell ref="G57:G61"/>
    <mergeCell ref="G70:G72"/>
    <mergeCell ref="S72:S73"/>
    <mergeCell ref="H52:H55"/>
    <mergeCell ref="C51:C52"/>
    <mergeCell ref="D51:D52"/>
    <mergeCell ref="E51:E52"/>
    <mergeCell ref="C56:C57"/>
    <mergeCell ref="D56:D57"/>
    <mergeCell ref="E56:E57"/>
    <mergeCell ref="L56:L57"/>
    <mergeCell ref="M56:M57"/>
    <mergeCell ref="K56:K57"/>
    <mergeCell ref="C68:C69"/>
    <mergeCell ref="D68:D69"/>
    <mergeCell ref="C72:C73"/>
    <mergeCell ref="M72:M73"/>
    <mergeCell ref="L72:L73"/>
    <mergeCell ref="K72:K73"/>
    <mergeCell ref="F70:F72"/>
    <mergeCell ref="X72:X73"/>
    <mergeCell ref="Y72:Y73"/>
    <mergeCell ref="C75:C76"/>
    <mergeCell ref="D75:D76"/>
    <mergeCell ref="E75:E76"/>
    <mergeCell ref="M75:M76"/>
    <mergeCell ref="L75:L76"/>
    <mergeCell ref="K75:K76"/>
    <mergeCell ref="S75:S76"/>
    <mergeCell ref="C26:C27"/>
    <mergeCell ref="M26:M27"/>
    <mergeCell ref="L26:L27"/>
    <mergeCell ref="K26:K27"/>
    <mergeCell ref="X26:X27"/>
    <mergeCell ref="Y26:Y27"/>
    <mergeCell ref="Z26:Z27"/>
    <mergeCell ref="AA26:AA27"/>
    <mergeCell ref="AB26:AB27"/>
    <mergeCell ref="Z72:Z73"/>
    <mergeCell ref="AA72:AA73"/>
    <mergeCell ref="AB72:AB73"/>
    <mergeCell ref="X75:X76"/>
    <mergeCell ref="Y75:Y76"/>
    <mergeCell ref="Z75:Z76"/>
    <mergeCell ref="AA75:AA76"/>
    <mergeCell ref="AB75:AB76"/>
    <mergeCell ref="D26:D27"/>
    <mergeCell ref="E72:E73"/>
    <mergeCell ref="D72:D73"/>
    <mergeCell ref="E68:E69"/>
    <mergeCell ref="X51:X52"/>
    <mergeCell ref="AA34:AA35"/>
    <mergeCell ref="AB34:AB35"/>
    <mergeCell ref="L34:L35"/>
    <mergeCell ref="M34:M35"/>
    <mergeCell ref="Z51:Z52"/>
    <mergeCell ref="AA51:AA52"/>
    <mergeCell ref="AB51:AB52"/>
    <mergeCell ref="Y51:Y52"/>
    <mergeCell ref="X56:X57"/>
    <mergeCell ref="Y56:Y57"/>
    <mergeCell ref="Z56:Z57"/>
  </mergeCells>
  <conditionalFormatting sqref="M24:M51 M65:M68 M53:M63 M70:M76 M6:M21">
    <cfRule type="cellIs" dxfId="5" priority="20" operator="between">
      <formula>0.67</formula>
      <formula>1</formula>
    </cfRule>
    <cfRule type="cellIs" dxfId="4" priority="21" operator="between">
      <formula>0.33</formula>
      <formula>0.67</formula>
    </cfRule>
    <cfRule type="cellIs" dxfId="3" priority="22" operator="between">
      <formula>0</formula>
      <formula>0.33</formula>
    </cfRule>
  </conditionalFormatting>
  <conditionalFormatting sqref="M22">
    <cfRule type="cellIs" dxfId="2" priority="1" operator="between">
      <formula>0.67</formula>
      <formula>1</formula>
    </cfRule>
    <cfRule type="cellIs" dxfId="1" priority="2" operator="between">
      <formula>0.33</formula>
      <formula>0.67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2021-07-16T14:06:15Z</dcterms:modified>
</cp:coreProperties>
</file>