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02"/>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FINALES POR DEPENDENCIAS\"/>
    </mc:Choice>
  </mc:AlternateContent>
  <xr:revisionPtr revIDLastSave="0" documentId="13_ncr:1_{08D7069E-E897-4C4D-BB38-C4F553307FFE}" xr6:coauthVersionLast="47" xr6:coauthVersionMax="47" xr10:uidLastSave="{00000000-0000-0000-0000-000000000000}"/>
  <bookViews>
    <workbookView xWindow="-120" yWindow="-120" windowWidth="20730" windowHeight="11160" tabRatio="882" firstSheet="2" activeTab="2"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8"/>
  <pivotCaches>
    <pivotCache cacheId="26518"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5" i="1" l="1"/>
  <c r="R75" i="1"/>
  <c r="L75" i="1"/>
  <c r="U74" i="1"/>
  <c r="R74" i="1"/>
  <c r="AC75" i="1" s="1"/>
  <c r="AB75" i="1" s="1"/>
  <c r="L74" i="1"/>
  <c r="AC73" i="1"/>
  <c r="AB73" i="1" s="1"/>
  <c r="U73" i="1"/>
  <c r="R73" i="1"/>
  <c r="L73" i="1"/>
  <c r="U72" i="1"/>
  <c r="R72" i="1"/>
  <c r="Y73" i="1" s="1"/>
  <c r="AA73" i="1" s="1"/>
  <c r="L72" i="1"/>
  <c r="U71" i="1"/>
  <c r="R71" i="1"/>
  <c r="Y72" i="1" s="1"/>
  <c r="L71" i="1"/>
  <c r="U70" i="1"/>
  <c r="R70" i="1"/>
  <c r="L70" i="1"/>
  <c r="M70" i="1" s="1"/>
  <c r="O70" i="1" s="1"/>
  <c r="I70" i="1"/>
  <c r="J70" i="1" s="1"/>
  <c r="U69" i="1"/>
  <c r="R69" i="1"/>
  <c r="L69" i="1"/>
  <c r="U68" i="1"/>
  <c r="R68" i="1"/>
  <c r="L68" i="1"/>
  <c r="U67" i="1"/>
  <c r="R67" i="1"/>
  <c r="AC67" i="1" s="1"/>
  <c r="AB67" i="1" s="1"/>
  <c r="L67" i="1"/>
  <c r="U66" i="1"/>
  <c r="R66" i="1"/>
  <c r="L66" i="1"/>
  <c r="U65" i="1"/>
  <c r="R65" i="1"/>
  <c r="AC66" i="1" s="1"/>
  <c r="AB66" i="1" s="1"/>
  <c r="L65" i="1"/>
  <c r="U64" i="1"/>
  <c r="R64" i="1"/>
  <c r="L64" i="1"/>
  <c r="M64" i="1" s="1"/>
  <c r="N64" i="1" s="1"/>
  <c r="I64" i="1"/>
  <c r="AC71" i="1" l="1"/>
  <c r="AB71" i="1" s="1"/>
  <c r="Y67" i="1"/>
  <c r="Y69" i="1"/>
  <c r="AC69" i="1"/>
  <c r="AB69" i="1" s="1"/>
  <c r="AC65" i="1"/>
  <c r="AB65" i="1" s="1"/>
  <c r="AC74" i="1"/>
  <c r="AB74" i="1" s="1"/>
  <c r="Y74" i="1"/>
  <c r="AA74" i="1" s="1"/>
  <c r="AC72" i="1"/>
  <c r="AB72" i="1" s="1"/>
  <c r="Y68" i="1"/>
  <c r="AA68" i="1" s="1"/>
  <c r="AC68" i="1"/>
  <c r="AB68" i="1" s="1"/>
  <c r="Y75" i="1"/>
  <c r="AA75" i="1" s="1"/>
  <c r="Y66" i="1"/>
  <c r="Y71" i="1"/>
  <c r="Z71" i="1" s="1"/>
  <c r="AD71" i="1" s="1"/>
  <c r="AA69" i="1"/>
  <c r="Z69" i="1"/>
  <c r="AD69" i="1" s="1"/>
  <c r="O64" i="1"/>
  <c r="AA67" i="1"/>
  <c r="Z67" i="1"/>
  <c r="AD67" i="1" s="1"/>
  <c r="AA72" i="1"/>
  <c r="Z72" i="1"/>
  <c r="AA66" i="1"/>
  <c r="Z66" i="1"/>
  <c r="AD66" i="1" s="1"/>
  <c r="Y65" i="1"/>
  <c r="Y70" i="1"/>
  <c r="N70" i="1"/>
  <c r="AC70" i="1" s="1"/>
  <c r="AB70" i="1" s="1"/>
  <c r="Z73" i="1"/>
  <c r="AD73" i="1" s="1"/>
  <c r="J64" i="1"/>
  <c r="Y64" i="1" s="1"/>
  <c r="AC64" i="1"/>
  <c r="AB64" i="1" s="1"/>
  <c r="U82" i="1"/>
  <c r="R82" i="1"/>
  <c r="I82" i="1"/>
  <c r="J82" i="1" s="1"/>
  <c r="L82" i="1"/>
  <c r="M82" i="1" s="1"/>
  <c r="L83" i="1"/>
  <c r="L84" i="1"/>
  <c r="L85" i="1"/>
  <c r="L86" i="1"/>
  <c r="L87" i="1"/>
  <c r="R83" i="1"/>
  <c r="U83" i="1"/>
  <c r="U78" i="1"/>
  <c r="R78" i="1"/>
  <c r="U77" i="1"/>
  <c r="R77" i="1"/>
  <c r="U76" i="1"/>
  <c r="R76" i="1"/>
  <c r="L78" i="1"/>
  <c r="L77" i="1"/>
  <c r="L76" i="1"/>
  <c r="M76" i="1" s="1"/>
  <c r="N76" i="1" s="1"/>
  <c r="I76" i="1"/>
  <c r="Z74" i="1" l="1"/>
  <c r="AD74" i="1" s="1"/>
  <c r="Z75" i="1"/>
  <c r="AD75" i="1" s="1"/>
  <c r="AA71" i="1"/>
  <c r="Z68" i="1"/>
  <c r="AD68" i="1" s="1"/>
  <c r="AD72" i="1"/>
  <c r="AA64" i="1"/>
  <c r="Z64" i="1"/>
  <c r="AD64" i="1" s="1"/>
  <c r="AA70" i="1"/>
  <c r="Z70" i="1"/>
  <c r="AD70" i="1" s="1"/>
  <c r="Z65" i="1"/>
  <c r="AD65" i="1" s="1"/>
  <c r="AA65" i="1"/>
  <c r="Y82" i="1"/>
  <c r="N82" i="1"/>
  <c r="AC82" i="1" s="1"/>
  <c r="AB82" i="1" s="1"/>
  <c r="O82" i="1"/>
  <c r="AC76" i="1"/>
  <c r="AB76" i="1" s="1"/>
  <c r="O76" i="1"/>
  <c r="J76" i="1"/>
  <c r="Y76" i="1" s="1"/>
  <c r="AC83" i="1" l="1"/>
  <c r="AB83" i="1" s="1"/>
  <c r="AA82" i="1"/>
  <c r="Y83" i="1" s="1"/>
  <c r="Z83" i="1" s="1"/>
  <c r="Z82" i="1"/>
  <c r="AD82" i="1" s="1"/>
  <c r="AA83" i="1"/>
  <c r="AA76" i="1"/>
  <c r="Y77" i="1" s="1"/>
  <c r="Z76" i="1"/>
  <c r="AD76" i="1" s="1"/>
  <c r="AD83" i="1" l="1"/>
  <c r="AA77" i="1"/>
  <c r="Y78" i="1" s="1"/>
  <c r="Z77" i="1"/>
  <c r="AA78" i="1" l="1"/>
  <c r="Z78" i="1"/>
  <c r="U63" i="1" l="1"/>
  <c r="R63" i="1"/>
  <c r="L63" i="1"/>
  <c r="U62" i="1"/>
  <c r="R62" i="1"/>
  <c r="AC63" i="1" s="1"/>
  <c r="AB63" i="1" s="1"/>
  <c r="L62" i="1"/>
  <c r="U61" i="1"/>
  <c r="R61" i="1"/>
  <c r="L61" i="1"/>
  <c r="U60" i="1"/>
  <c r="R60" i="1"/>
  <c r="L60" i="1"/>
  <c r="U59" i="1"/>
  <c r="R59" i="1"/>
  <c r="AC59" i="1" s="1"/>
  <c r="AB59" i="1" s="1"/>
  <c r="L59" i="1"/>
  <c r="U58" i="1"/>
  <c r="L58" i="1"/>
  <c r="M58" i="1" s="1"/>
  <c r="I58" i="1"/>
  <c r="J58" i="1" s="1"/>
  <c r="L57" i="1"/>
  <c r="L56" i="1"/>
  <c r="L55" i="1"/>
  <c r="L54" i="1"/>
  <c r="L53" i="1"/>
  <c r="L52" i="1"/>
  <c r="M52" i="1" s="1"/>
  <c r="I52" i="1"/>
  <c r="J52" i="1" s="1"/>
  <c r="Y52" i="1" s="1"/>
  <c r="AA52" i="1" s="1"/>
  <c r="Y53" i="1" s="1"/>
  <c r="U51" i="1"/>
  <c r="R51" i="1"/>
  <c r="L51" i="1"/>
  <c r="U50" i="1"/>
  <c r="R50" i="1"/>
  <c r="L50" i="1"/>
  <c r="U49" i="1"/>
  <c r="R49" i="1"/>
  <c r="L49" i="1"/>
  <c r="U48" i="1"/>
  <c r="R48" i="1"/>
  <c r="L48" i="1"/>
  <c r="U47" i="1"/>
  <c r="R47" i="1"/>
  <c r="L47" i="1"/>
  <c r="U46" i="1"/>
  <c r="R46" i="1"/>
  <c r="L46" i="1"/>
  <c r="M46" i="1" s="1"/>
  <c r="I46" i="1"/>
  <c r="J46" i="1" s="1"/>
  <c r="U45" i="1"/>
  <c r="R45" i="1"/>
  <c r="L45" i="1"/>
  <c r="U44" i="1"/>
  <c r="R44" i="1"/>
  <c r="L44" i="1"/>
  <c r="U43" i="1"/>
  <c r="R43" i="1"/>
  <c r="L43" i="1"/>
  <c r="U42" i="1"/>
  <c r="R42" i="1"/>
  <c r="L42" i="1"/>
  <c r="U41" i="1"/>
  <c r="R41" i="1"/>
  <c r="L41" i="1"/>
  <c r="L40" i="1"/>
  <c r="M40" i="1" s="1"/>
  <c r="N40" i="1" s="1"/>
  <c r="AC40" i="1" s="1"/>
  <c r="AB40" i="1" s="1"/>
  <c r="I40" i="1"/>
  <c r="J40" i="1" s="1"/>
  <c r="Y40" i="1" s="1"/>
  <c r="U39" i="1"/>
  <c r="R39" i="1"/>
  <c r="L39" i="1"/>
  <c r="U38" i="1"/>
  <c r="R38" i="1"/>
  <c r="L38" i="1"/>
  <c r="U37" i="1"/>
  <c r="R37" i="1"/>
  <c r="L37" i="1"/>
  <c r="U36" i="1"/>
  <c r="R36" i="1"/>
  <c r="L36" i="1"/>
  <c r="U35" i="1"/>
  <c r="R35" i="1"/>
  <c r="L35" i="1"/>
  <c r="L34" i="1"/>
  <c r="M34" i="1" s="1"/>
  <c r="I34" i="1"/>
  <c r="J34" i="1" s="1"/>
  <c r="Y34" i="1" s="1"/>
  <c r="Y28" i="1"/>
  <c r="AA28" i="1" s="1"/>
  <c r="Y29" i="1" s="1"/>
  <c r="L33" i="1"/>
  <c r="L32" i="1"/>
  <c r="L31" i="1"/>
  <c r="L30" i="1"/>
  <c r="L29" i="1"/>
  <c r="L28" i="1"/>
  <c r="M28" i="1" s="1"/>
  <c r="I28" i="1"/>
  <c r="J28" i="1" s="1"/>
  <c r="Y22" i="1"/>
  <c r="AA22" i="1" s="1"/>
  <c r="Y24" i="1" s="1"/>
  <c r="AA24" i="1" s="1"/>
  <c r="L27" i="1"/>
  <c r="L26" i="1"/>
  <c r="L25" i="1"/>
  <c r="L24" i="1"/>
  <c r="L23" i="1"/>
  <c r="L22" i="1"/>
  <c r="M22" i="1" s="1"/>
  <c r="N22" i="1" s="1"/>
  <c r="AC22" i="1" s="1"/>
  <c r="AB22" i="1" s="1"/>
  <c r="I22" i="1"/>
  <c r="J22" i="1" s="1"/>
  <c r="R23" i="1"/>
  <c r="U23" i="1"/>
  <c r="R25" i="1"/>
  <c r="U25" i="1"/>
  <c r="R26" i="1"/>
  <c r="U26" i="1"/>
  <c r="R27" i="1"/>
  <c r="U27" i="1"/>
  <c r="U21" i="1"/>
  <c r="R21" i="1"/>
  <c r="L21" i="1"/>
  <c r="U20" i="1"/>
  <c r="R20" i="1"/>
  <c r="L20" i="1"/>
  <c r="U19" i="1"/>
  <c r="R19" i="1"/>
  <c r="L19" i="1"/>
  <c r="U18" i="1"/>
  <c r="R18" i="1"/>
  <c r="AC18" i="1" s="1"/>
  <c r="AB18" i="1" s="1"/>
  <c r="L18" i="1"/>
  <c r="L17" i="1"/>
  <c r="L16" i="1"/>
  <c r="M16" i="1" s="1"/>
  <c r="I16" i="1"/>
  <c r="J16" i="1" s="1"/>
  <c r="Y16" i="1" s="1"/>
  <c r="Y46" i="1" l="1"/>
  <c r="AC49" i="1"/>
  <c r="AB49" i="1" s="1"/>
  <c r="Y36" i="1"/>
  <c r="AC39" i="1"/>
  <c r="AB39" i="1" s="1"/>
  <c r="Y42" i="1"/>
  <c r="AA42" i="1" s="1"/>
  <c r="Y43" i="1"/>
  <c r="AA43" i="1" s="1"/>
  <c r="AC45" i="1"/>
  <c r="AB45" i="1" s="1"/>
  <c r="Y58" i="1"/>
  <c r="Z58" i="1" s="1"/>
  <c r="Y26" i="1"/>
  <c r="AA26" i="1" s="1"/>
  <c r="Y20" i="1"/>
  <c r="Z20" i="1" s="1"/>
  <c r="Y60" i="1"/>
  <c r="AA60" i="1" s="1"/>
  <c r="AC43" i="1"/>
  <c r="AB43" i="1" s="1"/>
  <c r="O52" i="1"/>
  <c r="AC26" i="1"/>
  <c r="AB26" i="1" s="1"/>
  <c r="O28" i="1"/>
  <c r="AC25" i="1"/>
  <c r="AB25" i="1" s="1"/>
  <c r="AC37" i="1"/>
  <c r="AB37" i="1" s="1"/>
  <c r="AC48" i="1"/>
  <c r="AB48" i="1" s="1"/>
  <c r="Y25" i="1"/>
  <c r="Z25" i="1" s="1"/>
  <c r="AC51" i="1"/>
  <c r="AB51" i="1" s="1"/>
  <c r="AC29" i="1"/>
  <c r="AB29" i="1" s="1"/>
  <c r="Y63" i="1"/>
  <c r="AA63" i="1" s="1"/>
  <c r="Y62" i="1"/>
  <c r="Z62" i="1" s="1"/>
  <c r="AC62" i="1"/>
  <c r="AB62" i="1" s="1"/>
  <c r="Y61" i="1"/>
  <c r="AA61" i="1" s="1"/>
  <c r="Y59" i="1"/>
  <c r="AC60" i="1"/>
  <c r="AB60" i="1" s="1"/>
  <c r="N58" i="1"/>
  <c r="AC58" i="1" s="1"/>
  <c r="O58" i="1"/>
  <c r="AC61" i="1"/>
  <c r="AB61" i="1" s="1"/>
  <c r="AA53" i="1"/>
  <c r="Z53" i="1"/>
  <c r="Z52" i="1"/>
  <c r="N52" i="1"/>
  <c r="AC52" i="1" s="1"/>
  <c r="AB52" i="1" s="1"/>
  <c r="Y50" i="1"/>
  <c r="AA50" i="1" s="1"/>
  <c r="Y51" i="1"/>
  <c r="Z51" i="1" s="1"/>
  <c r="AD51" i="1" s="1"/>
  <c r="AC50" i="1"/>
  <c r="AB50" i="1" s="1"/>
  <c r="Y49" i="1"/>
  <c r="Z49" i="1" s="1"/>
  <c r="AD49" i="1" s="1"/>
  <c r="AC47" i="1"/>
  <c r="AB47" i="1" s="1"/>
  <c r="Y47" i="1"/>
  <c r="Y48" i="1"/>
  <c r="N46" i="1"/>
  <c r="AC46" i="1" s="1"/>
  <c r="O46" i="1"/>
  <c r="AA46" i="1"/>
  <c r="Z46" i="1"/>
  <c r="AA51" i="1"/>
  <c r="Y44" i="1"/>
  <c r="AA44" i="1" s="1"/>
  <c r="AC44" i="1"/>
  <c r="AB44" i="1" s="1"/>
  <c r="O40" i="1"/>
  <c r="AA40" i="1"/>
  <c r="Z40" i="1"/>
  <c r="AD40" i="1" s="1"/>
  <c r="AC41" i="1"/>
  <c r="AB41" i="1" s="1"/>
  <c r="Y45" i="1"/>
  <c r="AC42" i="1"/>
  <c r="AB42" i="1" s="1"/>
  <c r="Y41" i="1"/>
  <c r="Y39" i="1"/>
  <c r="AA39" i="1" s="1"/>
  <c r="AC35" i="1"/>
  <c r="AB35" i="1" s="1"/>
  <c r="AC38" i="1"/>
  <c r="AB38" i="1" s="1"/>
  <c r="Y38" i="1"/>
  <c r="Z38" i="1" s="1"/>
  <c r="Y37" i="1"/>
  <c r="Z37" i="1" s="1"/>
  <c r="AC36" i="1"/>
  <c r="AB36" i="1" s="1"/>
  <c r="AA36" i="1"/>
  <c r="Z36" i="1"/>
  <c r="O34" i="1"/>
  <c r="N34" i="1"/>
  <c r="AC34" i="1" s="1"/>
  <c r="AB34" i="1" s="1"/>
  <c r="AA34" i="1"/>
  <c r="Z34" i="1"/>
  <c r="Y35" i="1"/>
  <c r="Y19" i="1"/>
  <c r="AA19" i="1" s="1"/>
  <c r="AC21" i="1"/>
  <c r="AB21" i="1" s="1"/>
  <c r="AC20" i="1"/>
  <c r="AB20" i="1" s="1"/>
  <c r="AA29" i="1"/>
  <c r="Z29" i="1"/>
  <c r="Z28" i="1"/>
  <c r="N28" i="1"/>
  <c r="AC28" i="1" s="1"/>
  <c r="AB28" i="1" s="1"/>
  <c r="Y27" i="1"/>
  <c r="Z27" i="1" s="1"/>
  <c r="Z24" i="1"/>
  <c r="Z22" i="1"/>
  <c r="AD22" i="1" s="1"/>
  <c r="Z26" i="1"/>
  <c r="AD26" i="1" s="1"/>
  <c r="O22" i="1"/>
  <c r="AC27" i="1"/>
  <c r="AB27" i="1" s="1"/>
  <c r="Y23" i="1"/>
  <c r="AA16" i="1"/>
  <c r="Y17" i="1" s="1"/>
  <c r="Z16" i="1"/>
  <c r="O16" i="1"/>
  <c r="N16" i="1"/>
  <c r="AC16" i="1" s="1"/>
  <c r="Y18" i="1"/>
  <c r="AC19" i="1"/>
  <c r="AB19" i="1" s="1"/>
  <c r="Y21" i="1"/>
  <c r="Z43" i="1" l="1"/>
  <c r="AD43" i="1" s="1"/>
  <c r="AD29" i="1"/>
  <c r="Z42" i="1"/>
  <c r="AA37" i="1"/>
  <c r="AA58" i="1"/>
  <c r="Z60" i="1"/>
  <c r="AD60" i="1" s="1"/>
  <c r="AD25" i="1"/>
  <c r="Z50" i="1"/>
  <c r="AD50" i="1" s="1"/>
  <c r="AA20" i="1"/>
  <c r="AA25" i="1"/>
  <c r="AA49" i="1"/>
  <c r="AD36" i="1"/>
  <c r="Z63" i="1"/>
  <c r="AD63" i="1" s="1"/>
  <c r="AA38" i="1"/>
  <c r="Z19" i="1"/>
  <c r="AD19" i="1" s="1"/>
  <c r="AB58" i="1"/>
  <c r="AD58" i="1" s="1"/>
  <c r="AC77" i="1"/>
  <c r="Z39" i="1"/>
  <c r="AD39" i="1" s="1"/>
  <c r="AA62" i="1"/>
  <c r="AD37" i="1"/>
  <c r="Z44" i="1"/>
  <c r="AD44" i="1" s="1"/>
  <c r="Z61" i="1"/>
  <c r="AD61" i="1" s="1"/>
  <c r="AD38" i="1"/>
  <c r="AD28" i="1"/>
  <c r="AB46" i="1"/>
  <c r="AD46" i="1" s="1"/>
  <c r="AC53" i="1"/>
  <c r="AB53" i="1" s="1"/>
  <c r="AD53" i="1" s="1"/>
  <c r="AD52" i="1"/>
  <c r="AD62" i="1"/>
  <c r="Z59" i="1"/>
  <c r="AD59" i="1" s="1"/>
  <c r="AA59" i="1"/>
  <c r="AA48" i="1"/>
  <c r="Z48" i="1"/>
  <c r="AD48" i="1" s="1"/>
  <c r="AA47" i="1"/>
  <c r="Z47" i="1"/>
  <c r="AD47" i="1" s="1"/>
  <c r="Z41" i="1"/>
  <c r="AD41" i="1" s="1"/>
  <c r="AA41" i="1"/>
  <c r="AD42" i="1"/>
  <c r="AA45" i="1"/>
  <c r="Z45" i="1"/>
  <c r="AD45" i="1" s="1"/>
  <c r="AD34" i="1"/>
  <c r="Z35" i="1"/>
  <c r="AD35" i="1" s="1"/>
  <c r="AA35" i="1"/>
  <c r="AA27" i="1"/>
  <c r="AD20" i="1"/>
  <c r="AD27" i="1"/>
  <c r="AC24" i="1"/>
  <c r="AB24" i="1" s="1"/>
  <c r="AD24" i="1" s="1"/>
  <c r="AC23" i="1"/>
  <c r="AB23" i="1" s="1"/>
  <c r="AA23" i="1"/>
  <c r="Z23" i="1"/>
  <c r="AA21" i="1"/>
  <c r="Z21" i="1"/>
  <c r="AD21" i="1" s="1"/>
  <c r="AC17" i="1"/>
  <c r="AB17" i="1" s="1"/>
  <c r="AB16" i="1"/>
  <c r="AD16" i="1" s="1"/>
  <c r="AA18" i="1"/>
  <c r="Z18" i="1"/>
  <c r="AA17" i="1"/>
  <c r="Z17" i="1"/>
  <c r="AB77" i="1" l="1"/>
  <c r="AD77" i="1" s="1"/>
  <c r="AC78" i="1"/>
  <c r="AB78" i="1" s="1"/>
  <c r="AD78" i="1" s="1"/>
  <c r="AD23" i="1"/>
  <c r="AD18" i="1"/>
  <c r="L16" i="19"/>
  <c r="AD17" i="1"/>
  <c r="F222" i="13"/>
  <c r="F212" i="13"/>
  <c r="F213" i="13"/>
  <c r="F214" i="13"/>
  <c r="F215" i="13"/>
  <c r="F216" i="13"/>
  <c r="F217" i="13"/>
  <c r="F218" i="13"/>
  <c r="F219" i="13"/>
  <c r="F220" i="13"/>
  <c r="F221" i="13"/>
  <c r="F211" i="13"/>
  <c r="B222" i="13" a="1"/>
  <c r="B222"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87" i="1" l="1"/>
  <c r="R87" i="1"/>
  <c r="U86" i="1"/>
  <c r="R86" i="1"/>
  <c r="U85" i="1"/>
  <c r="R85" i="1"/>
  <c r="U84" i="1"/>
  <c r="R84" i="1"/>
  <c r="U81" i="1"/>
  <c r="R81" i="1"/>
  <c r="U80" i="1"/>
  <c r="R80" i="1"/>
  <c r="U57" i="1"/>
  <c r="R57" i="1"/>
  <c r="U56" i="1"/>
  <c r="R56" i="1"/>
  <c r="U55" i="1"/>
  <c r="R55" i="1"/>
  <c r="U54" i="1"/>
  <c r="R54" i="1"/>
  <c r="U33" i="1"/>
  <c r="R33" i="1"/>
  <c r="U32" i="1"/>
  <c r="R32" i="1"/>
  <c r="U31" i="1"/>
  <c r="R31" i="1"/>
  <c r="U30" i="1"/>
  <c r="R30" i="1"/>
  <c r="AC56" i="1" l="1"/>
  <c r="AB56" i="1" s="1"/>
  <c r="AC57" i="1"/>
  <c r="AB57" i="1" s="1"/>
  <c r="Y56" i="1"/>
  <c r="Y57" i="1"/>
  <c r="Z57" i="1" l="1"/>
  <c r="AA57" i="1"/>
  <c r="Z56" i="1"/>
  <c r="AA56" i="1"/>
  <c r="Y30" i="1" l="1"/>
  <c r="Z30" i="1" s="1"/>
  <c r="Y80" i="1"/>
  <c r="Y81" i="1"/>
  <c r="Y32" i="1"/>
  <c r="Y86" i="1" l="1"/>
  <c r="Y87" i="1"/>
  <c r="Z32" i="1"/>
  <c r="AA32" i="1"/>
  <c r="Y33" i="1" s="1"/>
  <c r="Z33" i="1" s="1"/>
  <c r="Z87" i="1" l="1"/>
  <c r="AA87" i="1"/>
  <c r="Z86" i="1"/>
  <c r="AA86" i="1"/>
  <c r="AA33" i="1"/>
  <c r="AC84" i="1" l="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C30" i="1"/>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84" i="1"/>
  <c r="AC85"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85" i="1" l="1"/>
  <c r="AC86"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31" i="1"/>
  <c r="AB30"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B86" i="1" l="1"/>
  <c r="AC87" i="1"/>
  <c r="AB87" i="1" s="1"/>
  <c r="AC32" i="1"/>
  <c r="AB32" i="1" s="1"/>
  <c r="AB31" i="1"/>
  <c r="AC33" i="1"/>
  <c r="AB33" i="1" s="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80" i="1"/>
  <c r="AJ46" i="19"/>
  <c r="AD46" i="19"/>
  <c r="L36" i="19"/>
  <c r="X16" i="19"/>
  <c r="AJ26" i="19"/>
  <c r="L46" i="19"/>
  <c r="X6" i="19"/>
  <c r="R36" i="19"/>
  <c r="X36" i="19"/>
  <c r="R6" i="19"/>
  <c r="AJ6" i="19"/>
  <c r="AD36" i="19"/>
  <c r="R46" i="19"/>
  <c r="AD26" i="19"/>
  <c r="AD16" i="19"/>
  <c r="X46" i="19"/>
  <c r="X26" i="19"/>
  <c r="AJ36" i="19"/>
  <c r="R26" i="19"/>
  <c r="AD6" i="19"/>
  <c r="L6" i="19"/>
  <c r="L26" i="19"/>
  <c r="R16" i="19"/>
  <c r="AJ16"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E54" i="19" l="1"/>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87"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86" i="1"/>
  <c r="N15" i="19"/>
  <c r="AF55" i="19"/>
  <c r="N55" i="19"/>
  <c r="Z15" i="19"/>
  <c r="AF35"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80" i="1"/>
  <c r="AC81" i="1"/>
  <c r="AB81" i="1" s="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Z81" i="1" l="1"/>
  <c r="AA81" i="1"/>
  <c r="Z80" i="1"/>
  <c r="AA80" i="1"/>
  <c r="Y84" i="1"/>
  <c r="Y5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J44" i="19"/>
  <c r="R54" i="19"/>
  <c r="X24" i="19"/>
  <c r="U53" i="19"/>
  <c r="U43" i="19"/>
  <c r="O23" i="19"/>
  <c r="AG43" i="19"/>
  <c r="AA33" i="19"/>
  <c r="AA23" i="19"/>
  <c r="AG53" i="19"/>
  <c r="AM43" i="19"/>
  <c r="O13" i="19"/>
  <c r="AM53" i="19"/>
  <c r="AG33" i="19"/>
  <c r="U23" i="19"/>
  <c r="L43" i="19"/>
  <c r="R13" i="19"/>
  <c r="L13" i="19"/>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AA30" i="1"/>
  <c r="Y31" i="1" s="1"/>
  <c r="Z54" i="1"/>
  <c r="AA54" i="1"/>
  <c r="Y55" i="1" s="1"/>
  <c r="Z84" i="1"/>
  <c r="AA84" i="1"/>
  <c r="Y85" i="1" s="1"/>
  <c r="Y13" i="19" l="1"/>
  <c r="AE43" i="19"/>
  <c r="S13" i="19"/>
  <c r="AK33" i="19"/>
  <c r="M13" i="19"/>
  <c r="AK53" i="19"/>
  <c r="M23" i="19"/>
  <c r="AE33" i="19"/>
  <c r="M43" i="19"/>
  <c r="AK13" i="19"/>
  <c r="AK43" i="19"/>
  <c r="Y53" i="19"/>
  <c r="S43" i="19"/>
  <c r="AK23" i="19"/>
  <c r="S53" i="19"/>
  <c r="Y33" i="19"/>
  <c r="S23" i="19"/>
  <c r="AE53" i="19"/>
  <c r="Y23" i="19"/>
  <c r="AE13" i="19"/>
  <c r="Y43" i="19"/>
  <c r="M33" i="19"/>
  <c r="M53" i="19"/>
  <c r="AE23" i="19"/>
  <c r="S33" i="19"/>
  <c r="K42" i="19"/>
  <c r="Q42" i="19"/>
  <c r="W12" i="19"/>
  <c r="K52" i="19"/>
  <c r="AI52" i="19"/>
  <c r="Q22" i="19"/>
  <c r="Q12" i="19"/>
  <c r="AC52" i="19"/>
  <c r="AC32" i="19"/>
  <c r="W42" i="19"/>
  <c r="K22" i="19"/>
  <c r="W52" i="19"/>
  <c r="Q52" i="19"/>
  <c r="W22" i="19"/>
  <c r="AC22" i="19"/>
  <c r="Q32" i="19"/>
  <c r="AI42" i="19"/>
  <c r="AI22" i="19"/>
  <c r="AC12" i="19"/>
  <c r="AI12" i="19"/>
  <c r="W32" i="19"/>
  <c r="K32" i="19"/>
  <c r="AC42" i="19"/>
  <c r="AI32" i="19"/>
  <c r="K12" i="19"/>
  <c r="Z85" i="1"/>
  <c r="AA85" i="1"/>
  <c r="W37" i="19"/>
  <c r="AI47" i="19"/>
  <c r="K37" i="19"/>
  <c r="K7" i="19"/>
  <c r="AI7" i="19"/>
  <c r="Q27" i="19"/>
  <c r="AC7" i="19"/>
  <c r="Q17" i="19"/>
  <c r="W17" i="19"/>
  <c r="AC27" i="19"/>
  <c r="W47" i="19"/>
  <c r="W27" i="19"/>
  <c r="AC47" i="19"/>
  <c r="Q37" i="19"/>
  <c r="Q47" i="19"/>
  <c r="AC37" i="19"/>
  <c r="AI27" i="19"/>
  <c r="K17" i="19"/>
  <c r="W7" i="19"/>
  <c r="AI37" i="19"/>
  <c r="Q7" i="19"/>
  <c r="K47" i="19"/>
  <c r="AI17" i="19"/>
  <c r="K27" i="19"/>
  <c r="AC17" i="19"/>
  <c r="AJ55" i="19"/>
  <c r="L45" i="19"/>
  <c r="AD35" i="19"/>
  <c r="R25" i="19"/>
  <c r="AD45" i="19"/>
  <c r="R45" i="19"/>
  <c r="AD55" i="19"/>
  <c r="X15" i="19"/>
  <c r="L25" i="19"/>
  <c r="AJ45" i="19"/>
  <c r="R15" i="19"/>
  <c r="R55" i="19"/>
  <c r="AD25" i="19"/>
  <c r="L55" i="19"/>
  <c r="AJ35" i="19"/>
  <c r="X55" i="19"/>
  <c r="X35" i="19"/>
  <c r="L15" i="19"/>
  <c r="AD84" i="1"/>
  <c r="AD15" i="19"/>
  <c r="X25" i="19"/>
  <c r="AJ15" i="19"/>
  <c r="AJ25" i="19"/>
  <c r="X45" i="19"/>
  <c r="L35" i="19"/>
  <c r="R35" i="19"/>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K40" i="19"/>
  <c r="AI20" i="19"/>
  <c r="AI30" i="19"/>
  <c r="W30" i="19"/>
  <c r="W10" i="19"/>
  <c r="W40" i="19"/>
  <c r="Q20" i="19"/>
  <c r="W50" i="19"/>
  <c r="Q50" i="19"/>
  <c r="AC30" i="19"/>
  <c r="W20" i="19"/>
  <c r="AC50" i="19"/>
  <c r="K10" i="19"/>
  <c r="K20" i="19"/>
  <c r="AC20" i="19"/>
  <c r="AC40" i="19"/>
  <c r="Q10" i="19"/>
  <c r="Q40" i="19"/>
  <c r="AC10" i="19"/>
  <c r="AI50" i="19"/>
  <c r="Q30" i="19"/>
  <c r="K30" i="19"/>
  <c r="AI10" i="19"/>
  <c r="K50" i="19"/>
  <c r="AI40" i="19"/>
  <c r="AA31" i="1"/>
  <c r="Z31" i="1"/>
  <c r="N43" i="19"/>
  <c r="AG24" i="19"/>
  <c r="O44" i="19"/>
  <c r="O24" i="19"/>
  <c r="AM14" i="19"/>
  <c r="AG34" i="19"/>
  <c r="O34" i="19"/>
  <c r="AA44" i="19"/>
  <c r="O14" i="19"/>
  <c r="AA54" i="19"/>
  <c r="U14" i="19"/>
  <c r="AM44" i="19"/>
  <c r="AA34" i="19"/>
  <c r="AM24" i="19"/>
  <c r="AM54" i="19"/>
  <c r="AG14" i="19"/>
  <c r="AM34" i="19"/>
  <c r="U54" i="19"/>
  <c r="AG44" i="19"/>
  <c r="AA24" i="19"/>
  <c r="AG54" i="19"/>
  <c r="U34" i="19"/>
  <c r="U24" i="19"/>
  <c r="AD81"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80" i="1"/>
  <c r="AF53" i="19"/>
  <c r="T23" i="19"/>
  <c r="T43" i="19" l="1"/>
  <c r="N33" i="19"/>
  <c r="N23" i="19"/>
  <c r="AL53" i="19"/>
  <c r="T33" i="19"/>
  <c r="AF13" i="19"/>
  <c r="AL13" i="19"/>
  <c r="AF23" i="19"/>
  <c r="Z33" i="19"/>
  <c r="T13" i="19"/>
  <c r="AL33" i="19"/>
  <c r="Z43" i="19"/>
  <c r="N53" i="19"/>
  <c r="Z23" i="19"/>
  <c r="Z53" i="19"/>
  <c r="AF19" i="19"/>
  <c r="Z9" i="19"/>
  <c r="T49" i="19"/>
  <c r="N29" i="19"/>
  <c r="Z49" i="19"/>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85"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T53" i="19"/>
  <c r="AL23" i="19"/>
  <c r="AF43" i="19"/>
  <c r="M29" i="19"/>
  <c r="AE9" i="19"/>
  <c r="Y49" i="19"/>
  <c r="S39" i="19"/>
  <c r="Y39" i="19"/>
  <c r="M39" i="19"/>
  <c r="M9" i="19"/>
  <c r="S9" i="19"/>
  <c r="M19" i="19"/>
  <c r="AE49" i="19"/>
  <c r="M49" i="19"/>
  <c r="AK49" i="19"/>
  <c r="AK9" i="19"/>
  <c r="Y29" i="19"/>
  <c r="S19" i="19"/>
  <c r="AE19" i="19"/>
  <c r="AK29" i="19"/>
  <c r="Y19" i="19"/>
  <c r="Y9" i="19"/>
  <c r="AE29" i="19"/>
  <c r="S49" i="19"/>
  <c r="AK39" i="19"/>
  <c r="S29" i="19"/>
  <c r="AK19" i="19"/>
  <c r="AE39" i="19"/>
  <c r="AD27" i="19"/>
  <c r="X7" i="19"/>
  <c r="AJ47" i="19"/>
  <c r="AJ7" i="19"/>
  <c r="X47" i="19"/>
  <c r="L47" i="19"/>
  <c r="L7" i="19"/>
  <c r="L27" i="19"/>
  <c r="L17" i="19"/>
  <c r="AD7" i="19"/>
  <c r="AD37" i="19"/>
  <c r="AJ37" i="19"/>
  <c r="R37" i="19"/>
  <c r="AD17" i="19"/>
  <c r="R27" i="19"/>
  <c r="X37" i="19"/>
  <c r="AJ17" i="19"/>
  <c r="L37" i="19"/>
  <c r="X27" i="19"/>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AF21" i="19" l="1"/>
  <c r="AF11" i="19"/>
  <c r="Z51" i="19"/>
  <c r="AL31" i="19"/>
  <c r="AL41" i="19"/>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G9" i="19"/>
  <c r="AA49" i="19"/>
  <c r="Y47" i="19"/>
  <c r="Y27" i="19"/>
  <c r="M7" i="19"/>
  <c r="S7" i="19"/>
  <c r="M47" i="19"/>
  <c r="M37" i="19"/>
  <c r="M17" i="19"/>
  <c r="S17" i="19"/>
  <c r="M27" i="19"/>
  <c r="AE27" i="19"/>
  <c r="S47" i="19"/>
  <c r="AE17" i="19"/>
  <c r="AE47" i="19"/>
  <c r="AK7" i="19"/>
  <c r="S37" i="19"/>
  <c r="AK17" i="19"/>
  <c r="AK27" i="19"/>
  <c r="Y17" i="19"/>
  <c r="AK47" i="19"/>
  <c r="Y37" i="19"/>
  <c r="S27" i="19"/>
  <c r="Y7" i="19"/>
  <c r="AE7" i="19"/>
  <c r="AK37" i="19"/>
  <c r="AE37" i="19"/>
  <c r="T7" i="19" l="1"/>
  <c r="Z27" i="19"/>
  <c r="T47" i="19"/>
  <c r="AL37" i="19"/>
  <c r="AL7" i="19"/>
  <c r="AF7" i="19"/>
  <c r="T17" i="19"/>
  <c r="AL47" i="19"/>
  <c r="AL17" i="19"/>
  <c r="T27" i="19"/>
  <c r="Z17" i="19"/>
  <c r="AF17" i="19"/>
  <c r="AF37" i="19"/>
  <c r="T37" i="19"/>
  <c r="N27" i="19"/>
  <c r="N17" i="19"/>
  <c r="N37" i="19"/>
  <c r="N7" i="19"/>
  <c r="AL27" i="19"/>
  <c r="Z47" i="19"/>
  <c r="AF27" i="19"/>
  <c r="N47" i="19"/>
  <c r="Z7" i="19"/>
  <c r="AF47" i="19"/>
  <c r="Z37" i="19"/>
  <c r="AF40" i="19"/>
  <c r="T20" i="19"/>
  <c r="AL10" i="19"/>
  <c r="N30" i="19"/>
  <c r="N50" i="19"/>
  <c r="N40" i="19"/>
  <c r="Z20" i="19"/>
  <c r="T30" i="19"/>
  <c r="AL40" i="19"/>
  <c r="Z30" i="19"/>
  <c r="Z40" i="19"/>
  <c r="T50" i="19"/>
  <c r="Z10" i="19"/>
  <c r="AL30" i="19"/>
  <c r="AF20" i="19"/>
  <c r="N20" i="19"/>
  <c r="AL50" i="19"/>
  <c r="AL20" i="19"/>
  <c r="T10" i="19"/>
  <c r="T40" i="19"/>
  <c r="N10" i="19"/>
  <c r="AF10" i="19"/>
  <c r="Z50" i="19"/>
  <c r="AF30" i="19"/>
  <c r="AF50" i="19"/>
  <c r="O51" i="19"/>
  <c r="AM21" i="19"/>
  <c r="AM41" i="19"/>
  <c r="AM51" i="19"/>
  <c r="AG51" i="19"/>
  <c r="U11" i="19"/>
  <c r="U51" i="19"/>
  <c r="AA31" i="19"/>
  <c r="AA21" i="19"/>
  <c r="O41" i="19"/>
  <c r="AA41" i="19"/>
  <c r="AG31" i="19"/>
  <c r="U31" i="19"/>
  <c r="O31" i="19"/>
  <c r="AM31" i="19"/>
  <c r="AA51" i="19"/>
  <c r="AM11" i="19"/>
  <c r="U41" i="19"/>
  <c r="AA11" i="19"/>
  <c r="O11" i="19"/>
  <c r="U21" i="19"/>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A20" i="19"/>
  <c r="O20" i="19"/>
  <c r="AG30" i="19"/>
  <c r="AG10" i="19"/>
  <c r="O37" i="19"/>
  <c r="AG27" i="19"/>
  <c r="AM27" i="19"/>
  <c r="O17" i="19"/>
  <c r="O27" i="19"/>
  <c r="O47" i="19"/>
  <c r="AA7" i="19"/>
  <c r="AG7" i="19"/>
  <c r="U47" i="19"/>
  <c r="AG37" i="19"/>
  <c r="AA47" i="19"/>
  <c r="AG17" i="19"/>
  <c r="AA17" i="19"/>
  <c r="U7" i="19"/>
  <c r="U37" i="19"/>
  <c r="O7" i="19"/>
  <c r="AM47" i="19"/>
  <c r="AM17" i="19"/>
  <c r="AA37" i="19"/>
  <c r="AM7" i="19"/>
  <c r="AG47" i="19"/>
  <c r="U27" i="19"/>
  <c r="AM37" i="19"/>
  <c r="AA27" i="19"/>
  <c r="U17" i="19"/>
  <c r="L16" i="18" l="1"/>
  <c r="R24" i="18"/>
  <c r="L8" i="18"/>
  <c r="R32" i="18"/>
  <c r="AJ16" i="18"/>
  <c r="R8" i="18"/>
  <c r="AJ32" i="18"/>
  <c r="AD8" i="18"/>
  <c r="X40" i="18"/>
  <c r="L32" i="18"/>
  <c r="X8" i="18"/>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J22" i="18"/>
  <c r="V30" i="18"/>
  <c r="AB22" i="18"/>
  <c r="P6" i="18"/>
  <c r="J6" i="18"/>
  <c r="AH22" i="18"/>
  <c r="AB38" i="18"/>
  <c r="AB30" i="18"/>
  <c r="AH30" i="18"/>
  <c r="V38" i="18"/>
  <c r="AB14" i="18"/>
  <c r="P30" i="18"/>
  <c r="AH12" i="18"/>
  <c r="J20" i="18"/>
  <c r="J44" i="18"/>
  <c r="AB28" i="18"/>
  <c r="P28" i="18"/>
  <c r="P12" i="18"/>
  <c r="AH20" i="18"/>
  <c r="P44" i="18"/>
  <c r="AB12" i="18"/>
  <c r="P36" i="18"/>
  <c r="AB44" i="18"/>
  <c r="V44" i="18"/>
  <c r="V12" i="18"/>
  <c r="V28" i="18"/>
  <c r="AH44" i="18"/>
  <c r="AH28" i="18"/>
  <c r="V36" i="18"/>
  <c r="J28" i="18"/>
  <c r="AH36" i="18"/>
  <c r="V20" i="18"/>
  <c r="P20" i="18"/>
  <c r="J36" i="18"/>
  <c r="AB36" i="18"/>
  <c r="AB20" i="18"/>
  <c r="J12" i="18"/>
  <c r="J42" i="18"/>
  <c r="P34" i="18"/>
  <c r="AB18" i="18"/>
  <c r="AH34" i="18"/>
  <c r="P10" i="18"/>
  <c r="V34" i="18"/>
  <c r="P42" i="18"/>
  <c r="AH18" i="18"/>
  <c r="J34" i="18"/>
  <c r="J10" i="18"/>
  <c r="AB10" i="18"/>
  <c r="J18" i="18"/>
  <c r="AB34" i="18"/>
  <c r="P26" i="18"/>
  <c r="AH42" i="18"/>
  <c r="AH26" i="18"/>
  <c r="J26" i="18"/>
  <c r="P18" i="18"/>
  <c r="V18" i="18"/>
  <c r="AB42" i="18"/>
  <c r="V42" i="18"/>
  <c r="V10" i="18"/>
  <c r="AB26" i="18"/>
  <c r="V26" i="18"/>
  <c r="AH10" i="18"/>
  <c r="X42" i="18"/>
  <c r="AD34" i="18"/>
  <c r="AD10" i="18"/>
  <c r="L42" i="18"/>
  <c r="L26" i="18"/>
  <c r="X18" i="18"/>
  <c r="R18" i="18"/>
  <c r="AJ10" i="18"/>
  <c r="AD42" i="18"/>
  <c r="AJ34" i="18"/>
  <c r="R26" i="18"/>
  <c r="L18" i="18"/>
  <c r="R34" i="18"/>
  <c r="L34" i="18"/>
  <c r="AJ42" i="18"/>
  <c r="R10" i="18"/>
  <c r="R42" i="18"/>
  <c r="X26" i="18"/>
  <c r="AJ18" i="18"/>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AL42" i="18"/>
  <c r="N34" i="18"/>
  <c r="T34" i="18"/>
  <c r="T42" i="18"/>
  <c r="AF10" i="18"/>
  <c r="Z34" i="18"/>
  <c r="T14" i="18"/>
  <c r="AL38" i="18"/>
  <c r="N14" i="18"/>
  <c r="T38" i="18"/>
  <c r="T22" i="18"/>
  <c r="AL14" i="18"/>
  <c r="N22" i="18"/>
  <c r="AF22" i="18"/>
  <c r="N6" i="18"/>
  <c r="AF6" i="18"/>
  <c r="AF38" i="18"/>
  <c r="N38" i="18"/>
  <c r="AL30" i="18"/>
  <c r="AL22" i="18"/>
  <c r="T6" i="18"/>
  <c r="AF30" i="18"/>
  <c r="Z22" i="18"/>
  <c r="T30" i="18"/>
  <c r="Z14" i="18"/>
  <c r="Z30" i="18"/>
  <c r="Z6" i="18"/>
  <c r="Z38" i="18"/>
  <c r="AF14" i="18"/>
  <c r="AL6" i="18"/>
  <c r="N30" i="18"/>
  <c r="J40" i="18"/>
  <c r="AB40" i="18"/>
  <c r="AH32" i="18"/>
  <c r="AB24" i="18"/>
  <c r="J16" i="18"/>
  <c r="P32" i="18"/>
  <c r="V24" i="18"/>
  <c r="P24" i="18"/>
  <c r="V8" i="18"/>
  <c r="AH24" i="18"/>
  <c r="AH8" i="18"/>
  <c r="J8" i="18"/>
  <c r="AB32" i="18"/>
  <c r="AB8" i="18"/>
  <c r="V16" i="18"/>
  <c r="V40" i="18"/>
  <c r="P16" i="18"/>
  <c r="V32" i="18"/>
  <c r="J24" i="18"/>
  <c r="P8" i="18"/>
  <c r="AH16" i="18"/>
  <c r="AB16" i="18"/>
  <c r="AH40" i="18"/>
  <c r="P40" i="18"/>
  <c r="J32" i="18"/>
  <c r="X6" i="18"/>
  <c r="AJ30" i="18"/>
  <c r="R22" i="18"/>
  <c r="L6" i="18"/>
  <c r="R30" i="18"/>
  <c r="X22" i="18"/>
  <c r="L30" i="18"/>
  <c r="R38" i="18"/>
  <c r="AJ14" i="18"/>
  <c r="R14" i="18"/>
  <c r="AD30" i="18"/>
  <c r="AJ38" i="18"/>
  <c r="AJ22" i="18"/>
  <c r="X30" i="18"/>
  <c r="L14" i="18"/>
  <c r="X38" i="18"/>
  <c r="L22" i="18"/>
  <c r="X14" i="18"/>
  <c r="AD14" i="18"/>
  <c r="L38" i="18"/>
  <c r="AD6" i="18"/>
  <c r="R6" i="18"/>
  <c r="AD38" i="18"/>
  <c r="AD22" i="18"/>
  <c r="AJ6" i="18"/>
  <c r="AF24" i="18"/>
  <c r="AF32" i="18"/>
  <c r="T40" i="18"/>
  <c r="Z40" i="18"/>
  <c r="AL8" i="18"/>
  <c r="AF8" i="18"/>
  <c r="Z32" i="18"/>
  <c r="N32" i="18"/>
  <c r="N16" i="18"/>
  <c r="Z8" i="18"/>
  <c r="N24" i="18"/>
  <c r="T32" i="18"/>
  <c r="T16" i="18"/>
  <c r="AF40" i="18"/>
  <c r="AL40" i="18"/>
  <c r="AF16" i="18"/>
  <c r="N8" i="18"/>
  <c r="Z16" i="18"/>
  <c r="AL24" i="18"/>
  <c r="T24" i="18"/>
  <c r="AL32" i="18"/>
  <c r="N40" i="18"/>
  <c r="AL16" i="18"/>
  <c r="T8" i="18"/>
  <c r="Z24" i="18"/>
  <c r="V25" i="19" l="1"/>
  <c r="V45" i="19"/>
  <c r="J15" i="19"/>
  <c r="AB45" i="19"/>
  <c r="AB55" i="19"/>
  <c r="AB25" i="19"/>
  <c r="AH25" i="19"/>
  <c r="AH55" i="19"/>
  <c r="AB15" i="19"/>
  <c r="P15" i="19"/>
  <c r="P25" i="19"/>
  <c r="AH35" i="19"/>
  <c r="P45" i="19"/>
  <c r="V15" i="19"/>
  <c r="J35" i="19"/>
  <c r="P55" i="19"/>
  <c r="AH45" i="19"/>
  <c r="J25" i="19"/>
  <c r="AB35" i="19"/>
  <c r="AH15" i="19"/>
  <c r="V35" i="19"/>
  <c r="J55" i="19"/>
  <c r="J45" i="19"/>
  <c r="P35" i="19"/>
  <c r="V55" i="19"/>
  <c r="Q46" i="19" l="1"/>
  <c r="AC26" i="19"/>
  <c r="AC16" i="19"/>
  <c r="AI36" i="19"/>
  <c r="AI26" i="19"/>
  <c r="AC6" i="19"/>
  <c r="K16" i="19"/>
  <c r="W16" i="19"/>
  <c r="K36" i="19"/>
  <c r="Q26" i="19"/>
  <c r="W26" i="19"/>
  <c r="W46" i="19"/>
  <c r="W36" i="19"/>
  <c r="AC36" i="19"/>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B36" i="19"/>
  <c r="P36" i="19"/>
  <c r="V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<sst xmlns="http://schemas.openxmlformats.org/spreadsheetml/2006/main" count="674" uniqueCount="387">
  <si>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</si>
  <si>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</si>
  <si>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</si>
  <si>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</si>
  <si>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</si>
  <si>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</si>
  <si>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</si>
  <si>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</si>
  <si>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</si>
  <si>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</si>
  <si>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</si>
  <si>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</si>
  <si>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</si>
  <si>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</si>
  <si>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</si>
  <si>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</si>
  <si>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</si>
  <si>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</si>
  <si>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</si>
  <si>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</si>
  <si>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</si>
  <si>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</si>
  <si>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</si>
  <si>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</si>
  <si>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</si>
  <si>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</si>
  <si>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</si>
  <si>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</si>
  <si>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</si>
  <si>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</si>
  <si>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</si>
  <si>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</si>
  <si>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</si>
  <si>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</si>
  <si>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</si>
  <si>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</si>
  <si>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</si>
  <si>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</si>
  <si>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</si>
  <si>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</si>
  <si>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</si>
  <si>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</si>
  <si>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</si>
  <si>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</si>
  <si>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</si>
  <si>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</si>
  <si>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</si>
  <si>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</si>
  <si>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</si>
  <si>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</si>
  <si>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</si>
  <si>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</si>
  <si>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</si>
  <si>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</si>
  <si>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</si>
  <si>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</si>
  <si>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</si>
  <si>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</si>
  <si>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</si>
  <si>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</si>
  <si>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</si>
  <si>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</si>
  <si>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</si>
  <si>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</si>
  <si>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</si>
  <si>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</si>
  <si>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</si>
  <si>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</si>
  <si>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</si>
  <si>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</si>
  <si>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</si>
  <si>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</si>
  <si>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</si>
  <si>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</si>
  <si>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</si>
  <si>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</si>
  <si>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</si>
  <si>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</si>
  <si>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PLANEACIÓN ESTRATÉGICA</t>
  </si>
  <si>
    <t>ALCANCE:</t>
  </si>
  <si>
    <t>Inicia con la formulación de políticas, planes, programas y proyectos de inversión municipal y termina con el seguimiento y retroalimentación a todos los procesos.</t>
  </si>
  <si>
    <t>OBJETIVOS ESTRATÉGICOS</t>
  </si>
  <si>
    <t>OBJETIVO DEL PROCESO</t>
  </si>
  <si>
    <t>PLANEACIÓN INSTITUCIONAL</t>
  </si>
  <si>
    <t>PUNTOS DE RIESGO EN LA CADENA DE VALOR</t>
  </si>
  <si>
    <t>Dirigir, formular, coordinar y ejecutar los planes, programas y proyectos de la administración municipal, acorde a los lineamientos nacionales, departamentales y necesidades identificadas de la comunidad, para contribuir con el bienestar y el progreso de los ciudadanos con sostenibilidad social, económica, urbana y ambiental.</t>
  </si>
  <si>
    <t>Plan Desarrollo Municipal 
Plan de Ordenamiento Territorial
Plan Anticorrupción
Planes de trabajo del MIPG</t>
  </si>
  <si>
    <t>Formulación de planes, programas, y proyectos y seguimiento a planes institucionales.</t>
  </si>
  <si>
    <t>MATRIZ DOFA</t>
  </si>
  <si>
    <t>DEBILIDADES</t>
  </si>
  <si>
    <t>AMENAZAS</t>
  </si>
  <si>
    <t>Demora en la entrega de información a nivel general</t>
  </si>
  <si>
    <t>Inestabilidad cambiaria</t>
  </si>
  <si>
    <t>Debilidad en el proceso de implementación de la Politica Gestión del Conocimiento</t>
  </si>
  <si>
    <t xml:space="preserve">Crisis económica </t>
  </si>
  <si>
    <t>Falta de planeación y gestión para el logro de compromisos adquiridos</t>
  </si>
  <si>
    <t>Disminución del recaudo de la entidad territorial</t>
  </si>
  <si>
    <t>Infraestructura tecnológica deficiente</t>
  </si>
  <si>
    <t>Alta tasa de informalidad</t>
  </si>
  <si>
    <t>La pérdida de la curva de aprendizaje por la no continuidad del personal contratista</t>
  </si>
  <si>
    <t>Crisis política y humanitaria en Venezuela</t>
  </si>
  <si>
    <t>El espacio fisico de las oficinas no es adecuado para el desarrollo de las actividades propias y de atención a la comunidad</t>
  </si>
  <si>
    <t>Altos niveles de inseguridad ciudadana</t>
  </si>
  <si>
    <t>Insuficiencia de recurso humano y financiero para atender toda la problemática del Municipio</t>
  </si>
  <si>
    <t>Normas que afectan los objetivos de la institución</t>
  </si>
  <si>
    <t>Deficiente receptividad de las dependencias frente a la aplicación de instrumentos de monitoreo y seguimiento a los proceso</t>
  </si>
  <si>
    <t>Población en situación de vulnerabilidad.</t>
  </si>
  <si>
    <t xml:space="preserve">Falta de un sistema eficaz que optimice  la trazabilidad y respuesta oportuna de las PQRSD </t>
  </si>
  <si>
    <t>Polarización Política Nacional.</t>
  </si>
  <si>
    <t>Deficientes controles en la sistematización de la información que se genera en la dependencia (Perdida de memoria institucional)</t>
  </si>
  <si>
    <t>Recortes presupuestales del orden Nacional y Departamental</t>
  </si>
  <si>
    <t xml:space="preserve">Alternancia en el trabajo </t>
  </si>
  <si>
    <t>Cambios normativos frecuentes en temas de contratación pública</t>
  </si>
  <si>
    <t>Perdida de confianza por parte de la comunidad, hacía la institución.</t>
  </si>
  <si>
    <t>Altos niveles de población flotante de personas en situación de desplazamiento</t>
  </si>
  <si>
    <t xml:space="preserve">Deficiencia en la claridad por parte de cada área de sus competencias. </t>
  </si>
  <si>
    <t>Emergencia sanitaria por el COVID-19</t>
  </si>
  <si>
    <t>Alteraciones en el orden público</t>
  </si>
  <si>
    <t>FORTALEZAS</t>
  </si>
  <si>
    <t>OPORTUNIDADES</t>
  </si>
  <si>
    <t>Experiencia y compromisos de los servidores públicos vinculados al proceso</t>
  </si>
  <si>
    <t>La participación de la comunidad en los procesos de planificación</t>
  </si>
  <si>
    <t>Planeación del desarrollo territorial</t>
  </si>
  <si>
    <t>La gestión preventida que realiza la Oficina de Control Interno de Gestión</t>
  </si>
  <si>
    <t>Cumplimiento en el seguimiento al Plan de Desarrollo en sus líneas de acción</t>
  </si>
  <si>
    <t>Vias de acceso</t>
  </si>
  <si>
    <t>Implementación y mejoramiento del Modelo Integrado de Planeación y Gestión - MIPG.</t>
  </si>
  <si>
    <t>Situación Geopolítica de la entidad territorial</t>
  </si>
  <si>
    <t>Política de Administración de Riesgos actualizada</t>
  </si>
  <si>
    <t>Políticas de transferencia de recursos</t>
  </si>
  <si>
    <t>Empoderamiento, responsabilidad y compromiso por el líder del proceso Planeación Estratégica</t>
  </si>
  <si>
    <t>Reconocimiento de la atención de calidad brindada por los servidores públicos</t>
  </si>
  <si>
    <t>Conocimiento del desarrollo de los procesos</t>
  </si>
  <si>
    <t>Buena posición en el ranking de ciudades prósperas de Colombia</t>
  </si>
  <si>
    <t>Identificación del patrimonio inmobiliario del municipio.</t>
  </si>
  <si>
    <t>Desarrollo e implementacion de plataformas tecnológicas que facilitan las actividades laborales</t>
  </si>
  <si>
    <t>Capacitación y mejoramiento de procesos por parte de funcionarios</t>
  </si>
  <si>
    <t>Buenas prácticas bajo lineamientos del Departamento Nacional de Planeación y Departamento Administrativo de la Función Pública.</t>
  </si>
  <si>
    <t>Herramientas de planificación dinámicas para el seguimiento y monitoreo de planes institucionales</t>
  </si>
  <si>
    <t xml:space="preserve">Medios de transporte </t>
  </si>
  <si>
    <t>Trabajo en equipo y excelentes relaciones interpersonales</t>
  </si>
  <si>
    <t xml:space="preserve">Gestión en habilidades comportamentales o conductuales para los servidores públicos. </t>
  </si>
  <si>
    <t>MAPA DE RIESGOS VIGENCIA 2021</t>
  </si>
  <si>
    <t>Código: F-DPM-1210-238,37-013</t>
  </si>
  <si>
    <t>Versión: 2.0</t>
  </si>
  <si>
    <t>Fecha: Abril -28-2021</t>
  </si>
  <si>
    <t xml:space="preserve">Página: 1 de 1 </t>
  </si>
  <si>
    <t>OBJETIVO:</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</si>
  <si>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</si>
  <si>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</si>
  <si>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</si>
  <si>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</si>
  <si>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</si>
  <si>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</si>
  <si>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</si>
  <si>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</si>
  <si>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</si>
  <si>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</si>
  <si>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</si>
  <si>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</si>
  <si>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</si>
  <si>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</si>
  <si>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</si>
  <si>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</si>
  <si>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</si>
  <si>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</si>
  <si>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</si>
  <si>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</si>
  <si>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</si>
  <si>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</si>
  <si>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</si>
  <si>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</si>
  <si>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</si>
  <si>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</si>
  <si>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</si>
  <si>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</si>
  <si>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Reputacional</t>
  </si>
  <si>
    <t>Investigaciones disciplinarias y sanciones por entes de control.</t>
  </si>
  <si>
    <t xml:space="preserve">Debido a la formulación, construcción y seguimiento de planes no articulados con los lineamientos del orden nacional, departamental, territorial y plan financiero. </t>
  </si>
  <si>
    <t xml:space="preserve">Posibilidad de afectación reputacional por posibles investigaciones y sanciones disciplinarias por entes de control, debido a la formulación, construcción y seguimiento de los planes no articulados con los lineamientos del orden nacional, departamental, territorial y plan financiero. </t>
  </si>
  <si>
    <t>Ejecución y administración de procesos</t>
  </si>
  <si>
    <t xml:space="preserve">     El riesgo afecta la imagen de de la entidad con efecto publicitario sostenido a nivel de sector administrativo, nivel departamental o municipal</t>
  </si>
  <si>
    <t>El Coordinador del Grupo de Desarrollo Económico de la Secretaría de Planeación verifica que los planes institucionales formulados estén articulados con los lineamientos y normativa del orden nacional, departamental, municipal y acorde con los procedimientos aprobados por el SIGC, así como, con las herramientas de planificación establecidas para realizar el seguimiento.</t>
  </si>
  <si>
    <t>Probabilidad</t>
  </si>
  <si>
    <t>Preventivo</t>
  </si>
  <si>
    <t>Manual</t>
  </si>
  <si>
    <t>Documentado</t>
  </si>
  <si>
    <t>Continua</t>
  </si>
  <si>
    <t>Con Registro</t>
  </si>
  <si>
    <t>Reducir (mitigar)</t>
  </si>
  <si>
    <t>Realizar 1 socialización sobre los lineamientos y normas vigentes para la formulación y seguimiento de planes, dirigido al personal encargado del tema.</t>
  </si>
  <si>
    <t>Coordinador GDE</t>
  </si>
  <si>
    <t>El Secretario de Planeación Municipal y  el  Grupo de Desarrollo Económico, realizan seguimiento y monitoreo trimestral a los planes institucionales, con el objetivo de verificar el avance en el cumplimiento físico de las metas y la ejecución de los recursos financieros, siguiendo los lineamientos del orden nacional y normas vigentes.</t>
  </si>
  <si>
    <t>Detectivo</t>
  </si>
  <si>
    <t>30%</t>
  </si>
  <si>
    <t>Realizar 2 seguimientos a planes institucionales (PDM, PIZ y PT MIPG) para verificar el avance en el cumplimiento físico de metas y ejecución de recursos financieros.</t>
  </si>
  <si>
    <t>Secretario de Planeación - Coordinador GDE</t>
  </si>
  <si>
    <t>Económico y reputacional</t>
  </si>
  <si>
    <t>Incumplimiento en las normas vigentes en las diferentes etapas de la contratación (precontractual, contractual y postcontractual) que puedan afectar la obtención y cumplimiento del objeto contractual</t>
  </si>
  <si>
    <t>Posibilidad de afectación económica y reputacional por investigaciones disciplinarias y sanciones por entes de control, debido al incumplimiento en las normas vigentes en las diferentes etapas de la contratación (precontractual, contractual y postcontractual) que puedan afectar la obtención y cumplimiento del objeto contractual.</t>
  </si>
  <si>
    <t xml:space="preserve">     El riesgo afecta la imagen de la entidad con algunos usuarios de relevancia frente al logro de los objetivos</t>
  </si>
  <si>
    <t xml:space="preserve">El profesional de contratación verifica la normatividad que se aplica y los requisitos de acuerdo con la modalidad de contratación, a través de la elaboración de los documentos en las diferentes etapas del contrato y requisitos establecidos en las hojas de ruta adoptados por la entidad. </t>
  </si>
  <si>
    <t>40%</t>
  </si>
  <si>
    <t>Realizar 3 seguimientos de los procesos contractuales registrados en las plataformas SECOP y SIA OBSERVA  a través de una lista de chequeo</t>
  </si>
  <si>
    <t xml:space="preserve">Profesional de Contratación </t>
  </si>
  <si>
    <t>El profesional  encargado de la contratación, cada vez que se celebre un contrato o convenio, revisa y valida a través  de las plataformas SECOP y SIA OBSERVA la publicacion de los documentos de acuerdo a la ley en cada una de las faces.</t>
  </si>
  <si>
    <t>Publicar el 100% de los documentos contractuales requeridos en el SECOP y SIA OBSERVA, dentro de los tiempos establecidos por la ley.</t>
  </si>
  <si>
    <t xml:space="preserve">Los profesionales designados para la supervisión de contratos validan los documentos presentados en las cuentas de cobro y certifican el cumplimiento del objeto contractual. </t>
  </si>
  <si>
    <t>Revisar el 100% de la documentación reportada en las cuentas de cobro y certificar el cumplimiento del objeto contractual.</t>
  </si>
  <si>
    <t xml:space="preserve">Supervisores designados </t>
  </si>
  <si>
    <t>Económico</t>
  </si>
  <si>
    <t>Investigaciones disciplinarias y sanciones por entes de control</t>
  </si>
  <si>
    <t xml:space="preserve">Incumplimiento de requisitos mínimos en la presentación de proyectos de inversión por parte de las oficinas gestoras. </t>
  </si>
  <si>
    <t>Posibilidad de afectación económica por investigaciones disciplinarias y sanciones por entes de control debido al incumplimiento de requisitos mínimos en la presentación de proyectos de inversión por parte de las oficinas gestoras</t>
  </si>
  <si>
    <t xml:space="preserve">     Entre 10 y 50 SMLMV </t>
  </si>
  <si>
    <t>El profesional del Banco de Proyectos, realiza la revisión técnico - documental del proyecto de inversión, verificando el cumplimiento de los requisitos sectoriales (Acuerdo 045 de 2017 y modificado parcialmente por el Acuerdo 052 de 2018) y descritos en el formato F-DPM-1210-238,37-016 Ficha de verificación de requisitos.</t>
  </si>
  <si>
    <t>Realizar 2 jornadas de socialización de formulación y seguimiento en proyectos de inversión</t>
  </si>
  <si>
    <t>Líder del Banco de Proyectos</t>
  </si>
  <si>
    <t xml:space="preserve">El profesional con la credencial de control de formulación y viabilidad, verifica los requisitos y viabilidad metodológica de proyectos en la plataforma SUIPF </t>
  </si>
  <si>
    <t xml:space="preserve">Expedir el 100% de las certificaciones del Banco de Proyectos, una vez realizado el proceso de registros y ajustes de los proyectos de inversión </t>
  </si>
  <si>
    <t xml:space="preserve">Incumplimiento de requisitos mínimos en la presentación de proyectos de presupuesto participativo  por parte de los actores establecidos en la norma </t>
  </si>
  <si>
    <t xml:space="preserve">Posibilidad de afectación reputacional por investigaciones disciplinarias y sanciones por entes de control debido al incumplimiento de requisitos mínimos en la presentación de proyectos de presupuesto participativo por parte de los actores establecidos en la norma  </t>
  </si>
  <si>
    <t>Los profesionales del equipo facilitador de Presupuestos Participativos, verifican los requisitos de los proyectos priorizados para cada vigencia de acuerdo con lo establecido en la normatividad vigente y en los formatos ACTA ASAMBLEA DE RESIDENTES PARA GENERAR EL ACUERDO DE BARRIO O VEREDA F-DPM-1210-238,37-017; ACTA REUNIÓN CERRADA PARA GENERAR EL ACUERDO DE COMUNA O CORREGIMIENTO F-DPM-1210-238,37-019.</t>
  </si>
  <si>
    <t>Realizar un (1) informe de cumplimiento de requisitos en los proyectos priorizados, ante el Comité Técnico de Presupuestos Participativos</t>
  </si>
  <si>
    <t>Profesional de Presupuestos Participativos</t>
  </si>
  <si>
    <t>Investigaciones disciplinarias y sanciones por entes de control; y demandas de los peticionarios</t>
  </si>
  <si>
    <t xml:space="preserve">Incumplimiento de los tiempos de respuesta a las solicitudes de los controles de obra, perfiles viales y concepto de uso de suelo por deficiencias en la trazabilidad de la información </t>
  </si>
  <si>
    <t xml:space="preserve">Posibilidad de afectación económica y reputacional por investigaciones disciplinarias y sanciones por entes de control y demandas de los peticionarios debido al incumplimiento de los tiempos de respuesta a las solicitudes de los controles de obra, perfiles viales y concepto de uso de suelo por deficiencias en la trazabilidad de la información </t>
  </si>
  <si>
    <t>Los profesionales encargados de Control de Obra, perfiles viales y concepto de uso de suelo verifican las respuestas de las solicitudes internas y externas, dentro de los términos dispuestos por la ley a través de una base de datos del sistema gestión de solicitudes del ciudadano de la entidad.</t>
  </si>
  <si>
    <t xml:space="preserve">Realizar dos informes (2) de los seguimientos por grupo, a las respuestas de las solicitudes internas y externas, mediante el sistema gestión de solicitudes del ciudadano de la entidad. </t>
  </si>
  <si>
    <t>Profesionales de Control de Obra, perfiles viales y Concepto de uso de suelo</t>
  </si>
  <si>
    <t>Sanciones e investigaciones de entes de control y judiciales</t>
  </si>
  <si>
    <t>Fallas en el Sistema GSC Gestion de Servicio al Ciudadano, en el direccionamiento de actuaciones judiciales, generando multiplicidad de notificaciones y extemporaneidad en la respuesta</t>
  </si>
  <si>
    <t>Posibilidad de afectación económica y reputacional por sanciones e investigaciones de entes de control y judiciales, debido a fallas en el Sistema GSC Gestion de Servicio al Ciudadano, en el direccionamiento de actuaciones judiciales, generando multiplicidad de notificaciones y extemporaneidad en la respuesta</t>
  </si>
  <si>
    <t>La Coordinadora del grupo jurídico de la Secretaría de Planeación verifica en el Sistema GSC Gestion de Servicio al Ciudadano y el correo electrónico de uso unico y exclusivo las notificaciones judiciales, para dar respuesta en los terminos de ley.</t>
  </si>
  <si>
    <t>Realizar un (1) requerimiento a la Secretaría Jurídica para que las notificaciones de asuntos judiciales se direccionen por un canal único y no, por la plataforma de PQRSD</t>
  </si>
  <si>
    <t>Coordinadora del grupo jurídico de la Secretaría de Planeación</t>
  </si>
  <si>
    <t>Debido a la desactualización de la información catastral básica para mantener los procesos de  actualización de estratos a nivel urbano y rural del municipio</t>
  </si>
  <si>
    <t>Posible afectación económica y reputacional por investigaciones disciplinarias y sanciones por entes de control, debido a la desactualización de la información catastral básica para mantener los procesos de actualización de estratos a nivel urbano y rural del municipio</t>
  </si>
  <si>
    <t xml:space="preserve">El coordinador del Grupo de Estratificación revisa y actualiza la información catastral de los predios urbanos y rurales del municipio, teniendo en cuenta la información remitida por parte del ente catastral de acuerdo con la normatividad vigente </t>
  </si>
  <si>
    <t xml:space="preserve">Realizar y radicar una (1) solicitud al ente catastral sobre la necesidad de la entrega oportuna de la información actualizada de los predios urbanos y rurales del municipio </t>
  </si>
  <si>
    <t>Secretario de Planeación y Coordinador del Grupo de Estratificación</t>
  </si>
  <si>
    <t>El coordinador del Grupo de Estratificación verifica que las observaciones impartidas en el Comité de Estratificación en cuanto a las actualizaciones de información catastral, sean utilizadas para el proceso de estratificación de predios urbanos y rurales del municipio</t>
  </si>
  <si>
    <t xml:space="preserve">Revisar y actualizar semestralmente, la base de datos de acuerdo con las observaciones reportadas por el Comité de Estratificación </t>
  </si>
  <si>
    <t>Coordinador GES</t>
  </si>
  <si>
    <t xml:space="preserve">Posibles investigaciones de entes de control y pérdida de confianza y credibilidad </t>
  </si>
  <si>
    <t xml:space="preserve">Deficiente información técnica en factores de amenaza y riesgo que reposa en el municipio, genera demora en la respuesta de las solicitudes de legalización de asentamientos </t>
  </si>
  <si>
    <t>Posibilidad de afectación reputacional por posibles investigaciones de entes de control y pérdida de confianza y credibilidad en la entidad, debido a la deficiente información técnica en factores de amenaza y riesgo que reposa en el municipio, lo que genera demora en la respuesta de las solicitudes de legalización de asentamientos humanos allegadas por la comunidad</t>
  </si>
  <si>
    <t xml:space="preserve">El profesional encargado revisa la información de amenaza, vulnerabilidad y riesgo a través de los resultados de estudios realizados por las entidades involucradas (autoridades ambientales, UNGRD) </t>
  </si>
  <si>
    <t>Realizar una (1) solicitud de información y estudios de amenaza, vulnerabilidad y riesgo realizados, en el marco del Comité Municipal de Gestión del riesgo y a las entidades que no pertenezcan a éste comité.</t>
  </si>
  <si>
    <t xml:space="preserve">Secretario de Planeación </t>
  </si>
  <si>
    <t>Investigaciones, sanciones de los entes de control,  pérdida de  imagen y credibilidad de la Administración Municipal.</t>
  </si>
  <si>
    <t xml:space="preserve">Inadecuada categorizacion del municipio por el incumplimiento de las normas que orientan el desarrollo de la misma </t>
  </si>
  <si>
    <t>Posibilidad de afectación económica y reputacional por investigaciones,  sanciones de los entes de control, pérdida de imagen y credibilidad de la Administración Municipal, debido a la inadecuada categorización del municipio por el incumplimiento de las normas que orientan el desarrollo de la misma</t>
  </si>
  <si>
    <t>El Secretario de Planeación verifica la evaluación técnica y la  emisión de concepto para la proyección del decreto por medio del cual se categoriza el municipio de Bucaramanga para la respectiva vigencia de acuerdo al procedimiento aprobado por el SIGC.</t>
  </si>
  <si>
    <t>Elaborar un (1) proyecto de decreto de Categorización anual del municipio en el marco de las normas y el PROCEDIMIENTO PARA LA CATEGORIZACION ANUAL DEL MUNICIPIO DE BUCARAMANGA P-DPM-1240-170-009</t>
  </si>
  <si>
    <t>Investigaciones y sanciones de los entes de control</t>
  </si>
  <si>
    <t xml:space="preserve">Deficientes controles en la revisión de Licencias  que presentan irregularidades por incumplimiento al Decreto 1469 del 2010 Articulo 63 competencia de Control Urbano </t>
  </si>
  <si>
    <t xml:space="preserve">Posibilidad de afectación económica y reputacional por investigaciones y  sanciones de los entes de control, debido a los deficientes controles en la revisión de Licencias  que presentan irregularidades por incumplimiento al Decreto 1469 del 2010 Articulo 63 competencia de Control Urbano </t>
  </si>
  <si>
    <t xml:space="preserve">El profesional encargado del Plan de Ordenamiento Territorial verifica las Licencias otorgadas por las Curadurías Urbanas y remite a las Inspecciones competentes, aquellas  que presenten  irregularidades con el fin de  adelantar las acciones policivas correspondientes </t>
  </si>
  <si>
    <t xml:space="preserve">Realizar (1) seguimiento y control a las Licencias otorgadas por las Curadurías Urbanas y remitir  a las Inspecciones competentes,  aquellas  que presenten  irregularidades con el fin de  adelantar las acciones policivas correspondientes </t>
  </si>
  <si>
    <t>Profesional del POT</t>
  </si>
  <si>
    <t>Disminución de recursos por parte del sitema general de participación, para la implementación y ejcución de los programas sociales en el ente territorial  y suspensión de la publicación de la base de datos por parte del DNP</t>
  </si>
  <si>
    <t xml:space="preserve">Debido a la deficiente infraestructura, conectividad tecnólogica,  escaso recurso humano y personal que no cuenta con el perfil esencial, factores que generan la demora para mantener actualizada la base de datos. </t>
  </si>
  <si>
    <t xml:space="preserve">Posibilidad de afectación económica y reputacional, por disminución de recursos por parte del sitema general de participación, para la implementación y ejecución de los programas sociales en el ente territorial y suspensión de la publicación de la base de datos por parte del DNP, debido a la deficiente infraestructura, conectividad tecnólogica,  escaso recurso humano y personal que no cuenta con el perfil esencial, factores que generan la demora para mantener actualizada la base de datos. </t>
  </si>
  <si>
    <t>El Coordinador del grupo del SISBEN verifica el cumplimiento de los lineamientos y normativa del orden nacional y departamental, acorde con los procedimientos establecidos a través de seguimientos permanentes.</t>
  </si>
  <si>
    <t>Realizar 2 informes de los seguimientos al cumplimiento de los lineamientos y normativa del orden nacional y departamental, acorde con los procedimientos establecidos.</t>
  </si>
  <si>
    <t>Secretario de Planeación - Coordinador Sisben</t>
  </si>
  <si>
    <t>El Coordinador del grupo del SISBEN verifica que el personal adscrito al SISBEN da cumplimiento a la normatividad (Decreto 441 de marzo de 2017) y aplicación de procedimientos aprobados por el SIGC y lineamientos del DNP.</t>
  </si>
  <si>
    <t>Realizar una (1) socialización al personal adscrito al SISBEN encargados de verificar el manejo de los diferentes procesos, normatividad y aplicación de la misma (Deceto 441 de marzo 2017).</t>
  </si>
  <si>
    <t xml:space="preserve"> Coordinador Sisben</t>
  </si>
  <si>
    <t>El Coordinador del grupo del SISBEN verifica los requerimientos de la infraestructura tecnológica, de talento humano y espacio físico para dar cumplimiento a los lineamientos del DNP y la demanda de usuarios.</t>
  </si>
  <si>
    <t>Realizar 2 requerimientos a la alta dirección para el mejoramiento de la infraestructura tecnológica, espacio físico y talento humano.</t>
  </si>
  <si>
    <t>Incumplimiento de la normatividad archivística en los documentos emanados de la Secretaría de Planeación</t>
  </si>
  <si>
    <t>Posibilidad de afectación reputacional por posibles investigaciones y sanciones disciplinarias por entes de control, debido al incumplimiento de la normatividad archivística en los documentos emanados de la Secretaría de Planeación</t>
  </si>
  <si>
    <t>El auxiliar de archivo verifica la trazabilidad y registro de préstamo de documentos a entes de control y personal de la Secretaría, a través del formato Control préstamo de documentos de archivo de gestión F-GDO-8600-238,37-018 y PRESTAMO DE PLANOS, LICENCIAS DE CONSTRUCCIÓN  Y ANEXOS QUE REPOSEN EN EL ARCHIVO DE PLANOS  F-DPM-1220-238,37-011</t>
  </si>
  <si>
    <t>Realizar 2 seguimientos de los registros de prestamo de documentos para solicitarlos en caso de no encontrarse devueltos</t>
  </si>
  <si>
    <t>Auxiliar de archivo</t>
  </si>
  <si>
    <t>El auxiliar de archivo verifica las tablas de retención documental vigentes para organizar el archivo de las vigencias anteriores acorde al cronograma de trabajo establecido.</t>
  </si>
  <si>
    <t>Realizar una (1) jornada para organizar  el archivo de las vigencias anteriores de acuerdo a las tablas de retención documental vigentes acorde al cronograma de trabajo establecido.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</si>
  <si>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</si>
  <si>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</si>
  <si>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</si>
  <si>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</si>
  <si>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</si>
  <si>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</si>
  <si>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</si>
  <si>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</si>
  <si>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</si>
  <si>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</si>
  <si>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</si>
  <si>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</si>
  <si>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</si>
  <si>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</si>
  <si>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</si>
  <si>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</si>
  <si>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</si>
  <si>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</si>
  <si>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</si>
  <si>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</si>
  <si>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</si>
  <si>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</si>
  <si>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</si>
  <si>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</si>
  <si>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</si>
  <si>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</si>
  <si>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</si>
  <si>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</si>
  <si>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</si>
  <si>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</si>
  <si>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</si>
  <si>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</si>
  <si>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</si>
  <si>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</si>
  <si>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</si>
  <si>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</si>
  <si>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</si>
  <si>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</si>
  <si>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</si>
  <si>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</si>
  <si>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</si>
  <si>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</si>
  <si>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</si>
  <si>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</si>
  <si>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</si>
  <si>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</si>
  <si>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</si>
  <si>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</si>
  <si>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</si>
  <si>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</si>
  <si>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</si>
  <si>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</si>
  <si>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</si>
  <si>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</si>
  <si>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</si>
  <si>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</si>
  <si>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</si>
  <si>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</si>
  <si>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</si>
  <si>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</si>
  <si>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</si>
  <si>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</si>
  <si>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</si>
  <si>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</si>
  <si>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</si>
  <si>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</si>
  <si>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</si>
  <si>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</si>
  <si>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</si>
  <si>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</si>
  <si>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</si>
  <si>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</si>
  <si>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</si>
  <si>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</si>
  <si>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</si>
  <si>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</si>
  <si>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</si>
  <si>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</si>
  <si>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</si>
  <si>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</si>
  <si>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</si>
  <si>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</si>
  <si>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</si>
  <si>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</si>
  <si>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</si>
  <si>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</si>
  <si>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</si>
  <si>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</si>
  <si>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</si>
  <si>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</si>
  <si>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</si>
  <si>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</si>
  <si>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Evitar</t>
  </si>
  <si>
    <t>Reducir (compartir)</t>
  </si>
  <si>
    <t>Plan de acción (solo para la opción reducir)</t>
  </si>
  <si>
    <t>Finalizado</t>
  </si>
  <si>
    <t>En curso</t>
  </si>
  <si>
    <t>Daños activos físicos</t>
  </si>
  <si>
    <t>Fallas tecnológicas</t>
  </si>
  <si>
    <t>Fraude externo</t>
  </si>
  <si>
    <t>Fraude interno</t>
  </si>
  <si>
    <t>Relaciones laborales</t>
  </si>
  <si>
    <t>Usuarios, productos y practicas,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</si>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</sst>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11"/>
      <color rgb="FF000000"/>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9">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diagonal/>
    </border>
    <border>
      <left style="thin">
        <color indexed="64"/>
      </left>
      <right style="thin">
        <color indexed="64"/>
      </right>
      <top/>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29" fillId="0" borderId="0"/>
    <xf numFmtId="0" fontId="30" fillId="0" borderId="0"/>
    <xf numFmtId="0" fontId="5" fillId="0" borderId="0"/>
  </cellStyleXfs>
  <cellXfs count="57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0"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0" fillId="3" borderId="0" xfId="0" applyFill="1"/>
    <xf numFmtId="0" fontId="31" fillId="3" borderId="36" xfId="2" applyFont="1" applyFill="1" applyBorder="1" applyProtection="1"/>
    <xf numFmtId="0" fontId="31" fillId="3" borderId="37" xfId="2" applyFont="1" applyFill="1" applyBorder="1" applyProtection="1"/>
    <xf numFmtId="0" fontId="31" fillId="3" borderId="38" xfId="2" applyFont="1" applyFill="1" applyBorder="1" applyProtection="1"/>
    <xf numFmtId="0" fontId="12" fillId="3" borderId="0" xfId="0" applyFont="1" applyFill="1" applyAlignment="1">
      <alignment vertical="center"/>
    </xf>
    <xf numFmtId="0" fontId="5" fillId="3" borderId="0" xfId="0" applyFont="1" applyFill="1"/>
    <xf numFmtId="0" fontId="23" fillId="3" borderId="19" xfId="0" applyFont="1" applyFill="1" applyBorder="1" applyAlignment="1">
      <alignment horizontal="justify" vertical="center" wrapText="1" readingOrder="1"/>
    </xf>
    <xf numFmtId="9" fontId="22" fillId="3" borderId="28" xfId="0" applyNumberFormat="1" applyFont="1" applyFill="1" applyBorder="1" applyAlignment="1">
      <alignment horizontal="center" vertical="center" wrapText="1" readingOrder="1"/>
    </xf>
    <xf numFmtId="0" fontId="23" fillId="3" borderId="18" xfId="0" applyFont="1" applyFill="1" applyBorder="1" applyAlignment="1">
      <alignment horizontal="justify" vertical="center" wrapText="1" readingOrder="1"/>
    </xf>
    <xf numFmtId="9" fontId="22" fillId="3" borderId="23" xfId="0" applyNumberFormat="1" applyFont="1" applyFill="1" applyBorder="1" applyAlignment="1">
      <alignment horizontal="center" vertical="center" wrapText="1" readingOrder="1"/>
    </xf>
    <xf numFmtId="0" fontId="23" fillId="3" borderId="23" xfId="0" applyFont="1" applyFill="1" applyBorder="1" applyAlignment="1">
      <alignment horizontal="center" vertical="center" wrapText="1" readingOrder="1"/>
    </xf>
    <xf numFmtId="0" fontId="23" fillId="3" borderId="25" xfId="0" applyFont="1" applyFill="1" applyBorder="1" applyAlignment="1">
      <alignment horizontal="justify" vertical="center" wrapText="1" readingOrder="1"/>
    </xf>
    <xf numFmtId="0" fontId="23" fillId="3" borderId="26" xfId="0" applyFont="1" applyFill="1" applyBorder="1" applyAlignment="1">
      <alignment horizontal="center" vertical="center" wrapText="1" readingOrder="1"/>
    </xf>
    <xf numFmtId="0" fontId="28"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1" fillId="3" borderId="4" xfId="2" applyFont="1" applyFill="1" applyBorder="1" applyProtection="1"/>
    <xf numFmtId="0" fontId="36" fillId="3" borderId="0" xfId="0" applyFont="1" applyFill="1" applyBorder="1" applyAlignment="1" applyProtection="1">
      <alignment horizontal="left" vertical="center" wrapText="1"/>
    </xf>
    <xf numFmtId="0" fontId="37" fillId="3" borderId="0" xfId="0" applyFont="1" applyFill="1" applyBorder="1" applyAlignment="1" applyProtection="1">
      <alignment horizontal="left" vertical="top" wrapText="1"/>
    </xf>
    <xf numFmtId="0" fontId="31" fillId="3" borderId="0" xfId="2" applyFont="1" applyFill="1" applyBorder="1" applyProtection="1"/>
    <xf numFmtId="0" fontId="31" fillId="3" borderId="5" xfId="2" applyFont="1" applyFill="1" applyBorder="1" applyProtection="1"/>
    <xf numFmtId="0" fontId="31" fillId="3" borderId="6" xfId="2" applyFont="1" applyFill="1" applyBorder="1" applyProtection="1"/>
    <xf numFmtId="0" fontId="31" fillId="3" borderId="8" xfId="2" applyFont="1" applyFill="1" applyBorder="1" applyProtection="1"/>
    <xf numFmtId="0" fontId="31" fillId="3" borderId="7" xfId="2" applyFont="1" applyFill="1" applyBorder="1" applyProtection="1"/>
    <xf numFmtId="0" fontId="34" fillId="3" borderId="0" xfId="2" quotePrefix="1" applyFont="1" applyFill="1" applyBorder="1" applyAlignment="1" applyProtection="1">
      <alignment horizontal="left" vertical="top" wrapText="1"/>
    </xf>
    <xf numFmtId="0" fontId="39" fillId="0" borderId="0" xfId="0" applyFont="1" applyAlignment="1">
      <alignment horizontal="center" vertical="center"/>
    </xf>
    <xf numFmtId="0" fontId="39" fillId="0" borderId="0" xfId="0" applyFont="1"/>
    <xf numFmtId="0" fontId="39" fillId="0" borderId="0" xfId="0" applyFont="1" applyAlignment="1">
      <alignment horizontal="center"/>
    </xf>
    <xf numFmtId="0" fontId="18" fillId="3" borderId="0" xfId="0" applyFont="1" applyFill="1"/>
    <xf numFmtId="0" fontId="18" fillId="0" borderId="0" xfId="0" applyFont="1"/>
    <xf numFmtId="14" fontId="1" fillId="0" borderId="18" xfId="0" applyNumberFormat="1" applyFont="1" applyBorder="1" applyAlignment="1" applyProtection="1">
      <alignment horizontal="center" vertical="center"/>
      <protection locked="0"/>
    </xf>
    <xf numFmtId="0" fontId="44" fillId="3" borderId="0" xfId="0" applyFont="1" applyFill="1" applyBorder="1" applyAlignment="1">
      <alignment horizontal="justify" vertical="center" wrapText="1" readingOrder="1"/>
    </xf>
    <xf numFmtId="0" fontId="44" fillId="0" borderId="0" xfId="0" applyFont="1" applyBorder="1" applyAlignment="1">
      <alignment horizontal="justify" vertical="center" wrapText="1" readingOrder="1"/>
    </xf>
    <xf numFmtId="0" fontId="39"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4" fillId="12" borderId="18" xfId="0" applyFont="1" applyFill="1" applyBorder="1" applyAlignment="1">
      <alignment horizontal="center" vertical="center" textRotation="90"/>
    </xf>
    <xf numFmtId="0" fontId="1" fillId="0" borderId="23" xfId="0" applyFont="1" applyBorder="1" applyAlignment="1" applyProtection="1">
      <alignment horizontal="center" vertical="center"/>
      <protection locked="0"/>
    </xf>
    <xf numFmtId="0" fontId="1" fillId="0" borderId="0" xfId="0" applyFont="1" applyBorder="1"/>
    <xf numFmtId="0" fontId="1" fillId="0" borderId="5" xfId="0" applyFont="1" applyBorder="1"/>
    <xf numFmtId="0" fontId="31" fillId="3" borderId="4" xfId="2" applyFont="1" applyFill="1" applyBorder="1" applyAlignment="1" applyProtection="1">
      <alignment horizontal="left" vertical="top" wrapText="1"/>
    </xf>
    <xf numFmtId="0" fontId="31" fillId="3" borderId="0" xfId="2" applyFont="1" applyFill="1" applyBorder="1" applyAlignment="1" applyProtection="1">
      <alignment horizontal="left" vertical="top" wrapText="1"/>
    </xf>
    <xf numFmtId="0" fontId="31" fillId="3" borderId="5" xfId="2" applyFont="1" applyFill="1" applyBorder="1" applyAlignment="1" applyProtection="1">
      <alignment horizontal="left" vertical="top" wrapText="1"/>
    </xf>
    <xf numFmtId="0" fontId="34" fillId="3" borderId="80" xfId="2" quotePrefix="1" applyFont="1" applyFill="1" applyBorder="1" applyAlignment="1" applyProtection="1">
      <alignment horizontal="left" vertical="top" wrapText="1"/>
    </xf>
    <xf numFmtId="0" fontId="31" fillId="0" borderId="80" xfId="2" quotePrefix="1" applyFont="1" applyBorder="1" applyAlignment="1" applyProtection="1">
      <alignment horizontal="left" vertical="top" wrapText="1"/>
    </xf>
    <xf numFmtId="0" fontId="31" fillId="3" borderId="80" xfId="2" applyFont="1" applyFill="1" applyBorder="1" applyProtection="1"/>
    <xf numFmtId="0" fontId="0" fillId="3" borderId="5" xfId="0" applyFill="1" applyBorder="1"/>
    <xf numFmtId="0" fontId="33" fillId="3" borderId="0" xfId="2" quotePrefix="1" applyFont="1" applyFill="1" applyBorder="1" applyAlignment="1" applyProtection="1">
      <alignment horizontal="left" vertical="top" wrapText="1"/>
    </xf>
    <xf numFmtId="0" fontId="35" fillId="3" borderId="0" xfId="2" quotePrefix="1" applyFont="1" applyFill="1" applyBorder="1" applyAlignment="1" applyProtection="1">
      <alignment horizontal="left" vertical="top" wrapText="1"/>
    </xf>
    <xf numFmtId="0" fontId="35" fillId="3" borderId="80" xfId="2" quotePrefix="1" applyFont="1" applyFill="1" applyBorder="1" applyAlignment="1" applyProtection="1">
      <alignment horizontal="left" vertical="top" wrapText="1"/>
    </xf>
    <xf numFmtId="0" fontId="35" fillId="3" borderId="88" xfId="2" quotePrefix="1" applyFont="1" applyFill="1" applyBorder="1" applyAlignment="1" applyProtection="1">
      <alignment horizontal="left" vertical="top" wrapText="1"/>
    </xf>
    <xf numFmtId="0" fontId="31" fillId="3" borderId="88" xfId="2" applyFont="1" applyFill="1" applyBorder="1" applyProtection="1"/>
    <xf numFmtId="0" fontId="27" fillId="16" borderId="89" xfId="0" applyFont="1" applyFill="1" applyBorder="1" applyAlignment="1">
      <alignment horizontal="left" vertical="center" wrapText="1" indent="1"/>
    </xf>
    <xf numFmtId="0" fontId="48" fillId="0" borderId="0" xfId="0" applyFont="1" applyAlignment="1">
      <alignment horizontal="center" vertical="center"/>
    </xf>
    <xf numFmtId="0" fontId="49" fillId="0" borderId="0" xfId="0" applyFont="1" applyAlignment="1">
      <alignment horizontal="center" vertical="center"/>
    </xf>
    <xf numFmtId="0" fontId="11" fillId="17" borderId="0" xfId="0" applyFont="1" applyFill="1" applyAlignment="1">
      <alignment wrapText="1"/>
    </xf>
    <xf numFmtId="0" fontId="39" fillId="0" borderId="0" xfId="0" applyFont="1" applyAlignment="1">
      <alignment vertical="center" wrapText="1"/>
    </xf>
    <xf numFmtId="0" fontId="50" fillId="0" borderId="0" xfId="0" applyFont="1" applyAlignment="1">
      <alignment horizontal="center" vertical="center" wrapText="1"/>
    </xf>
    <xf numFmtId="0" fontId="5" fillId="0" borderId="0" xfId="0" applyFont="1" applyAlignment="1">
      <alignment vertical="top" wrapText="1"/>
    </xf>
    <xf numFmtId="0" fontId="29" fillId="3" borderId="93" xfId="0" applyFont="1" applyFill="1" applyBorder="1" applyAlignment="1">
      <alignment vertical="center" wrapText="1"/>
    </xf>
    <xf numFmtId="0" fontId="11" fillId="17" borderId="0" xfId="0" applyFont="1" applyFill="1" applyAlignment="1">
      <alignment horizontal="left" vertical="top" wrapText="1"/>
    </xf>
    <xf numFmtId="0" fontId="29" fillId="3" borderId="94" xfId="0" applyFont="1" applyFill="1" applyBorder="1" applyAlignment="1">
      <alignment vertical="center" wrapText="1"/>
    </xf>
    <xf numFmtId="0" fontId="18" fillId="0" borderId="0" xfId="0" applyFont="1" applyBorder="1"/>
    <xf numFmtId="0" fontId="22" fillId="18" borderId="31" xfId="0" applyFont="1" applyFill="1" applyBorder="1" applyAlignment="1">
      <alignment horizontal="center" vertical="center" wrapText="1" readingOrder="1"/>
    </xf>
    <xf numFmtId="0" fontId="2" fillId="3" borderId="0" xfId="0" applyFont="1" applyFill="1"/>
    <xf numFmtId="0" fontId="52" fillId="3" borderId="0" xfId="0" applyFont="1" applyFill="1"/>
    <xf numFmtId="0" fontId="52" fillId="0" borderId="0" xfId="0" applyFont="1"/>
    <xf numFmtId="0" fontId="1" fillId="0" borderId="0" xfId="0" pivotButton="1" applyFont="1"/>
    <xf numFmtId="0" fontId="20" fillId="0" borderId="0" xfId="0" applyFont="1" applyFill="1"/>
    <xf numFmtId="0" fontId="53" fillId="0" borderId="0" xfId="0" applyFont="1"/>
    <xf numFmtId="0" fontId="54" fillId="0" borderId="0" xfId="0" applyFont="1"/>
    <xf numFmtId="0" fontId="2" fillId="0" borderId="0" xfId="0" applyFont="1"/>
    <xf numFmtId="0" fontId="6" fillId="3" borderId="0" xfId="0" applyFont="1" applyFill="1"/>
    <xf numFmtId="0" fontId="21" fillId="3" borderId="0" xfId="0" applyFont="1" applyFill="1"/>
    <xf numFmtId="0" fontId="56" fillId="0" borderId="0" xfId="0" applyFont="1" applyAlignment="1">
      <alignment horizontal="center" vertical="center" wrapText="1"/>
    </xf>
    <xf numFmtId="0" fontId="57" fillId="18" borderId="96" xfId="0" applyFont="1" applyFill="1" applyBorder="1" applyAlignment="1">
      <alignment horizontal="center" vertical="center" wrapText="1" readingOrder="1"/>
    </xf>
    <xf numFmtId="0" fontId="57" fillId="18" borderId="97"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1" xfId="0" applyFont="1" applyBorder="1" applyAlignment="1">
      <alignment horizontal="justify" vertical="center" wrapText="1" readingOrder="1"/>
    </xf>
    <xf numFmtId="9" fontId="9" fillId="0" borderId="68" xfId="0" applyNumberFormat="1" applyFont="1" applyBorder="1" applyAlignment="1">
      <alignment horizontal="center" vertical="center" wrapText="1" readingOrder="1"/>
    </xf>
    <xf numFmtId="0" fontId="9" fillId="6" borderId="62"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2" xfId="0" applyFont="1" applyFill="1" applyBorder="1" applyAlignment="1">
      <alignment horizontal="center" vertical="center" wrapText="1" readingOrder="1"/>
    </xf>
    <xf numFmtId="0" fontId="9" fillId="7" borderId="62" xfId="0" applyFont="1" applyFill="1" applyBorder="1" applyAlignment="1">
      <alignment horizontal="center" vertical="center" wrapText="1" readingOrder="1"/>
    </xf>
    <xf numFmtId="0" fontId="58" fillId="8" borderId="64"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59" fillId="3" borderId="0" xfId="0" applyFont="1" applyFill="1" applyAlignment="1">
      <alignment horizontal="center" vertical="center" wrapText="1"/>
    </xf>
    <xf numFmtId="0" fontId="60" fillId="18" borderId="2" xfId="0" applyFont="1" applyFill="1" applyBorder="1" applyAlignment="1">
      <alignment horizontal="center" vertical="center" wrapText="1" readingOrder="1"/>
    </xf>
    <xf numFmtId="0" fontId="60" fillId="18" borderId="3" xfId="0" applyFont="1" applyFill="1" applyBorder="1" applyAlignment="1">
      <alignment horizontal="center" vertical="center" wrapText="1" readingOrder="1"/>
    </xf>
    <xf numFmtId="0" fontId="61" fillId="5" borderId="33" xfId="0" applyFont="1" applyFill="1" applyBorder="1" applyAlignment="1">
      <alignment horizontal="center" vertical="center" wrapText="1" readingOrder="1"/>
    </xf>
    <xf numFmtId="0" fontId="61" fillId="0" borderId="61" xfId="0" applyFont="1" applyBorder="1" applyAlignment="1">
      <alignment horizontal="center" vertical="center" wrapText="1" readingOrder="1"/>
    </xf>
    <xf numFmtId="0" fontId="61" fillId="0" borderId="68" xfId="0" applyFont="1" applyBorder="1" applyAlignment="1">
      <alignment horizontal="justify" vertical="center" wrapText="1" readingOrder="1"/>
    </xf>
    <xf numFmtId="0" fontId="61" fillId="6" borderId="62" xfId="0" applyFont="1" applyFill="1" applyBorder="1" applyAlignment="1">
      <alignment horizontal="center" vertical="center" wrapText="1" readingOrder="1"/>
    </xf>
    <xf numFmtId="0" fontId="61" fillId="0" borderId="22" xfId="0" applyFont="1" applyBorder="1" applyAlignment="1">
      <alignment horizontal="center" vertical="center" wrapText="1" readingOrder="1"/>
    </xf>
    <xf numFmtId="0" fontId="61" fillId="0" borderId="23" xfId="0" applyFont="1" applyBorder="1" applyAlignment="1">
      <alignment horizontal="justify" vertical="center" wrapText="1" readingOrder="1"/>
    </xf>
    <xf numFmtId="0" fontId="61" fillId="4" borderId="62" xfId="0" applyFont="1" applyFill="1" applyBorder="1" applyAlignment="1">
      <alignment horizontal="center" vertical="center" wrapText="1" readingOrder="1"/>
    </xf>
    <xf numFmtId="0" fontId="61" fillId="7" borderId="62" xfId="0" applyFont="1" applyFill="1" applyBorder="1" applyAlignment="1">
      <alignment horizontal="center" vertical="center" wrapText="1" readingOrder="1"/>
    </xf>
    <xf numFmtId="0" fontId="62" fillId="8" borderId="64" xfId="0" applyFont="1" applyFill="1" applyBorder="1" applyAlignment="1">
      <alignment horizontal="center" vertical="center" wrapText="1" readingOrder="1"/>
    </xf>
    <xf numFmtId="0" fontId="61" fillId="0" borderId="24" xfId="0" applyFont="1" applyBorder="1" applyAlignment="1">
      <alignment horizontal="center" vertical="center" wrapText="1" readingOrder="1"/>
    </xf>
    <xf numFmtId="0" fontId="61" fillId="0" borderId="26" xfId="0" applyFont="1" applyBorder="1" applyAlignment="1">
      <alignment horizontal="justify" vertical="center" wrapText="1" readingOrder="1"/>
    </xf>
    <xf numFmtId="0" fontId="1"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0" fontId="2" fillId="0" borderId="18" xfId="0" applyFont="1" applyBorder="1" applyAlignment="1" applyProtection="1">
      <alignment horizontal="justify" vertical="center" wrapText="1"/>
      <protection locked="0"/>
    </xf>
    <xf numFmtId="14" fontId="2" fillId="0" borderId="18" xfId="0" applyNumberFormat="1" applyFont="1" applyBorder="1" applyAlignment="1" applyProtection="1">
      <alignment horizontal="center" vertical="center"/>
      <protection locked="0"/>
    </xf>
    <xf numFmtId="0" fontId="1" fillId="0" borderId="98" xfId="0" applyFont="1" applyBorder="1" applyAlignment="1" applyProtection="1">
      <alignment horizontal="center" vertical="center" wrapText="1"/>
      <protection locked="0"/>
    </xf>
    <xf numFmtId="0" fontId="2" fillId="0" borderId="18" xfId="0" applyFont="1" applyBorder="1" applyAlignment="1">
      <alignment horizontal="center" vertical="center"/>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164" fontId="2" fillId="0" borderId="18" xfId="1" applyNumberFormat="1" applyFont="1" applyBorder="1" applyAlignment="1">
      <alignment horizontal="center" vertical="center"/>
    </xf>
    <xf numFmtId="0" fontId="34" fillId="0" borderId="18" xfId="0" applyFont="1" applyBorder="1" applyAlignment="1" applyProtection="1">
      <alignment horizontal="center" vertical="center" textRotation="90" wrapText="1"/>
      <protection hidden="1"/>
    </xf>
    <xf numFmtId="0" fontId="34" fillId="0" borderId="18" xfId="0" applyFont="1" applyBorder="1" applyAlignment="1" applyProtection="1">
      <alignment horizontal="center" vertical="center" textRotation="90"/>
      <protection hidden="1"/>
    </xf>
    <xf numFmtId="0" fontId="2" fillId="0" borderId="18" xfId="0" applyFont="1" applyBorder="1" applyAlignment="1" applyProtection="1">
      <alignment horizontal="justify" vertical="center"/>
      <protection locked="0"/>
    </xf>
    <xf numFmtId="0" fontId="2" fillId="0" borderId="18" xfId="0" applyFont="1" applyBorder="1" applyAlignment="1" applyProtection="1">
      <alignment horizontal="center" vertical="center"/>
    </xf>
    <xf numFmtId="0" fontId="34" fillId="0" borderId="18" xfId="0" applyFont="1" applyFill="1" applyBorder="1" applyAlignment="1" applyProtection="1">
      <alignment horizontal="center" vertical="center" textRotation="90" wrapText="1"/>
      <protection hidden="1"/>
    </xf>
    <xf numFmtId="0" fontId="2" fillId="3" borderId="18"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textRotation="90"/>
      <protection locked="0"/>
    </xf>
    <xf numFmtId="9" fontId="2" fillId="3" borderId="18" xfId="0" applyNumberFormat="1" applyFont="1" applyFill="1" applyBorder="1" applyAlignment="1" applyProtection="1">
      <alignment horizontal="center" vertical="center"/>
      <protection hidden="1"/>
    </xf>
    <xf numFmtId="164" fontId="2" fillId="8" borderId="18" xfId="1" applyNumberFormat="1" applyFont="1" applyFill="1" applyBorder="1" applyAlignment="1">
      <alignment horizontal="center" vertical="center"/>
    </xf>
    <xf numFmtId="0" fontId="2" fillId="3" borderId="18" xfId="0" applyFont="1" applyFill="1" applyBorder="1" applyAlignment="1" applyProtection="1">
      <alignment horizontal="justify" vertical="center" wrapText="1"/>
      <protection locked="0"/>
    </xf>
    <xf numFmtId="0" fontId="2" fillId="0" borderId="0" xfId="0" applyFont="1" applyBorder="1"/>
    <xf numFmtId="0" fontId="2" fillId="0" borderId="0" xfId="0" applyFont="1" applyBorder="1" applyAlignment="1">
      <alignment wrapText="1"/>
    </xf>
    <xf numFmtId="0" fontId="43" fillId="16" borderId="32" xfId="0" applyFont="1" applyFill="1" applyBorder="1" applyAlignment="1">
      <alignment horizontal="center" vertical="center" wrapText="1"/>
    </xf>
    <xf numFmtId="0" fontId="42" fillId="0" borderId="30" xfId="0" applyFont="1" applyBorder="1" applyAlignment="1">
      <alignment horizontal="center" vertical="center" wrapText="1"/>
    </xf>
    <xf numFmtId="0" fontId="42" fillId="0" borderId="104" xfId="0" applyFont="1" applyBorder="1" applyAlignment="1">
      <alignment horizontal="center" vertical="center" wrapText="1"/>
    </xf>
    <xf numFmtId="0" fontId="42" fillId="0" borderId="32" xfId="0" applyFont="1" applyBorder="1" applyAlignment="1">
      <alignment horizontal="center" vertical="center" wrapText="1"/>
    </xf>
    <xf numFmtId="0" fontId="2" fillId="0" borderId="98" xfId="0" applyFont="1" applyBorder="1" applyAlignment="1" applyProtection="1">
      <alignment horizontal="center" vertical="center"/>
    </xf>
    <xf numFmtId="0" fontId="2" fillId="0" borderId="98" xfId="0" applyFont="1" applyBorder="1" applyAlignment="1" applyProtection="1">
      <alignment horizontal="justify" vertical="center" wrapText="1"/>
      <protection locked="0"/>
    </xf>
    <xf numFmtId="0" fontId="2" fillId="0" borderId="98" xfId="0" applyFont="1" applyBorder="1" applyAlignment="1" applyProtection="1">
      <alignment horizontal="center" vertical="center"/>
      <protection hidden="1"/>
    </xf>
    <xf numFmtId="0" fontId="2" fillId="0" borderId="98" xfId="0" applyFont="1" applyBorder="1" applyAlignment="1" applyProtection="1">
      <alignment horizontal="center" vertical="center" textRotation="90"/>
      <protection locked="0"/>
    </xf>
    <xf numFmtId="9" fontId="2" fillId="0" borderId="98" xfId="0" applyNumberFormat="1" applyFont="1" applyBorder="1" applyAlignment="1" applyProtection="1">
      <alignment horizontal="center" vertical="center"/>
      <protection hidden="1"/>
    </xf>
    <xf numFmtId="164" fontId="2" fillId="0" borderId="98" xfId="1" applyNumberFormat="1" applyFont="1" applyBorder="1" applyAlignment="1">
      <alignment horizontal="center" vertical="center"/>
    </xf>
    <xf numFmtId="0" fontId="34" fillId="0" borderId="98" xfId="0" applyFont="1" applyFill="1" applyBorder="1" applyAlignment="1" applyProtection="1">
      <alignment horizontal="center" vertical="center" textRotation="90" wrapText="1"/>
      <protection hidden="1"/>
    </xf>
    <xf numFmtId="0" fontId="34" fillId="0" borderId="98" xfId="0" applyFont="1" applyBorder="1" applyAlignment="1" applyProtection="1">
      <alignment horizontal="center" vertical="center" textRotation="90"/>
      <protection hidden="1"/>
    </xf>
    <xf numFmtId="14" fontId="2" fillId="0" borderId="98" xfId="0" applyNumberFormat="1" applyFont="1" applyBorder="1" applyAlignment="1" applyProtection="1">
      <alignment horizontal="center" vertical="center"/>
      <protection locked="0"/>
    </xf>
    <xf numFmtId="14" fontId="1" fillId="0" borderId="98" xfId="0" applyNumberFormat="1" applyFont="1" applyBorder="1" applyAlignment="1" applyProtection="1">
      <alignment horizontal="center" vertical="center"/>
      <protection locked="0"/>
    </xf>
    <xf numFmtId="0" fontId="1" fillId="0" borderId="106" xfId="0" applyFont="1" applyBorder="1" applyAlignment="1" applyProtection="1">
      <alignment horizontal="center" vertical="center"/>
      <protection locked="0"/>
    </xf>
    <xf numFmtId="0" fontId="1" fillId="0" borderId="107" xfId="0" applyFont="1" applyBorder="1" applyAlignment="1">
      <alignment horizontal="center" vertical="center"/>
    </xf>
    <xf numFmtId="0" fontId="31" fillId="3" borderId="0" xfId="2" quotePrefix="1" applyFont="1" applyFill="1" applyBorder="1" applyAlignment="1" applyProtection="1">
      <alignment horizontal="left" vertical="top" wrapText="1"/>
    </xf>
    <xf numFmtId="0" fontId="31" fillId="3" borderId="80" xfId="2" quotePrefix="1" applyFont="1" applyFill="1" applyBorder="1" applyAlignment="1" applyProtection="1">
      <alignment horizontal="left" vertical="top" wrapText="1"/>
    </xf>
    <xf numFmtId="0" fontId="43" fillId="16" borderId="104" xfId="0" applyFont="1" applyFill="1" applyBorder="1" applyAlignment="1">
      <alignment horizontal="center" vertical="center" wrapText="1"/>
    </xf>
    <xf numFmtId="0" fontId="2" fillId="0" borderId="18" xfId="0" applyFont="1" applyBorder="1" applyAlignment="1" applyProtection="1">
      <alignment horizontal="center" vertical="center" wrapText="1"/>
      <protection locked="0"/>
    </xf>
    <xf numFmtId="0" fontId="2" fillId="0" borderId="98" xfId="0" applyFont="1" applyBorder="1" applyAlignment="1" applyProtection="1">
      <alignment horizontal="center" vertical="center" wrapText="1"/>
      <protection locked="0"/>
    </xf>
    <xf numFmtId="0" fontId="27" fillId="16" borderId="61" xfId="0" applyFont="1" applyFill="1" applyBorder="1" applyAlignment="1">
      <alignment horizontal="left" vertical="center" wrapText="1" indent="1"/>
    </xf>
    <xf numFmtId="0" fontId="22" fillId="18" borderId="30" xfId="0" applyFont="1" applyFill="1" applyBorder="1" applyAlignment="1">
      <alignment horizontal="center" vertical="center" wrapText="1" readingOrder="1"/>
    </xf>
    <xf numFmtId="0" fontId="22" fillId="3" borderId="19" xfId="0" applyFont="1" applyFill="1" applyBorder="1" applyAlignment="1">
      <alignment horizontal="center" vertical="center" wrapText="1" readingOrder="1"/>
    </xf>
    <xf numFmtId="0" fontId="22" fillId="3" borderId="18" xfId="0" applyFont="1" applyFill="1" applyBorder="1" applyAlignment="1">
      <alignment horizontal="center" vertical="center" wrapText="1" readingOrder="1"/>
    </xf>
    <xf numFmtId="0" fontId="22" fillId="3" borderId="25" xfId="0" applyFont="1" applyFill="1" applyBorder="1" applyAlignment="1">
      <alignment horizontal="center" vertical="center" wrapText="1" readingOrder="1"/>
    </xf>
    <xf numFmtId="0" fontId="36" fillId="3" borderId="85" xfId="3" applyFont="1" applyFill="1" applyBorder="1" applyAlignment="1" applyProtection="1">
      <alignment horizontal="left" vertical="top" wrapText="1" readingOrder="1"/>
    </xf>
    <xf numFmtId="0" fontId="36" fillId="3" borderId="42" xfId="3" applyFont="1" applyFill="1" applyBorder="1" applyAlignment="1" applyProtection="1">
      <alignment horizontal="left" vertical="top" wrapText="1" readingOrder="1"/>
    </xf>
    <xf numFmtId="0" fontId="37" fillId="3" borderId="70" xfId="2" applyFont="1" applyFill="1" applyBorder="1" applyAlignment="1" applyProtection="1">
      <alignment horizontal="justify" vertical="center" wrapText="1"/>
    </xf>
    <xf numFmtId="0" fontId="37" fillId="3" borderId="71" xfId="2" applyFont="1" applyFill="1" applyBorder="1" applyAlignment="1" applyProtection="1">
      <alignment horizontal="justify" vertical="center" wrapText="1"/>
    </xf>
    <xf numFmtId="0" fontId="37" fillId="3" borderId="47" xfId="2" applyFont="1" applyFill="1" applyBorder="1" applyAlignment="1" applyProtection="1">
      <alignment horizontal="justify" vertical="center" wrapText="1"/>
    </xf>
    <xf numFmtId="0" fontId="37" fillId="3" borderId="48" xfId="2" applyFont="1" applyFill="1" applyBorder="1" applyAlignment="1" applyProtection="1">
      <alignment horizontal="justify" vertical="center" wrapText="1"/>
    </xf>
    <xf numFmtId="0" fontId="36" fillId="3" borderId="45" xfId="0" applyFont="1" applyFill="1" applyBorder="1" applyAlignment="1" applyProtection="1">
      <alignment horizontal="left" vertical="center" wrapText="1"/>
    </xf>
    <xf numFmtId="0" fontId="36" fillId="3" borderId="46" xfId="0" applyFont="1" applyFill="1" applyBorder="1" applyAlignment="1" applyProtection="1">
      <alignment horizontal="left" vertical="center" wrapText="1"/>
    </xf>
    <xf numFmtId="0" fontId="36" fillId="3" borderId="54" xfId="0" applyFont="1" applyFill="1" applyBorder="1" applyAlignment="1" applyProtection="1">
      <alignment horizontal="left" vertical="center" wrapText="1"/>
    </xf>
    <xf numFmtId="0" fontId="36" fillId="3" borderId="55" xfId="0" applyFont="1" applyFill="1" applyBorder="1" applyAlignment="1" applyProtection="1">
      <alignment horizontal="left" vertical="center" wrapText="1"/>
    </xf>
    <xf numFmtId="0" fontId="36" fillId="3" borderId="56" xfId="0" applyFont="1" applyFill="1" applyBorder="1" applyAlignment="1" applyProtection="1">
      <alignment horizontal="left" vertical="center" wrapText="1"/>
    </xf>
    <xf numFmtId="0" fontId="36" fillId="3" borderId="57" xfId="0" applyFont="1" applyFill="1" applyBorder="1" applyAlignment="1" applyProtection="1">
      <alignment horizontal="left" vertical="center" wrapText="1"/>
    </xf>
    <xf numFmtId="0" fontId="37" fillId="3" borderId="49" xfId="0" applyFont="1" applyFill="1" applyBorder="1" applyAlignment="1" applyProtection="1">
      <alignment horizontal="justify" vertical="center" wrapText="1"/>
    </xf>
    <xf numFmtId="0" fontId="37" fillId="3" borderId="50" xfId="0" applyFont="1" applyFill="1" applyBorder="1" applyAlignment="1" applyProtection="1">
      <alignment horizontal="justify" vertical="center" wrapText="1"/>
    </xf>
    <xf numFmtId="0" fontId="36" fillId="3" borderId="84" xfId="3" applyFont="1" applyFill="1" applyBorder="1" applyAlignment="1" applyProtection="1">
      <alignment horizontal="left" vertical="top" wrapText="1" readingOrder="1"/>
    </xf>
    <xf numFmtId="0" fontId="36" fillId="3" borderId="77" xfId="3" applyFont="1" applyFill="1" applyBorder="1" applyAlignment="1" applyProtection="1">
      <alignment horizontal="left" vertical="top" wrapText="1" readingOrder="1"/>
    </xf>
    <xf numFmtId="0" fontId="37" fillId="3" borderId="78" xfId="2" applyFont="1" applyFill="1" applyBorder="1" applyAlignment="1" applyProtection="1">
      <alignment horizontal="justify" vertical="center" wrapText="1"/>
    </xf>
    <xf numFmtId="0" fontId="37" fillId="3" borderId="79" xfId="2" applyFont="1" applyFill="1" applyBorder="1" applyAlignment="1" applyProtection="1">
      <alignment horizontal="justify" vertical="center" wrapText="1"/>
    </xf>
    <xf numFmtId="0" fontId="37" fillId="3" borderId="43" xfId="2" applyFont="1" applyFill="1" applyBorder="1" applyAlignment="1" applyProtection="1">
      <alignment horizontal="justify" vertical="center" wrapText="1"/>
    </xf>
    <xf numFmtId="0" fontId="37" fillId="3" borderId="44" xfId="2" applyFont="1" applyFill="1" applyBorder="1" applyAlignment="1" applyProtection="1">
      <alignment horizontal="justify" vertical="center" wrapText="1"/>
    </xf>
    <xf numFmtId="0" fontId="32" fillId="14" borderId="33" xfId="2" applyFont="1" applyFill="1" applyBorder="1" applyAlignment="1" applyProtection="1">
      <alignment horizontal="center" vertical="center" wrapText="1"/>
    </xf>
    <xf numFmtId="0" fontId="32" fillId="14" borderId="34" xfId="2" applyFont="1" applyFill="1" applyBorder="1" applyAlignment="1" applyProtection="1">
      <alignment horizontal="center" vertical="center" wrapText="1"/>
    </xf>
    <xf numFmtId="0" fontId="32" fillId="14" borderId="35" xfId="2" applyFont="1" applyFill="1" applyBorder="1" applyAlignment="1" applyProtection="1">
      <alignment horizontal="center" vertical="center" wrapText="1"/>
    </xf>
    <xf numFmtId="0" fontId="31" fillId="0" borderId="4" xfId="2" quotePrefix="1" applyFont="1" applyBorder="1" applyAlignment="1" applyProtection="1">
      <alignment horizontal="left" vertical="center" wrapText="1"/>
    </xf>
    <xf numFmtId="0" fontId="31" fillId="0" borderId="0" xfId="2" quotePrefix="1" applyFont="1" applyBorder="1" applyAlignment="1" applyProtection="1">
      <alignment horizontal="left" vertical="center" wrapText="1"/>
    </xf>
    <xf numFmtId="0" fontId="31" fillId="0" borderId="5" xfId="2" quotePrefix="1" applyFont="1" applyBorder="1" applyAlignment="1" applyProtection="1">
      <alignment horizontal="left" vertical="center" wrapText="1"/>
    </xf>
    <xf numFmtId="0" fontId="31" fillId="0" borderId="51" xfId="2" quotePrefix="1" applyFont="1" applyBorder="1" applyAlignment="1" applyProtection="1">
      <alignment horizontal="left" vertical="center" wrapText="1"/>
    </xf>
    <xf numFmtId="0" fontId="31" fillId="0" borderId="52" xfId="2" quotePrefix="1" applyFont="1" applyBorder="1" applyAlignment="1" applyProtection="1">
      <alignment horizontal="left" vertical="center" wrapText="1"/>
    </xf>
    <xf numFmtId="0" fontId="31" fillId="0" borderId="53" xfId="2" quotePrefix="1" applyFont="1" applyBorder="1" applyAlignment="1" applyProtection="1">
      <alignment horizontal="left" vertical="center" wrapText="1"/>
    </xf>
    <xf numFmtId="0" fontId="33" fillId="3" borderId="37" xfId="2" quotePrefix="1" applyFont="1" applyFill="1" applyBorder="1" applyAlignment="1" applyProtection="1">
      <alignment horizontal="left" vertical="top" wrapText="1"/>
    </xf>
    <xf numFmtId="0" fontId="34" fillId="3" borderId="37" xfId="2" quotePrefix="1" applyFont="1" applyFill="1" applyBorder="1" applyAlignment="1" applyProtection="1">
      <alignment horizontal="left" vertical="top" wrapText="1"/>
    </xf>
    <xf numFmtId="0" fontId="34" fillId="3" borderId="72" xfId="2" quotePrefix="1" applyFont="1" applyFill="1" applyBorder="1" applyAlignment="1" applyProtection="1">
      <alignment horizontal="left" vertical="top" wrapText="1"/>
    </xf>
    <xf numFmtId="0" fontId="31" fillId="3" borderId="0" xfId="2" quotePrefix="1" applyFont="1" applyFill="1" applyBorder="1" applyAlignment="1" applyProtection="1">
      <alignment horizontal="left" vertical="top" wrapText="1"/>
    </xf>
    <xf numFmtId="0" fontId="31" fillId="3" borderId="80" xfId="2" quotePrefix="1" applyFont="1" applyFill="1" applyBorder="1" applyAlignment="1" applyProtection="1">
      <alignment horizontal="left" vertical="top" wrapText="1"/>
    </xf>
    <xf numFmtId="0" fontId="36" fillId="14" borderId="83" xfId="3" applyFont="1" applyFill="1" applyBorder="1" applyAlignment="1" applyProtection="1">
      <alignment horizontal="center" vertical="center" wrapText="1"/>
    </xf>
    <xf numFmtId="0" fontId="36" fillId="14" borderId="82" xfId="3" applyFont="1" applyFill="1" applyBorder="1" applyAlignment="1" applyProtection="1">
      <alignment horizontal="center" vertical="center" wrapText="1"/>
    </xf>
    <xf numFmtId="0" fontId="36" fillId="14" borderId="39" xfId="2" applyFont="1" applyFill="1" applyBorder="1" applyAlignment="1" applyProtection="1">
      <alignment horizontal="center" vertical="center"/>
    </xf>
    <xf numFmtId="0" fontId="36"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3" xfId="2" quotePrefix="1" applyFont="1" applyFill="1" applyBorder="1" applyAlignment="1" applyProtection="1">
      <alignment horizontal="justify" vertical="center" wrapText="1"/>
    </xf>
    <xf numFmtId="0" fontId="36" fillId="14" borderId="81" xfId="3" applyFont="1" applyFill="1" applyBorder="1" applyAlignment="1" applyProtection="1">
      <alignment horizontal="center" vertical="center" wrapText="1"/>
    </xf>
    <xf numFmtId="0" fontId="36" fillId="3" borderId="41" xfId="3" applyFont="1" applyFill="1" applyBorder="1" applyAlignment="1" applyProtection="1">
      <alignment horizontal="left" vertical="top" wrapText="1" readingOrder="1"/>
    </xf>
    <xf numFmtId="0" fontId="36" fillId="3" borderId="75" xfId="3" applyFont="1" applyFill="1" applyBorder="1" applyAlignment="1" applyProtection="1">
      <alignment horizontal="left" vertical="top" wrapText="1" readingOrder="1"/>
    </xf>
    <xf numFmtId="0" fontId="37" fillId="3" borderId="59" xfId="2" applyFont="1" applyFill="1" applyBorder="1" applyAlignment="1" applyProtection="1">
      <alignment horizontal="justify" vertical="center" wrapText="1"/>
    </xf>
    <xf numFmtId="0" fontId="35" fillId="3" borderId="4" xfId="2" quotePrefix="1" applyFont="1" applyFill="1" applyBorder="1" applyAlignment="1" applyProtection="1">
      <alignment horizontal="center" vertical="top" wrapText="1"/>
    </xf>
    <xf numFmtId="0" fontId="35" fillId="3" borderId="0" xfId="2" quotePrefix="1" applyFont="1" applyFill="1" applyBorder="1" applyAlignment="1" applyProtection="1">
      <alignment horizontal="center" vertical="top" wrapText="1"/>
    </xf>
    <xf numFmtId="0" fontId="35" fillId="3" borderId="80" xfId="2" quotePrefix="1" applyFont="1" applyFill="1" applyBorder="1" applyAlignment="1" applyProtection="1">
      <alignment horizontal="center" vertical="top" wrapText="1"/>
    </xf>
    <xf numFmtId="0" fontId="36" fillId="3" borderId="73" xfId="3" applyFont="1" applyFill="1" applyBorder="1" applyAlignment="1" applyProtection="1">
      <alignment horizontal="left" vertical="top" wrapText="1" readingOrder="1"/>
    </xf>
    <xf numFmtId="0" fontId="36" fillId="3" borderId="76" xfId="3" applyFont="1" applyFill="1" applyBorder="1" applyAlignment="1" applyProtection="1">
      <alignment horizontal="left" vertical="top" wrapText="1" readingOrder="1"/>
    </xf>
    <xf numFmtId="0" fontId="37" fillId="3" borderId="58" xfId="2" applyFont="1" applyFill="1" applyBorder="1" applyAlignment="1" applyProtection="1">
      <alignment horizontal="justify" vertical="center" wrapText="1"/>
    </xf>
    <xf numFmtId="0" fontId="37" fillId="3" borderId="86" xfId="2" applyFont="1" applyFill="1" applyBorder="1" applyAlignment="1" applyProtection="1">
      <alignment horizontal="justify" vertical="center" wrapText="1"/>
    </xf>
    <xf numFmtId="0" fontId="37" fillId="3" borderId="74" xfId="2" applyFont="1" applyFill="1" applyBorder="1" applyAlignment="1" applyProtection="1">
      <alignment horizontal="justify" vertical="center" wrapText="1"/>
    </xf>
    <xf numFmtId="0" fontId="1" fillId="0" borderId="22" xfId="0" applyFont="1" applyBorder="1" applyAlignment="1">
      <alignment horizontal="left" vertical="center" wrapText="1"/>
    </xf>
    <xf numFmtId="0" fontId="1" fillId="0" borderId="18" xfId="0" applyFont="1" applyBorder="1" applyAlignment="1">
      <alignment horizontal="left" vertical="center" wrapText="1"/>
    </xf>
    <xf numFmtId="0" fontId="1" fillId="0" borderId="23" xfId="0" applyFont="1" applyBorder="1" applyAlignment="1">
      <alignment horizontal="left" vertical="center" wrapText="1"/>
    </xf>
    <xf numFmtId="0" fontId="1" fillId="0" borderId="62" xfId="0" applyFont="1" applyBorder="1" applyAlignment="1">
      <alignment horizontal="left"/>
    </xf>
    <xf numFmtId="0" fontId="1" fillId="0" borderId="59" xfId="0" applyFont="1" applyBorder="1" applyAlignment="1">
      <alignment horizontal="left"/>
    </xf>
    <xf numFmtId="0" fontId="1" fillId="0" borderId="101" xfId="0" applyFont="1" applyBorder="1" applyAlignment="1">
      <alignment horizontal="left"/>
    </xf>
    <xf numFmtId="0" fontId="64" fillId="0" borderId="24" xfId="0" applyFont="1" applyBorder="1" applyAlignment="1">
      <alignment horizontal="left" vertical="center" wrapText="1"/>
    </xf>
    <xf numFmtId="0" fontId="64" fillId="0" borderId="25" xfId="0" applyFont="1" applyBorder="1" applyAlignment="1">
      <alignment horizontal="left" vertical="center" wrapText="1"/>
    </xf>
    <xf numFmtId="0" fontId="64" fillId="0" borderId="26" xfId="0" applyFont="1" applyBorder="1" applyAlignment="1">
      <alignment horizontal="left" vertical="center" wrapText="1"/>
    </xf>
    <xf numFmtId="0" fontId="1" fillId="0" borderId="64" xfId="0" applyFont="1" applyBorder="1" applyAlignment="1">
      <alignment horizontal="left"/>
    </xf>
    <xf numFmtId="0" fontId="1" fillId="0" borderId="92" xfId="0" applyFont="1" applyBorder="1" applyAlignment="1">
      <alignment horizontal="left"/>
    </xf>
    <xf numFmtId="0" fontId="64" fillId="0" borderId="22" xfId="0" applyFont="1" applyBorder="1" applyAlignment="1">
      <alignment horizontal="left" vertical="center" wrapText="1"/>
    </xf>
    <xf numFmtId="0" fontId="64" fillId="0" borderId="18" xfId="0" applyFont="1" applyBorder="1" applyAlignment="1">
      <alignment horizontal="left" vertical="center" wrapText="1"/>
    </xf>
    <xf numFmtId="0" fontId="64" fillId="0" borderId="23" xfId="0" applyFont="1" applyBorder="1" applyAlignment="1">
      <alignment horizontal="left" vertical="center" wrapText="1"/>
    </xf>
    <xf numFmtId="0" fontId="64" fillId="0" borderId="22" xfId="0" applyFont="1" applyBorder="1" applyAlignment="1">
      <alignment horizontal="left" wrapText="1"/>
    </xf>
    <xf numFmtId="0" fontId="64" fillId="0" borderId="23" xfId="0" applyFont="1" applyBorder="1" applyAlignment="1">
      <alignment horizontal="left" wrapText="1"/>
    </xf>
    <xf numFmtId="0" fontId="1" fillId="0" borderId="22" xfId="0" applyFont="1" applyBorder="1" applyAlignment="1">
      <alignment horizontal="left" wrapText="1"/>
    </xf>
    <xf numFmtId="0" fontId="1" fillId="0" borderId="23" xfId="0" applyFont="1" applyBorder="1" applyAlignment="1">
      <alignment horizontal="left" wrapText="1"/>
    </xf>
    <xf numFmtId="0" fontId="27" fillId="18" borderId="4" xfId="0" applyFont="1" applyFill="1" applyBorder="1" applyAlignment="1">
      <alignment horizontal="center" vertical="center" wrapText="1"/>
    </xf>
    <xf numFmtId="0" fontId="27" fillId="18" borderId="0" xfId="0" applyFont="1" applyFill="1" applyAlignment="1">
      <alignment horizontal="center" vertical="center" wrapText="1"/>
    </xf>
    <xf numFmtId="0" fontId="27" fillId="18" borderId="20" xfId="0" applyFont="1" applyFill="1" applyBorder="1" applyAlignment="1">
      <alignment horizontal="center" vertical="center" wrapText="1"/>
    </xf>
    <xf numFmtId="0" fontId="27" fillId="18" borderId="32" xfId="0" applyFont="1" applyFill="1" applyBorder="1" applyAlignment="1">
      <alignment horizontal="center" vertical="center" wrapText="1"/>
    </xf>
    <xf numFmtId="0" fontId="1" fillId="0" borderId="61" xfId="0" applyFont="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0" fontId="64" fillId="0" borderId="61" xfId="0" applyFont="1" applyBorder="1" applyAlignment="1">
      <alignment horizontal="left" wrapText="1"/>
    </xf>
    <xf numFmtId="0" fontId="64" fillId="0" borderId="68" xfId="0" applyFont="1" applyBorder="1" applyAlignment="1">
      <alignment horizontal="left" wrapText="1"/>
    </xf>
    <xf numFmtId="0" fontId="1" fillId="0" borderId="18" xfId="0" applyFont="1" applyBorder="1" applyAlignment="1">
      <alignment horizontal="left" wrapText="1"/>
    </xf>
    <xf numFmtId="0" fontId="1" fillId="3" borderId="22" xfId="0" applyFont="1" applyFill="1" applyBorder="1" applyAlignment="1">
      <alignment horizontal="left" vertical="center"/>
    </xf>
    <xf numFmtId="0" fontId="1" fillId="3" borderId="18" xfId="0" applyFont="1" applyFill="1" applyBorder="1" applyAlignment="1">
      <alignment horizontal="left" vertical="center"/>
    </xf>
    <xf numFmtId="0" fontId="1" fillId="3" borderId="23" xfId="0" applyFont="1" applyFill="1" applyBorder="1" applyAlignment="1">
      <alignment horizontal="left" vertical="center"/>
    </xf>
    <xf numFmtId="0" fontId="64" fillId="0" borderId="102" xfId="0" applyFont="1" applyBorder="1" applyAlignment="1">
      <alignment horizontal="left" vertical="center"/>
    </xf>
    <xf numFmtId="0" fontId="64" fillId="0" borderId="23" xfId="0" applyFont="1" applyBorder="1" applyAlignment="1">
      <alignment horizontal="left" vertical="center"/>
    </xf>
    <xf numFmtId="0" fontId="64" fillId="0" borderId="62" xfId="0" applyFont="1" applyBorder="1" applyAlignment="1">
      <alignment horizontal="left" vertical="center"/>
    </xf>
    <xf numFmtId="0" fontId="64" fillId="0" borderId="101" xfId="0" applyFont="1" applyBorder="1" applyAlignment="1">
      <alignment horizontal="left" vertical="center"/>
    </xf>
    <xf numFmtId="0" fontId="1" fillId="3" borderId="24" xfId="0" applyFont="1" applyFill="1" applyBorder="1" applyAlignment="1">
      <alignment horizontal="left" vertical="center"/>
    </xf>
    <xf numFmtId="0" fontId="1" fillId="3" borderId="25" xfId="0" applyFont="1" applyFill="1" applyBorder="1" applyAlignment="1">
      <alignment horizontal="left" vertical="center"/>
    </xf>
    <xf numFmtId="0" fontId="1" fillId="3" borderId="26" xfId="0" applyFont="1" applyFill="1" applyBorder="1" applyAlignment="1">
      <alignment horizontal="left" vertical="center"/>
    </xf>
    <xf numFmtId="0" fontId="64" fillId="0" borderId="103" xfId="0" applyFont="1" applyBorder="1" applyAlignment="1">
      <alignment horizontal="left" wrapText="1"/>
    </xf>
    <xf numFmtId="0" fontId="64" fillId="0" borderId="26" xfId="0" applyFont="1" applyBorder="1" applyAlignment="1">
      <alignment horizontal="left" wrapText="1"/>
    </xf>
    <xf numFmtId="0" fontId="1" fillId="0" borderId="102" xfId="0" applyFont="1" applyBorder="1" applyAlignment="1">
      <alignment horizontal="left" vertical="center" wrapText="1"/>
    </xf>
    <xf numFmtId="0" fontId="1" fillId="3" borderId="22"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1" fillId="3" borderId="61" xfId="0" applyFont="1" applyFill="1" applyBorder="1" applyAlignment="1">
      <alignment horizontal="left" vertical="center" wrapText="1"/>
    </xf>
    <xf numFmtId="0" fontId="1" fillId="3" borderId="67" xfId="0" applyFont="1" applyFill="1" applyBorder="1" applyAlignment="1">
      <alignment horizontal="left" vertical="center" wrapText="1"/>
    </xf>
    <xf numFmtId="0" fontId="1" fillId="3" borderId="68" xfId="0" applyFont="1" applyFill="1" applyBorder="1" applyAlignment="1">
      <alignment horizontal="left" vertical="center" wrapText="1"/>
    </xf>
    <xf numFmtId="0" fontId="1" fillId="0" borderId="100" xfId="0" applyFont="1" applyBorder="1" applyAlignment="1">
      <alignment horizontal="left" vertical="center"/>
    </xf>
    <xf numFmtId="0" fontId="1" fillId="0" borderId="68" xfId="0" applyFont="1" applyBorder="1" applyAlignment="1">
      <alignment horizontal="left" vertical="center"/>
    </xf>
    <xf numFmtId="0" fontId="1" fillId="3" borderId="62" xfId="0" applyFont="1" applyFill="1" applyBorder="1" applyAlignment="1">
      <alignment horizontal="left" vertical="center"/>
    </xf>
    <xf numFmtId="0" fontId="1" fillId="3" borderId="59" xfId="0" applyFont="1" applyFill="1" applyBorder="1" applyAlignment="1">
      <alignment horizontal="left" vertical="center"/>
    </xf>
    <xf numFmtId="0" fontId="1" fillId="3" borderId="101" xfId="0" applyFont="1" applyFill="1" applyBorder="1" applyAlignment="1">
      <alignment horizontal="left" vertical="center"/>
    </xf>
    <xf numFmtId="0" fontId="64" fillId="0" borderId="102" xfId="0" applyFont="1" applyBorder="1" applyAlignment="1">
      <alignment horizontal="left" vertical="center" wrapText="1"/>
    </xf>
    <xf numFmtId="0" fontId="1" fillId="0" borderId="102" xfId="0" applyFont="1" applyBorder="1" applyAlignment="1">
      <alignment horizontal="left" vertical="center"/>
    </xf>
    <xf numFmtId="0" fontId="1" fillId="0" borderId="23" xfId="0" applyFont="1" applyBorder="1" applyAlignment="1">
      <alignment horizontal="left" vertical="center"/>
    </xf>
    <xf numFmtId="0" fontId="64" fillId="3" borderId="22" xfId="0" applyFont="1" applyFill="1" applyBorder="1" applyAlignment="1">
      <alignment horizontal="left" wrapText="1"/>
    </xf>
    <xf numFmtId="0" fontId="64" fillId="3" borderId="18" xfId="0" applyFont="1" applyFill="1" applyBorder="1" applyAlignment="1">
      <alignment horizontal="left" wrapText="1"/>
    </xf>
    <xf numFmtId="0" fontId="64" fillId="3" borderId="23" xfId="0" applyFont="1" applyFill="1" applyBorder="1" applyAlignment="1">
      <alignment horizontal="left" wrapText="1"/>
    </xf>
    <xf numFmtId="0" fontId="5" fillId="0" borderId="95" xfId="0" applyFont="1" applyBorder="1" applyAlignment="1">
      <alignment vertical="top" wrapText="1"/>
    </xf>
    <xf numFmtId="0" fontId="5" fillId="0" borderId="87" xfId="0" applyFont="1" applyBorder="1" applyAlignment="1">
      <alignment vertical="top" wrapText="1"/>
    </xf>
    <xf numFmtId="0" fontId="5" fillId="0" borderId="93" xfId="0" applyFont="1" applyBorder="1" applyAlignment="1">
      <alignment vertical="top" wrapText="1"/>
    </xf>
    <xf numFmtId="0" fontId="49" fillId="0" borderId="2"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0" xfId="0" applyFont="1" applyAlignment="1">
      <alignment horizontal="center" vertical="center" wrapText="1"/>
    </xf>
    <xf numFmtId="0" fontId="49" fillId="0" borderId="6" xfId="0" applyFont="1" applyBorder="1" applyAlignment="1">
      <alignment horizontal="center" vertical="center" wrapText="1"/>
    </xf>
    <xf numFmtId="0" fontId="49" fillId="0" borderId="8" xfId="0" applyFont="1" applyBorder="1" applyAlignment="1">
      <alignment horizontal="center" vertical="center" wrapText="1"/>
    </xf>
    <xf numFmtId="0" fontId="27" fillId="18" borderId="2" xfId="0" applyFont="1" applyFill="1" applyBorder="1" applyAlignment="1">
      <alignment horizontal="center" vertical="center" wrapText="1"/>
    </xf>
    <xf numFmtId="0" fontId="27" fillId="18" borderId="9" xfId="0" applyFont="1" applyFill="1" applyBorder="1" applyAlignment="1">
      <alignment horizontal="center" vertical="center" wrapText="1"/>
    </xf>
    <xf numFmtId="0" fontId="27" fillId="18" borderId="3" xfId="0" applyFont="1" applyFill="1" applyBorder="1" applyAlignment="1">
      <alignment horizontal="center" vertical="center" wrapText="1"/>
    </xf>
    <xf numFmtId="0" fontId="27" fillId="15" borderId="60" xfId="0" applyFont="1" applyFill="1" applyBorder="1" applyAlignment="1">
      <alignment horizontal="left" vertical="center" wrapText="1" indent="1"/>
    </xf>
    <xf numFmtId="0" fontId="27" fillId="15" borderId="34" xfId="0" applyFont="1" applyFill="1" applyBorder="1" applyAlignment="1">
      <alignment horizontal="left" vertical="center" wrapText="1" indent="1"/>
    </xf>
    <xf numFmtId="0" fontId="27" fillId="15" borderId="35" xfId="0" applyFont="1" applyFill="1" applyBorder="1" applyAlignment="1">
      <alignment horizontal="left" vertical="center" wrapText="1" indent="1"/>
    </xf>
    <xf numFmtId="0" fontId="42" fillId="15" borderId="90" xfId="0" applyFont="1" applyFill="1" applyBorder="1" applyAlignment="1">
      <alignment horizontal="left" vertical="center" wrapText="1" indent="1"/>
    </xf>
    <xf numFmtId="0" fontId="42" fillId="15" borderId="91" xfId="0" applyFont="1" applyFill="1" applyBorder="1" applyAlignment="1">
      <alignment horizontal="left" vertical="center" wrapText="1" indent="1"/>
    </xf>
    <xf numFmtId="0" fontId="42" fillId="15" borderId="92" xfId="0" applyFont="1" applyFill="1" applyBorder="1" applyAlignment="1">
      <alignment horizontal="left" vertical="center" wrapText="1" indent="1"/>
    </xf>
    <xf numFmtId="0" fontId="22" fillId="13" borderId="0" xfId="0" applyFont="1" applyFill="1" applyAlignment="1">
      <alignment horizontal="center" vertical="center" wrapText="1"/>
    </xf>
    <xf numFmtId="0" fontId="27" fillId="16" borderId="2" xfId="0" applyFont="1" applyFill="1" applyBorder="1" applyAlignment="1">
      <alignment horizontal="center" vertical="center" wrapText="1"/>
    </xf>
    <xf numFmtId="0" fontId="27" fillId="16" borderId="9" xfId="0" applyFont="1" applyFill="1" applyBorder="1" applyAlignment="1">
      <alignment horizontal="center" vertical="center" wrapText="1"/>
    </xf>
    <xf numFmtId="0" fontId="27" fillId="16" borderId="3" xfId="0" applyFont="1" applyFill="1" applyBorder="1" applyAlignment="1">
      <alignment horizontal="center" vertical="center" wrapText="1"/>
    </xf>
    <xf numFmtId="0" fontId="43" fillId="16" borderId="20" xfId="0" applyFont="1" applyFill="1" applyBorder="1" applyAlignment="1">
      <alignment horizontal="center" vertical="center" wrapText="1"/>
    </xf>
    <xf numFmtId="0" fontId="43" fillId="16" borderId="104" xfId="0" applyFont="1" applyFill="1" applyBorder="1" applyAlignment="1">
      <alignment horizontal="center" vertical="center" wrapText="1"/>
    </xf>
    <xf numFmtId="0" fontId="42" fillId="0" borderId="20" xfId="0" applyFont="1" applyBorder="1" applyAlignment="1">
      <alignment horizontal="left" vertical="center" wrapText="1"/>
    </xf>
    <xf numFmtId="0" fontId="42" fillId="0" borderId="21" xfId="0" applyFont="1" applyBorder="1" applyAlignment="1">
      <alignment horizontal="left" vertical="center" wrapText="1"/>
    </xf>
    <xf numFmtId="0" fontId="50" fillId="0" borderId="0" xfId="0" applyFont="1" applyAlignment="1">
      <alignment horizontal="center" vertical="center"/>
    </xf>
    <xf numFmtId="0" fontId="34" fillId="0" borderId="98" xfId="0" applyFont="1" applyBorder="1" applyAlignment="1" applyProtection="1">
      <alignment horizontal="center" vertical="center"/>
      <protection hidden="1"/>
    </xf>
    <xf numFmtId="0" fontId="34" fillId="0" borderId="99" xfId="0" applyFont="1" applyBorder="1" applyAlignment="1" applyProtection="1">
      <alignment horizontal="center" vertical="center"/>
      <protection hidden="1"/>
    </xf>
    <xf numFmtId="0" fontId="34" fillId="0" borderId="19" xfId="0" applyFont="1" applyBorder="1" applyAlignment="1" applyProtection="1">
      <alignment horizontal="center" vertical="center"/>
      <protection hidden="1"/>
    </xf>
    <xf numFmtId="0" fontId="53" fillId="0" borderId="18" xfId="0" applyFont="1" applyBorder="1" applyAlignment="1" applyProtection="1">
      <alignment horizontal="center" vertical="center"/>
    </xf>
    <xf numFmtId="0" fontId="2"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protection locked="0"/>
    </xf>
    <xf numFmtId="0" fontId="34" fillId="0" borderId="18" xfId="0" applyFont="1" applyFill="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locked="0"/>
    </xf>
    <xf numFmtId="0" fontId="34" fillId="0" borderId="18" xfId="0" applyFont="1" applyBorder="1" applyAlignment="1" applyProtection="1">
      <alignment horizontal="center" vertical="center"/>
      <protection hidden="1"/>
    </xf>
    <xf numFmtId="0" fontId="2" fillId="0" borderId="98" xfId="0" applyFont="1" applyBorder="1" applyAlignment="1" applyProtection="1">
      <alignment horizontal="center" vertical="center" wrapText="1"/>
      <protection locked="0"/>
    </xf>
    <xf numFmtId="0" fontId="2" fillId="0" borderId="99"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98" xfId="0" applyFont="1" applyBorder="1" applyAlignment="1" applyProtection="1">
      <alignment horizontal="center" vertical="center"/>
      <protection locked="0"/>
    </xf>
    <xf numFmtId="0" fontId="2" fillId="0" borderId="99"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34" fillId="0" borderId="98" xfId="0" applyFont="1" applyFill="1" applyBorder="1" applyAlignment="1" applyProtection="1">
      <alignment horizontal="center" vertical="center" wrapText="1"/>
      <protection hidden="1"/>
    </xf>
    <xf numFmtId="0" fontId="34" fillId="0" borderId="99" xfId="0" applyFont="1" applyFill="1" applyBorder="1" applyAlignment="1" applyProtection="1">
      <alignment horizontal="center" vertical="center" wrapText="1"/>
      <protection hidden="1"/>
    </xf>
    <xf numFmtId="0" fontId="34" fillId="0" borderId="19" xfId="0" applyFont="1" applyFill="1" applyBorder="1" applyAlignment="1" applyProtection="1">
      <alignment horizontal="center" vertical="center" wrapText="1"/>
      <protection hidden="1"/>
    </xf>
    <xf numFmtId="9" fontId="2" fillId="0" borderId="98" xfId="0" applyNumberFormat="1" applyFont="1" applyBorder="1" applyAlignment="1" applyProtection="1">
      <alignment horizontal="center" vertical="center" wrapText="1"/>
      <protection hidden="1"/>
    </xf>
    <xf numFmtId="9" fontId="2" fillId="0" borderId="99" xfId="0" applyNumberFormat="1" applyFont="1" applyBorder="1" applyAlignment="1" applyProtection="1">
      <alignment horizontal="center" vertical="center" wrapText="1"/>
      <protection hidden="1"/>
    </xf>
    <xf numFmtId="9" fontId="2" fillId="0" borderId="19" xfId="0" applyNumberFormat="1" applyFont="1" applyBorder="1" applyAlignment="1" applyProtection="1">
      <alignment horizontal="center" vertical="center" wrapText="1"/>
      <protection hidden="1"/>
    </xf>
    <xf numFmtId="9" fontId="2" fillId="0" borderId="98" xfId="0" applyNumberFormat="1" applyFont="1" applyBorder="1" applyAlignment="1" applyProtection="1">
      <alignment horizontal="center" vertical="center" wrapText="1"/>
      <protection locked="0"/>
    </xf>
    <xf numFmtId="9" fontId="2" fillId="0" borderId="99" xfId="0" applyNumberFormat="1" applyFont="1" applyBorder="1" applyAlignment="1" applyProtection="1">
      <alignment horizontal="center" vertical="center" wrapText="1"/>
      <protection locked="0"/>
    </xf>
    <xf numFmtId="9" fontId="2" fillId="0" borderId="19" xfId="0" applyNumberFormat="1" applyFont="1" applyBorder="1" applyAlignment="1" applyProtection="1">
      <alignment horizontal="center" vertical="center" wrapText="1"/>
      <protection locked="0"/>
    </xf>
    <xf numFmtId="0" fontId="39" fillId="3" borderId="25" xfId="0" applyFont="1" applyFill="1" applyBorder="1" applyAlignment="1">
      <alignment horizontal="left"/>
    </xf>
    <xf numFmtId="0" fontId="39" fillId="3" borderId="26" xfId="0" applyFont="1" applyFill="1" applyBorder="1" applyAlignment="1">
      <alignment horizontal="left"/>
    </xf>
    <xf numFmtId="0" fontId="39" fillId="3" borderId="18" xfId="0" applyFont="1" applyFill="1" applyBorder="1" applyAlignment="1">
      <alignment horizontal="left"/>
    </xf>
    <xf numFmtId="0" fontId="39" fillId="3" borderId="23" xfId="0" applyFont="1" applyFill="1" applyBorder="1" applyAlignment="1">
      <alignment horizontal="left"/>
    </xf>
    <xf numFmtId="0" fontId="39" fillId="3" borderId="67" xfId="0" applyFont="1" applyFill="1" applyBorder="1" applyAlignment="1">
      <alignment horizontal="left"/>
    </xf>
    <xf numFmtId="0" fontId="39" fillId="3" borderId="68" xfId="0" applyFont="1" applyFill="1" applyBorder="1" applyAlignment="1">
      <alignment horizontal="left"/>
    </xf>
    <xf numFmtId="0" fontId="45" fillId="3" borderId="66" xfId="0" applyFont="1" applyFill="1" applyBorder="1" applyAlignment="1">
      <alignment horizontal="center" vertical="center"/>
    </xf>
    <xf numFmtId="0" fontId="45" fillId="3" borderId="9" xfId="0" applyFont="1" applyFill="1" applyBorder="1" applyAlignment="1">
      <alignment horizontal="center" vertical="center"/>
    </xf>
    <xf numFmtId="0" fontId="45" fillId="3" borderId="65" xfId="0" applyFont="1" applyFill="1" applyBorder="1" applyAlignment="1">
      <alignment horizontal="center" vertical="center"/>
    </xf>
    <xf numFmtId="0" fontId="45" fillId="3" borderId="0" xfId="0" applyFont="1" applyFill="1" applyBorder="1" applyAlignment="1">
      <alignment horizontal="center" vertical="center"/>
    </xf>
    <xf numFmtId="0" fontId="45" fillId="3" borderId="69" xfId="0" applyFont="1" applyFill="1" applyBorder="1" applyAlignment="1">
      <alignment horizontal="center" vertical="center"/>
    </xf>
    <xf numFmtId="0" fontId="45" fillId="3" borderId="8" xfId="0" applyFont="1" applyFill="1" applyBorder="1" applyAlignment="1">
      <alignment horizontal="center" vertical="center"/>
    </xf>
    <xf numFmtId="0" fontId="40" fillId="3" borderId="2" xfId="0" applyFont="1" applyFill="1" applyBorder="1" applyAlignment="1">
      <alignment horizontal="center" vertical="center"/>
    </xf>
    <xf numFmtId="0" fontId="40" fillId="3" borderId="9"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0" xfId="0" applyFont="1" applyFill="1" applyBorder="1" applyAlignment="1">
      <alignment horizontal="center" vertical="center"/>
    </xf>
    <xf numFmtId="0" fontId="40" fillId="3" borderId="6" xfId="0" applyFont="1" applyFill="1" applyBorder="1" applyAlignment="1">
      <alignment horizontal="center" vertical="center"/>
    </xf>
    <xf numFmtId="0" fontId="40" fillId="3" borderId="8" xfId="0" applyFont="1" applyFill="1" applyBorder="1" applyAlignment="1">
      <alignment horizontal="center" vertical="center"/>
    </xf>
    <xf numFmtId="0" fontId="41" fillId="3" borderId="51" xfId="0" applyFont="1" applyFill="1" applyBorder="1" applyAlignment="1">
      <alignment horizontal="center" vertical="center"/>
    </xf>
    <xf numFmtId="0" fontId="41" fillId="3" borderId="52" xfId="0" applyFont="1" applyFill="1" applyBorder="1" applyAlignment="1">
      <alignment horizontal="center" vertical="center"/>
    </xf>
    <xf numFmtId="0" fontId="41" fillId="3" borderId="53" xfId="0" applyFont="1" applyFill="1" applyBorder="1" applyAlignment="1">
      <alignment horizontal="center" vertical="center"/>
    </xf>
    <xf numFmtId="0" fontId="27" fillId="16" borderId="61" xfId="0" applyFont="1" applyFill="1" applyBorder="1" applyAlignment="1">
      <alignment horizontal="left" vertical="center" wrapText="1" indent="1"/>
    </xf>
    <xf numFmtId="0" fontId="27" fillId="16" borderId="67" xfId="0" applyFont="1" applyFill="1" applyBorder="1" applyAlignment="1">
      <alignment horizontal="left" vertical="center" wrapText="1" indent="1"/>
    </xf>
    <xf numFmtId="0" fontId="27" fillId="16" borderId="22" xfId="0" applyFont="1" applyFill="1" applyBorder="1" applyAlignment="1">
      <alignment horizontal="left" vertical="center" wrapText="1" indent="1"/>
    </xf>
    <xf numFmtId="0" fontId="27" fillId="16" borderId="18" xfId="0" applyFont="1" applyFill="1" applyBorder="1" applyAlignment="1">
      <alignment horizontal="left" vertical="center" wrapText="1" indent="1"/>
    </xf>
    <xf numFmtId="0" fontId="27" fillId="16" borderId="24" xfId="0" applyFont="1" applyFill="1" applyBorder="1" applyAlignment="1">
      <alignment horizontal="left" vertical="center" wrapText="1" indent="1"/>
    </xf>
    <xf numFmtId="0" fontId="27" fillId="16" borderId="25" xfId="0" applyFont="1" applyFill="1" applyBorder="1" applyAlignment="1">
      <alignment horizontal="left" vertical="center" wrapText="1" indent="1"/>
    </xf>
    <xf numFmtId="0" fontId="46" fillId="3" borderId="67" xfId="0" applyFont="1" applyFill="1" applyBorder="1" applyAlignment="1" applyProtection="1">
      <alignment horizontal="left" vertical="center" indent="1"/>
      <protection locked="0"/>
    </xf>
    <xf numFmtId="0" fontId="8" fillId="3" borderId="67" xfId="0" applyFont="1" applyFill="1" applyBorder="1" applyAlignment="1" applyProtection="1">
      <alignment horizontal="left" vertical="center" indent="1"/>
      <protection locked="0"/>
    </xf>
    <xf numFmtId="0" fontId="8" fillId="3" borderId="68"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32" fillId="14" borderId="22" xfId="0" applyFont="1" applyFill="1" applyBorder="1" applyAlignment="1">
      <alignment horizontal="center" vertical="center"/>
    </xf>
    <xf numFmtId="0" fontId="32" fillId="14" borderId="18" xfId="0" applyFont="1" applyFill="1" applyBorder="1" applyAlignment="1">
      <alignment horizontal="center" vertical="center"/>
    </xf>
    <xf numFmtId="0" fontId="32" fillId="14" borderId="23" xfId="0" applyFont="1" applyFill="1" applyBorder="1" applyAlignment="1">
      <alignment horizontal="center" vertical="center"/>
    </xf>
    <xf numFmtId="0" fontId="1" fillId="0" borderId="108"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0" fontId="1" fillId="0" borderId="22" xfId="0" applyFont="1" applyBorder="1" applyAlignment="1" applyProtection="1">
      <alignment horizontal="center" vertical="center"/>
    </xf>
    <xf numFmtId="0" fontId="1" fillId="0" borderId="105" xfId="0" applyFont="1" applyBorder="1" applyAlignment="1" applyProtection="1">
      <alignment horizontal="center" vertical="center"/>
    </xf>
    <xf numFmtId="0" fontId="53" fillId="0" borderId="22" xfId="0" applyFont="1" applyBorder="1" applyAlignment="1" applyProtection="1">
      <alignment horizontal="center" vertical="center"/>
    </xf>
    <xf numFmtId="0" fontId="1" fillId="0" borderId="4" xfId="0" applyFont="1" applyBorder="1" applyAlignment="1">
      <alignment horizontal="center" vertical="center"/>
    </xf>
    <xf numFmtId="0" fontId="34" fillId="0" borderId="18" xfId="0" applyFont="1" applyBorder="1" applyAlignment="1" applyProtection="1">
      <alignment horizontal="center" vertical="center" wrapText="1"/>
      <protection hidden="1"/>
    </xf>
    <xf numFmtId="0" fontId="2" fillId="3" borderId="18" xfId="0" applyFont="1" applyFill="1" applyBorder="1" applyAlignment="1" applyProtection="1">
      <alignment horizontal="center" vertical="center" wrapText="1"/>
      <protection locked="0"/>
    </xf>
    <xf numFmtId="0" fontId="4" fillId="12" borderId="18"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6"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textRotation="90" wrapText="1"/>
    </xf>
    <xf numFmtId="0" fontId="21" fillId="0" borderId="22" xfId="0" applyFont="1" applyBorder="1" applyAlignment="1" applyProtection="1">
      <alignment horizontal="center" vertical="center"/>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9" fillId="0" borderId="0" xfId="0" applyFont="1" applyAlignment="1">
      <alignment horizontal="center" vertical="center" wrapText="1"/>
    </xf>
    <xf numFmtId="0" fontId="25" fillId="9" borderId="10" xfId="0" applyFont="1" applyFill="1" applyBorder="1" applyAlignment="1">
      <alignment horizontal="center" vertical="center" wrapText="1" readingOrder="1"/>
    </xf>
    <xf numFmtId="0" fontId="25" fillId="9" borderId="11" xfId="0" applyFont="1" applyFill="1" applyBorder="1" applyAlignment="1">
      <alignment horizontal="center" vertical="center" wrapText="1" readingOrder="1"/>
    </xf>
    <xf numFmtId="0" fontId="25" fillId="9" borderId="12" xfId="0" applyFont="1" applyFill="1" applyBorder="1" applyAlignment="1">
      <alignment horizontal="center" vertical="center" wrapText="1" readingOrder="1"/>
    </xf>
    <xf numFmtId="0" fontId="25" fillId="9" borderId="13" xfId="0" applyFont="1" applyFill="1" applyBorder="1" applyAlignment="1">
      <alignment horizontal="center" vertical="center" wrapText="1" readingOrder="1"/>
    </xf>
    <xf numFmtId="0" fontId="25" fillId="9" borderId="0" xfId="0" applyFont="1" applyFill="1" applyBorder="1" applyAlignment="1">
      <alignment horizontal="center" vertical="center" wrapText="1" readingOrder="1"/>
    </xf>
    <xf numFmtId="0" fontId="25" fillId="9" borderId="14" xfId="0" applyFont="1" applyFill="1" applyBorder="1" applyAlignment="1">
      <alignment horizontal="center" vertical="center" wrapText="1" readingOrder="1"/>
    </xf>
    <xf numFmtId="0" fontId="25" fillId="9" borderId="15" xfId="0" applyFont="1" applyFill="1" applyBorder="1" applyAlignment="1">
      <alignment horizontal="center" vertical="center" wrapText="1" readingOrder="1"/>
    </xf>
    <xf numFmtId="0" fontId="25" fillId="9" borderId="16" xfId="0" applyFont="1" applyFill="1" applyBorder="1" applyAlignment="1">
      <alignment horizontal="center" vertical="center" wrapText="1" readingOrder="1"/>
    </xf>
    <xf numFmtId="0" fontId="25" fillId="9" borderId="17" xfId="0" applyFont="1" applyFill="1" applyBorder="1" applyAlignment="1">
      <alignment horizontal="center" vertical="center" wrapText="1" readingOrder="1"/>
    </xf>
    <xf numFmtId="0" fontId="26" fillId="0" borderId="2" xfId="0" applyFont="1" applyBorder="1" applyAlignment="1">
      <alignment horizontal="center" vertical="center" wrapText="1"/>
    </xf>
    <xf numFmtId="0" fontId="26" fillId="0" borderId="9" xfId="0" applyFont="1" applyBorder="1" applyAlignment="1">
      <alignment horizontal="center" vertical="center"/>
    </xf>
    <xf numFmtId="0" fontId="26" fillId="0" borderId="4" xfId="0" applyFont="1" applyBorder="1" applyAlignment="1">
      <alignment horizontal="center" vertical="center" wrapText="1"/>
    </xf>
    <xf numFmtId="0" fontId="26" fillId="0" borderId="0"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26" fillId="0" borderId="6" xfId="0" applyFont="1" applyBorder="1" applyAlignment="1">
      <alignment horizontal="center" vertical="center"/>
    </xf>
    <xf numFmtId="0" fontId="26" fillId="0" borderId="8" xfId="0" applyFont="1" applyBorder="1" applyAlignment="1">
      <alignment horizontal="center" vertical="center"/>
    </xf>
    <xf numFmtId="0" fontId="25" fillId="10" borderId="10" xfId="0" applyFont="1" applyFill="1" applyBorder="1" applyAlignment="1">
      <alignment horizontal="center" vertical="center" wrapText="1" readingOrder="1"/>
    </xf>
    <xf numFmtId="0" fontId="25" fillId="10" borderId="11" xfId="0" applyFont="1" applyFill="1" applyBorder="1" applyAlignment="1">
      <alignment horizontal="center" vertical="center" wrapText="1" readingOrder="1"/>
    </xf>
    <xf numFmtId="0" fontId="25" fillId="10" borderId="12" xfId="0" applyFont="1" applyFill="1" applyBorder="1" applyAlignment="1">
      <alignment horizontal="center" vertical="center" wrapText="1" readingOrder="1"/>
    </xf>
    <xf numFmtId="0" fontId="25" fillId="10" borderId="13" xfId="0" applyFont="1" applyFill="1" applyBorder="1" applyAlignment="1">
      <alignment horizontal="center" vertical="center" wrapText="1" readingOrder="1"/>
    </xf>
    <xf numFmtId="0" fontId="25" fillId="10" borderId="0" xfId="0" applyFont="1" applyFill="1" applyBorder="1" applyAlignment="1">
      <alignment horizontal="center" vertical="center" wrapText="1" readingOrder="1"/>
    </xf>
    <xf numFmtId="0" fontId="25" fillId="10" borderId="14" xfId="0" applyFont="1" applyFill="1" applyBorder="1" applyAlignment="1">
      <alignment horizontal="center" vertical="center" wrapText="1" readingOrder="1"/>
    </xf>
    <xf numFmtId="0" fontId="25" fillId="10" borderId="15" xfId="0" applyFont="1" applyFill="1" applyBorder="1" applyAlignment="1">
      <alignment horizontal="center" vertical="center" wrapText="1" readingOrder="1"/>
    </xf>
    <xf numFmtId="0" fontId="25" fillId="10" borderId="16" xfId="0" applyFont="1" applyFill="1" applyBorder="1" applyAlignment="1">
      <alignment horizontal="center" vertical="center" wrapText="1" readingOrder="1"/>
    </xf>
    <xf numFmtId="0" fontId="25" fillId="10" borderId="17" xfId="0" applyFont="1" applyFill="1" applyBorder="1" applyAlignment="1">
      <alignment horizontal="center" vertical="center" wrapText="1" readingOrder="1"/>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7" xfId="0" applyFont="1" applyBorder="1" applyAlignment="1">
      <alignment horizontal="center" vertical="center"/>
    </xf>
    <xf numFmtId="0" fontId="25" fillId="5" borderId="10" xfId="0" applyFont="1" applyFill="1" applyBorder="1" applyAlignment="1">
      <alignment horizontal="center" vertical="center" wrapText="1" readingOrder="1"/>
    </xf>
    <xf numFmtId="0" fontId="25" fillId="5" borderId="11" xfId="0" applyFont="1" applyFill="1" applyBorder="1" applyAlignment="1">
      <alignment horizontal="center" vertical="center" wrapText="1" readingOrder="1"/>
    </xf>
    <xf numFmtId="0" fontId="25" fillId="5" borderId="12" xfId="0" applyFont="1" applyFill="1" applyBorder="1" applyAlignment="1">
      <alignment horizontal="center" vertical="center" wrapText="1" readingOrder="1"/>
    </xf>
    <xf numFmtId="0" fontId="25" fillId="5" borderId="13" xfId="0" applyFont="1" applyFill="1" applyBorder="1" applyAlignment="1">
      <alignment horizontal="center" vertical="center" wrapText="1" readingOrder="1"/>
    </xf>
    <xf numFmtId="0" fontId="25" fillId="5" borderId="0" xfId="0" applyFont="1" applyFill="1" applyBorder="1" applyAlignment="1">
      <alignment horizontal="center" vertical="center" wrapText="1" readingOrder="1"/>
    </xf>
    <xf numFmtId="0" fontId="25" fillId="5" borderId="14" xfId="0" applyFont="1" applyFill="1" applyBorder="1" applyAlignment="1">
      <alignment horizontal="center" vertical="center" wrapText="1" readingOrder="1"/>
    </xf>
    <xf numFmtId="0" fontId="25" fillId="5" borderId="15" xfId="0" applyFont="1" applyFill="1" applyBorder="1" applyAlignment="1">
      <alignment horizontal="center" vertical="center" wrapText="1" readingOrder="1"/>
    </xf>
    <xf numFmtId="0" fontId="25" fillId="5" borderId="16" xfId="0" applyFont="1" applyFill="1" applyBorder="1" applyAlignment="1">
      <alignment horizontal="center" vertical="center" wrapText="1" readingOrder="1"/>
    </xf>
    <xf numFmtId="0" fontId="25" fillId="5" borderId="17" xfId="0" applyFont="1" applyFill="1" applyBorder="1" applyAlignment="1">
      <alignment horizontal="center" vertical="center" wrapText="1" readingOrder="1"/>
    </xf>
    <xf numFmtId="0" fontId="25" fillId="11" borderId="10" xfId="0" applyFont="1" applyFill="1" applyBorder="1" applyAlignment="1">
      <alignment horizontal="center" vertical="center" wrapText="1" readingOrder="1"/>
    </xf>
    <xf numFmtId="0" fontId="25" fillId="11" borderId="11" xfId="0" applyFont="1" applyFill="1" applyBorder="1" applyAlignment="1">
      <alignment horizontal="center" vertical="center" wrapText="1" readingOrder="1"/>
    </xf>
    <xf numFmtId="0" fontId="25" fillId="11" borderId="12" xfId="0" applyFont="1" applyFill="1" applyBorder="1" applyAlignment="1">
      <alignment horizontal="center" vertical="center" wrapText="1" readingOrder="1"/>
    </xf>
    <xf numFmtId="0" fontId="25" fillId="11" borderId="13" xfId="0" applyFont="1" applyFill="1" applyBorder="1" applyAlignment="1">
      <alignment horizontal="center" vertical="center" wrapText="1" readingOrder="1"/>
    </xf>
    <xf numFmtId="0" fontId="25" fillId="11" borderId="0" xfId="0" applyFont="1" applyFill="1" applyBorder="1" applyAlignment="1">
      <alignment horizontal="center" vertical="center" wrapText="1" readingOrder="1"/>
    </xf>
    <xf numFmtId="0" fontId="25" fillId="11" borderId="14" xfId="0" applyFont="1" applyFill="1" applyBorder="1" applyAlignment="1">
      <alignment horizontal="center" vertical="center" wrapText="1" readingOrder="1"/>
    </xf>
    <xf numFmtId="0" fontId="25" fillId="11" borderId="15" xfId="0" applyFont="1" applyFill="1" applyBorder="1" applyAlignment="1">
      <alignment horizontal="center" vertical="center" wrapText="1" readingOrder="1"/>
    </xf>
    <xf numFmtId="0" fontId="25" fillId="11" borderId="16" xfId="0" applyFont="1" applyFill="1" applyBorder="1" applyAlignment="1">
      <alignment horizontal="center" vertical="center" wrapText="1" readingOrder="1"/>
    </xf>
    <xf numFmtId="0" fontId="25" fillId="11" borderId="17" xfId="0" applyFont="1" applyFill="1" applyBorder="1" applyAlignment="1">
      <alignment horizontal="center" vertical="center" wrapText="1" readingOrder="1"/>
    </xf>
    <xf numFmtId="0" fontId="26" fillId="0" borderId="9" xfId="0" applyFont="1" applyBorder="1" applyAlignment="1">
      <alignment horizontal="center" vertical="center" wrapText="1"/>
    </xf>
    <xf numFmtId="0" fontId="63" fillId="18" borderId="20" xfId="0" applyFont="1" applyFill="1" applyBorder="1" applyAlignment="1">
      <alignment horizontal="center" vertical="center" wrapText="1" readingOrder="1"/>
    </xf>
    <xf numFmtId="0" fontId="63" fillId="18" borderId="21" xfId="0" applyFont="1" applyFill="1" applyBorder="1" applyAlignment="1">
      <alignment horizontal="center" vertical="center" wrapText="1" readingOrder="1"/>
    </xf>
    <xf numFmtId="0" fontId="63" fillId="18" borderId="32" xfId="0" applyFont="1" applyFill="1" applyBorder="1" applyAlignment="1">
      <alignment horizontal="center" vertical="center" wrapText="1" readingOrder="1"/>
    </xf>
    <xf numFmtId="0" fontId="55" fillId="18" borderId="20" xfId="0" applyFont="1" applyFill="1" applyBorder="1" applyAlignment="1">
      <alignment horizontal="center" vertical="center" wrapText="1" readingOrder="1"/>
    </xf>
    <xf numFmtId="0" fontId="55" fillId="18" borderId="21" xfId="0" applyFont="1" applyFill="1" applyBorder="1" applyAlignment="1">
      <alignment horizontal="center" vertical="center" wrapText="1" readingOrder="1"/>
    </xf>
    <xf numFmtId="0" fontId="21" fillId="3" borderId="0" xfId="0" applyFont="1" applyFill="1" applyBorder="1" applyAlignment="1">
      <alignment horizontal="justify" vertical="center" wrapText="1"/>
    </xf>
    <xf numFmtId="0" fontId="22" fillId="18" borderId="29" xfId="0" applyFont="1" applyFill="1" applyBorder="1" applyAlignment="1">
      <alignment horizontal="center" vertical="center" wrapText="1" readingOrder="1"/>
    </xf>
    <xf numFmtId="0" fontId="22" fillId="18" borderId="30" xfId="0" applyFont="1" applyFill="1" applyBorder="1" applyAlignment="1">
      <alignment horizontal="center" vertical="center" wrapText="1" readingOrder="1"/>
    </xf>
    <xf numFmtId="0" fontId="22" fillId="3" borderId="27" xfId="0" applyFont="1" applyFill="1" applyBorder="1" applyAlignment="1">
      <alignment horizontal="center" vertical="center" wrapText="1" readingOrder="1"/>
    </xf>
    <xf numFmtId="0" fontId="22" fillId="3" borderId="22" xfId="0" applyFont="1" applyFill="1" applyBorder="1" applyAlignment="1">
      <alignment horizontal="center" vertical="center" wrapText="1" readingOrder="1"/>
    </xf>
    <xf numFmtId="0" fontId="22" fillId="3" borderId="19" xfId="0" applyFont="1" applyFill="1" applyBorder="1" applyAlignment="1">
      <alignment horizontal="center" vertical="center" wrapText="1" readingOrder="1"/>
    </xf>
    <xf numFmtId="0" fontId="22" fillId="3" borderId="18" xfId="0" applyFont="1" applyFill="1" applyBorder="1" applyAlignment="1">
      <alignment horizontal="center" vertical="center" wrapText="1" readingOrder="1"/>
    </xf>
    <xf numFmtId="0" fontId="22" fillId="3" borderId="24" xfId="0" applyFont="1" applyFill="1" applyBorder="1" applyAlignment="1">
      <alignment horizontal="center" vertical="center" wrapText="1" readingOrder="1"/>
    </xf>
    <xf numFmtId="0" fontId="22" fillId="3" borderId="25"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8">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MAPA%20DE%20RIESGOS%20DE%20GESTION%202021%20-%20PLANEACIO&#769;N%20version%202%20Rec%20OCIG%20Ok.xlsx?33DF16EE" TargetMode="External"/><Relationship Id="rId1" Type="http://schemas.openxmlformats.org/officeDocument/2006/relationships/externalLinkPath" Target="file:///\\33DF16EE\MAPA%20DE%20RIESGOS%20DE%20GESTION%202021%20-%20PLANEACIO&#769;N%20version%202%20Rec%20OCIG%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CONTEXTO"/>
      <sheetName val="MAPA DE RIESGO"/>
      <sheetName val="MAPA DE RIESGO (2)"/>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row r="12">
          <cell r="C12" t="str">
            <v xml:space="preserve">     Afectación menor a 10 SMLMV .</v>
          </cell>
          <cell r="D12" t="str">
            <v xml:space="preserve">     El riesgo afecta la imagen de alguna área de la organización</v>
          </cell>
        </row>
        <row r="13">
          <cell r="C13" t="str">
            <v xml:space="preserve">     Entre 10 y 50 SMLMV </v>
          </cell>
          <cell r="D13" t="str">
            <v xml:space="preserve">     El riesgo afecta la imagen de la entidad internamente, de conocimiento general, nivel interno, de junta dircetiva y accionistas y/o de provedores</v>
          </cell>
        </row>
        <row r="14">
          <cell r="C14" t="str">
            <v xml:space="preserve">     Entre 50 y 100 SMLMV </v>
          </cell>
          <cell r="D14" t="str">
            <v xml:space="preserve">     El riesgo afecta la imagen de la entidad con algunos usuarios de relevancia frente al logro de los objetivos</v>
          </cell>
        </row>
        <row r="15">
          <cell r="C15" t="str">
            <v xml:space="preserve">     Entre 100 y 500 SMLMV </v>
          </cell>
          <cell r="D15" t="str">
            <v xml:space="preserve">     El riesgo afecta la imagen de de la entidad con efecto publicitario sostenido a nivel de sector administrativo, nivel departamental o municipal</v>
          </cell>
        </row>
        <row r="16">
          <cell r="C16" t="str">
            <v xml:space="preserve">     Mayor a 500 SMLMV </v>
          </cell>
          <cell r="D16" t="str">
            <v xml:space="preserve">     El riesgo afecta la imagen de la entidad a nivel nacional, con efecto publicitarios sostenible a nivel país</v>
          </cell>
        </row>
        <row r="222">
          <cell r="B222" t="str">
            <v>Criterios</v>
          </cell>
        </row>
        <row r="223">
          <cell r="B223" t="str">
            <v>Afectación Económica o presupuestal</v>
          </cell>
        </row>
        <row r="224">
          <cell r="B224" t="str">
            <v>Pérdida Reputacional</v>
          </cell>
          <cell r="F224" t="str">
            <v>❌</v>
          </cell>
        </row>
      </sheetData>
      <sheetData sheetId="8"/>
      <sheetData sheetId="9"/>
      <sheetData sheetId="10"/>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2651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492">
      <pivotArea type="all" dataOnly="0" outline="0" fieldPosition="0"/>
    </format>
    <format dxfId="493">
      <pivotArea field="0" type="button" dataOnly="0" labelOnly="1" outline="0" axis="axisRow" fieldPosition="0"/>
    </format>
    <format dxfId="494">
      <pivotArea field="1" type="button" dataOnly="0" labelOnly="1" outline="0" axis="axisRow" fieldPosition="1"/>
    </format>
    <format dxfId="495">
      <pivotArea dataOnly="0" labelOnly="1" outline="0" fieldPosition="0">
        <references count="1">
          <reference field="0" count="0"/>
        </references>
      </pivotArea>
    </format>
    <format dxfId="496">
      <pivotArea dataOnly="0" labelOnly="1" outline="0" fieldPosition="0">
        <references count="2">
          <reference field="0" count="1" selected="0">
            <x v="0"/>
          </reference>
          <reference field="1" count="5">
            <x v="0"/>
            <x v="6"/>
            <x v="7"/>
            <x v="8"/>
            <x v="9"/>
          </reference>
        </references>
      </pivotArea>
    </format>
    <format dxfId="49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9" zoomScale="120" zoomScaleNormal="120" workbookViewId="0">
      <selection activeCell="C19" sqref="C19:D19"/>
    </sheetView>
  </sheetViews>
  <sheetFormatPr defaultColWidth="11.42578125" defaultRowHeight="15"/>
  <cols>
    <col min="1" max="1" width="2.7109375" style="54" customWidth="1" collapsed="1"/>
    <col min="2" max="3" width="24.7109375" style="54" customWidth="1" collapsed="1"/>
    <col min="4" max="4" width="16" style="54" customWidth="1" collapsed="1"/>
    <col min="5" max="5" width="24.7109375" style="54" customWidth="1" collapsed="1"/>
    <col min="6" max="6" width="27.7109375" style="54" customWidth="1" collapsed="1"/>
    <col min="7" max="8" width="24.7109375" style="54" customWidth="1" collapsed="1"/>
    <col min="9" max="16384" width="11.42578125" style="54" collapsed="1"/>
  </cols>
  <sheetData>
    <row r="1" spans="1:8" ht="15.75" thickBot="1"/>
    <row r="2" spans="1:8" ht="18">
      <c r="B2" s="226" t="s">
        <v>0</v>
      </c>
      <c r="C2" s="227"/>
      <c r="D2" s="227"/>
      <c r="E2" s="227"/>
      <c r="F2" s="227"/>
      <c r="G2" s="227"/>
      <c r="H2" s="228"/>
    </row>
    <row r="3" spans="1:8">
      <c r="B3" s="55"/>
      <c r="C3" s="56"/>
      <c r="D3" s="56"/>
      <c r="E3" s="56"/>
      <c r="F3" s="56"/>
      <c r="G3" s="56"/>
      <c r="H3" s="57"/>
    </row>
    <row r="4" spans="1:8" ht="63" customHeight="1">
      <c r="B4" s="229" t="s">
        <v>1</v>
      </c>
      <c r="C4" s="230"/>
      <c r="D4" s="230"/>
      <c r="E4" s="230"/>
      <c r="F4" s="230"/>
      <c r="G4" s="230"/>
      <c r="H4" s="231"/>
    </row>
    <row r="5" spans="1:8" ht="63" customHeight="1">
      <c r="B5" s="232"/>
      <c r="C5" s="233"/>
      <c r="D5" s="233"/>
      <c r="E5" s="233"/>
      <c r="F5" s="233"/>
      <c r="G5" s="233"/>
      <c r="H5" s="234"/>
    </row>
    <row r="6" spans="1:8" ht="16.5">
      <c r="A6" s="102"/>
      <c r="B6" s="235" t="s">
        <v>2</v>
      </c>
      <c r="C6" s="236"/>
      <c r="D6" s="236"/>
      <c r="E6" s="236"/>
      <c r="F6" s="236"/>
      <c r="G6" s="236"/>
      <c r="H6" s="237"/>
    </row>
    <row r="7" spans="1:8" ht="95.25" customHeight="1">
      <c r="A7" s="102"/>
      <c r="B7" s="244" t="s">
        <v>3</v>
      </c>
      <c r="C7" s="244"/>
      <c r="D7" s="244"/>
      <c r="E7" s="244"/>
      <c r="F7" s="244"/>
      <c r="G7" s="244"/>
      <c r="H7" s="245"/>
    </row>
    <row r="8" spans="1:8" ht="16.5">
      <c r="A8" s="102"/>
      <c r="B8" s="103"/>
      <c r="C8" s="79"/>
      <c r="D8" s="79"/>
      <c r="E8" s="79"/>
      <c r="F8" s="79"/>
      <c r="G8" s="79"/>
      <c r="H8" s="99"/>
    </row>
    <row r="9" spans="1:8" ht="16.5" customHeight="1">
      <c r="A9" s="102"/>
      <c r="B9" s="238" t="s">
        <v>4</v>
      </c>
      <c r="C9" s="238"/>
      <c r="D9" s="238"/>
      <c r="E9" s="238"/>
      <c r="F9" s="238"/>
      <c r="G9" s="238"/>
      <c r="H9" s="239"/>
    </row>
    <row r="10" spans="1:8" ht="16.5" customHeight="1">
      <c r="A10" s="102"/>
      <c r="B10" s="238"/>
      <c r="C10" s="238"/>
      <c r="D10" s="238"/>
      <c r="E10" s="238"/>
      <c r="F10" s="238"/>
      <c r="G10" s="238"/>
      <c r="H10" s="239"/>
    </row>
    <row r="11" spans="1:8" ht="11.65" customHeight="1">
      <c r="A11" s="102"/>
      <c r="B11" s="238"/>
      <c r="C11" s="238"/>
      <c r="D11" s="238"/>
      <c r="E11" s="238"/>
      <c r="F11" s="238"/>
      <c r="G11" s="238"/>
      <c r="H11" s="239"/>
    </row>
    <row r="12" spans="1:8" ht="11.65" customHeight="1" thickBot="1">
      <c r="A12" s="102"/>
      <c r="B12" s="196"/>
      <c r="C12" s="196"/>
      <c r="D12" s="196"/>
      <c r="E12" s="196"/>
      <c r="F12" s="196"/>
      <c r="G12" s="196"/>
      <c r="H12" s="197"/>
    </row>
    <row r="13" spans="1:8" ht="15.4" customHeight="1" thickTop="1">
      <c r="A13" s="102"/>
      <c r="B13" s="196"/>
      <c r="C13" s="246" t="s">
        <v>5</v>
      </c>
      <c r="D13" s="241"/>
      <c r="E13" s="242" t="s">
        <v>6</v>
      </c>
      <c r="F13" s="243"/>
      <c r="G13" s="196"/>
      <c r="H13" s="197"/>
    </row>
    <row r="14" spans="1:8" ht="11.65" customHeight="1">
      <c r="A14" s="102"/>
      <c r="B14" s="196"/>
      <c r="C14" s="247" t="s">
        <v>7</v>
      </c>
      <c r="D14" s="248"/>
      <c r="E14" s="249" t="s">
        <v>8</v>
      </c>
      <c r="F14" s="209"/>
      <c r="G14" s="196"/>
      <c r="H14" s="197"/>
    </row>
    <row r="15" spans="1:8" ht="11.65" customHeight="1">
      <c r="A15" s="102"/>
      <c r="B15" s="196"/>
      <c r="C15" s="247" t="s">
        <v>9</v>
      </c>
      <c r="D15" s="248"/>
      <c r="E15" s="249" t="s">
        <v>10</v>
      </c>
      <c r="F15" s="209"/>
      <c r="G15" s="196"/>
      <c r="H15" s="197"/>
    </row>
    <row r="16" spans="1:8" ht="11.65" customHeight="1">
      <c r="A16" s="102"/>
      <c r="B16" s="196"/>
      <c r="C16" s="247" t="s">
        <v>11</v>
      </c>
      <c r="D16" s="248"/>
      <c r="E16" s="249" t="s">
        <v>12</v>
      </c>
      <c r="F16" s="209"/>
      <c r="G16" s="196"/>
      <c r="H16" s="197"/>
    </row>
    <row r="17" spans="1:8" ht="13.5" customHeight="1">
      <c r="A17" s="102"/>
      <c r="B17" s="196"/>
      <c r="C17" s="247" t="s">
        <v>13</v>
      </c>
      <c r="D17" s="248"/>
      <c r="E17" s="249" t="s">
        <v>14</v>
      </c>
      <c r="F17" s="209"/>
      <c r="G17" s="196"/>
      <c r="H17" s="100"/>
    </row>
    <row r="18" spans="1:8" ht="12.4" customHeight="1">
      <c r="A18" s="102"/>
      <c r="B18" s="196"/>
      <c r="C18" s="247" t="s">
        <v>15</v>
      </c>
      <c r="D18" s="248"/>
      <c r="E18" s="255" t="s">
        <v>16</v>
      </c>
      <c r="F18" s="209"/>
      <c r="G18" s="196"/>
      <c r="H18" s="197"/>
    </row>
    <row r="19" spans="1:8" ht="24" customHeight="1" thickBot="1">
      <c r="A19" s="102"/>
      <c r="B19" s="196"/>
      <c r="C19" s="253" t="s">
        <v>17</v>
      </c>
      <c r="D19" s="254"/>
      <c r="E19" s="256" t="s">
        <v>18</v>
      </c>
      <c r="F19" s="257"/>
      <c r="G19" s="196"/>
      <c r="H19" s="197"/>
    </row>
    <row r="20" spans="1:8" ht="11.65" customHeight="1" thickTop="1">
      <c r="A20" s="102"/>
      <c r="B20" s="196"/>
      <c r="C20" s="104"/>
      <c r="D20" s="104"/>
      <c r="E20" s="104"/>
      <c r="F20" s="104"/>
      <c r="G20" s="196"/>
      <c r="H20" s="197"/>
    </row>
    <row r="21" spans="1:8" ht="27.4" customHeight="1" thickBot="1">
      <c r="A21" s="102"/>
      <c r="B21" s="250" t="s">
        <v>19</v>
      </c>
      <c r="C21" s="251"/>
      <c r="D21" s="251"/>
      <c r="E21" s="251"/>
      <c r="F21" s="251"/>
      <c r="G21" s="251"/>
      <c r="H21" s="252"/>
    </row>
    <row r="22" spans="1:8" ht="15.75" thickTop="1">
      <c r="A22" s="102"/>
      <c r="B22" s="106"/>
      <c r="C22" s="240" t="s">
        <v>5</v>
      </c>
      <c r="D22" s="241"/>
      <c r="E22" s="242" t="s">
        <v>6</v>
      </c>
      <c r="F22" s="243"/>
      <c r="G22" s="104"/>
      <c r="H22" s="105"/>
    </row>
    <row r="23" spans="1:8" ht="13.5" customHeight="1">
      <c r="A23" s="102"/>
      <c r="B23" s="107"/>
      <c r="C23" s="220" t="s">
        <v>7</v>
      </c>
      <c r="D23" s="221"/>
      <c r="E23" s="222" t="s">
        <v>8</v>
      </c>
      <c r="F23" s="223"/>
      <c r="G23" s="74"/>
      <c r="H23" s="101"/>
    </row>
    <row r="24" spans="1:8" ht="13.5" customHeight="1">
      <c r="A24" s="102"/>
      <c r="B24" s="107"/>
      <c r="C24" s="206" t="s">
        <v>20</v>
      </c>
      <c r="D24" s="207"/>
      <c r="E24" s="208" t="s">
        <v>14</v>
      </c>
      <c r="F24" s="209"/>
      <c r="G24" s="74"/>
      <c r="H24" s="101"/>
    </row>
    <row r="25" spans="1:8" ht="13.5" customHeight="1">
      <c r="A25" s="102"/>
      <c r="B25" s="107"/>
      <c r="C25" s="206" t="s">
        <v>9</v>
      </c>
      <c r="D25" s="207"/>
      <c r="E25" s="208" t="s">
        <v>10</v>
      </c>
      <c r="F25" s="209"/>
      <c r="G25" s="74"/>
      <c r="H25" s="101"/>
    </row>
    <row r="26" spans="1:8" ht="22.9" customHeight="1">
      <c r="A26" s="102"/>
      <c r="B26" s="107"/>
      <c r="C26" s="206" t="s">
        <v>21</v>
      </c>
      <c r="D26" s="207"/>
      <c r="E26" s="224" t="s">
        <v>22</v>
      </c>
      <c r="F26" s="225"/>
      <c r="G26" s="74"/>
      <c r="H26" s="101"/>
    </row>
    <row r="27" spans="1:8" ht="69.75" customHeight="1">
      <c r="A27" s="102"/>
      <c r="B27" s="107"/>
      <c r="C27" s="215" t="s">
        <v>23</v>
      </c>
      <c r="D27" s="213"/>
      <c r="E27" s="210" t="s">
        <v>24</v>
      </c>
      <c r="F27" s="211"/>
      <c r="G27" s="74"/>
      <c r="H27" s="75"/>
    </row>
    <row r="28" spans="1:8" ht="34.5" customHeight="1">
      <c r="B28" s="71"/>
      <c r="C28" s="212" t="s">
        <v>25</v>
      </c>
      <c r="D28" s="213"/>
      <c r="E28" s="210" t="s">
        <v>26</v>
      </c>
      <c r="F28" s="211"/>
      <c r="G28" s="74"/>
      <c r="H28" s="75"/>
    </row>
    <row r="29" spans="1:8" ht="27.75" customHeight="1">
      <c r="B29" s="71"/>
      <c r="C29" s="212" t="s">
        <v>27</v>
      </c>
      <c r="D29" s="213"/>
      <c r="E29" s="210" t="s">
        <v>28</v>
      </c>
      <c r="F29" s="211"/>
      <c r="G29" s="74"/>
      <c r="H29" s="75"/>
    </row>
    <row r="30" spans="1:8" ht="28.5" customHeight="1">
      <c r="B30" s="71"/>
      <c r="C30" s="212" t="s">
        <v>29</v>
      </c>
      <c r="D30" s="213"/>
      <c r="E30" s="210" t="s">
        <v>30</v>
      </c>
      <c r="F30" s="211"/>
      <c r="G30" s="74"/>
      <c r="H30" s="75"/>
    </row>
    <row r="31" spans="1:8" ht="72.75" customHeight="1">
      <c r="B31" s="71"/>
      <c r="C31" s="212" t="s">
        <v>31</v>
      </c>
      <c r="D31" s="213"/>
      <c r="E31" s="210" t="s">
        <v>32</v>
      </c>
      <c r="F31" s="211"/>
      <c r="G31" s="74"/>
      <c r="H31" s="75"/>
    </row>
    <row r="32" spans="1:8" ht="64.5" customHeight="1">
      <c r="B32" s="71"/>
      <c r="C32" s="212" t="s">
        <v>33</v>
      </c>
      <c r="D32" s="213"/>
      <c r="E32" s="210" t="s">
        <v>34</v>
      </c>
      <c r="F32" s="211"/>
      <c r="G32" s="74"/>
      <c r="H32" s="75"/>
    </row>
    <row r="33" spans="2:8" ht="71.25" customHeight="1">
      <c r="B33" s="71"/>
      <c r="C33" s="214" t="s">
        <v>35</v>
      </c>
      <c r="D33" s="215"/>
      <c r="E33" s="210" t="s">
        <v>36</v>
      </c>
      <c r="F33" s="211"/>
      <c r="G33" s="74"/>
      <c r="H33" s="75"/>
    </row>
    <row r="34" spans="2:8" ht="55.5" customHeight="1">
      <c r="B34" s="71"/>
      <c r="C34" s="214" t="s">
        <v>37</v>
      </c>
      <c r="D34" s="215"/>
      <c r="E34" s="210" t="s">
        <v>38</v>
      </c>
      <c r="F34" s="211"/>
      <c r="G34" s="74"/>
      <c r="H34" s="75"/>
    </row>
    <row r="35" spans="2:8" ht="42" customHeight="1">
      <c r="B35" s="71"/>
      <c r="C35" s="214" t="s">
        <v>39</v>
      </c>
      <c r="D35" s="215"/>
      <c r="E35" s="210" t="s">
        <v>40</v>
      </c>
      <c r="F35" s="211"/>
      <c r="G35" s="74"/>
      <c r="H35" s="75"/>
    </row>
    <row r="36" spans="2:8" ht="59.25" customHeight="1">
      <c r="B36" s="71"/>
      <c r="C36" s="214" t="s">
        <v>41</v>
      </c>
      <c r="D36" s="215"/>
      <c r="E36" s="210" t="s">
        <v>42</v>
      </c>
      <c r="F36" s="211"/>
      <c r="G36" s="74"/>
      <c r="H36" s="75"/>
    </row>
    <row r="37" spans="2:8" ht="23.25" customHeight="1">
      <c r="B37" s="71"/>
      <c r="C37" s="214" t="s">
        <v>43</v>
      </c>
      <c r="D37" s="215"/>
      <c r="E37" s="210" t="s">
        <v>44</v>
      </c>
      <c r="F37" s="211"/>
      <c r="G37" s="74"/>
      <c r="H37" s="75"/>
    </row>
    <row r="38" spans="2:8" ht="30.75" customHeight="1">
      <c r="B38" s="71"/>
      <c r="C38" s="214" t="s">
        <v>45</v>
      </c>
      <c r="D38" s="215"/>
      <c r="E38" s="210" t="s">
        <v>46</v>
      </c>
      <c r="F38" s="211"/>
      <c r="G38" s="74"/>
      <c r="H38" s="75"/>
    </row>
    <row r="39" spans="2:8" ht="35.25" customHeight="1">
      <c r="B39" s="71"/>
      <c r="C39" s="214" t="s">
        <v>45</v>
      </c>
      <c r="D39" s="215"/>
      <c r="E39" s="210" t="s">
        <v>46</v>
      </c>
      <c r="F39" s="211"/>
      <c r="G39" s="74"/>
      <c r="H39" s="75"/>
    </row>
    <row r="40" spans="2:8" ht="33" customHeight="1">
      <c r="B40" s="71"/>
      <c r="C40" s="214" t="s">
        <v>47</v>
      </c>
      <c r="D40" s="215"/>
      <c r="E40" s="210" t="s">
        <v>48</v>
      </c>
      <c r="F40" s="211"/>
      <c r="G40" s="74"/>
      <c r="H40" s="75"/>
    </row>
    <row r="41" spans="2:8" ht="30" customHeight="1">
      <c r="B41" s="71"/>
      <c r="C41" s="214" t="s">
        <v>49</v>
      </c>
      <c r="D41" s="215"/>
      <c r="E41" s="210" t="s">
        <v>50</v>
      </c>
      <c r="F41" s="211"/>
      <c r="G41" s="74"/>
      <c r="H41" s="75"/>
    </row>
    <row r="42" spans="2:8" ht="35.25" customHeight="1">
      <c r="B42" s="71"/>
      <c r="C42" s="214" t="s">
        <v>51</v>
      </c>
      <c r="D42" s="215"/>
      <c r="E42" s="210" t="s">
        <v>52</v>
      </c>
      <c r="F42" s="211"/>
      <c r="G42" s="74"/>
      <c r="H42" s="75"/>
    </row>
    <row r="43" spans="2:8" ht="31.5" customHeight="1">
      <c r="B43" s="71"/>
      <c r="C43" s="214" t="s">
        <v>53</v>
      </c>
      <c r="D43" s="215"/>
      <c r="E43" s="210" t="s">
        <v>54</v>
      </c>
      <c r="F43" s="211"/>
      <c r="G43" s="74"/>
      <c r="H43" s="75"/>
    </row>
    <row r="44" spans="2:8" ht="35.25" customHeight="1">
      <c r="B44" s="71"/>
      <c r="C44" s="214" t="s">
        <v>55</v>
      </c>
      <c r="D44" s="215"/>
      <c r="E44" s="210" t="s">
        <v>56</v>
      </c>
      <c r="F44" s="211"/>
      <c r="G44" s="74"/>
      <c r="H44" s="75"/>
    </row>
    <row r="45" spans="2:8" ht="59.25" customHeight="1">
      <c r="B45" s="71"/>
      <c r="C45" s="214" t="s">
        <v>57</v>
      </c>
      <c r="D45" s="215"/>
      <c r="E45" s="210" t="s">
        <v>58</v>
      </c>
      <c r="F45" s="211"/>
      <c r="G45" s="74"/>
      <c r="H45" s="75"/>
    </row>
    <row r="46" spans="2:8" ht="29.25" customHeight="1">
      <c r="B46" s="71"/>
      <c r="C46" s="214" t="s">
        <v>59</v>
      </c>
      <c r="D46" s="215"/>
      <c r="E46" s="210" t="s">
        <v>60</v>
      </c>
      <c r="F46" s="211"/>
      <c r="G46" s="74"/>
      <c r="H46" s="75"/>
    </row>
    <row r="47" spans="2:8" ht="82.5" customHeight="1">
      <c r="B47" s="71"/>
      <c r="C47" s="214" t="s">
        <v>61</v>
      </c>
      <c r="D47" s="215"/>
      <c r="E47" s="210" t="s">
        <v>62</v>
      </c>
      <c r="F47" s="211"/>
      <c r="G47" s="74"/>
      <c r="H47" s="75"/>
    </row>
    <row r="48" spans="2:8" ht="46.5" customHeight="1" thickBot="1">
      <c r="B48" s="71"/>
      <c r="C48" s="216"/>
      <c r="D48" s="217"/>
      <c r="E48" s="218"/>
      <c r="F48" s="219"/>
      <c r="G48" s="74"/>
      <c r="H48" s="75"/>
    </row>
    <row r="49" spans="2:8" ht="6.75" customHeight="1" thickTop="1">
      <c r="B49" s="71"/>
      <c r="C49" s="72"/>
      <c r="D49" s="72"/>
      <c r="E49" s="73"/>
      <c r="F49" s="73"/>
      <c r="G49" s="74"/>
      <c r="H49" s="75"/>
    </row>
    <row r="50" spans="2:8">
      <c r="B50" s="71"/>
      <c r="C50" s="97"/>
      <c r="D50" s="97"/>
      <c r="E50" s="97"/>
      <c r="F50" s="97"/>
      <c r="G50" s="74"/>
      <c r="H50" s="75"/>
    </row>
    <row r="51" spans="2:8" ht="21" customHeight="1">
      <c r="B51" s="96" t="s">
        <v>63</v>
      </c>
      <c r="C51" s="97"/>
      <c r="D51" s="97"/>
      <c r="E51" s="97"/>
      <c r="F51" s="97"/>
      <c r="G51" s="97"/>
      <c r="H51" s="98"/>
    </row>
    <row r="52" spans="2:8" ht="20.25" customHeight="1">
      <c r="B52" s="96" t="s">
        <v>64</v>
      </c>
      <c r="C52" s="97"/>
      <c r="D52" s="97"/>
      <c r="E52" s="97"/>
      <c r="F52" s="97"/>
      <c r="G52" s="97"/>
      <c r="H52" s="98"/>
    </row>
    <row r="53" spans="2:8" ht="20.25" customHeight="1">
      <c r="B53" s="96" t="s">
        <v>65</v>
      </c>
      <c r="C53" s="97"/>
      <c r="D53" s="97"/>
      <c r="E53" s="97"/>
      <c r="F53" s="97"/>
      <c r="G53" s="97"/>
      <c r="H53" s="98"/>
    </row>
    <row r="54" spans="2:8" ht="20.25" customHeight="1">
      <c r="B54" s="96" t="s">
        <v>66</v>
      </c>
      <c r="C54" s="97"/>
      <c r="D54" s="97"/>
      <c r="E54" s="97"/>
      <c r="F54" s="97"/>
      <c r="G54" s="97"/>
      <c r="H54" s="98"/>
    </row>
    <row r="55" spans="2:8" ht="14.65" customHeight="1">
      <c r="B55" s="96" t="s">
        <v>67</v>
      </c>
      <c r="C55" s="97"/>
      <c r="D55" s="97"/>
      <c r="E55" s="97"/>
      <c r="F55" s="97"/>
      <c r="G55" s="97"/>
      <c r="H55" s="98"/>
    </row>
    <row r="56" spans="2:8" ht="15.75" thickBot="1">
      <c r="B56" s="76"/>
      <c r="C56" s="77"/>
      <c r="D56" s="77"/>
      <c r="E56" s="77"/>
      <c r="F56" s="77"/>
      <c r="G56" s="77"/>
      <c r="H56" s="78"/>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7109375" style="7" customWidth="1" collapsed="1"/>
    <col min="2" max="16384" width="11.42578125" style="7" collapsed="1"/>
  </cols>
  <sheetData>
    <row r="3" spans="1:1">
      <c r="A3" s="8" t="s">
        <v>184</v>
      </c>
    </row>
    <row r="4" spans="1:1">
      <c r="A4" s="8" t="s">
        <v>193</v>
      </c>
    </row>
    <row r="5" spans="1:1">
      <c r="A5" s="8" t="s">
        <v>354</v>
      </c>
    </row>
    <row r="6" spans="1:1">
      <c r="A6" s="8" t="s">
        <v>356</v>
      </c>
    </row>
    <row r="7" spans="1:1">
      <c r="A7" s="8" t="s">
        <v>185</v>
      </c>
    </row>
    <row r="8" spans="1:1">
      <c r="A8" s="8" t="s">
        <v>186</v>
      </c>
    </row>
    <row r="9" spans="1:1">
      <c r="A9" s="8" t="s">
        <v>362</v>
      </c>
    </row>
    <row r="10" spans="1:1">
      <c r="A10" s="8" t="s">
        <v>187</v>
      </c>
    </row>
    <row r="11" spans="1:1">
      <c r="A11" s="8" t="s">
        <v>365</v>
      </c>
    </row>
    <row r="12" spans="1:1">
      <c r="A12" s="8" t="s">
        <v>383</v>
      </c>
    </row>
    <row r="13" spans="1:1">
      <c r="A13" s="8" t="s">
        <v>384</v>
      </c>
    </row>
    <row r="14" spans="1:1">
      <c r="A14" s="8" t="s">
        <v>385</v>
      </c>
    </row>
    <row r="16" spans="1:1">
      <c r="A16" s="8" t="s">
        <v>386</v>
      </c>
    </row>
    <row r="17" spans="1:1">
      <c r="A17" s="8" t="s">
        <v>371</v>
      </c>
    </row>
    <row r="18" spans="1:1">
      <c r="A18" s="8" t="s">
        <v>372</v>
      </c>
    </row>
    <row r="20" spans="1:1">
      <c r="A20" s="8" t="s">
        <v>375</v>
      </c>
    </row>
    <row r="21" spans="1:1">
      <c r="A21" s="8" t="s">
        <v>376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490B6-6C67-45D6-96D1-28A4E55E2325}">
  <sheetPr>
    <tabColor theme="6" tint="0.39997558519241921"/>
  </sheetPr>
  <dimension ref="B1:AZ43"/>
  <sheetViews>
    <sheetView showGridLines="0" topLeftCell="A26" zoomScale="91" zoomScaleNormal="91" workbookViewId="0">
      <selection activeCell="C8" sqref="C8:F8"/>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16" t="s">
        <v>68</v>
      </c>
    </row>
    <row r="2" spans="2:52" ht="18" customHeight="1" thickBot="1">
      <c r="B2" s="316"/>
      <c r="C2" s="319" t="s">
        <v>69</v>
      </c>
      <c r="D2" s="320"/>
      <c r="E2" s="320"/>
      <c r="F2" s="117" t="s">
        <v>70</v>
      </c>
      <c r="AZ2" s="116" t="s">
        <v>71</v>
      </c>
    </row>
    <row r="3" spans="2:52" ht="18" customHeight="1" thickBot="1">
      <c r="B3" s="317"/>
      <c r="C3" s="321"/>
      <c r="D3" s="322"/>
      <c r="E3" s="322"/>
      <c r="F3" s="115" t="s">
        <v>72</v>
      </c>
      <c r="AZ3" s="116" t="s">
        <v>73</v>
      </c>
    </row>
    <row r="4" spans="2:52" ht="18" customHeight="1" thickBot="1">
      <c r="B4" s="317"/>
      <c r="C4" s="321"/>
      <c r="D4" s="322"/>
      <c r="E4" s="322"/>
      <c r="F4" s="115" t="s">
        <v>74</v>
      </c>
      <c r="AZ4" s="116" t="s">
        <v>75</v>
      </c>
    </row>
    <row r="5" spans="2:52" ht="18" customHeight="1" thickBot="1">
      <c r="B5" s="318"/>
      <c r="C5" s="323"/>
      <c r="D5" s="324"/>
      <c r="E5" s="324"/>
      <c r="F5" s="115" t="s">
        <v>76</v>
      </c>
      <c r="AZ5" s="111"/>
    </row>
    <row r="6" spans="2:52" ht="18" customHeight="1" thickBot="1">
      <c r="B6" s="114"/>
      <c r="C6" s="113"/>
      <c r="D6" s="113"/>
      <c r="E6" s="113"/>
      <c r="F6" s="112"/>
      <c r="AZ6" s="111"/>
    </row>
    <row r="7" spans="2:52" ht="33.4" customHeight="1">
      <c r="B7" s="201" t="s">
        <v>77</v>
      </c>
      <c r="C7" s="328" t="s">
        <v>78</v>
      </c>
      <c r="D7" s="329"/>
      <c r="E7" s="329"/>
      <c r="F7" s="330"/>
      <c r="AZ7" s="111"/>
    </row>
    <row r="8" spans="2:52" ht="25.9" customHeight="1" thickBot="1">
      <c r="B8" s="108" t="s">
        <v>79</v>
      </c>
      <c r="C8" s="331" t="s">
        <v>80</v>
      </c>
      <c r="D8" s="332"/>
      <c r="E8" s="332"/>
      <c r="F8" s="333"/>
      <c r="AZ8" s="111"/>
    </row>
    <row r="9" spans="2:52" ht="16.5" thickBot="1">
      <c r="B9" s="334"/>
      <c r="C9" s="334"/>
      <c r="D9" s="334"/>
      <c r="E9" s="334"/>
      <c r="F9" s="334"/>
    </row>
    <row r="10" spans="2:52" ht="15.6" customHeight="1" thickBot="1">
      <c r="B10" s="335" t="s">
        <v>69</v>
      </c>
      <c r="C10" s="336"/>
      <c r="D10" s="336"/>
      <c r="E10" s="336"/>
      <c r="F10" s="337"/>
    </row>
    <row r="11" spans="2:52" ht="32.25" thickBot="1">
      <c r="B11" s="338" t="s">
        <v>81</v>
      </c>
      <c r="C11" s="339"/>
      <c r="D11" s="198" t="s">
        <v>82</v>
      </c>
      <c r="E11" s="198" t="s">
        <v>83</v>
      </c>
      <c r="F11" s="180" t="s">
        <v>84</v>
      </c>
    </row>
    <row r="12" spans="2:52" ht="188.25" customHeight="1" thickBot="1">
      <c r="B12" s="340" t="s">
        <v>71</v>
      </c>
      <c r="C12" s="341"/>
      <c r="D12" s="181" t="s">
        <v>85</v>
      </c>
      <c r="E12" s="182" t="s">
        <v>86</v>
      </c>
      <c r="F12" s="183" t="s">
        <v>87</v>
      </c>
    </row>
    <row r="14" spans="2:52" ht="18">
      <c r="B14" s="342" t="s">
        <v>88</v>
      </c>
      <c r="C14" s="342"/>
      <c r="D14" s="342"/>
      <c r="E14" s="342"/>
      <c r="F14" s="342"/>
    </row>
    <row r="15" spans="2:52" ht="15.75">
      <c r="B15" s="110"/>
    </row>
    <row r="16" spans="2:52" ht="15.75" thickBot="1">
      <c r="B16" s="109"/>
    </row>
    <row r="17" spans="2:6" ht="16.5" thickBot="1">
      <c r="B17" s="325" t="s">
        <v>89</v>
      </c>
      <c r="C17" s="326"/>
      <c r="D17" s="327"/>
      <c r="E17" s="325" t="s">
        <v>90</v>
      </c>
      <c r="F17" s="327"/>
    </row>
    <row r="18" spans="2:6" ht="15" customHeight="1">
      <c r="B18" s="302" t="s">
        <v>91</v>
      </c>
      <c r="C18" s="303"/>
      <c r="D18" s="304"/>
      <c r="E18" s="305" t="s">
        <v>92</v>
      </c>
      <c r="F18" s="306"/>
    </row>
    <row r="19" spans="2:6" ht="15" customHeight="1">
      <c r="B19" s="307" t="s">
        <v>93</v>
      </c>
      <c r="C19" s="308"/>
      <c r="D19" s="309"/>
      <c r="E19" s="310" t="s">
        <v>94</v>
      </c>
      <c r="F19" s="271"/>
    </row>
    <row r="20" spans="2:6" ht="15" customHeight="1">
      <c r="B20" s="299" t="s">
        <v>95</v>
      </c>
      <c r="C20" s="300"/>
      <c r="D20" s="301"/>
      <c r="E20" s="310" t="s">
        <v>96</v>
      </c>
      <c r="F20" s="271"/>
    </row>
    <row r="21" spans="2:6" ht="15" customHeight="1">
      <c r="B21" s="299" t="s">
        <v>97</v>
      </c>
      <c r="C21" s="300"/>
      <c r="D21" s="301"/>
      <c r="E21" s="311" t="s">
        <v>98</v>
      </c>
      <c r="F21" s="312"/>
    </row>
    <row r="22" spans="2:6" ht="15" customHeight="1">
      <c r="B22" s="313" t="s">
        <v>99</v>
      </c>
      <c r="C22" s="314"/>
      <c r="D22" s="315"/>
      <c r="E22" s="298" t="s">
        <v>100</v>
      </c>
      <c r="F22" s="260"/>
    </row>
    <row r="23" spans="2:6" ht="15" customHeight="1">
      <c r="B23" s="313" t="s">
        <v>101</v>
      </c>
      <c r="C23" s="314"/>
      <c r="D23" s="315"/>
      <c r="E23" s="298" t="s">
        <v>102</v>
      </c>
      <c r="F23" s="260"/>
    </row>
    <row r="24" spans="2:6" ht="15" customHeight="1">
      <c r="B24" s="286" t="s">
        <v>103</v>
      </c>
      <c r="C24" s="287"/>
      <c r="D24" s="288"/>
      <c r="E24" s="310" t="s">
        <v>104</v>
      </c>
      <c r="F24" s="271"/>
    </row>
    <row r="25" spans="2:6" ht="15.75" customHeight="1">
      <c r="B25" s="258" t="s">
        <v>105</v>
      </c>
      <c r="C25" s="259"/>
      <c r="D25" s="260"/>
      <c r="E25" s="298" t="s">
        <v>106</v>
      </c>
      <c r="F25" s="260"/>
    </row>
    <row r="26" spans="2:6" ht="16.5">
      <c r="B26" s="286" t="s">
        <v>107</v>
      </c>
      <c r="C26" s="287"/>
      <c r="D26" s="288"/>
      <c r="E26" s="311" t="s">
        <v>108</v>
      </c>
      <c r="F26" s="312"/>
    </row>
    <row r="27" spans="2:6" ht="15" customHeight="1">
      <c r="B27" s="299" t="s">
        <v>109</v>
      </c>
      <c r="C27" s="300"/>
      <c r="D27" s="301"/>
      <c r="E27" s="289" t="s">
        <v>110</v>
      </c>
      <c r="F27" s="290"/>
    </row>
    <row r="28" spans="2:6" ht="15" customHeight="1">
      <c r="B28" s="286" t="s">
        <v>111</v>
      </c>
      <c r="C28" s="287"/>
      <c r="D28" s="288"/>
      <c r="E28" s="289" t="s">
        <v>112</v>
      </c>
      <c r="F28" s="290"/>
    </row>
    <row r="29" spans="2:6" ht="15" customHeight="1">
      <c r="B29" s="286" t="s">
        <v>113</v>
      </c>
      <c r="C29" s="287"/>
      <c r="D29" s="288"/>
      <c r="E29" s="289" t="s">
        <v>114</v>
      </c>
      <c r="F29" s="290"/>
    </row>
    <row r="30" spans="2:6" ht="15" customHeight="1">
      <c r="B30" s="286" t="s">
        <v>115</v>
      </c>
      <c r="C30" s="287"/>
      <c r="D30" s="288"/>
      <c r="E30" s="291" t="s">
        <v>116</v>
      </c>
      <c r="F30" s="292"/>
    </row>
    <row r="31" spans="2:6" ht="15" customHeight="1" thickBot="1">
      <c r="B31" s="293"/>
      <c r="C31" s="294"/>
      <c r="D31" s="295"/>
      <c r="E31" s="296" t="s">
        <v>117</v>
      </c>
      <c r="F31" s="297"/>
    </row>
    <row r="32" spans="2:6" ht="15" customHeight="1" thickBot="1">
      <c r="B32" s="276" t="s">
        <v>118</v>
      </c>
      <c r="C32" s="277"/>
      <c r="D32" s="277"/>
      <c r="E32" s="278" t="s">
        <v>119</v>
      </c>
      <c r="F32" s="279"/>
    </row>
    <row r="33" spans="2:6" ht="15.75" customHeight="1">
      <c r="B33" s="280" t="s">
        <v>120</v>
      </c>
      <c r="C33" s="281"/>
      <c r="D33" s="282"/>
      <c r="E33" s="283" t="s">
        <v>121</v>
      </c>
      <c r="F33" s="284"/>
    </row>
    <row r="34" spans="2:6" ht="16.5">
      <c r="B34" s="274" t="s">
        <v>122</v>
      </c>
      <c r="C34" s="285"/>
      <c r="D34" s="275"/>
      <c r="E34" s="258" t="s">
        <v>123</v>
      </c>
      <c r="F34" s="260"/>
    </row>
    <row r="35" spans="2:6" ht="16.5">
      <c r="B35" s="258" t="s">
        <v>124</v>
      </c>
      <c r="C35" s="259"/>
      <c r="D35" s="260"/>
      <c r="E35" s="269" t="s">
        <v>125</v>
      </c>
      <c r="F35" s="271"/>
    </row>
    <row r="36" spans="2:6" ht="16.5">
      <c r="B36" s="269" t="s">
        <v>126</v>
      </c>
      <c r="C36" s="270"/>
      <c r="D36" s="271"/>
      <c r="E36" s="272" t="s">
        <v>127</v>
      </c>
      <c r="F36" s="273"/>
    </row>
    <row r="37" spans="2:6" ht="16.5">
      <c r="B37" s="269" t="s">
        <v>128</v>
      </c>
      <c r="C37" s="270"/>
      <c r="D37" s="271"/>
      <c r="E37" s="274" t="s">
        <v>129</v>
      </c>
      <c r="F37" s="275"/>
    </row>
    <row r="38" spans="2:6" ht="16.5">
      <c r="B38" s="269" t="s">
        <v>130</v>
      </c>
      <c r="C38" s="270"/>
      <c r="D38" s="271"/>
      <c r="E38" s="269" t="s">
        <v>131</v>
      </c>
      <c r="F38" s="271"/>
    </row>
    <row r="39" spans="2:6" ht="16.5">
      <c r="B39" s="269" t="s">
        <v>132</v>
      </c>
      <c r="C39" s="270"/>
      <c r="D39" s="271"/>
      <c r="E39" s="258" t="s">
        <v>133</v>
      </c>
      <c r="F39" s="260"/>
    </row>
    <row r="40" spans="2:6" ht="16.5">
      <c r="B40" s="269" t="s">
        <v>134</v>
      </c>
      <c r="C40" s="270"/>
      <c r="D40" s="271"/>
      <c r="E40" s="258" t="s">
        <v>135</v>
      </c>
      <c r="F40" s="260"/>
    </row>
    <row r="41" spans="2:6" ht="16.5">
      <c r="B41" s="258" t="s">
        <v>136</v>
      </c>
      <c r="C41" s="259"/>
      <c r="D41" s="260"/>
      <c r="E41" s="258" t="s">
        <v>137</v>
      </c>
      <c r="F41" s="260"/>
    </row>
    <row r="42" spans="2:6" ht="16.5">
      <c r="B42" s="261" t="s">
        <v>138</v>
      </c>
      <c r="C42" s="262"/>
      <c r="D42" s="263"/>
      <c r="E42" s="261" t="s">
        <v>139</v>
      </c>
      <c r="F42" s="263"/>
    </row>
    <row r="43" spans="2:6" ht="17.25" thickBot="1">
      <c r="B43" s="264" t="s">
        <v>140</v>
      </c>
      <c r="C43" s="265"/>
      <c r="D43" s="266"/>
      <c r="E43" s="267" t="s">
        <v>141</v>
      </c>
      <c r="F43" s="268"/>
    </row>
  </sheetData>
  <mergeCells count="63">
    <mergeCell ref="B2:B5"/>
    <mergeCell ref="C2:E5"/>
    <mergeCell ref="B17:D17"/>
    <mergeCell ref="E26:F26"/>
    <mergeCell ref="C7:F7"/>
    <mergeCell ref="C8:F8"/>
    <mergeCell ref="B9:F9"/>
    <mergeCell ref="B10:F10"/>
    <mergeCell ref="B11:C11"/>
    <mergeCell ref="B12:C12"/>
    <mergeCell ref="B14:F14"/>
    <mergeCell ref="E17:F17"/>
    <mergeCell ref="B24:D24"/>
    <mergeCell ref="E24:F24"/>
    <mergeCell ref="B25:D25"/>
    <mergeCell ref="B21:D21"/>
    <mergeCell ref="E21:F21"/>
    <mergeCell ref="B22:D22"/>
    <mergeCell ref="E22:F22"/>
    <mergeCell ref="B23:D23"/>
    <mergeCell ref="E23:F23"/>
    <mergeCell ref="B18:D18"/>
    <mergeCell ref="E18:F18"/>
    <mergeCell ref="B19:D19"/>
    <mergeCell ref="E19:F19"/>
    <mergeCell ref="B20:D20"/>
    <mergeCell ref="E20:F20"/>
    <mergeCell ref="E25:F25"/>
    <mergeCell ref="B27:D27"/>
    <mergeCell ref="E27:F27"/>
    <mergeCell ref="B28:D28"/>
    <mergeCell ref="E28:F28"/>
    <mergeCell ref="B26:D26"/>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0:D40"/>
    <mergeCell ref="E40:F40"/>
    <mergeCell ref="B41:D41"/>
    <mergeCell ref="E41:F41"/>
    <mergeCell ref="B42:D42"/>
    <mergeCell ref="E42:F42"/>
    <mergeCell ref="B43:D43"/>
    <mergeCell ref="E43:F43"/>
  </mergeCells>
  <dataValidations count="1">
    <dataValidation type="list" allowBlank="1" showInputMessage="1" showErrorMessage="1" sqref="B12:C12" xr:uid="{43D113EE-F440-4804-82EF-B3634342C0BF}">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BQ90"/>
  <sheetViews>
    <sheetView showGridLines="0" tabSelected="1" topLeftCell="A14" zoomScale="80" zoomScaleNormal="80" workbookViewId="0">
      <selection activeCell="D16" sqref="D16:D21"/>
    </sheetView>
  </sheetViews>
  <sheetFormatPr defaultColWidth="11.42578125" defaultRowHeight="16.5"/>
  <cols>
    <col min="1" max="1" width="5" style="91" customWidth="1"/>
    <col min="2" max="2" width="4" style="2" bestFit="1" customWidth="1" collapsed="1"/>
    <col min="3" max="3" width="14.28515625" style="2" customWidth="1" collapsed="1"/>
    <col min="4" max="4" width="13.28515625" style="2" customWidth="1" collapsed="1"/>
    <col min="5" max="5" width="17.8554687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38.28515625" style="1" hidden="1" customWidth="1" collapsed="1"/>
    <col min="26" max="26" width="8.7109375" style="1" customWidth="1" collapsed="1"/>
    <col min="27" max="27" width="10.42578125" style="1" customWidth="1" collapsed="1"/>
    <col min="28" max="29" width="9.28515625" style="1" customWidth="1" collapsed="1"/>
    <col min="30" max="30" width="8.42578125" style="1" customWidth="1" collapsed="1"/>
    <col min="31" max="31" width="7.28515625" style="1" customWidth="1" collapsed="1"/>
    <col min="32" max="32" width="29.28515625" style="1" customWidth="1" collapsed="1"/>
    <col min="33" max="33" width="18.7109375" style="90"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1" customFormat="1" ht="14.25">
      <c r="B1" s="80"/>
      <c r="C1" s="80"/>
      <c r="D1" s="80"/>
      <c r="E1" s="80"/>
      <c r="G1" s="82"/>
      <c r="AG1" s="88"/>
    </row>
    <row r="2" spans="1:69" s="81" customFormat="1" ht="14.25">
      <c r="B2" s="80"/>
      <c r="C2" s="80"/>
      <c r="D2" s="80"/>
      <c r="E2" s="80"/>
      <c r="G2" s="82"/>
      <c r="AG2" s="88"/>
    </row>
    <row r="3" spans="1:69" s="81" customFormat="1" ht="15" thickBot="1">
      <c r="B3" s="80"/>
      <c r="C3" s="80"/>
      <c r="D3" s="80"/>
      <c r="E3" s="80"/>
      <c r="G3" s="82"/>
      <c r="AG3" s="88"/>
    </row>
    <row r="4" spans="1:69" s="81" customFormat="1" ht="14.65" customHeight="1">
      <c r="B4" s="380"/>
      <c r="C4" s="381"/>
      <c r="D4" s="381"/>
      <c r="E4" s="381"/>
      <c r="F4" s="374" t="s">
        <v>142</v>
      </c>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5"/>
      <c r="AJ4" s="372" t="s">
        <v>143</v>
      </c>
      <c r="AK4" s="373"/>
    </row>
    <row r="5" spans="1:69" s="81" customFormat="1" ht="14.65" customHeight="1">
      <c r="B5" s="382"/>
      <c r="C5" s="383"/>
      <c r="D5" s="383"/>
      <c r="E5" s="383"/>
      <c r="F5" s="376"/>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0" t="s">
        <v>144</v>
      </c>
      <c r="AK5" s="371"/>
    </row>
    <row r="6" spans="1:69" ht="16.5" customHeight="1">
      <c r="B6" s="382"/>
      <c r="C6" s="383"/>
      <c r="D6" s="383"/>
      <c r="E6" s="383"/>
      <c r="F6" s="376"/>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c r="AJ6" s="370" t="s">
        <v>145</v>
      </c>
      <c r="AK6" s="371"/>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c r="B7" s="384"/>
      <c r="C7" s="385"/>
      <c r="D7" s="385"/>
      <c r="E7" s="385"/>
      <c r="F7" s="378"/>
      <c r="G7" s="379"/>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68" t="s">
        <v>146</v>
      </c>
      <c r="AK7" s="369"/>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8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4" customFormat="1" ht="28.5" customHeight="1">
      <c r="A9" s="118"/>
      <c r="B9" s="389" t="s">
        <v>77</v>
      </c>
      <c r="C9" s="390"/>
      <c r="D9" s="395" t="s">
        <v>78</v>
      </c>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396"/>
      <c r="AI9" s="396"/>
      <c r="AJ9" s="396"/>
      <c r="AK9" s="397"/>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row>
    <row r="10" spans="1:69" s="84" customFormat="1" ht="28.5" customHeight="1">
      <c r="A10" s="118"/>
      <c r="B10" s="391" t="s">
        <v>147</v>
      </c>
      <c r="C10" s="392"/>
      <c r="D10" s="398" t="s">
        <v>85</v>
      </c>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9"/>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row>
    <row r="11" spans="1:69" s="84" customFormat="1" ht="28.5" customHeight="1" thickBot="1">
      <c r="B11" s="393" t="s">
        <v>79</v>
      </c>
      <c r="C11" s="394"/>
      <c r="D11" s="400" t="s">
        <v>80</v>
      </c>
      <c r="E11" s="400"/>
      <c r="F11" s="400"/>
      <c r="G11" s="400"/>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0"/>
      <c r="AK11" s="401"/>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row>
    <row r="12" spans="1:69" s="84" customFormat="1" ht="15" customHeight="1">
      <c r="B12" s="386"/>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8"/>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row>
    <row r="13" spans="1:69" ht="18">
      <c r="B13" s="402" t="s">
        <v>148</v>
      </c>
      <c r="C13" s="403"/>
      <c r="D13" s="403"/>
      <c r="E13" s="403"/>
      <c r="F13" s="403"/>
      <c r="G13" s="403"/>
      <c r="H13" s="403"/>
      <c r="I13" s="403" t="s">
        <v>149</v>
      </c>
      <c r="J13" s="403"/>
      <c r="K13" s="403"/>
      <c r="L13" s="403"/>
      <c r="M13" s="403"/>
      <c r="N13" s="403"/>
      <c r="O13" s="403"/>
      <c r="P13" s="403" t="s">
        <v>150</v>
      </c>
      <c r="Q13" s="403"/>
      <c r="R13" s="403"/>
      <c r="S13" s="403"/>
      <c r="T13" s="403"/>
      <c r="U13" s="403"/>
      <c r="V13" s="403"/>
      <c r="W13" s="403"/>
      <c r="X13" s="403"/>
      <c r="Y13" s="403" t="s">
        <v>151</v>
      </c>
      <c r="Z13" s="403"/>
      <c r="AA13" s="403"/>
      <c r="AB13" s="403"/>
      <c r="AC13" s="403"/>
      <c r="AD13" s="403"/>
      <c r="AE13" s="403"/>
      <c r="AF13" s="403" t="s">
        <v>152</v>
      </c>
      <c r="AG13" s="403"/>
      <c r="AH13" s="403"/>
      <c r="AI13" s="403"/>
      <c r="AJ13" s="403"/>
      <c r="AK13" s="404"/>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c r="B14" s="416" t="s">
        <v>153</v>
      </c>
      <c r="C14" s="417" t="s">
        <v>23</v>
      </c>
      <c r="D14" s="414" t="s">
        <v>25</v>
      </c>
      <c r="E14" s="414" t="s">
        <v>27</v>
      </c>
      <c r="F14" s="417" t="s">
        <v>29</v>
      </c>
      <c r="G14" s="414" t="s">
        <v>31</v>
      </c>
      <c r="H14" s="414" t="s">
        <v>154</v>
      </c>
      <c r="I14" s="414" t="s">
        <v>155</v>
      </c>
      <c r="J14" s="417" t="s">
        <v>156</v>
      </c>
      <c r="K14" s="414" t="s">
        <v>157</v>
      </c>
      <c r="L14" s="414" t="s">
        <v>158</v>
      </c>
      <c r="M14" s="414" t="s">
        <v>159</v>
      </c>
      <c r="N14" s="417" t="s">
        <v>156</v>
      </c>
      <c r="O14" s="414" t="s">
        <v>37</v>
      </c>
      <c r="P14" s="418" t="s">
        <v>160</v>
      </c>
      <c r="Q14" s="414" t="s">
        <v>39</v>
      </c>
      <c r="R14" s="414" t="s">
        <v>41</v>
      </c>
      <c r="S14" s="414" t="s">
        <v>161</v>
      </c>
      <c r="T14" s="414"/>
      <c r="U14" s="414"/>
      <c r="V14" s="414"/>
      <c r="W14" s="414"/>
      <c r="X14" s="414"/>
      <c r="Y14" s="418" t="s">
        <v>162</v>
      </c>
      <c r="Z14" s="418" t="s">
        <v>163</v>
      </c>
      <c r="AA14" s="418" t="s">
        <v>156</v>
      </c>
      <c r="AB14" s="418" t="s">
        <v>164</v>
      </c>
      <c r="AC14" s="418" t="s">
        <v>156</v>
      </c>
      <c r="AD14" s="418" t="s">
        <v>165</v>
      </c>
      <c r="AE14" s="418" t="s">
        <v>57</v>
      </c>
      <c r="AF14" s="414" t="s">
        <v>152</v>
      </c>
      <c r="AG14" s="414" t="s">
        <v>166</v>
      </c>
      <c r="AH14" s="414" t="s">
        <v>167</v>
      </c>
      <c r="AI14" s="414" t="s">
        <v>168</v>
      </c>
      <c r="AJ14" s="414" t="s">
        <v>169</v>
      </c>
      <c r="AK14" s="415" t="s">
        <v>61</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c r="A15" s="91"/>
      <c r="B15" s="416"/>
      <c r="C15" s="417"/>
      <c r="D15" s="414"/>
      <c r="E15" s="414"/>
      <c r="F15" s="417"/>
      <c r="G15" s="414"/>
      <c r="H15" s="414"/>
      <c r="I15" s="414"/>
      <c r="J15" s="417"/>
      <c r="K15" s="414"/>
      <c r="L15" s="414"/>
      <c r="M15" s="417"/>
      <c r="N15" s="417"/>
      <c r="O15" s="414"/>
      <c r="P15" s="418"/>
      <c r="Q15" s="414"/>
      <c r="R15" s="414"/>
      <c r="S15" s="92" t="s">
        <v>170</v>
      </c>
      <c r="T15" s="92" t="s">
        <v>171</v>
      </c>
      <c r="U15" s="92" t="s">
        <v>172</v>
      </c>
      <c r="V15" s="92" t="s">
        <v>173</v>
      </c>
      <c r="W15" s="92" t="s">
        <v>174</v>
      </c>
      <c r="X15" s="92" t="s">
        <v>175</v>
      </c>
      <c r="Y15" s="418"/>
      <c r="Z15" s="418"/>
      <c r="AA15" s="418"/>
      <c r="AB15" s="418"/>
      <c r="AC15" s="418"/>
      <c r="AD15" s="418"/>
      <c r="AE15" s="418"/>
      <c r="AF15" s="414"/>
      <c r="AG15" s="414"/>
      <c r="AH15" s="414"/>
      <c r="AI15" s="414"/>
      <c r="AJ15" s="414"/>
      <c r="AK15" s="415"/>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28.25" customHeight="1">
      <c r="B16" s="419">
        <v>1</v>
      </c>
      <c r="C16" s="347" t="s">
        <v>176</v>
      </c>
      <c r="D16" s="347" t="s">
        <v>177</v>
      </c>
      <c r="E16" s="347" t="s">
        <v>178</v>
      </c>
      <c r="F16" s="347" t="s">
        <v>179</v>
      </c>
      <c r="G16" s="347" t="s">
        <v>180</v>
      </c>
      <c r="H16" s="348">
        <v>12</v>
      </c>
      <c r="I16" s="412" t="str">
        <f>IF(H16&lt;=0,"",IF(H16&lt;=2,"Muy Baja",IF(H16&lt;=24,"Baja",IF(H16&lt;=500,"Media",IF(H16&lt;=5000,"Alta","Muy Alta")))))</f>
        <v>Baja</v>
      </c>
      <c r="J16" s="350">
        <f>IF(I16="","",IF(I16="Muy Baja",0.2,IF(I16="Baja",0.4,IF(I16="Media",0.6,IF(I16="Alta",0.8,IF(I16="Muy Alta",1,))))))</f>
        <v>0.4</v>
      </c>
      <c r="K16" s="351" t="s">
        <v>181</v>
      </c>
      <c r="L16" s="350" t="str">
        <f>IF(NOT(ISERROR(MATCH(K16,'[1]Tabla Impacto'!$B$222:$B$224,0))),'[1]Tabla Impacto'!$F$224&amp;"Por favor no seleccionar los criterios de impacto(Afectación Económica o presupuestal y Pérdida Reputacional)",K16)</f>
        <v xml:space="preserve">     El riesgo afecta la imagen de de la entidad con efecto publicitario sostenido a nivel de sector administrativo, nivel departamental o municipal</v>
      </c>
      <c r="M16" s="412" t="str">
        <f>IF(OR(L16='[1]Tabla Impacto'!$C$12,L16='[1]Tabla Impacto'!$D$12),"Leve",IF(OR(L16='[1]Tabla Impacto'!$C$13,L16='[1]Tabla Impacto'!$D$13),"Menor",IF(OR(L16='[1]Tabla Impacto'!$C$14,L16='[1]Tabla Impacto'!$D$14),"Moderado",IF(OR(L16='[1]Tabla Impacto'!$C$15,L16='[1]Tabla Impacto'!$D$15),"Mayor",IF(OR(L16='[1]Tabla Impacto'!$C$16,L16='[1]Tabla Impacto'!$D$16),"Catastrófico","")))))</f>
        <v>Mayor</v>
      </c>
      <c r="N16" s="350">
        <f>IF(M16="","",IF(M16="Leve",0.2,IF(M16="Menor",0.4,IF(M16="Moderado",0.6,IF(M16="Mayor",0.8,IF(M16="Catastrófico",1,))))))</f>
        <v>0.8</v>
      </c>
      <c r="O16" s="352"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163">
        <v>1</v>
      </c>
      <c r="Q16" s="160" t="s">
        <v>182</v>
      </c>
      <c r="R16" s="164" t="s">
        <v>183</v>
      </c>
      <c r="S16" s="165" t="s">
        <v>184</v>
      </c>
      <c r="T16" s="165" t="s">
        <v>185</v>
      </c>
      <c r="U16" s="166">
        <v>0.4</v>
      </c>
      <c r="V16" s="165" t="s">
        <v>186</v>
      </c>
      <c r="W16" s="165" t="s">
        <v>187</v>
      </c>
      <c r="X16" s="165" t="s">
        <v>188</v>
      </c>
      <c r="Y16" s="167">
        <f>IFERROR(IF(R16="Probabilidad",(J16-(+J16*U16)),IF(R16="Impacto",J16,"")),"")</f>
        <v>0.24</v>
      </c>
      <c r="Z16" s="168" t="str">
        <f>IFERROR(IF(Y16="","",IF(Y16&lt;=0.2,"Muy Baja",IF(Y16&lt;=0.4,"Baja",IF(Y16&lt;=0.6,"Media",IF(Y16&lt;=0.8,"Alta","Muy Alta"))))),"")</f>
        <v>Baja</v>
      </c>
      <c r="AA16" s="166">
        <f>+Y16</f>
        <v>0.24</v>
      </c>
      <c r="AB16" s="168" t="str">
        <f>IFERROR(IF(AC16="","",IF(AC16&lt;=0.2,"Leve",IF(AC16&lt;=0.4,"Menor",IF(AC16&lt;=0.6,"Moderado",IF(AC16&lt;=0.8,"Mayor","Catastrófico"))))),"")</f>
        <v>Mayor</v>
      </c>
      <c r="AC16" s="166">
        <f>IFERROR(IF(R16="Impacto",(N16-(+N16*U16)),IF(R16="Probabilidad",N16,"")),"")</f>
        <v>0.8</v>
      </c>
      <c r="AD16" s="169"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165" t="s">
        <v>189</v>
      </c>
      <c r="AF16" s="199" t="s">
        <v>190</v>
      </c>
      <c r="AG16" s="199" t="s">
        <v>191</v>
      </c>
      <c r="AH16" s="161">
        <v>44408</v>
      </c>
      <c r="AI16" s="85"/>
      <c r="AJ16" s="158"/>
      <c r="AK16" s="93"/>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16.25" customHeight="1">
      <c r="B17" s="419"/>
      <c r="C17" s="347"/>
      <c r="D17" s="347"/>
      <c r="E17" s="347"/>
      <c r="F17" s="347"/>
      <c r="G17" s="347"/>
      <c r="H17" s="348"/>
      <c r="I17" s="412"/>
      <c r="J17" s="350"/>
      <c r="K17" s="351"/>
      <c r="L17" s="350">
        <f>IF(NOT(ISERROR(MATCH(K17,_xlfn.ANCHORARRAY(F28),0))),J30&amp;"Por favor no seleccionar los criterios de impacto",K17)</f>
        <v>0</v>
      </c>
      <c r="M17" s="412"/>
      <c r="N17" s="350"/>
      <c r="O17" s="352"/>
      <c r="P17" s="163">
        <v>2</v>
      </c>
      <c r="Q17" s="160" t="s">
        <v>192</v>
      </c>
      <c r="R17" s="164" t="s">
        <v>183</v>
      </c>
      <c r="S17" s="165" t="s">
        <v>193</v>
      </c>
      <c r="T17" s="165" t="s">
        <v>185</v>
      </c>
      <c r="U17" s="166" t="s">
        <v>194</v>
      </c>
      <c r="V17" s="165" t="s">
        <v>186</v>
      </c>
      <c r="W17" s="165" t="s">
        <v>187</v>
      </c>
      <c r="X17" s="165" t="s">
        <v>188</v>
      </c>
      <c r="Y17" s="167">
        <f>IFERROR(IF(AND(R16="Probabilidad",R17="Probabilidad"),(AA16-(+AA16*U17)),IF(R17="Probabilidad",(J16-(+J16*U17)),IF(R17="Impacto",AA16,""))),"")</f>
        <v>0.16799999999999998</v>
      </c>
      <c r="Z17" s="168" t="str">
        <f t="shared" ref="Z17:Z21" si="0">IFERROR(IF(Y17="","",IF(Y17&lt;=0.2,"Muy Baja",IF(Y17&lt;=0.4,"Baja",IF(Y17&lt;=0.6,"Media",IF(Y17&lt;=0.8,"Alta","Muy Alta"))))),"")</f>
        <v>Muy Baja</v>
      </c>
      <c r="AA17" s="166">
        <f t="shared" ref="AA17:AA22" si="1">+Y17</f>
        <v>0.16799999999999998</v>
      </c>
      <c r="AB17" s="168" t="str">
        <f t="shared" ref="AB17:AB21" si="2">IFERROR(IF(AC17="","",IF(AC17&lt;=0.2,"Leve",IF(AC17&lt;=0.4,"Menor",IF(AC17&lt;=0.6,"Moderado",IF(AC17&lt;=0.8,"Mayor","Catastrófico"))))),"")</f>
        <v>Mayor</v>
      </c>
      <c r="AC17" s="166">
        <f>IFERROR(IF(AND(R16="Impacto",R17="Impacto"),(AC16-(+AC16*U17)),IF(R17="Impacto",($N$16-(+$N$16*U17)),IF(R17="Probabilidad",AC16,""))),"")</f>
        <v>0.8</v>
      </c>
      <c r="AD17" s="169" t="str">
        <f t="shared" ref="AD17:AD21" si="3">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Alto</v>
      </c>
      <c r="AE17" s="165" t="s">
        <v>189</v>
      </c>
      <c r="AF17" s="199" t="s">
        <v>195</v>
      </c>
      <c r="AG17" s="199" t="s">
        <v>196</v>
      </c>
      <c r="AH17" s="161">
        <v>44408</v>
      </c>
      <c r="AI17" s="85"/>
      <c r="AJ17" s="158"/>
      <c r="AK17" s="93"/>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c r="B18" s="419"/>
      <c r="C18" s="347"/>
      <c r="D18" s="347"/>
      <c r="E18" s="347"/>
      <c r="F18" s="347"/>
      <c r="G18" s="347"/>
      <c r="H18" s="348"/>
      <c r="I18" s="412"/>
      <c r="J18" s="350"/>
      <c r="K18" s="351"/>
      <c r="L18" s="350">
        <f>IF(NOT(ISERROR(MATCH(K18,_xlfn.ANCHORARRAY(F29),0))),J31&amp;"Por favor no seleccionar los criterios de impacto",K18)</f>
        <v>0</v>
      </c>
      <c r="M18" s="412"/>
      <c r="N18" s="350"/>
      <c r="O18" s="352"/>
      <c r="P18" s="163">
        <v>3</v>
      </c>
      <c r="Q18" s="170"/>
      <c r="R18" s="164" t="str">
        <f>IF(OR(S18="Preventivo",S18="Detectivo"),"Probabilidad",IF(S18="Correctivo","Impacto",""))</f>
        <v/>
      </c>
      <c r="S18" s="165"/>
      <c r="T18" s="165"/>
      <c r="U18" s="166" t="str">
        <f t="shared" ref="U18:U21" si="4">IF(AND(S18="Preventivo",T18="Automático"),"50%",IF(AND(S18="Preventivo",T18="Manual"),"40%",IF(AND(S18="Detectivo",T18="Automático"),"40%",IF(AND(S18="Detectivo",T18="Manual"),"30%",IF(AND(S18="Correctivo",T18="Automático"),"35%",IF(AND(S18="Correctivo",T18="Manual"),"25%",""))))))</f>
        <v/>
      </c>
      <c r="V18" s="165"/>
      <c r="W18" s="165"/>
      <c r="X18" s="165"/>
      <c r="Y18" s="167" t="str">
        <f>IFERROR(IF(AND(R17="Probabilidad",R18="Probabilidad"),(AA17-(+AA17*U18)),IF(AND(R17="Impacto",R18="Probabilidad"),(AA16-(+AA16*U18)),IF(R18="Impacto",AA17,""))),"")</f>
        <v/>
      </c>
      <c r="Z18" s="168" t="str">
        <f t="shared" si="0"/>
        <v/>
      </c>
      <c r="AA18" s="166" t="str">
        <f t="shared" si="1"/>
        <v/>
      </c>
      <c r="AB18" s="168" t="str">
        <f t="shared" si="2"/>
        <v/>
      </c>
      <c r="AC18" s="166" t="str">
        <f>IFERROR(IF(AND(R17="Impacto",R18="Impacto"),(AC17-(+AC17*U18)),IF(AND(R17="Probabilidad",R18="Impacto"),(AC16-(+AC16*U18)),IF(R18="Probabilidad",AC17,""))),"")</f>
        <v/>
      </c>
      <c r="AD18" s="169" t="str">
        <f t="shared" si="3"/>
        <v/>
      </c>
      <c r="AE18" s="165"/>
      <c r="AF18" s="199"/>
      <c r="AG18" s="199"/>
      <c r="AH18" s="161"/>
      <c r="AI18" s="85"/>
      <c r="AJ18" s="158"/>
      <c r="AK18" s="93"/>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c r="B19" s="419"/>
      <c r="C19" s="347"/>
      <c r="D19" s="347"/>
      <c r="E19" s="347"/>
      <c r="F19" s="347"/>
      <c r="G19" s="347"/>
      <c r="H19" s="348"/>
      <c r="I19" s="412"/>
      <c r="J19" s="350"/>
      <c r="K19" s="351"/>
      <c r="L19" s="350">
        <f>IF(NOT(ISERROR(MATCH(K19,_xlfn.ANCHORARRAY(F30),0))),J32&amp;"Por favor no seleccionar los criterios de impacto",K19)</f>
        <v>0</v>
      </c>
      <c r="M19" s="412"/>
      <c r="N19" s="350"/>
      <c r="O19" s="352"/>
      <c r="P19" s="163">
        <v>4</v>
      </c>
      <c r="Q19" s="160"/>
      <c r="R19" s="164" t="str">
        <f t="shared" ref="R19:R21" si="5">IF(OR(S19="Preventivo",S19="Detectivo"),"Probabilidad",IF(S19="Correctivo","Impacto",""))</f>
        <v/>
      </c>
      <c r="S19" s="165"/>
      <c r="T19" s="165"/>
      <c r="U19" s="166" t="str">
        <f t="shared" si="4"/>
        <v/>
      </c>
      <c r="V19" s="165"/>
      <c r="W19" s="165"/>
      <c r="X19" s="165"/>
      <c r="Y19" s="167" t="str">
        <f t="shared" ref="Y19:Y21" si="6">IFERROR(IF(AND(R18="Probabilidad",R19="Probabilidad"),(AA18-(+AA18*U19)),IF(AND(R18="Impacto",R19="Probabilidad"),(AA17-(+AA17*U19)),IF(R19="Impacto",AA18,""))),"")</f>
        <v/>
      </c>
      <c r="Z19" s="168" t="str">
        <f t="shared" si="0"/>
        <v/>
      </c>
      <c r="AA19" s="166" t="str">
        <f t="shared" si="1"/>
        <v/>
      </c>
      <c r="AB19" s="168" t="str">
        <f t="shared" si="2"/>
        <v/>
      </c>
      <c r="AC19" s="166" t="str">
        <f t="shared" ref="AC19:AC21" si="7">IFERROR(IF(AND(R18="Impacto",R19="Impacto"),(AC18-(+AC18*U19)),IF(AND(R18="Probabilidad",R19="Impacto"),(AC17-(+AC17*U19)),IF(R19="Probabilidad",AC18,""))),"")</f>
        <v/>
      </c>
      <c r="AD19" s="169"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165"/>
      <c r="AF19" s="199"/>
      <c r="AG19" s="199"/>
      <c r="AH19" s="161"/>
      <c r="AI19" s="85"/>
      <c r="AJ19" s="158"/>
      <c r="AK19" s="93"/>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c r="B20" s="419"/>
      <c r="C20" s="347"/>
      <c r="D20" s="347"/>
      <c r="E20" s="347"/>
      <c r="F20" s="347"/>
      <c r="G20" s="347"/>
      <c r="H20" s="348"/>
      <c r="I20" s="412"/>
      <c r="J20" s="350"/>
      <c r="K20" s="351"/>
      <c r="L20" s="350">
        <f>IF(NOT(ISERROR(MATCH(K20,_xlfn.ANCHORARRAY(F31),0))),J33&amp;"Por favor no seleccionar los criterios de impacto",K20)</f>
        <v>0</v>
      </c>
      <c r="M20" s="412"/>
      <c r="N20" s="350"/>
      <c r="O20" s="352"/>
      <c r="P20" s="163">
        <v>5</v>
      </c>
      <c r="Q20" s="160"/>
      <c r="R20" s="164" t="str">
        <f t="shared" si="5"/>
        <v/>
      </c>
      <c r="S20" s="165"/>
      <c r="T20" s="165"/>
      <c r="U20" s="166" t="str">
        <f t="shared" si="4"/>
        <v/>
      </c>
      <c r="V20" s="165"/>
      <c r="W20" s="165"/>
      <c r="X20" s="165"/>
      <c r="Y20" s="167" t="str">
        <f t="shared" si="6"/>
        <v/>
      </c>
      <c r="Z20" s="168" t="str">
        <f t="shared" si="0"/>
        <v/>
      </c>
      <c r="AA20" s="166" t="str">
        <f t="shared" si="1"/>
        <v/>
      </c>
      <c r="AB20" s="168" t="str">
        <f t="shared" si="2"/>
        <v/>
      </c>
      <c r="AC20" s="166" t="str">
        <f t="shared" si="7"/>
        <v/>
      </c>
      <c r="AD20" s="169" t="str">
        <f t="shared" si="3"/>
        <v/>
      </c>
      <c r="AE20" s="165"/>
      <c r="AF20" s="199"/>
      <c r="AG20" s="199"/>
      <c r="AH20" s="161"/>
      <c r="AI20" s="85"/>
      <c r="AJ20" s="158"/>
      <c r="AK20" s="93"/>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c r="B21" s="419"/>
      <c r="C21" s="347"/>
      <c r="D21" s="347"/>
      <c r="E21" s="347"/>
      <c r="F21" s="347"/>
      <c r="G21" s="347"/>
      <c r="H21" s="348"/>
      <c r="I21" s="412"/>
      <c r="J21" s="350"/>
      <c r="K21" s="351"/>
      <c r="L21" s="350">
        <f>IF(NOT(ISERROR(MATCH(K21,_xlfn.ANCHORARRAY(F32),0))),J34&amp;"Por favor no seleccionar los criterios de impacto",K21)</f>
        <v>0</v>
      </c>
      <c r="M21" s="412"/>
      <c r="N21" s="350"/>
      <c r="O21" s="352"/>
      <c r="P21" s="163">
        <v>6</v>
      </c>
      <c r="Q21" s="160"/>
      <c r="R21" s="164" t="str">
        <f t="shared" si="5"/>
        <v/>
      </c>
      <c r="S21" s="165"/>
      <c r="T21" s="165"/>
      <c r="U21" s="166" t="str">
        <f t="shared" si="4"/>
        <v/>
      </c>
      <c r="V21" s="165"/>
      <c r="W21" s="165"/>
      <c r="X21" s="165"/>
      <c r="Y21" s="167" t="str">
        <f t="shared" si="6"/>
        <v/>
      </c>
      <c r="Z21" s="168" t="str">
        <f t="shared" si="0"/>
        <v/>
      </c>
      <c r="AA21" s="166" t="str">
        <f t="shared" si="1"/>
        <v/>
      </c>
      <c r="AB21" s="168" t="str">
        <f t="shared" si="2"/>
        <v/>
      </c>
      <c r="AC21" s="166" t="str">
        <f t="shared" si="7"/>
        <v/>
      </c>
      <c r="AD21" s="169" t="str">
        <f t="shared" si="3"/>
        <v/>
      </c>
      <c r="AE21" s="165"/>
      <c r="AF21" s="199"/>
      <c r="AG21" s="199"/>
      <c r="AH21" s="161"/>
      <c r="AI21" s="85"/>
      <c r="AJ21" s="158"/>
      <c r="AK21" s="93"/>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03.5" customHeight="1">
      <c r="B22" s="408">
        <v>2</v>
      </c>
      <c r="C22" s="347" t="s">
        <v>197</v>
      </c>
      <c r="D22" s="347" t="s">
        <v>177</v>
      </c>
      <c r="E22" s="347" t="s">
        <v>198</v>
      </c>
      <c r="F22" s="347" t="s">
        <v>199</v>
      </c>
      <c r="G22" s="347" t="s">
        <v>180</v>
      </c>
      <c r="H22" s="348">
        <v>150</v>
      </c>
      <c r="I22" s="412" t="str">
        <f>IF(H22&lt;=0,"",IF(H22&lt;=2,"Muy Baja",IF(H22&lt;=24,"Baja",IF(H22&lt;=500,"Media",IF(H22&lt;=5000,"Alta","Muy Alta")))))</f>
        <v>Media</v>
      </c>
      <c r="J22" s="350">
        <f>IF(I22="","",IF(I22="Muy Baja",0.2,IF(I22="Baja",0.4,IF(I22="Media",0.6,IF(I22="Alta",0.8,IF(I22="Muy Alta",1,))))))</f>
        <v>0.6</v>
      </c>
      <c r="K22" s="351" t="s">
        <v>200</v>
      </c>
      <c r="L22" s="350" t="str">
        <f>IF(NOT(ISERROR(MATCH(K22,'[1]Tabla Impacto'!$B$222:$B$224,0))),'[1]Tabla Impacto'!$F$224&amp;"Por favor no seleccionar los criterios de impacto(Afectación Económica o presupuestal y Pérdida Reputacional)",K22)</f>
        <v xml:space="preserve">     El riesgo afecta la imagen de la entidad con algunos usuarios de relevancia frente al logro de los objetivos</v>
      </c>
      <c r="M22" s="412" t="str">
        <f>IF(OR(L22='[1]Tabla Impacto'!$C$12,L22='[1]Tabla Impacto'!$D$12),"Leve",IF(OR(L22='[1]Tabla Impacto'!$C$13,L22='[1]Tabla Impacto'!$D$13),"Menor",IF(OR(L22='[1]Tabla Impacto'!$C$14,L22='[1]Tabla Impacto'!$D$14),"Moderado",IF(OR(L22='[1]Tabla Impacto'!$C$15,L22='[1]Tabla Impacto'!$D$15),"Mayor",IF(OR(L22='[1]Tabla Impacto'!$C$16,L22='[1]Tabla Impacto'!$D$16),"Catastrófico","")))))</f>
        <v>Moderado</v>
      </c>
      <c r="N22" s="350">
        <f>IF(M22="","",IF(M22="Leve",0.2,IF(M22="Menor",0.4,IF(M22="Moderado",0.6,IF(M22="Mayor",0.8,IF(M22="Catastrófico",1,))))))</f>
        <v>0.6</v>
      </c>
      <c r="O22" s="352"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171">
        <v>1</v>
      </c>
      <c r="Q22" s="160" t="s">
        <v>201</v>
      </c>
      <c r="R22" s="164" t="s">
        <v>183</v>
      </c>
      <c r="S22" s="165" t="s">
        <v>184</v>
      </c>
      <c r="T22" s="165" t="s">
        <v>185</v>
      </c>
      <c r="U22" s="166" t="s">
        <v>202</v>
      </c>
      <c r="V22" s="165" t="s">
        <v>186</v>
      </c>
      <c r="W22" s="165" t="s">
        <v>187</v>
      </c>
      <c r="X22" s="165" t="s">
        <v>188</v>
      </c>
      <c r="Y22" s="167">
        <f>IFERROR(IF(R22="Probabilidad",(J22-(+J22*U22)),IF(R22="Impacto",J22,"")),"")</f>
        <v>0.36</v>
      </c>
      <c r="Z22" s="168" t="str">
        <f>IFERROR(IF(Y22="","",IF(Y22&lt;=0.2,"Muy Baja",IF(Y22&lt;=0.4,"Baja",IF(Y22&lt;=0.6,"Media",IF(Y22&lt;=0.8,"Alta","Muy Alta"))))),"")</f>
        <v>Baja</v>
      </c>
      <c r="AA22" s="166">
        <f t="shared" si="1"/>
        <v>0.36</v>
      </c>
      <c r="AB22" s="168" t="str">
        <f>IFERROR(IF(AC22="","",IF(AC22&lt;=0.2,"Leve",IF(AC22&lt;=0.4,"Menor",IF(AC22&lt;=0.6,"Moderado",IF(AC22&lt;=0.8,"Mayor","Catastrófico"))))),"")</f>
        <v>Moderado</v>
      </c>
      <c r="AC22" s="166">
        <f>IFERROR(IF(R22="Impacto",(N22-(+N22*U22)),IF(R22="Probabilidad",N22,"")),"")</f>
        <v>0.6</v>
      </c>
      <c r="AD22" s="169"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Moderado</v>
      </c>
      <c r="AE22" s="165" t="s">
        <v>189</v>
      </c>
      <c r="AF22" s="199" t="s">
        <v>203</v>
      </c>
      <c r="AG22" s="199" t="s">
        <v>204</v>
      </c>
      <c r="AH22" s="161">
        <v>44408</v>
      </c>
      <c r="AI22" s="85"/>
      <c r="AJ22" s="158"/>
      <c r="AK22" s="93"/>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95.25" customHeight="1">
      <c r="B23" s="408"/>
      <c r="C23" s="347"/>
      <c r="D23" s="347"/>
      <c r="E23" s="347"/>
      <c r="F23" s="347"/>
      <c r="G23" s="347"/>
      <c r="H23" s="348"/>
      <c r="I23" s="412"/>
      <c r="J23" s="350"/>
      <c r="K23" s="351"/>
      <c r="L23" s="350">
        <f>IF(NOT(ISERROR(MATCH(K23,_xlfn.ANCHORARRAY(F34),0))),J36&amp;"Por favor no seleccionar los criterios de impacto",K23)</f>
        <v>0</v>
      </c>
      <c r="M23" s="412"/>
      <c r="N23" s="350"/>
      <c r="O23" s="352"/>
      <c r="P23" s="171">
        <v>2</v>
      </c>
      <c r="Q23" s="160" t="s">
        <v>205</v>
      </c>
      <c r="R23" s="164" t="str">
        <f>IF(OR(S23="Preventivo",S23="Detectivo"),"Probabilidad",IF(S23="Correctivo","Impacto",""))</f>
        <v>Probabilidad</v>
      </c>
      <c r="S23" s="165" t="s">
        <v>184</v>
      </c>
      <c r="T23" s="165" t="s">
        <v>185</v>
      </c>
      <c r="U23" s="166" t="str">
        <f t="shared" ref="U23:U27" si="8">IF(AND(S23="Preventivo",T23="Automático"),"50%",IF(AND(S23="Preventivo",T23="Manual"),"40%",IF(AND(S23="Detectivo",T23="Automático"),"40%",IF(AND(S23="Detectivo",T23="Manual"),"30%",IF(AND(S23="Correctivo",T23="Automático"),"35%",IF(AND(S23="Correctivo",T23="Manual"),"25%",""))))))</f>
        <v>40%</v>
      </c>
      <c r="V23" s="165" t="s">
        <v>186</v>
      </c>
      <c r="W23" s="165" t="s">
        <v>187</v>
      </c>
      <c r="X23" s="165" t="s">
        <v>188</v>
      </c>
      <c r="Y23" s="167">
        <f>IFERROR(IF(AND(R22="Probabilidad",R23="Probabilidad"),(AA22-(+AA22*U23)),IF(R23="Probabilidad",(J22-(+J22*U23)),IF(R23="Impacto",AA22,""))),"")</f>
        <v>0.216</v>
      </c>
      <c r="Z23" s="172" t="str">
        <f t="shared" ref="Z23:Z87" si="9">IFERROR(IF(Y23="","",IF(Y23&lt;=0.2,"Muy Baja",IF(Y23&lt;=0.4,"Baja",IF(Y23&lt;=0.6,"Media",IF(Y23&lt;=0.8,"Alta","Muy Alta"))))),"")</f>
        <v>Baja</v>
      </c>
      <c r="AA23" s="166">
        <f t="shared" ref="AA23:AA29" si="10">+Y23</f>
        <v>0.216</v>
      </c>
      <c r="AB23" s="172" t="str">
        <f t="shared" ref="AB23:AB87" si="11">IFERROR(IF(AC23="","",IF(AC23&lt;=0.2,"Leve",IF(AC23&lt;=0.4,"Menor",IF(AC23&lt;=0.6,"Moderado",IF(AC23&lt;=0.8,"Mayor","Catastrófico"))))),"")</f>
        <v>Mayor</v>
      </c>
      <c r="AC23" s="166">
        <f>IFERROR(IF(AND(R22="Impacto",R23="Impacto"),(AC16-(+AC16*U23)),IF(R23="Impacto",($N$22-(+$N$22*U23)),IF(R23="Probabilidad",AC16,""))),"")</f>
        <v>0.8</v>
      </c>
      <c r="AD23" s="169" t="str">
        <f t="shared" ref="AD23" si="12">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Alto</v>
      </c>
      <c r="AE23" s="165" t="s">
        <v>189</v>
      </c>
      <c r="AF23" s="199" t="s">
        <v>206</v>
      </c>
      <c r="AG23" s="199" t="s">
        <v>204</v>
      </c>
      <c r="AH23" s="161">
        <v>44408</v>
      </c>
      <c r="AI23" s="85"/>
      <c r="AJ23" s="158"/>
      <c r="AK23" s="93"/>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85.5" customHeight="1">
      <c r="B24" s="408"/>
      <c r="C24" s="347"/>
      <c r="D24" s="347"/>
      <c r="E24" s="347"/>
      <c r="F24" s="347"/>
      <c r="G24" s="347"/>
      <c r="H24" s="348"/>
      <c r="I24" s="412"/>
      <c r="J24" s="350"/>
      <c r="K24" s="351"/>
      <c r="L24" s="350">
        <f>IF(NOT(ISERROR(MATCH(K24,_xlfn.ANCHORARRAY(F35),0))),J37&amp;"Por favor no seleccionar los criterios de impacto",K24)</f>
        <v>0</v>
      </c>
      <c r="M24" s="412"/>
      <c r="N24" s="350"/>
      <c r="O24" s="352"/>
      <c r="P24" s="171">
        <v>3</v>
      </c>
      <c r="Q24" s="160" t="s">
        <v>207</v>
      </c>
      <c r="R24" s="173" t="s">
        <v>183</v>
      </c>
      <c r="S24" s="174" t="s">
        <v>193</v>
      </c>
      <c r="T24" s="174" t="s">
        <v>185</v>
      </c>
      <c r="U24" s="175" t="s">
        <v>194</v>
      </c>
      <c r="V24" s="174" t="s">
        <v>186</v>
      </c>
      <c r="W24" s="174" t="s">
        <v>187</v>
      </c>
      <c r="X24" s="174" t="s">
        <v>188</v>
      </c>
      <c r="Y24" s="167">
        <f>IFERROR(IF(AND(R22="Probabilidad",R24="Probabilidad"),(AA22-(+AA22*U24)),IF(R24="Probabilidad",(J22-(+J22*U24)),IF(R24="Impacto",AA22,""))),"")</f>
        <v>0.252</v>
      </c>
      <c r="Z24" s="168" t="str">
        <f>IFERROR(IF(Y24="","",IF(Y24&lt;=0.2,"Muy Baja",IF(Y24&lt;=0.4,"Baja",IF(Y24&lt;=0.6,"Media",IF(Y24&lt;=0.8,"Alta","Muy Alta"))))),"")</f>
        <v>Baja</v>
      </c>
      <c r="AA24" s="166">
        <f>+Y24</f>
        <v>0.252</v>
      </c>
      <c r="AB24" s="168" t="str">
        <f>IFERROR(IF(AC24="","",IF(AC24&lt;=0.2,"Leve",IF(AC24&lt;=0.4,"Menor",IF(AC24&lt;=0.6,"Moderado",IF(AC24&lt;=0.8,"Mayor","Catastrófico"))))),"")</f>
        <v>Mayor</v>
      </c>
      <c r="AC24" s="166">
        <f>IFERROR(IF(AND(R22="Impacto",R24="Impacto"),(AC16-(+AC16*U24)),IF(R24="Impacto",($N$22-(+$N$22*U24)),IF(R24="Probabilidad",AC16,""))),"")</f>
        <v>0.8</v>
      </c>
      <c r="AD24" s="169" t="str">
        <f>IFERROR(IF(OR(AND(Z24="Muy Baja",AB24="Leve"),AND(Z24="Muy Baja",AB24="Menor"),AND(Z24="Baja",AB24="Leve")),"Bajo",IF(OR(AND(Z24="Muy baja",AB24="Moderado"),AND(Z24="Baja",AB24="Menor"),AND(Z24="Baja",AB24="Moderado"),AND(Z24="Media",AB24="Leve"),AND(Z24="Media",AB24="Menor"),AND(Z24="Media",AB24="Moderado"),AND(Z24="Alta",AB24="Leve"),AND(Z24="Alta",AB24="Menor")),"Moderado",IF(OR(AND(Z24="Muy Baja",AB24="Mayor"),AND(Z24="Baja",AB24="Mayor"),AND(Z24="Media",AB24="Mayor"),AND(Z24="Alta",AB24="Moderado"),AND(Z24="Alta",AB24="Mayor"),AND(Z24="Muy Alta",AB24="Leve"),AND(Z24="Muy Alta",AB24="Menor"),AND(Z24="Muy Alta",AB24="Moderado"),AND(Z24="Muy Alta",AB24="Mayor")),"Alto",IF(OR(AND(Z24="Muy Baja",AB24="Catastrófico"),AND(Z24="Baja",AB24="Catastrófico"),AND(Z24="Media",AB24="Catastrófico"),AND(Z24="Alta",AB24="Catastrófico"),AND(Z24="Muy Alta",AB24="Catastrófico")),"Extremo","")))),"")</f>
        <v>Alto</v>
      </c>
      <c r="AE24" s="165" t="s">
        <v>189</v>
      </c>
      <c r="AF24" s="199" t="s">
        <v>208</v>
      </c>
      <c r="AG24" s="199" t="s">
        <v>209</v>
      </c>
      <c r="AH24" s="161">
        <v>44408</v>
      </c>
      <c r="AI24" s="85"/>
      <c r="AJ24" s="158"/>
      <c r="AK24" s="93"/>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151.5" hidden="1" customHeight="1">
      <c r="B25" s="408"/>
      <c r="C25" s="347"/>
      <c r="D25" s="347"/>
      <c r="E25" s="347"/>
      <c r="F25" s="347"/>
      <c r="G25" s="347"/>
      <c r="H25" s="348"/>
      <c r="I25" s="412"/>
      <c r="J25" s="350"/>
      <c r="K25" s="351"/>
      <c r="L25" s="350">
        <f>IF(NOT(ISERROR(MATCH(K25,_xlfn.ANCHORARRAY(F36),0))),J38&amp;"Por favor no seleccionar los criterios de impacto",K25)</f>
        <v>0</v>
      </c>
      <c r="M25" s="412"/>
      <c r="N25" s="350"/>
      <c r="O25" s="352"/>
      <c r="P25" s="171">
        <v>4</v>
      </c>
      <c r="Q25" s="160"/>
      <c r="R25" s="164" t="str">
        <f t="shared" ref="R25:R27" si="13">IF(OR(S25="Preventivo",S25="Detectivo"),"Probabilidad",IF(S25="Correctivo","Impacto",""))</f>
        <v/>
      </c>
      <c r="S25" s="165"/>
      <c r="T25" s="165"/>
      <c r="U25" s="166" t="str">
        <f t="shared" si="8"/>
        <v/>
      </c>
      <c r="V25" s="165"/>
      <c r="W25" s="165"/>
      <c r="X25" s="165"/>
      <c r="Y25" s="167" t="str">
        <f t="shared" ref="Y25:Y27" si="14">IFERROR(IF(AND(R24="Probabilidad",R25="Probabilidad"),(AA24-(+AA24*U25)),IF(AND(R24="Impacto",R25="Probabilidad"),(AA23-(+AA23*U25)),IF(R25="Impacto",AA24,""))),"")</f>
        <v/>
      </c>
      <c r="Z25" s="172" t="str">
        <f t="shared" si="9"/>
        <v/>
      </c>
      <c r="AA25" s="166" t="str">
        <f t="shared" si="10"/>
        <v/>
      </c>
      <c r="AB25" s="172" t="str">
        <f t="shared" si="11"/>
        <v/>
      </c>
      <c r="AC25" s="166" t="str">
        <f t="shared" ref="AC25:AC27" si="15">IFERROR(IF(AND(R24="Impacto",R25="Impacto"),(AC24-(+AC24*U25)),IF(AND(R24="Probabilidad",R25="Impacto"),(AC23-(+AC23*U25)),IF(R25="Probabilidad",AC24,""))),"")</f>
        <v/>
      </c>
      <c r="AD25" s="169"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165"/>
      <c r="AF25" s="199"/>
      <c r="AG25" s="199"/>
      <c r="AH25" s="161"/>
      <c r="AI25" s="85"/>
      <c r="AJ25" s="158"/>
      <c r="AK25" s="93"/>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1.5" hidden="1" customHeight="1">
      <c r="B26" s="408"/>
      <c r="C26" s="347"/>
      <c r="D26" s="347"/>
      <c r="E26" s="347"/>
      <c r="F26" s="347"/>
      <c r="G26" s="347"/>
      <c r="H26" s="348"/>
      <c r="I26" s="412"/>
      <c r="J26" s="350"/>
      <c r="K26" s="351"/>
      <c r="L26" s="350">
        <f>IF(NOT(ISERROR(MATCH(K26,_xlfn.ANCHORARRAY(F37),0))),J39&amp;"Por favor no seleccionar los criterios de impacto",K26)</f>
        <v>0</v>
      </c>
      <c r="M26" s="412"/>
      <c r="N26" s="350"/>
      <c r="O26" s="352"/>
      <c r="P26" s="171">
        <v>5</v>
      </c>
      <c r="Q26" s="160"/>
      <c r="R26" s="164" t="str">
        <f t="shared" si="13"/>
        <v/>
      </c>
      <c r="S26" s="165"/>
      <c r="T26" s="165"/>
      <c r="U26" s="166" t="str">
        <f t="shared" si="8"/>
        <v/>
      </c>
      <c r="V26" s="165"/>
      <c r="W26" s="165"/>
      <c r="X26" s="165"/>
      <c r="Y26" s="167" t="str">
        <f t="shared" si="14"/>
        <v/>
      </c>
      <c r="Z26" s="172" t="str">
        <f t="shared" si="9"/>
        <v/>
      </c>
      <c r="AA26" s="166" t="str">
        <f t="shared" si="10"/>
        <v/>
      </c>
      <c r="AB26" s="172" t="str">
        <f t="shared" si="11"/>
        <v/>
      </c>
      <c r="AC26" s="166" t="str">
        <f t="shared" si="15"/>
        <v/>
      </c>
      <c r="AD26" s="169" t="str">
        <f t="shared" ref="AD26:AD27" si="16">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165"/>
      <c r="AF26" s="199"/>
      <c r="AG26" s="199"/>
      <c r="AH26" s="161"/>
      <c r="AI26" s="85"/>
      <c r="AJ26" s="158"/>
      <c r="AK26" s="93"/>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c r="B27" s="408"/>
      <c r="C27" s="347"/>
      <c r="D27" s="347"/>
      <c r="E27" s="347"/>
      <c r="F27" s="347"/>
      <c r="G27" s="347"/>
      <c r="H27" s="348"/>
      <c r="I27" s="412"/>
      <c r="J27" s="350"/>
      <c r="K27" s="351"/>
      <c r="L27" s="350">
        <f>IF(NOT(ISERROR(MATCH(K27,_xlfn.ANCHORARRAY(F38),0))),J40&amp;"Por favor no seleccionar los criterios de impacto",K27)</f>
        <v>0</v>
      </c>
      <c r="M27" s="412"/>
      <c r="N27" s="350"/>
      <c r="O27" s="352"/>
      <c r="P27" s="171">
        <v>6</v>
      </c>
      <c r="Q27" s="160"/>
      <c r="R27" s="164" t="str">
        <f t="shared" si="13"/>
        <v/>
      </c>
      <c r="S27" s="165"/>
      <c r="T27" s="165"/>
      <c r="U27" s="166" t="str">
        <f t="shared" si="8"/>
        <v/>
      </c>
      <c r="V27" s="165"/>
      <c r="W27" s="165"/>
      <c r="X27" s="165"/>
      <c r="Y27" s="167" t="str">
        <f t="shared" si="14"/>
        <v/>
      </c>
      <c r="Z27" s="172" t="str">
        <f t="shared" si="9"/>
        <v/>
      </c>
      <c r="AA27" s="166" t="str">
        <f t="shared" si="10"/>
        <v/>
      </c>
      <c r="AB27" s="172" t="str">
        <f t="shared" si="11"/>
        <v/>
      </c>
      <c r="AC27" s="166" t="str">
        <f t="shared" si="15"/>
        <v/>
      </c>
      <c r="AD27" s="169" t="str">
        <f t="shared" si="16"/>
        <v/>
      </c>
      <c r="AE27" s="165"/>
      <c r="AF27" s="199"/>
      <c r="AG27" s="199"/>
      <c r="AH27" s="161"/>
      <c r="AI27" s="85"/>
      <c r="AJ27" s="158"/>
      <c r="AK27" s="93"/>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10.25" customHeight="1">
      <c r="B28" s="408">
        <v>3</v>
      </c>
      <c r="C28" s="347" t="s">
        <v>210</v>
      </c>
      <c r="D28" s="347" t="s">
        <v>211</v>
      </c>
      <c r="E28" s="347" t="s">
        <v>212</v>
      </c>
      <c r="F28" s="347" t="s">
        <v>213</v>
      </c>
      <c r="G28" s="347" t="s">
        <v>180</v>
      </c>
      <c r="H28" s="348">
        <v>327</v>
      </c>
      <c r="I28" s="412" t="str">
        <f>IF(H28&lt;=0,"",IF(H28&lt;=2,"Muy Baja",IF(H28&lt;=24,"Baja",IF(H28&lt;=500,"Media",IF(H28&lt;=5000,"Alta","Muy Alta")))))</f>
        <v>Media</v>
      </c>
      <c r="J28" s="350">
        <f>IF(I28="","",IF(I28="Muy Baja",0.2,IF(I28="Baja",0.4,IF(I28="Media",0.6,IF(I28="Alta",0.8,IF(I28="Muy Alta",1,))))))</f>
        <v>0.6</v>
      </c>
      <c r="K28" s="351" t="s">
        <v>214</v>
      </c>
      <c r="L28" s="350" t="str">
        <f>IF(NOT(ISERROR(MATCH(K28,'[1]Tabla Impacto'!$B$222:$B$224,0))),'[1]Tabla Impacto'!$F$224&amp;"Por favor no seleccionar los criterios de impacto(Afectación Económica o presupuestal y Pérdida Reputacional)",K28)</f>
        <v xml:space="preserve">     Entre 10 y 50 SMLMV </v>
      </c>
      <c r="M28" s="412" t="str">
        <f>IF(OR(L28='[1]Tabla Impacto'!$C$12,L28='[1]Tabla Impacto'!$D$12),"Leve",IF(OR(L28='[1]Tabla Impacto'!$C$13,L28='[1]Tabla Impacto'!$D$13),"Menor",IF(OR(L28='[1]Tabla Impacto'!$C$14,L28='[1]Tabla Impacto'!$D$14),"Moderado",IF(OR(L28='[1]Tabla Impacto'!$C$15,L28='[1]Tabla Impacto'!$D$15),"Mayor",IF(OR(L28='[1]Tabla Impacto'!$C$16,L28='[1]Tabla Impacto'!$D$16),"Catastrófico","")))))</f>
        <v>Menor</v>
      </c>
      <c r="N28" s="350">
        <f>IF(M28="","",IF(M28="Leve",0.2,IF(M28="Menor",0.4,IF(M28="Moderado",0.6,IF(M28="Mayor",0.8,IF(M28="Catastrófico",1,))))))</f>
        <v>0.4</v>
      </c>
      <c r="O28" s="352"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Moderado</v>
      </c>
      <c r="P28" s="171">
        <v>1</v>
      </c>
      <c r="Q28" s="160" t="s">
        <v>215</v>
      </c>
      <c r="R28" s="164" t="s">
        <v>183</v>
      </c>
      <c r="S28" s="165" t="s">
        <v>184</v>
      </c>
      <c r="T28" s="165" t="s">
        <v>185</v>
      </c>
      <c r="U28" s="166" t="s">
        <v>202</v>
      </c>
      <c r="V28" s="165" t="s">
        <v>186</v>
      </c>
      <c r="W28" s="165" t="s">
        <v>187</v>
      </c>
      <c r="X28" s="165" t="s">
        <v>188</v>
      </c>
      <c r="Y28" s="167">
        <f>IFERROR(IF(R28="Probabilidad",(J28-(+J28*U28)),IF(R28="Impacto",J28,"")),"")</f>
        <v>0.36</v>
      </c>
      <c r="Z28" s="168" t="str">
        <f>IFERROR(IF(Y28="","",IF(Y28&lt;=0.2,"Muy Baja",IF(Y28&lt;=0.4,"Baja",IF(Y28&lt;=0.6,"Media",IF(Y28&lt;=0.8,"Alta","Muy Alta"))))),"")</f>
        <v>Baja</v>
      </c>
      <c r="AA28" s="166">
        <f t="shared" si="10"/>
        <v>0.36</v>
      </c>
      <c r="AB28" s="168" t="str">
        <f>IFERROR(IF(AC28="","",IF(AC28&lt;=0.2,"Leve",IF(AC28&lt;=0.4,"Menor",IF(AC28&lt;=0.6,"Moderado",IF(AC28&lt;=0.8,"Mayor","Catastrófico"))))),"")</f>
        <v>Menor</v>
      </c>
      <c r="AC28" s="166">
        <f>IFERROR(IF(R28="Impacto",(N28-(+N28*U28)),IF(R28="Probabilidad",N28,"")),"")</f>
        <v>0.4</v>
      </c>
      <c r="AD28" s="169"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Moderado</v>
      </c>
      <c r="AE28" s="165" t="s">
        <v>189</v>
      </c>
      <c r="AF28" s="199" t="s">
        <v>216</v>
      </c>
      <c r="AG28" s="199" t="s">
        <v>217</v>
      </c>
      <c r="AH28" s="161">
        <v>44408</v>
      </c>
      <c r="AI28" s="85"/>
      <c r="AJ28" s="158"/>
      <c r="AK28" s="93"/>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95.25" customHeight="1">
      <c r="B29" s="408"/>
      <c r="C29" s="347"/>
      <c r="D29" s="347"/>
      <c r="E29" s="347"/>
      <c r="F29" s="347"/>
      <c r="G29" s="347"/>
      <c r="H29" s="348"/>
      <c r="I29" s="412"/>
      <c r="J29" s="350"/>
      <c r="K29" s="351"/>
      <c r="L29" s="350">
        <f t="shared" ref="L29:L33" si="17">IF(NOT(ISERROR(MATCH(K29,_xlfn.ANCHORARRAY(F40),0))),J42&amp;"Por favor no seleccionar los criterios de impacto",K29)</f>
        <v>0</v>
      </c>
      <c r="M29" s="412"/>
      <c r="N29" s="350"/>
      <c r="O29" s="352"/>
      <c r="P29" s="171">
        <v>2</v>
      </c>
      <c r="Q29" s="160" t="s">
        <v>218</v>
      </c>
      <c r="R29" s="164" t="s">
        <v>183</v>
      </c>
      <c r="S29" s="165" t="s">
        <v>184</v>
      </c>
      <c r="T29" s="165" t="s">
        <v>185</v>
      </c>
      <c r="U29" s="166" t="s">
        <v>202</v>
      </c>
      <c r="V29" s="165" t="s">
        <v>186</v>
      </c>
      <c r="W29" s="165" t="s">
        <v>187</v>
      </c>
      <c r="X29" s="165" t="s">
        <v>188</v>
      </c>
      <c r="Y29" s="176">
        <f>IFERROR(IF(AND(R28="Probabilidad",R29="Probabilidad"),(AA28-(+AA28*U29)),IF(R29="Probabilidad",(J28-(+J28*U29)),IF(R29="Impacto",AA28,""))),"")</f>
        <v>0.216</v>
      </c>
      <c r="Z29" s="168" t="str">
        <f t="shared" ref="Z29" si="18">IFERROR(IF(Y29="","",IF(Y29&lt;=0.2,"Muy Baja",IF(Y29&lt;=0.4,"Baja",IF(Y29&lt;=0.6,"Media",IF(Y29&lt;=0.8,"Alta","Muy Alta"))))),"")</f>
        <v>Baja</v>
      </c>
      <c r="AA29" s="166">
        <f t="shared" si="10"/>
        <v>0.216</v>
      </c>
      <c r="AB29" s="168" t="str">
        <f t="shared" ref="AB29" si="19">IFERROR(IF(AC29="","",IF(AC29&lt;=0.2,"Leve",IF(AC29&lt;=0.4,"Menor",IF(AC29&lt;=0.6,"Moderado",IF(AC29&lt;=0.8,"Mayor","Catastrófico"))))),"")</f>
        <v>Moderado</v>
      </c>
      <c r="AC29" s="166">
        <f>IFERROR(IF(AND(R28="Impacto",R29="Impacto"),(AC22-(+AC22*U29)),IF(R29="Impacto",($N$28-(+$N$28*U29)),IF(R29="Probabilidad",AC22,""))),"")</f>
        <v>0.6</v>
      </c>
      <c r="AD29" s="169" t="str">
        <f t="shared" ref="AD29" si="20">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Moderado</v>
      </c>
      <c r="AE29" s="165" t="s">
        <v>189</v>
      </c>
      <c r="AF29" s="199" t="s">
        <v>219</v>
      </c>
      <c r="AG29" s="199" t="s">
        <v>217</v>
      </c>
      <c r="AH29" s="161">
        <v>44408</v>
      </c>
      <c r="AI29" s="85"/>
      <c r="AJ29" s="158"/>
      <c r="AK29" s="93"/>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c r="B30" s="408"/>
      <c r="C30" s="347"/>
      <c r="D30" s="347"/>
      <c r="E30" s="347"/>
      <c r="F30" s="347"/>
      <c r="G30" s="347"/>
      <c r="H30" s="348"/>
      <c r="I30" s="412"/>
      <c r="J30" s="350"/>
      <c r="K30" s="351"/>
      <c r="L30" s="350">
        <f t="shared" si="17"/>
        <v>0</v>
      </c>
      <c r="M30" s="412"/>
      <c r="N30" s="350"/>
      <c r="O30" s="352"/>
      <c r="P30" s="171">
        <v>3</v>
      </c>
      <c r="Q30" s="170"/>
      <c r="R30" s="164" t="str">
        <f>IF(OR(S30="Preventivo",S30="Detectivo"),"Probabilidad",IF(S30="Correctivo","Impacto",""))</f>
        <v/>
      </c>
      <c r="S30" s="165"/>
      <c r="T30" s="165"/>
      <c r="U30" s="166" t="str">
        <f t="shared" ref="U30:U33" si="21">IF(AND(S30="Preventivo",T30="Automático"),"50%",IF(AND(S30="Preventivo",T30="Manual"),"40%",IF(AND(S30="Detectivo",T30="Automático"),"40%",IF(AND(S30="Detectivo",T30="Manual"),"30%",IF(AND(S30="Correctivo",T30="Automático"),"35%",IF(AND(S30="Correctivo",T30="Manual"),"25%",""))))))</f>
        <v/>
      </c>
      <c r="V30" s="165"/>
      <c r="W30" s="165"/>
      <c r="X30" s="165"/>
      <c r="Y30" s="167" t="str">
        <f>IFERROR(IF(AND(R29="Probabilidad",R30="Probabilidad"),(AA29-(+AA29*U30)),IF(AND(R29="Impacto",R30="Probabilidad"),(AA28-(+AA28*U30)),IF(R30="Impacto",AA29,""))),"")</f>
        <v/>
      </c>
      <c r="Z30" s="172" t="str">
        <f t="shared" si="9"/>
        <v/>
      </c>
      <c r="AA30" s="166" t="str">
        <f t="shared" ref="AA30:AA53" si="22">+Y30</f>
        <v/>
      </c>
      <c r="AB30" s="172" t="str">
        <f t="shared" si="11"/>
        <v/>
      </c>
      <c r="AC30" s="166" t="str">
        <f>IFERROR(IF(AND(R29="Impacto",R30="Impacto"),(AC29-(+AC29*U30)),IF(AND(R29="Probabilidad",R30="Impacto"),(AC28-(+AC28*U30)),IF(R30="Probabilidad",AC29,""))),"")</f>
        <v/>
      </c>
      <c r="AD30" s="169" t="str">
        <f t="shared" ref="AD30" si="23">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
      </c>
      <c r="AE30" s="165"/>
      <c r="AF30" s="199"/>
      <c r="AG30" s="199"/>
      <c r="AH30" s="161"/>
      <c r="AI30" s="85"/>
      <c r="AJ30" s="158"/>
      <c r="AK30" s="93"/>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c r="B31" s="408"/>
      <c r="C31" s="347"/>
      <c r="D31" s="347"/>
      <c r="E31" s="347"/>
      <c r="F31" s="347"/>
      <c r="G31" s="347"/>
      <c r="H31" s="348"/>
      <c r="I31" s="412"/>
      <c r="J31" s="350"/>
      <c r="K31" s="351"/>
      <c r="L31" s="350">
        <f t="shared" si="17"/>
        <v>0</v>
      </c>
      <c r="M31" s="412"/>
      <c r="N31" s="350"/>
      <c r="O31" s="352"/>
      <c r="P31" s="171">
        <v>4</v>
      </c>
      <c r="Q31" s="160"/>
      <c r="R31" s="164" t="str">
        <f t="shared" ref="R31:R33" si="24">IF(OR(S31="Preventivo",S31="Detectivo"),"Probabilidad",IF(S31="Correctivo","Impacto",""))</f>
        <v/>
      </c>
      <c r="S31" s="165"/>
      <c r="T31" s="165"/>
      <c r="U31" s="166" t="str">
        <f t="shared" si="21"/>
        <v/>
      </c>
      <c r="V31" s="165"/>
      <c r="W31" s="165"/>
      <c r="X31" s="165"/>
      <c r="Y31" s="167" t="str">
        <f t="shared" ref="Y31:Y33" si="25">IFERROR(IF(AND(R30="Probabilidad",R31="Probabilidad"),(AA30-(+AA30*U31)),IF(AND(R30="Impacto",R31="Probabilidad"),(AA29-(+AA29*U31)),IF(R31="Impacto",AA30,""))),"")</f>
        <v/>
      </c>
      <c r="Z31" s="172" t="str">
        <f t="shared" si="9"/>
        <v/>
      </c>
      <c r="AA31" s="166" t="str">
        <f t="shared" si="22"/>
        <v/>
      </c>
      <c r="AB31" s="172" t="str">
        <f t="shared" si="11"/>
        <v/>
      </c>
      <c r="AC31" s="166" t="str">
        <f t="shared" ref="AC31:AC33" si="26">IFERROR(IF(AND(R30="Impacto",R31="Impacto"),(AC30-(+AC30*U31)),IF(AND(R30="Probabilidad",R31="Impacto"),(AC29-(+AC29*U31)),IF(R31="Probabilidad",AC30,""))),"")</f>
        <v/>
      </c>
      <c r="AD31" s="169"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165"/>
      <c r="AF31" s="199"/>
      <c r="AG31" s="199"/>
      <c r="AH31" s="161"/>
      <c r="AI31" s="85"/>
      <c r="AJ31" s="158"/>
      <c r="AK31" s="93"/>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c r="B32" s="408"/>
      <c r="C32" s="347"/>
      <c r="D32" s="347"/>
      <c r="E32" s="347"/>
      <c r="F32" s="347"/>
      <c r="G32" s="347"/>
      <c r="H32" s="348"/>
      <c r="I32" s="412"/>
      <c r="J32" s="350"/>
      <c r="K32" s="351"/>
      <c r="L32" s="350">
        <f t="shared" si="17"/>
        <v>0</v>
      </c>
      <c r="M32" s="412"/>
      <c r="N32" s="350"/>
      <c r="O32" s="352"/>
      <c r="P32" s="171">
        <v>5</v>
      </c>
      <c r="Q32" s="160"/>
      <c r="R32" s="164" t="str">
        <f t="shared" si="24"/>
        <v/>
      </c>
      <c r="S32" s="165"/>
      <c r="T32" s="165"/>
      <c r="U32" s="166" t="str">
        <f t="shared" si="21"/>
        <v/>
      </c>
      <c r="V32" s="165"/>
      <c r="W32" s="165"/>
      <c r="X32" s="165"/>
      <c r="Y32" s="167" t="str">
        <f t="shared" si="25"/>
        <v/>
      </c>
      <c r="Z32" s="172" t="str">
        <f t="shared" si="9"/>
        <v/>
      </c>
      <c r="AA32" s="166" t="str">
        <f t="shared" si="22"/>
        <v/>
      </c>
      <c r="AB32" s="172" t="str">
        <f t="shared" si="11"/>
        <v/>
      </c>
      <c r="AC32" s="166" t="str">
        <f t="shared" si="26"/>
        <v/>
      </c>
      <c r="AD32" s="169" t="str">
        <f t="shared" ref="AD32:AD33" si="27">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165"/>
      <c r="AF32" s="199"/>
      <c r="AG32" s="199"/>
      <c r="AH32" s="161"/>
      <c r="AI32" s="85"/>
      <c r="AJ32" s="158"/>
      <c r="AK32" s="93"/>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c r="B33" s="408"/>
      <c r="C33" s="347"/>
      <c r="D33" s="347"/>
      <c r="E33" s="347"/>
      <c r="F33" s="347"/>
      <c r="G33" s="347"/>
      <c r="H33" s="348"/>
      <c r="I33" s="412"/>
      <c r="J33" s="350"/>
      <c r="K33" s="351"/>
      <c r="L33" s="350">
        <f t="shared" si="17"/>
        <v>0</v>
      </c>
      <c r="M33" s="412"/>
      <c r="N33" s="350"/>
      <c r="O33" s="352"/>
      <c r="P33" s="171">
        <v>6</v>
      </c>
      <c r="Q33" s="160"/>
      <c r="R33" s="164" t="str">
        <f t="shared" si="24"/>
        <v/>
      </c>
      <c r="S33" s="165"/>
      <c r="T33" s="165"/>
      <c r="U33" s="166" t="str">
        <f t="shared" si="21"/>
        <v/>
      </c>
      <c r="V33" s="165"/>
      <c r="W33" s="165"/>
      <c r="X33" s="165"/>
      <c r="Y33" s="167" t="str">
        <f t="shared" si="25"/>
        <v/>
      </c>
      <c r="Z33" s="172" t="str">
        <f t="shared" si="9"/>
        <v/>
      </c>
      <c r="AA33" s="166" t="str">
        <f t="shared" si="22"/>
        <v/>
      </c>
      <c r="AB33" s="172" t="str">
        <f t="shared" si="11"/>
        <v/>
      </c>
      <c r="AC33" s="166" t="str">
        <f t="shared" si="26"/>
        <v/>
      </c>
      <c r="AD33" s="169" t="str">
        <f t="shared" si="27"/>
        <v/>
      </c>
      <c r="AE33" s="165"/>
      <c r="AF33" s="199"/>
      <c r="AG33" s="199"/>
      <c r="AH33" s="161"/>
      <c r="AI33" s="85"/>
      <c r="AJ33" s="158"/>
      <c r="AK33" s="93"/>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6.75" customHeight="1">
      <c r="B34" s="408">
        <v>4</v>
      </c>
      <c r="C34" s="347" t="s">
        <v>176</v>
      </c>
      <c r="D34" s="347" t="s">
        <v>211</v>
      </c>
      <c r="E34" s="347" t="s">
        <v>220</v>
      </c>
      <c r="F34" s="347" t="s">
        <v>221</v>
      </c>
      <c r="G34" s="347" t="s">
        <v>180</v>
      </c>
      <c r="H34" s="348">
        <v>5</v>
      </c>
      <c r="I34" s="412" t="str">
        <f>IF(H34&lt;=0,"",IF(H34&lt;=2,"Muy Baja",IF(H34&lt;=24,"Baja",IF(H34&lt;=500,"Media",IF(H34&lt;=5000,"Alta","Muy Alta")))))</f>
        <v>Baja</v>
      </c>
      <c r="J34" s="350">
        <f>IF(I34="","",IF(I34="Muy Baja",0.2,IF(I34="Baja",0.4,IF(I34="Media",0.6,IF(I34="Alta",0.8,IF(I34="Muy Alta",1,))))))</f>
        <v>0.4</v>
      </c>
      <c r="K34" s="351" t="s">
        <v>200</v>
      </c>
      <c r="L34" s="350" t="str">
        <f>IF(NOT(ISERROR(MATCH(K34,'[1]Tabla Impacto'!$B$222:$B$224,0))),'[1]Tabla Impacto'!$F$224&amp;"Por favor no seleccionar los criterios de impacto(Afectación Económica o presupuestal y Pérdida Reputacional)",K34)</f>
        <v xml:space="preserve">     El riesgo afecta la imagen de la entidad con algunos usuarios de relevancia frente al logro de los objetivos</v>
      </c>
      <c r="M34" s="412" t="str">
        <f>IF(OR(L34='[1]Tabla Impacto'!$C$12,L34='[1]Tabla Impacto'!$D$12),"Leve",IF(OR(L34='[1]Tabla Impacto'!$C$13,L34='[1]Tabla Impacto'!$D$13),"Menor",IF(OR(L34='[1]Tabla Impacto'!$C$14,L34='[1]Tabla Impacto'!$D$14),"Moderado",IF(OR(L34='[1]Tabla Impacto'!$C$15,L34='[1]Tabla Impacto'!$D$15),"Mayor",IF(OR(L34='[1]Tabla Impacto'!$C$16,L34='[1]Tabla Impacto'!$D$16),"Catastrófico","")))))</f>
        <v>Moderado</v>
      </c>
      <c r="N34" s="350">
        <f>IF(M34="","",IF(M34="Leve",0.2,IF(M34="Menor",0.4,IF(M34="Moderado",0.6,IF(M34="Mayor",0.8,IF(M34="Catastrófico",1,))))))</f>
        <v>0.6</v>
      </c>
      <c r="O34" s="352"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Moderado</v>
      </c>
      <c r="P34" s="163">
        <v>1</v>
      </c>
      <c r="Q34" s="160" t="s">
        <v>222</v>
      </c>
      <c r="R34" s="164" t="s">
        <v>183</v>
      </c>
      <c r="S34" s="165" t="s">
        <v>184</v>
      </c>
      <c r="T34" s="165" t="s">
        <v>185</v>
      </c>
      <c r="U34" s="166" t="s">
        <v>202</v>
      </c>
      <c r="V34" s="165" t="s">
        <v>186</v>
      </c>
      <c r="W34" s="165" t="s">
        <v>187</v>
      </c>
      <c r="X34" s="165" t="s">
        <v>188</v>
      </c>
      <c r="Y34" s="167">
        <f>IFERROR(IF(R34="Probabilidad",(J34-(+J34*U34)),IF(R34="Impacto",J34,"")),"")</f>
        <v>0.24</v>
      </c>
      <c r="Z34" s="168" t="str">
        <f>IFERROR(IF(Y34="","",IF(Y34&lt;=0.2,"Muy Baja",IF(Y34&lt;=0.4,"Baja",IF(Y34&lt;=0.6,"Media",IF(Y34&lt;=0.8,"Alta","Muy Alta"))))),"")</f>
        <v>Baja</v>
      </c>
      <c r="AA34" s="166">
        <f t="shared" si="22"/>
        <v>0.24</v>
      </c>
      <c r="AB34" s="168" t="str">
        <f>IFERROR(IF(AC34="","",IF(AC34&lt;=0.2,"Leve",IF(AC34&lt;=0.4,"Menor",IF(AC34&lt;=0.6,"Moderado",IF(AC34&lt;=0.8,"Mayor","Catastrófico"))))),"")</f>
        <v>Moderado</v>
      </c>
      <c r="AC34" s="166">
        <f>IFERROR(IF(R34="Impacto",(N34-(+N34*U34)),IF(R34="Probabilidad",N34,"")),"")</f>
        <v>0.6</v>
      </c>
      <c r="AD34" s="169"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Moderado</v>
      </c>
      <c r="AE34" s="165" t="s">
        <v>189</v>
      </c>
      <c r="AF34" s="199" t="s">
        <v>223</v>
      </c>
      <c r="AG34" s="199" t="s">
        <v>224</v>
      </c>
      <c r="AH34" s="161">
        <v>44439</v>
      </c>
      <c r="AI34" s="85"/>
      <c r="AJ34" s="158"/>
      <c r="AK34" s="93"/>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c r="B35" s="408"/>
      <c r="C35" s="347"/>
      <c r="D35" s="347"/>
      <c r="E35" s="347"/>
      <c r="F35" s="347"/>
      <c r="G35" s="347"/>
      <c r="H35" s="348"/>
      <c r="I35" s="412"/>
      <c r="J35" s="350"/>
      <c r="K35" s="351"/>
      <c r="L35" s="350">
        <f t="shared" ref="L35:L39" si="28">IF(NOT(ISERROR(MATCH(K35,_xlfn.ANCHORARRAY(F46),0))),J48&amp;"Por favor no seleccionar los criterios de impacto",K35)</f>
        <v>0</v>
      </c>
      <c r="M35" s="412"/>
      <c r="N35" s="350"/>
      <c r="O35" s="352"/>
      <c r="P35" s="163">
        <v>2</v>
      </c>
      <c r="Q35" s="160"/>
      <c r="R35" s="164" t="str">
        <f>IF(OR(S35="Preventivo",S35="Detectivo"),"Probabilidad",IF(S35="Correctivo","Impacto",""))</f>
        <v/>
      </c>
      <c r="S35" s="165"/>
      <c r="T35" s="165"/>
      <c r="U35" s="166" t="str">
        <f t="shared" ref="U35:U39" si="29">IF(AND(S35="Preventivo",T35="Automático"),"50%",IF(AND(S35="Preventivo",T35="Manual"),"40%",IF(AND(S35="Detectivo",T35="Automático"),"40%",IF(AND(S35="Detectivo",T35="Manual"),"30%",IF(AND(S35="Correctivo",T35="Automático"),"35%",IF(AND(S35="Correctivo",T35="Manual"),"25%",""))))))</f>
        <v/>
      </c>
      <c r="V35" s="165"/>
      <c r="W35" s="165"/>
      <c r="X35" s="165"/>
      <c r="Y35" s="167" t="str">
        <f>IFERROR(IF(AND(R34="Probabilidad",R35="Probabilidad"),(AA34-(+AA34*U35)),IF(R35="Probabilidad",(J34-(+J34*U35)),IF(R35="Impacto",AA34,""))),"")</f>
        <v/>
      </c>
      <c r="Z35" s="168" t="str">
        <f t="shared" ref="Z35:Z39" si="30">IFERROR(IF(Y35="","",IF(Y35&lt;=0.2,"Muy Baja",IF(Y35&lt;=0.4,"Baja",IF(Y35&lt;=0.6,"Media",IF(Y35&lt;=0.8,"Alta","Muy Alta"))))),"")</f>
        <v/>
      </c>
      <c r="AA35" s="166" t="str">
        <f t="shared" si="22"/>
        <v/>
      </c>
      <c r="AB35" s="168" t="str">
        <f t="shared" ref="AB35:AB39" si="31">IFERROR(IF(AC35="","",IF(AC35&lt;=0.2,"Leve",IF(AC35&lt;=0.4,"Menor",IF(AC35&lt;=0.6,"Moderado",IF(AC35&lt;=0.8,"Mayor","Catastrófico"))))),"")</f>
        <v/>
      </c>
      <c r="AC35" s="166" t="str">
        <f>IFERROR(IF(AND(R34="Impacto",R35="Impacto"),(AC28-(+AC28*U35)),IF(R35="Impacto",($N$34-(+$N$34*U35)),IF(R35="Probabilidad",AC28,""))),"")</f>
        <v/>
      </c>
      <c r="AD35" s="169" t="str">
        <f t="shared" ref="AD35:AD36" si="32">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165"/>
      <c r="AF35" s="199"/>
      <c r="AG35" s="199"/>
      <c r="AH35" s="161"/>
      <c r="AI35" s="85"/>
      <c r="AJ35" s="158"/>
      <c r="AK35" s="93"/>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c r="B36" s="408"/>
      <c r="C36" s="347"/>
      <c r="D36" s="347"/>
      <c r="E36" s="347"/>
      <c r="F36" s="347"/>
      <c r="G36" s="347"/>
      <c r="H36" s="348"/>
      <c r="I36" s="412"/>
      <c r="J36" s="350"/>
      <c r="K36" s="351"/>
      <c r="L36" s="350">
        <f t="shared" si="28"/>
        <v>0</v>
      </c>
      <c r="M36" s="412"/>
      <c r="N36" s="350"/>
      <c r="O36" s="352"/>
      <c r="P36" s="163">
        <v>3</v>
      </c>
      <c r="Q36" s="170"/>
      <c r="R36" s="164" t="str">
        <f>IF(OR(S36="Preventivo",S36="Detectivo"),"Probabilidad",IF(S36="Correctivo","Impacto",""))</f>
        <v/>
      </c>
      <c r="S36" s="165"/>
      <c r="T36" s="165"/>
      <c r="U36" s="166" t="str">
        <f t="shared" si="29"/>
        <v/>
      </c>
      <c r="V36" s="165"/>
      <c r="W36" s="165"/>
      <c r="X36" s="165"/>
      <c r="Y36" s="167" t="str">
        <f>IFERROR(IF(AND(R35="Probabilidad",R36="Probabilidad"),(AA35-(+AA35*U36)),IF(AND(R35="Impacto",R36="Probabilidad"),(AA34-(+AA34*U36)),IF(R36="Impacto",AA35,""))),"")</f>
        <v/>
      </c>
      <c r="Z36" s="168" t="str">
        <f t="shared" si="30"/>
        <v/>
      </c>
      <c r="AA36" s="166" t="str">
        <f t="shared" si="22"/>
        <v/>
      </c>
      <c r="AB36" s="168" t="str">
        <f t="shared" si="31"/>
        <v/>
      </c>
      <c r="AC36" s="166" t="str">
        <f>IFERROR(IF(AND(R35="Impacto",R36="Impacto"),(AC35-(+AC35*U36)),IF(AND(R35="Probabilidad",R36="Impacto"),(AC34-(+AC34*U36)),IF(R36="Probabilidad",AC35,""))),"")</f>
        <v/>
      </c>
      <c r="AD36" s="169" t="str">
        <f t="shared" si="32"/>
        <v/>
      </c>
      <c r="AE36" s="165"/>
      <c r="AF36" s="199"/>
      <c r="AG36" s="199"/>
      <c r="AH36" s="161"/>
      <c r="AI36" s="85"/>
      <c r="AJ36" s="158"/>
      <c r="AK36" s="93"/>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c r="B37" s="408"/>
      <c r="C37" s="347"/>
      <c r="D37" s="347"/>
      <c r="E37" s="347"/>
      <c r="F37" s="347"/>
      <c r="G37" s="347"/>
      <c r="H37" s="348"/>
      <c r="I37" s="412"/>
      <c r="J37" s="350"/>
      <c r="K37" s="351"/>
      <c r="L37" s="350">
        <f t="shared" si="28"/>
        <v>0</v>
      </c>
      <c r="M37" s="412"/>
      <c r="N37" s="350"/>
      <c r="O37" s="352"/>
      <c r="P37" s="163">
        <v>4</v>
      </c>
      <c r="Q37" s="160"/>
      <c r="R37" s="164" t="str">
        <f t="shared" ref="R37:R39" si="33">IF(OR(S37="Preventivo",S37="Detectivo"),"Probabilidad",IF(S37="Correctivo","Impacto",""))</f>
        <v/>
      </c>
      <c r="S37" s="165"/>
      <c r="T37" s="165"/>
      <c r="U37" s="166" t="str">
        <f t="shared" si="29"/>
        <v/>
      </c>
      <c r="V37" s="165"/>
      <c r="W37" s="165"/>
      <c r="X37" s="165"/>
      <c r="Y37" s="167" t="str">
        <f t="shared" ref="Y37:Y39" si="34">IFERROR(IF(AND(R36="Probabilidad",R37="Probabilidad"),(AA36-(+AA36*U37)),IF(AND(R36="Impacto",R37="Probabilidad"),(AA35-(+AA35*U37)),IF(R37="Impacto",AA36,""))),"")</f>
        <v/>
      </c>
      <c r="Z37" s="168" t="str">
        <f t="shared" si="30"/>
        <v/>
      </c>
      <c r="AA37" s="166" t="str">
        <f t="shared" si="22"/>
        <v/>
      </c>
      <c r="AB37" s="168" t="str">
        <f t="shared" si="31"/>
        <v/>
      </c>
      <c r="AC37" s="166" t="str">
        <f t="shared" ref="AC37:AC39" si="35">IFERROR(IF(AND(R36="Impacto",R37="Impacto"),(AC36-(+AC36*U37)),IF(AND(R36="Probabilidad",R37="Impacto"),(AC35-(+AC35*U37)),IF(R37="Probabilidad",AC36,""))),"")</f>
        <v/>
      </c>
      <c r="AD37" s="169"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165"/>
      <c r="AF37" s="199"/>
      <c r="AG37" s="199"/>
      <c r="AH37" s="161"/>
      <c r="AI37" s="85"/>
      <c r="AJ37" s="158"/>
      <c r="AK37" s="93"/>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c r="B38" s="408"/>
      <c r="C38" s="347"/>
      <c r="D38" s="347"/>
      <c r="E38" s="347"/>
      <c r="F38" s="347"/>
      <c r="G38" s="347"/>
      <c r="H38" s="348"/>
      <c r="I38" s="412"/>
      <c r="J38" s="350"/>
      <c r="K38" s="351"/>
      <c r="L38" s="350">
        <f t="shared" si="28"/>
        <v>0</v>
      </c>
      <c r="M38" s="412"/>
      <c r="N38" s="350"/>
      <c r="O38" s="352"/>
      <c r="P38" s="163">
        <v>5</v>
      </c>
      <c r="Q38" s="160"/>
      <c r="R38" s="164" t="str">
        <f t="shared" si="33"/>
        <v/>
      </c>
      <c r="S38" s="165"/>
      <c r="T38" s="165"/>
      <c r="U38" s="166" t="str">
        <f t="shared" si="29"/>
        <v/>
      </c>
      <c r="V38" s="165"/>
      <c r="W38" s="165"/>
      <c r="X38" s="165"/>
      <c r="Y38" s="176" t="str">
        <f t="shared" si="34"/>
        <v/>
      </c>
      <c r="Z38" s="168" t="str">
        <f>IFERROR(IF(Y38="","",IF(Y38&lt;=0.2,"Muy Baja",IF(Y38&lt;=0.4,"Baja",IF(Y38&lt;=0.6,"Media",IF(Y38&lt;=0.8,"Alta","Muy Alta"))))),"")</f>
        <v/>
      </c>
      <c r="AA38" s="166" t="str">
        <f t="shared" si="22"/>
        <v/>
      </c>
      <c r="AB38" s="168" t="str">
        <f t="shared" si="31"/>
        <v/>
      </c>
      <c r="AC38" s="166" t="str">
        <f t="shared" si="35"/>
        <v/>
      </c>
      <c r="AD38" s="169" t="str">
        <f t="shared" ref="AD38:AD39" si="36">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165"/>
      <c r="AF38" s="199"/>
      <c r="AG38" s="199"/>
      <c r="AH38" s="161"/>
      <c r="AI38" s="85"/>
      <c r="AJ38" s="158"/>
      <c r="AK38" s="93"/>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c r="B39" s="408"/>
      <c r="C39" s="347"/>
      <c r="D39" s="347"/>
      <c r="E39" s="347"/>
      <c r="F39" s="347"/>
      <c r="G39" s="347"/>
      <c r="H39" s="348"/>
      <c r="I39" s="412"/>
      <c r="J39" s="350"/>
      <c r="K39" s="351"/>
      <c r="L39" s="350">
        <f t="shared" si="28"/>
        <v>0</v>
      </c>
      <c r="M39" s="412"/>
      <c r="N39" s="350"/>
      <c r="O39" s="352"/>
      <c r="P39" s="163">
        <v>6</v>
      </c>
      <c r="Q39" s="160"/>
      <c r="R39" s="164" t="str">
        <f t="shared" si="33"/>
        <v/>
      </c>
      <c r="S39" s="165"/>
      <c r="T39" s="165"/>
      <c r="U39" s="166" t="str">
        <f t="shared" si="29"/>
        <v/>
      </c>
      <c r="V39" s="165"/>
      <c r="W39" s="165"/>
      <c r="X39" s="165"/>
      <c r="Y39" s="167" t="str">
        <f t="shared" si="34"/>
        <v/>
      </c>
      <c r="Z39" s="168" t="str">
        <f t="shared" si="30"/>
        <v/>
      </c>
      <c r="AA39" s="166" t="str">
        <f t="shared" si="22"/>
        <v/>
      </c>
      <c r="AB39" s="168" t="str">
        <f t="shared" si="31"/>
        <v/>
      </c>
      <c r="AC39" s="166" t="str">
        <f t="shared" si="35"/>
        <v/>
      </c>
      <c r="AD39" s="169" t="str">
        <f t="shared" si="36"/>
        <v/>
      </c>
      <c r="AE39" s="165"/>
      <c r="AF39" s="199"/>
      <c r="AG39" s="199"/>
      <c r="AH39" s="161"/>
      <c r="AI39" s="85"/>
      <c r="AJ39" s="158"/>
      <c r="AK39" s="93"/>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66.5" customHeight="1">
      <c r="B40" s="408">
        <v>5</v>
      </c>
      <c r="C40" s="347" t="s">
        <v>197</v>
      </c>
      <c r="D40" s="347" t="s">
        <v>225</v>
      </c>
      <c r="E40" s="347" t="s">
        <v>226</v>
      </c>
      <c r="F40" s="347" t="s">
        <v>227</v>
      </c>
      <c r="G40" s="347" t="s">
        <v>180</v>
      </c>
      <c r="H40" s="348">
        <v>2800</v>
      </c>
      <c r="I40" s="412" t="str">
        <f>IF(H40&lt;=0,"",IF(H40&lt;=2,"Muy Baja",IF(H40&lt;=24,"Baja",IF(H40&lt;=500,"Media",IF(H40&lt;=5000,"Alta","Muy Alta")))))</f>
        <v>Alta</v>
      </c>
      <c r="J40" s="350">
        <f>IF(I40="","",IF(I40="Muy Baja",0.2,IF(I40="Baja",0.4,IF(I40="Media",0.6,IF(I40="Alta",0.8,IF(I40="Muy Alta",1,))))))</f>
        <v>0.8</v>
      </c>
      <c r="K40" s="351" t="s">
        <v>200</v>
      </c>
      <c r="L40" s="350" t="str">
        <f>IF(NOT(ISERROR(MATCH(K40,'[1]Tabla Impacto'!$B$222:$B$224,0))),'[1]Tabla Impacto'!$F$224&amp;"Por favor no seleccionar los criterios de impacto(Afectación Económica o presupuestal y Pérdida Reputacional)",K40)</f>
        <v xml:space="preserve">     El riesgo afecta la imagen de la entidad con algunos usuarios de relevancia frente al logro de los objetivos</v>
      </c>
      <c r="M40" s="412" t="str">
        <f>IF(OR(L40='[1]Tabla Impacto'!$C$12,L40='[1]Tabla Impacto'!$D$12),"Leve",IF(OR(L40='[1]Tabla Impacto'!$C$13,L40='[1]Tabla Impacto'!$D$13),"Menor",IF(OR(L40='[1]Tabla Impacto'!$C$14,L40='[1]Tabla Impacto'!$D$14),"Moderado",IF(OR(L40='[1]Tabla Impacto'!$C$15,L40='[1]Tabla Impacto'!$D$15),"Mayor",IF(OR(L40='[1]Tabla Impacto'!$C$16,L40='[1]Tabla Impacto'!$D$16),"Catastrófico","")))))</f>
        <v>Moderado</v>
      </c>
      <c r="N40" s="350">
        <f>IF(M40="","",IF(M40="Leve",0.2,IF(M40="Menor",0.4,IF(M40="Moderado",0.6,IF(M40="Mayor",0.8,IF(M40="Catastrófico",1,))))))</f>
        <v>0.6</v>
      </c>
      <c r="O40" s="352"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Alto</v>
      </c>
      <c r="P40" s="163">
        <v>1</v>
      </c>
      <c r="Q40" s="160" t="s">
        <v>228</v>
      </c>
      <c r="R40" s="164" t="s">
        <v>183</v>
      </c>
      <c r="S40" s="165" t="s">
        <v>184</v>
      </c>
      <c r="T40" s="165" t="s">
        <v>185</v>
      </c>
      <c r="U40" s="166" t="s">
        <v>202</v>
      </c>
      <c r="V40" s="165" t="s">
        <v>186</v>
      </c>
      <c r="W40" s="165" t="s">
        <v>187</v>
      </c>
      <c r="X40" s="165" t="s">
        <v>188</v>
      </c>
      <c r="Y40" s="167">
        <f>IFERROR(IF(R40="Probabilidad",(J40-(+J40*U40)),IF(R40="Impacto",J40,"")),"")</f>
        <v>0.48</v>
      </c>
      <c r="Z40" s="168" t="str">
        <f>IFERROR(IF(Y40="","",IF(Y40&lt;=0.2,"Muy Baja",IF(Y40&lt;=0.4,"Baja",IF(Y40&lt;=0.6,"Media",IF(Y40&lt;=0.8,"Alta","Muy Alta"))))),"")</f>
        <v>Media</v>
      </c>
      <c r="AA40" s="166">
        <f t="shared" si="22"/>
        <v>0.48</v>
      </c>
      <c r="AB40" s="168" t="str">
        <f>IFERROR(IF(AC40="","",IF(AC40&lt;=0.2,"Leve",IF(AC40&lt;=0.4,"Menor",IF(AC40&lt;=0.6,"Moderado",IF(AC40&lt;=0.8,"Mayor","Catastrófico"))))),"")</f>
        <v>Moderado</v>
      </c>
      <c r="AC40" s="166">
        <f>IFERROR(IF(R40="Impacto",(N40-(+N40*U40)),IF(R40="Probabilidad",N40,"")),"")</f>
        <v>0.6</v>
      </c>
      <c r="AD40" s="169"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Moderado</v>
      </c>
      <c r="AE40" s="165" t="s">
        <v>189</v>
      </c>
      <c r="AF40" s="199" t="s">
        <v>229</v>
      </c>
      <c r="AG40" s="199" t="s">
        <v>230</v>
      </c>
      <c r="AH40" s="161">
        <v>44438</v>
      </c>
      <c r="AI40" s="85"/>
      <c r="AJ40" s="158"/>
      <c r="AK40" s="93"/>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c r="B41" s="408"/>
      <c r="C41" s="347"/>
      <c r="D41" s="347"/>
      <c r="E41" s="347"/>
      <c r="F41" s="347"/>
      <c r="G41" s="347"/>
      <c r="H41" s="348"/>
      <c r="I41" s="412"/>
      <c r="J41" s="350"/>
      <c r="K41" s="351"/>
      <c r="L41" s="350">
        <f t="shared" ref="L41:L45" si="37">IF(NOT(ISERROR(MATCH(K41,_xlfn.ANCHORARRAY(F52),0))),J54&amp;"Por favor no seleccionar los criterios de impacto",K41)</f>
        <v>0</v>
      </c>
      <c r="M41" s="412"/>
      <c r="N41" s="350"/>
      <c r="O41" s="352"/>
      <c r="P41" s="163">
        <v>2</v>
      </c>
      <c r="Q41" s="160"/>
      <c r="R41" s="164" t="str">
        <f>IF(OR(S41="Preventivo",S41="Detectivo"),"Probabilidad",IF(S41="Correctivo","Impacto",""))</f>
        <v/>
      </c>
      <c r="S41" s="165"/>
      <c r="T41" s="165"/>
      <c r="U41" s="166" t="str">
        <f t="shared" ref="U41:U45" si="38">IF(AND(S41="Preventivo",T41="Automático"),"50%",IF(AND(S41="Preventivo",T41="Manual"),"40%",IF(AND(S41="Detectivo",T41="Automático"),"40%",IF(AND(S41="Detectivo",T41="Manual"),"30%",IF(AND(S41="Correctivo",T41="Automático"),"35%",IF(AND(S41="Correctivo",T41="Manual"),"25%",""))))))</f>
        <v/>
      </c>
      <c r="V41" s="165"/>
      <c r="W41" s="165"/>
      <c r="X41" s="165"/>
      <c r="Y41" s="167" t="str">
        <f>IFERROR(IF(AND(R40="Probabilidad",R41="Probabilidad"),(AA40-(+AA40*U41)),IF(R41="Probabilidad",(J40-(+J40*U41)),IF(R41="Impacto",AA40,""))),"")</f>
        <v/>
      </c>
      <c r="Z41" s="168" t="str">
        <f t="shared" ref="Z41:Z45" si="39">IFERROR(IF(Y41="","",IF(Y41&lt;=0.2,"Muy Baja",IF(Y41&lt;=0.4,"Baja",IF(Y41&lt;=0.6,"Media",IF(Y41&lt;=0.8,"Alta","Muy Alta"))))),"")</f>
        <v/>
      </c>
      <c r="AA41" s="166" t="str">
        <f t="shared" si="22"/>
        <v/>
      </c>
      <c r="AB41" s="168" t="str">
        <f t="shared" ref="AB41:AB45" si="40">IFERROR(IF(AC41="","",IF(AC41&lt;=0.2,"Leve",IF(AC41&lt;=0.4,"Menor",IF(AC41&lt;=0.6,"Moderado",IF(AC41&lt;=0.8,"Mayor","Catastrófico"))))),"")</f>
        <v/>
      </c>
      <c r="AC41" s="166" t="str">
        <f>IFERROR(IF(AND(R40="Impacto",R41="Impacto"),(AC34-(+AC34*U41)),IF(R41="Impacto",($N$40-(+$N$40*U41)),IF(R41="Probabilidad",AC34,""))),"")</f>
        <v/>
      </c>
      <c r="AD41" s="169" t="str">
        <f t="shared" ref="AD41:AD42" si="41">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165"/>
      <c r="AF41" s="199"/>
      <c r="AG41" s="199"/>
      <c r="AH41" s="161"/>
      <c r="AI41" s="85"/>
      <c r="AJ41" s="158"/>
      <c r="AK41" s="93"/>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c r="B42" s="408"/>
      <c r="C42" s="347"/>
      <c r="D42" s="347"/>
      <c r="E42" s="347"/>
      <c r="F42" s="347"/>
      <c r="G42" s="347"/>
      <c r="H42" s="348"/>
      <c r="I42" s="412"/>
      <c r="J42" s="350"/>
      <c r="K42" s="351"/>
      <c r="L42" s="350">
        <f t="shared" si="37"/>
        <v>0</v>
      </c>
      <c r="M42" s="412"/>
      <c r="N42" s="350"/>
      <c r="O42" s="352"/>
      <c r="P42" s="163">
        <v>3</v>
      </c>
      <c r="Q42" s="170"/>
      <c r="R42" s="164" t="str">
        <f>IF(OR(S42="Preventivo",S42="Detectivo"),"Probabilidad",IF(S42="Correctivo","Impacto",""))</f>
        <v/>
      </c>
      <c r="S42" s="165"/>
      <c r="T42" s="165"/>
      <c r="U42" s="166" t="str">
        <f t="shared" si="38"/>
        <v/>
      </c>
      <c r="V42" s="165"/>
      <c r="W42" s="165"/>
      <c r="X42" s="165"/>
      <c r="Y42" s="167" t="str">
        <f>IFERROR(IF(AND(R41="Probabilidad",R42="Probabilidad"),(AA41-(+AA41*U42)),IF(AND(R41="Impacto",R42="Probabilidad"),(AA40-(+AA40*U42)),IF(R42="Impacto",AA41,""))),"")</f>
        <v/>
      </c>
      <c r="Z42" s="168" t="str">
        <f t="shared" si="39"/>
        <v/>
      </c>
      <c r="AA42" s="166" t="str">
        <f t="shared" si="22"/>
        <v/>
      </c>
      <c r="AB42" s="168" t="str">
        <f t="shared" si="40"/>
        <v/>
      </c>
      <c r="AC42" s="166" t="str">
        <f>IFERROR(IF(AND(R41="Impacto",R42="Impacto"),(AC41-(+AC41*U42)),IF(AND(R41="Probabilidad",R42="Impacto"),(AC40-(+AC40*U42)),IF(R42="Probabilidad",AC41,""))),"")</f>
        <v/>
      </c>
      <c r="AD42" s="169" t="str">
        <f t="shared" si="41"/>
        <v/>
      </c>
      <c r="AE42" s="165"/>
      <c r="AF42" s="199"/>
      <c r="AG42" s="199"/>
      <c r="AH42" s="161"/>
      <c r="AI42" s="85"/>
      <c r="AJ42" s="158"/>
      <c r="AK42" s="93"/>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c r="B43" s="408"/>
      <c r="C43" s="347"/>
      <c r="D43" s="347"/>
      <c r="E43" s="347"/>
      <c r="F43" s="347"/>
      <c r="G43" s="347"/>
      <c r="H43" s="348"/>
      <c r="I43" s="412"/>
      <c r="J43" s="350"/>
      <c r="K43" s="351"/>
      <c r="L43" s="350">
        <f t="shared" si="37"/>
        <v>0</v>
      </c>
      <c r="M43" s="412"/>
      <c r="N43" s="350"/>
      <c r="O43" s="352"/>
      <c r="P43" s="163">
        <v>4</v>
      </c>
      <c r="Q43" s="160"/>
      <c r="R43" s="164" t="str">
        <f t="shared" ref="R43:R45" si="42">IF(OR(S43="Preventivo",S43="Detectivo"),"Probabilidad",IF(S43="Correctivo","Impacto",""))</f>
        <v/>
      </c>
      <c r="S43" s="165"/>
      <c r="T43" s="165"/>
      <c r="U43" s="166" t="str">
        <f t="shared" si="38"/>
        <v/>
      </c>
      <c r="V43" s="165"/>
      <c r="W43" s="165"/>
      <c r="X43" s="165"/>
      <c r="Y43" s="167" t="str">
        <f t="shared" ref="Y43:Y45" si="43">IFERROR(IF(AND(R42="Probabilidad",R43="Probabilidad"),(AA42-(+AA42*U43)),IF(AND(R42="Impacto",R43="Probabilidad"),(AA41-(+AA41*U43)),IF(R43="Impacto",AA42,""))),"")</f>
        <v/>
      </c>
      <c r="Z43" s="168" t="str">
        <f t="shared" si="39"/>
        <v/>
      </c>
      <c r="AA43" s="166" t="str">
        <f t="shared" si="22"/>
        <v/>
      </c>
      <c r="AB43" s="168" t="str">
        <f t="shared" si="40"/>
        <v/>
      </c>
      <c r="AC43" s="166" t="str">
        <f t="shared" ref="AC43:AC45" si="44">IFERROR(IF(AND(R42="Impacto",R43="Impacto"),(AC42-(+AC42*U43)),IF(AND(R42="Probabilidad",R43="Impacto"),(AC41-(+AC41*U43)),IF(R43="Probabilidad",AC42,""))),"")</f>
        <v/>
      </c>
      <c r="AD43" s="169"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165"/>
      <c r="AF43" s="199"/>
      <c r="AG43" s="199"/>
      <c r="AH43" s="161"/>
      <c r="AI43" s="85"/>
      <c r="AJ43" s="158"/>
      <c r="AK43" s="93"/>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c r="B44" s="408"/>
      <c r="C44" s="347"/>
      <c r="D44" s="347"/>
      <c r="E44" s="347"/>
      <c r="F44" s="347"/>
      <c r="G44" s="347"/>
      <c r="H44" s="348"/>
      <c r="I44" s="412"/>
      <c r="J44" s="350"/>
      <c r="K44" s="351"/>
      <c r="L44" s="350">
        <f t="shared" si="37"/>
        <v>0</v>
      </c>
      <c r="M44" s="412"/>
      <c r="N44" s="350"/>
      <c r="O44" s="352"/>
      <c r="P44" s="163">
        <v>5</v>
      </c>
      <c r="Q44" s="160"/>
      <c r="R44" s="164" t="str">
        <f t="shared" si="42"/>
        <v/>
      </c>
      <c r="S44" s="165"/>
      <c r="T44" s="165"/>
      <c r="U44" s="166" t="str">
        <f t="shared" si="38"/>
        <v/>
      </c>
      <c r="V44" s="165"/>
      <c r="W44" s="165"/>
      <c r="X44" s="165"/>
      <c r="Y44" s="167" t="str">
        <f t="shared" si="43"/>
        <v/>
      </c>
      <c r="Z44" s="168" t="str">
        <f t="shared" si="39"/>
        <v/>
      </c>
      <c r="AA44" s="166" t="str">
        <f t="shared" si="22"/>
        <v/>
      </c>
      <c r="AB44" s="168" t="str">
        <f t="shared" si="40"/>
        <v/>
      </c>
      <c r="AC44" s="166" t="str">
        <f t="shared" si="44"/>
        <v/>
      </c>
      <c r="AD44" s="169" t="str">
        <f t="shared" ref="AD44:AD45" si="45">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165"/>
      <c r="AF44" s="199"/>
      <c r="AG44" s="199"/>
      <c r="AH44" s="161"/>
      <c r="AI44" s="85"/>
      <c r="AJ44" s="158"/>
      <c r="AK44" s="93"/>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c r="B45" s="408"/>
      <c r="C45" s="347"/>
      <c r="D45" s="347"/>
      <c r="E45" s="347"/>
      <c r="F45" s="347"/>
      <c r="G45" s="347"/>
      <c r="H45" s="348"/>
      <c r="I45" s="412"/>
      <c r="J45" s="350"/>
      <c r="K45" s="351"/>
      <c r="L45" s="350">
        <f t="shared" si="37"/>
        <v>0</v>
      </c>
      <c r="M45" s="412"/>
      <c r="N45" s="350"/>
      <c r="O45" s="352"/>
      <c r="P45" s="163">
        <v>6</v>
      </c>
      <c r="Q45" s="160"/>
      <c r="R45" s="164" t="str">
        <f t="shared" si="42"/>
        <v/>
      </c>
      <c r="S45" s="165"/>
      <c r="T45" s="165"/>
      <c r="U45" s="166" t="str">
        <f t="shared" si="38"/>
        <v/>
      </c>
      <c r="V45" s="165"/>
      <c r="W45" s="165"/>
      <c r="X45" s="165"/>
      <c r="Y45" s="167" t="str">
        <f t="shared" si="43"/>
        <v/>
      </c>
      <c r="Z45" s="168" t="str">
        <f t="shared" si="39"/>
        <v/>
      </c>
      <c r="AA45" s="166" t="str">
        <f t="shared" si="22"/>
        <v/>
      </c>
      <c r="AB45" s="168" t="str">
        <f t="shared" si="40"/>
        <v/>
      </c>
      <c r="AC45" s="166" t="str">
        <f t="shared" si="44"/>
        <v/>
      </c>
      <c r="AD45" s="169" t="str">
        <f t="shared" si="45"/>
        <v/>
      </c>
      <c r="AE45" s="165"/>
      <c r="AF45" s="199"/>
      <c r="AG45" s="199"/>
      <c r="AH45" s="161"/>
      <c r="AI45" s="85"/>
      <c r="AJ45" s="158"/>
      <c r="AK45" s="93"/>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93.5" customHeight="1">
      <c r="B46" s="408">
        <v>6</v>
      </c>
      <c r="C46" s="347" t="s">
        <v>197</v>
      </c>
      <c r="D46" s="347" t="s">
        <v>231</v>
      </c>
      <c r="E46" s="347" t="s">
        <v>232</v>
      </c>
      <c r="F46" s="347" t="s">
        <v>233</v>
      </c>
      <c r="G46" s="347" t="s">
        <v>180</v>
      </c>
      <c r="H46" s="348">
        <v>200</v>
      </c>
      <c r="I46" s="412" t="str">
        <f>IF(H46&lt;=0,"",IF(H46&lt;=2,"Muy Baja",IF(H46&lt;=24,"Baja",IF(H46&lt;=500,"Media",IF(H46&lt;=5000,"Alta","Muy Alta")))))</f>
        <v>Media</v>
      </c>
      <c r="J46" s="350">
        <f>IF(I46="","",IF(I46="Muy Baja",0.2,IF(I46="Baja",0.4,IF(I46="Media",0.6,IF(I46="Alta",0.8,IF(I46="Muy Alta",1,))))))</f>
        <v>0.6</v>
      </c>
      <c r="K46" s="351" t="s">
        <v>200</v>
      </c>
      <c r="L46" s="350" t="str">
        <f>IF(NOT(ISERROR(MATCH(K46,'[1]Tabla Impacto'!$B$222:$B$224,0))),'[1]Tabla Impacto'!$F$224&amp;"Por favor no seleccionar los criterios de impacto(Afectación Económica o presupuestal y Pérdida Reputacional)",K46)</f>
        <v xml:space="preserve">     El riesgo afecta la imagen de la entidad con algunos usuarios de relevancia frente al logro de los objetivos</v>
      </c>
      <c r="M46" s="412" t="str">
        <f>IF(OR(L46='[1]Tabla Impacto'!$C$12,L46='[1]Tabla Impacto'!$D$12),"Leve",IF(OR(L46='[1]Tabla Impacto'!$C$13,L46='[1]Tabla Impacto'!$D$13),"Menor",IF(OR(L46='[1]Tabla Impacto'!$C$14,L46='[1]Tabla Impacto'!$D$14),"Moderado",IF(OR(L46='[1]Tabla Impacto'!$C$15,L46='[1]Tabla Impacto'!$D$15),"Mayor",IF(OR(L46='[1]Tabla Impacto'!$C$16,L46='[1]Tabla Impacto'!$D$16),"Catastrófico","")))))</f>
        <v>Moderado</v>
      </c>
      <c r="N46" s="350">
        <f>IF(M46="","",IF(M46="Leve",0.2,IF(M46="Menor",0.4,IF(M46="Moderado",0.6,IF(M46="Mayor",0.8,IF(M46="Catastrófico",1,))))))</f>
        <v>0.6</v>
      </c>
      <c r="O46" s="352"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Moderado</v>
      </c>
      <c r="P46" s="163">
        <v>1</v>
      </c>
      <c r="Q46" s="177" t="s">
        <v>234</v>
      </c>
      <c r="R46" s="164" t="str">
        <f>IF(OR(S46="Preventivo",S46="Detectivo"),"Probabilidad",IF(S46="Correctivo","Impacto",""))</f>
        <v>Probabilidad</v>
      </c>
      <c r="S46" s="165" t="s">
        <v>184</v>
      </c>
      <c r="T46" s="165" t="s">
        <v>185</v>
      </c>
      <c r="U46" s="166" t="str">
        <f>IF(AND(S46="Preventivo",T46="Automático"),"50%",IF(AND(S46="Preventivo",T46="Manual"),"40%",IF(AND(S46="Detectivo",T46="Automático"),"40%",IF(AND(S46="Detectivo",T46="Manual"),"30%",IF(AND(S46="Correctivo",T46="Automático"),"35%",IF(AND(S46="Correctivo",T46="Manual"),"25%",""))))))</f>
        <v>40%</v>
      </c>
      <c r="V46" s="165" t="s">
        <v>186</v>
      </c>
      <c r="W46" s="165" t="s">
        <v>187</v>
      </c>
      <c r="X46" s="165" t="s">
        <v>188</v>
      </c>
      <c r="Y46" s="167">
        <f>IFERROR(IF(R46="Probabilidad",(J46-(+J46*U46)),IF(R46="Impacto",J46,"")),"")</f>
        <v>0.36</v>
      </c>
      <c r="Z46" s="168" t="str">
        <f>IFERROR(IF(Y46="","",IF(Y46&lt;=0.2,"Muy Baja",IF(Y46&lt;=0.4,"Baja",IF(Y46&lt;=0.6,"Media",IF(Y46&lt;=0.8,"Alta","Muy Alta"))))),"")</f>
        <v>Baja</v>
      </c>
      <c r="AA46" s="166">
        <f t="shared" si="22"/>
        <v>0.36</v>
      </c>
      <c r="AB46" s="168" t="str">
        <f>IFERROR(IF(AC46="","",IF(AC46&lt;=0.2,"Leve",IF(AC46&lt;=0.4,"Menor",IF(AC46&lt;=0.6,"Moderado",IF(AC46&lt;=0.8,"Mayor","Catastrófico"))))),"")</f>
        <v>Moderado</v>
      </c>
      <c r="AC46" s="166">
        <f>IFERROR(IF(R46="Impacto",(N46-(+N46*U46)),IF(R46="Probabilidad",N46,"")),"")</f>
        <v>0.6</v>
      </c>
      <c r="AD46" s="169"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Moderado</v>
      </c>
      <c r="AE46" s="165" t="s">
        <v>189</v>
      </c>
      <c r="AF46" s="199" t="s">
        <v>235</v>
      </c>
      <c r="AG46" s="199" t="s">
        <v>236</v>
      </c>
      <c r="AH46" s="161">
        <v>44407</v>
      </c>
      <c r="AI46" s="85"/>
      <c r="AJ46" s="158"/>
      <c r="AK46" s="93"/>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c r="B47" s="408"/>
      <c r="C47" s="347"/>
      <c r="D47" s="347"/>
      <c r="E47" s="347"/>
      <c r="F47" s="347"/>
      <c r="G47" s="347"/>
      <c r="H47" s="348"/>
      <c r="I47" s="412"/>
      <c r="J47" s="350"/>
      <c r="K47" s="351"/>
      <c r="L47" s="350">
        <f t="shared" ref="L47:L50" si="46">IF(NOT(ISERROR(MATCH(K47,_xlfn.ANCHORARRAY(F58),0))),J60&amp;"Por favor no seleccionar los criterios de impacto",K47)</f>
        <v>0</v>
      </c>
      <c r="M47" s="412"/>
      <c r="N47" s="350"/>
      <c r="O47" s="352"/>
      <c r="P47" s="163">
        <v>2</v>
      </c>
      <c r="Q47" s="160"/>
      <c r="R47" s="164" t="str">
        <f>IF(OR(S47="Preventivo",S47="Detectivo"),"Probabilidad",IF(S47="Correctivo","Impacto",""))</f>
        <v/>
      </c>
      <c r="S47" s="165"/>
      <c r="T47" s="165"/>
      <c r="U47" s="166" t="str">
        <f t="shared" ref="U47:U51" si="47">IF(AND(S47="Preventivo",T47="Automático"),"50%",IF(AND(S47="Preventivo",T47="Manual"),"40%",IF(AND(S47="Detectivo",T47="Automático"),"40%",IF(AND(S47="Detectivo",T47="Manual"),"30%",IF(AND(S47="Correctivo",T47="Automático"),"35%",IF(AND(S47="Correctivo",T47="Manual"),"25%",""))))))</f>
        <v/>
      </c>
      <c r="V47" s="165"/>
      <c r="W47" s="165"/>
      <c r="X47" s="165"/>
      <c r="Y47" s="167" t="str">
        <f>IFERROR(IF(AND(R46="Probabilidad",R47="Probabilidad"),(AA46-(+AA46*U47)),IF(R47="Probabilidad",(J46-(+J46*U47)),IF(R47="Impacto",AA46,""))),"")</f>
        <v/>
      </c>
      <c r="Z47" s="168" t="str">
        <f t="shared" ref="Z47:Z51" si="48">IFERROR(IF(Y47="","",IF(Y47&lt;=0.2,"Muy Baja",IF(Y47&lt;=0.4,"Baja",IF(Y47&lt;=0.6,"Media",IF(Y47&lt;=0.8,"Alta","Muy Alta"))))),"")</f>
        <v/>
      </c>
      <c r="AA47" s="166" t="str">
        <f t="shared" si="22"/>
        <v/>
      </c>
      <c r="AB47" s="168" t="str">
        <f t="shared" ref="AB47:AB50" si="49">IFERROR(IF(AC47="","",IF(AC47&lt;=0.2,"Leve",IF(AC47&lt;=0.4,"Menor",IF(AC47&lt;=0.6,"Moderado",IF(AC47&lt;=0.8,"Mayor","Catastrófico"))))),"")</f>
        <v/>
      </c>
      <c r="AC47" s="166" t="str">
        <f>IFERROR(IF(AND(R46="Impacto",R47="Impacto"),(AC40-(+AC40*U47)),IF(R47="Impacto",($N$46-(+$N$46*U47)),IF(R47="Probabilidad",AC40,""))),"")</f>
        <v/>
      </c>
      <c r="AD47" s="169" t="str">
        <f t="shared" ref="AD47:AD48" si="50">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165"/>
      <c r="AF47" s="199"/>
      <c r="AG47" s="199"/>
      <c r="AH47" s="161"/>
      <c r="AI47" s="85"/>
      <c r="AJ47" s="158"/>
      <c r="AK47" s="93"/>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c r="B48" s="408"/>
      <c r="C48" s="347"/>
      <c r="D48" s="347"/>
      <c r="E48" s="347"/>
      <c r="F48" s="347"/>
      <c r="G48" s="347"/>
      <c r="H48" s="348"/>
      <c r="I48" s="412"/>
      <c r="J48" s="350"/>
      <c r="K48" s="351"/>
      <c r="L48" s="350">
        <f t="shared" si="46"/>
        <v>0</v>
      </c>
      <c r="M48" s="412"/>
      <c r="N48" s="350"/>
      <c r="O48" s="352"/>
      <c r="P48" s="163">
        <v>3</v>
      </c>
      <c r="Q48" s="170"/>
      <c r="R48" s="164" t="str">
        <f>IF(OR(S48="Preventivo",S48="Detectivo"),"Probabilidad",IF(S48="Correctivo","Impacto",""))</f>
        <v/>
      </c>
      <c r="S48" s="165"/>
      <c r="T48" s="165"/>
      <c r="U48" s="166" t="str">
        <f t="shared" si="47"/>
        <v/>
      </c>
      <c r="V48" s="165"/>
      <c r="W48" s="165"/>
      <c r="X48" s="165"/>
      <c r="Y48" s="167" t="str">
        <f>IFERROR(IF(AND(R47="Probabilidad",R48="Probabilidad"),(AA47-(+AA47*U48)),IF(AND(R47="Impacto",R48="Probabilidad"),(AA46-(+AA46*U48)),IF(R48="Impacto",AA47,""))),"")</f>
        <v/>
      </c>
      <c r="Z48" s="168" t="str">
        <f t="shared" si="48"/>
        <v/>
      </c>
      <c r="AA48" s="166" t="str">
        <f t="shared" si="22"/>
        <v/>
      </c>
      <c r="AB48" s="168" t="str">
        <f t="shared" si="49"/>
        <v/>
      </c>
      <c r="AC48" s="166" t="str">
        <f>IFERROR(IF(AND(R47="Impacto",R48="Impacto"),(AC47-(+AC47*U48)),IF(AND(R47="Probabilidad",R48="Impacto"),(AC46-(+AC46*U48)),IF(R48="Probabilidad",AC47,""))),"")</f>
        <v/>
      </c>
      <c r="AD48" s="169" t="str">
        <f t="shared" si="50"/>
        <v/>
      </c>
      <c r="AE48" s="165"/>
      <c r="AF48" s="199"/>
      <c r="AG48" s="199"/>
      <c r="AH48" s="161"/>
      <c r="AI48" s="85"/>
      <c r="AJ48" s="158"/>
      <c r="AK48" s="93"/>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c r="B49" s="408"/>
      <c r="C49" s="347"/>
      <c r="D49" s="347"/>
      <c r="E49" s="347"/>
      <c r="F49" s="347"/>
      <c r="G49" s="347"/>
      <c r="H49" s="348"/>
      <c r="I49" s="412"/>
      <c r="J49" s="350"/>
      <c r="K49" s="351"/>
      <c r="L49" s="350">
        <f t="shared" si="46"/>
        <v>0</v>
      </c>
      <c r="M49" s="412"/>
      <c r="N49" s="350"/>
      <c r="O49" s="352"/>
      <c r="P49" s="163">
        <v>4</v>
      </c>
      <c r="Q49" s="160"/>
      <c r="R49" s="164" t="str">
        <f t="shared" ref="R49:R51" si="51">IF(OR(S49="Preventivo",S49="Detectivo"),"Probabilidad",IF(S49="Correctivo","Impacto",""))</f>
        <v/>
      </c>
      <c r="S49" s="165"/>
      <c r="T49" s="165"/>
      <c r="U49" s="166" t="str">
        <f t="shared" si="47"/>
        <v/>
      </c>
      <c r="V49" s="165"/>
      <c r="W49" s="165"/>
      <c r="X49" s="165"/>
      <c r="Y49" s="167" t="str">
        <f t="shared" ref="Y49:Y51" si="52">IFERROR(IF(AND(R48="Probabilidad",R49="Probabilidad"),(AA48-(+AA48*U49)),IF(AND(R48="Impacto",R49="Probabilidad"),(AA47-(+AA47*U49)),IF(R49="Impacto",AA48,""))),"")</f>
        <v/>
      </c>
      <c r="Z49" s="168" t="str">
        <f t="shared" si="48"/>
        <v/>
      </c>
      <c r="AA49" s="166" t="str">
        <f t="shared" si="22"/>
        <v/>
      </c>
      <c r="AB49" s="168" t="str">
        <f t="shared" si="49"/>
        <v/>
      </c>
      <c r="AC49" s="166" t="str">
        <f t="shared" ref="AC49:AC51" si="53">IFERROR(IF(AND(R48="Impacto",R49="Impacto"),(AC48-(+AC48*U49)),IF(AND(R48="Probabilidad",R49="Impacto"),(AC47-(+AC47*U49)),IF(R49="Probabilidad",AC48,""))),"")</f>
        <v/>
      </c>
      <c r="AD49" s="169"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165"/>
      <c r="AF49" s="199"/>
      <c r="AG49" s="199"/>
      <c r="AH49" s="161"/>
      <c r="AI49" s="85"/>
      <c r="AJ49" s="158"/>
      <c r="AK49" s="93"/>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c r="B50" s="408"/>
      <c r="C50" s="347"/>
      <c r="D50" s="347"/>
      <c r="E50" s="347"/>
      <c r="F50" s="347"/>
      <c r="G50" s="347"/>
      <c r="H50" s="348"/>
      <c r="I50" s="412"/>
      <c r="J50" s="350"/>
      <c r="K50" s="351"/>
      <c r="L50" s="350">
        <f t="shared" si="46"/>
        <v>0</v>
      </c>
      <c r="M50" s="412"/>
      <c r="N50" s="350"/>
      <c r="O50" s="352"/>
      <c r="P50" s="163">
        <v>5</v>
      </c>
      <c r="Q50" s="160"/>
      <c r="R50" s="164" t="str">
        <f t="shared" si="51"/>
        <v/>
      </c>
      <c r="S50" s="165"/>
      <c r="T50" s="165"/>
      <c r="U50" s="166" t="str">
        <f t="shared" si="47"/>
        <v/>
      </c>
      <c r="V50" s="165"/>
      <c r="W50" s="165"/>
      <c r="X50" s="165"/>
      <c r="Y50" s="167" t="str">
        <f t="shared" si="52"/>
        <v/>
      </c>
      <c r="Z50" s="168" t="str">
        <f t="shared" si="48"/>
        <v/>
      </c>
      <c r="AA50" s="166" t="str">
        <f t="shared" si="22"/>
        <v/>
      </c>
      <c r="AB50" s="168" t="str">
        <f t="shared" si="49"/>
        <v/>
      </c>
      <c r="AC50" s="166" t="str">
        <f t="shared" si="53"/>
        <v/>
      </c>
      <c r="AD50" s="169" t="str">
        <f t="shared" ref="AD50" si="54">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165"/>
      <c r="AF50" s="199"/>
      <c r="AG50" s="199"/>
      <c r="AH50" s="161"/>
      <c r="AI50" s="85"/>
      <c r="AJ50" s="158"/>
      <c r="AK50" s="93"/>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c r="B51" s="408"/>
      <c r="C51" s="347"/>
      <c r="D51" s="347"/>
      <c r="E51" s="347"/>
      <c r="F51" s="347"/>
      <c r="G51" s="347"/>
      <c r="H51" s="348"/>
      <c r="I51" s="412"/>
      <c r="J51" s="350"/>
      <c r="K51" s="351"/>
      <c r="L51" s="350">
        <f>IF(NOT(ISERROR(MATCH(K51,_xlfn.ANCHORARRAY(F62),0))),J76&amp;"Por favor no seleccionar los criterios de impacto",K51)</f>
        <v>0</v>
      </c>
      <c r="M51" s="412"/>
      <c r="N51" s="350"/>
      <c r="O51" s="352"/>
      <c r="P51" s="163">
        <v>6</v>
      </c>
      <c r="Q51" s="160"/>
      <c r="R51" s="164" t="str">
        <f t="shared" si="51"/>
        <v/>
      </c>
      <c r="S51" s="165"/>
      <c r="T51" s="165"/>
      <c r="U51" s="166" t="str">
        <f t="shared" si="47"/>
        <v/>
      </c>
      <c r="V51" s="165"/>
      <c r="W51" s="165"/>
      <c r="X51" s="165"/>
      <c r="Y51" s="167" t="str">
        <f t="shared" si="52"/>
        <v/>
      </c>
      <c r="Z51" s="168" t="str">
        <f t="shared" si="48"/>
        <v/>
      </c>
      <c r="AA51" s="166" t="str">
        <f t="shared" si="22"/>
        <v/>
      </c>
      <c r="AB51" s="168" t="str">
        <f>IFERROR(IF(AC51="","",IF(AC51&lt;=0.2,"Leve",IF(AC51&lt;=0.4,"Menor",IF(AC51&lt;=0.6,"Moderado",IF(AC51&lt;=0.8,"Mayor","Catastrófico"))))),"")</f>
        <v/>
      </c>
      <c r="AC51" s="166" t="str">
        <f t="shared" si="53"/>
        <v/>
      </c>
      <c r="AD51" s="169"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165"/>
      <c r="AF51" s="199"/>
      <c r="AG51" s="199"/>
      <c r="AH51" s="161"/>
      <c r="AI51" s="85"/>
      <c r="AJ51" s="158"/>
      <c r="AK51" s="93"/>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11" customHeight="1">
      <c r="B52" s="408">
        <v>7</v>
      </c>
      <c r="C52" s="347" t="s">
        <v>197</v>
      </c>
      <c r="D52" s="347" t="s">
        <v>177</v>
      </c>
      <c r="E52" s="347" t="s">
        <v>237</v>
      </c>
      <c r="F52" s="347" t="s">
        <v>238</v>
      </c>
      <c r="G52" s="347" t="s">
        <v>180</v>
      </c>
      <c r="H52" s="348">
        <v>2</v>
      </c>
      <c r="I52" s="412" t="str">
        <f>IF(H52&lt;=0,"",IF(H52&lt;=2,"Muy Baja",IF(H52&lt;=24,"Baja",IF(H52&lt;=500,"Media",IF(H52&lt;=5000,"Alta","Muy Alta")))))</f>
        <v>Muy Baja</v>
      </c>
      <c r="J52" s="350">
        <f>IF(I52="","",IF(I52="Muy Baja",0.2,IF(I52="Baja",0.4,IF(I52="Media",0.6,IF(I52="Alta",0.8,IF(I52="Muy Alta",1,))))))</f>
        <v>0.2</v>
      </c>
      <c r="K52" s="351" t="s">
        <v>181</v>
      </c>
      <c r="L52" s="350" t="str">
        <f>IF(NOT(ISERROR(MATCH(K52,'[1]Tabla Impacto'!$B$222:$B$224,0))),'[1]Tabla Impacto'!$F$224&amp;"Por favor no seleccionar los criterios de impacto(Afectación Económica o presupuestal y Pérdida Reputacional)",K52)</f>
        <v xml:space="preserve">     El riesgo afecta la imagen de de la entidad con efecto publicitario sostenido a nivel de sector administrativo, nivel departamental o municipal</v>
      </c>
      <c r="M52" s="412" t="str">
        <f>IF(OR(L52='[1]Tabla Impacto'!$C$12,L52='[1]Tabla Impacto'!$D$12),"Leve",IF(OR(L52='[1]Tabla Impacto'!$C$13,L52='[1]Tabla Impacto'!$D$13),"Menor",IF(OR(L52='[1]Tabla Impacto'!$C$14,L52='[1]Tabla Impacto'!$D$14),"Moderado",IF(OR(L52='[1]Tabla Impacto'!$C$15,L52='[1]Tabla Impacto'!$D$15),"Mayor",IF(OR(L52='[1]Tabla Impacto'!$C$16,L52='[1]Tabla Impacto'!$D$16),"Catastrófico","")))))</f>
        <v>Mayor</v>
      </c>
      <c r="N52" s="350">
        <f>IF(M52="","",IF(M52="Leve",0.2,IF(M52="Menor",0.4,IF(M52="Moderado",0.6,IF(M52="Mayor",0.8,IF(M52="Catastrófico",1,))))))</f>
        <v>0.8</v>
      </c>
      <c r="O52" s="352"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Alto</v>
      </c>
      <c r="P52" s="171">
        <v>1</v>
      </c>
      <c r="Q52" s="160" t="s">
        <v>239</v>
      </c>
      <c r="R52" s="164" t="s">
        <v>183</v>
      </c>
      <c r="S52" s="165" t="s">
        <v>184</v>
      </c>
      <c r="T52" s="165" t="s">
        <v>185</v>
      </c>
      <c r="U52" s="166" t="s">
        <v>202</v>
      </c>
      <c r="V52" s="165" t="s">
        <v>186</v>
      </c>
      <c r="W52" s="165" t="s">
        <v>187</v>
      </c>
      <c r="X52" s="165" t="s">
        <v>188</v>
      </c>
      <c r="Y52" s="167">
        <f>IFERROR(IF(R52="Probabilidad",(J52-(+J52*U52)),IF(R52="Impacto",J52,"")),"")</f>
        <v>0.12</v>
      </c>
      <c r="Z52" s="168" t="str">
        <f>IFERROR(IF(Y52="","",IF(Y52&lt;=0.2,"Muy Baja",IF(Y52&lt;=0.4,"Baja",IF(Y52&lt;=0.6,"Media",IF(Y52&lt;=0.8,"Alta","Muy Alta"))))),"")</f>
        <v>Muy Baja</v>
      </c>
      <c r="AA52" s="166">
        <f t="shared" si="22"/>
        <v>0.12</v>
      </c>
      <c r="AB52" s="168" t="str">
        <f>IFERROR(IF(AC52="","",IF(AC52&lt;=0.2,"Leve",IF(AC52&lt;=0.4,"Menor",IF(AC52&lt;=0.6,"Moderado",IF(AC52&lt;=0.8,"Mayor","Catastrófico"))))),"")</f>
        <v>Mayor</v>
      </c>
      <c r="AC52" s="166">
        <f>IFERROR(IF(R52="Impacto",(N52-(+N52*U52)),IF(R52="Probabilidad",N52,"")),"")</f>
        <v>0.8</v>
      </c>
      <c r="AD52" s="169"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Alto</v>
      </c>
      <c r="AE52" s="165" t="s">
        <v>189</v>
      </c>
      <c r="AF52" s="199" t="s">
        <v>240</v>
      </c>
      <c r="AG52" s="199" t="s">
        <v>241</v>
      </c>
      <c r="AH52" s="161">
        <v>44469</v>
      </c>
      <c r="AI52" s="85"/>
      <c r="AJ52" s="158"/>
      <c r="AK52" s="93"/>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10.25" customHeight="1">
      <c r="B53" s="408"/>
      <c r="C53" s="347"/>
      <c r="D53" s="347"/>
      <c r="E53" s="347"/>
      <c r="F53" s="347"/>
      <c r="G53" s="347"/>
      <c r="H53" s="348"/>
      <c r="I53" s="412"/>
      <c r="J53" s="350"/>
      <c r="K53" s="351"/>
      <c r="L53" s="350">
        <f>IF(NOT(ISERROR(MATCH(K53,_xlfn.ANCHORARRAY(F76),0))),J78&amp;"Por favor no seleccionar los criterios de impacto",K53)</f>
        <v>0</v>
      </c>
      <c r="M53" s="412"/>
      <c r="N53" s="350"/>
      <c r="O53" s="352"/>
      <c r="P53" s="171">
        <v>2</v>
      </c>
      <c r="Q53" s="160" t="s">
        <v>242</v>
      </c>
      <c r="R53" s="164" t="s">
        <v>183</v>
      </c>
      <c r="S53" s="165" t="s">
        <v>193</v>
      </c>
      <c r="T53" s="165" t="s">
        <v>185</v>
      </c>
      <c r="U53" s="166" t="s">
        <v>194</v>
      </c>
      <c r="V53" s="165" t="s">
        <v>186</v>
      </c>
      <c r="W53" s="165" t="s">
        <v>187</v>
      </c>
      <c r="X53" s="165" t="s">
        <v>188</v>
      </c>
      <c r="Y53" s="167">
        <f>IFERROR(IF(AND(R52="Probabilidad",R53="Probabilidad"),(AA52-(+AA52*U53)),IF(R53="Probabilidad",(J52-(+J52*U53)),IF(R53="Impacto",AA52,""))),"")</f>
        <v>8.3999999999999991E-2</v>
      </c>
      <c r="Z53" s="168" t="str">
        <f t="shared" ref="Z53" si="55">IFERROR(IF(Y53="","",IF(Y53&lt;=0.2,"Muy Baja",IF(Y53&lt;=0.4,"Baja",IF(Y53&lt;=0.6,"Media",IF(Y53&lt;=0.8,"Alta","Muy Alta"))))),"")</f>
        <v>Muy Baja</v>
      </c>
      <c r="AA53" s="166">
        <f t="shared" si="22"/>
        <v>8.3999999999999991E-2</v>
      </c>
      <c r="AB53" s="168" t="str">
        <f t="shared" ref="AB53" si="56">IFERROR(IF(AC53="","",IF(AC53&lt;=0.2,"Leve",IF(AC53&lt;=0.4,"Menor",IF(AC53&lt;=0.6,"Moderado",IF(AC53&lt;=0.8,"Mayor","Catastrófico"))))),"")</f>
        <v>Moderado</v>
      </c>
      <c r="AC53" s="166">
        <f>IFERROR(IF(AND(R52="Impacto",R53="Impacto"),(AC46-(+AC46*U53)),IF(R53="Impacto",($N$52-(+$N$52*U53)),IF(R53="Probabilidad",AC46,""))),"")</f>
        <v>0.6</v>
      </c>
      <c r="AD53" s="169" t="str">
        <f t="shared" ref="AD53" si="57">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Moderado</v>
      </c>
      <c r="AE53" s="165" t="s">
        <v>189</v>
      </c>
      <c r="AF53" s="199" t="s">
        <v>243</v>
      </c>
      <c r="AG53" s="199" t="s">
        <v>244</v>
      </c>
      <c r="AH53" s="161">
        <v>44560</v>
      </c>
      <c r="AI53" s="85"/>
      <c r="AJ53" s="158"/>
      <c r="AK53" s="93"/>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c r="B54" s="408"/>
      <c r="C54" s="347"/>
      <c r="D54" s="347"/>
      <c r="E54" s="347"/>
      <c r="F54" s="347"/>
      <c r="G54" s="347"/>
      <c r="H54" s="348"/>
      <c r="I54" s="412"/>
      <c r="J54" s="350"/>
      <c r="K54" s="351"/>
      <c r="L54" s="350">
        <f>IF(NOT(ISERROR(MATCH(K54,_xlfn.ANCHORARRAY(F77),0))),#REF!&amp;"Por favor no seleccionar los criterios de impacto",K54)</f>
        <v>0</v>
      </c>
      <c r="M54" s="412"/>
      <c r="N54" s="350"/>
      <c r="O54" s="352"/>
      <c r="P54" s="171">
        <v>3</v>
      </c>
      <c r="Q54" s="170"/>
      <c r="R54" s="164" t="str">
        <f>IF(OR(S54="Preventivo",S54="Detectivo"),"Probabilidad",IF(S54="Correctivo","Impacto",""))</f>
        <v/>
      </c>
      <c r="S54" s="165"/>
      <c r="T54" s="165"/>
      <c r="U54" s="166" t="str">
        <f t="shared" ref="U54:U57" si="58">IF(AND(S54="Preventivo",T54="Automático"),"50%",IF(AND(S54="Preventivo",T54="Manual"),"40%",IF(AND(S54="Detectivo",T54="Automático"),"40%",IF(AND(S54="Detectivo",T54="Manual"),"30%",IF(AND(S54="Correctivo",T54="Automático"),"35%",IF(AND(S54="Correctivo",T54="Manual"),"25%",""))))))</f>
        <v/>
      </c>
      <c r="V54" s="165"/>
      <c r="W54" s="165"/>
      <c r="X54" s="165"/>
      <c r="Y54" s="167" t="str">
        <f>IFERROR(IF(AND(R53="Probabilidad",R54="Probabilidad"),(AA53-(+AA53*U54)),IF(AND(R53="Impacto",R54="Probabilidad"),(AA52-(+AA52*U54)),IF(R54="Impacto",AA53,""))),"")</f>
        <v/>
      </c>
      <c r="Z54" s="172" t="str">
        <f t="shared" si="9"/>
        <v/>
      </c>
      <c r="AA54" s="166" t="str">
        <f t="shared" ref="AA54:AA63" si="59">+Y54</f>
        <v/>
      </c>
      <c r="AB54" s="172" t="str">
        <f t="shared" si="11"/>
        <v/>
      </c>
      <c r="AC54" s="166" t="str">
        <f>IFERROR(IF(AND(R53="Impacto",R54="Impacto"),(AC53-(+AC53*U54)),IF(AND(R53="Probabilidad",R54="Impacto"),(AC52-(+AC52*U54)),IF(R54="Probabilidad",AC53,""))),"")</f>
        <v/>
      </c>
      <c r="AD54" s="169" t="str">
        <f t="shared" ref="AD54" si="60">IFERROR(IF(OR(AND(Z54="Muy Baja",AB54="Leve"),AND(Z54="Muy Baja",AB54="Menor"),AND(Z54="Baja",AB54="Leve")),"Bajo",IF(OR(AND(Z54="Muy baja",AB54="Moderado"),AND(Z54="Baja",AB54="Menor"),AND(Z54="Baja",AB54="Moderado"),AND(Z54="Media",AB54="Leve"),AND(Z54="Media",AB54="Menor"),AND(Z54="Media",AB54="Moderado"),AND(Z54="Alta",AB54="Leve"),AND(Z54="Alta",AB54="Menor")),"Moderado",IF(OR(AND(Z54="Muy Baja",AB54="Mayor"),AND(Z54="Baja",AB54="Mayor"),AND(Z54="Media",AB54="Mayor"),AND(Z54="Alta",AB54="Moderado"),AND(Z54="Alta",AB54="Mayor"),AND(Z54="Muy Alta",AB54="Leve"),AND(Z54="Muy Alta",AB54="Menor"),AND(Z54="Muy Alta",AB54="Moderado"),AND(Z54="Muy Alta",AB54="Mayor")),"Alto",IF(OR(AND(Z54="Muy Baja",AB54="Catastrófico"),AND(Z54="Baja",AB54="Catastrófico"),AND(Z54="Media",AB54="Catastrófico"),AND(Z54="Alta",AB54="Catastrófico"),AND(Z54="Muy Alta",AB54="Catastrófico")),"Extremo","")))),"")</f>
        <v/>
      </c>
      <c r="AE54" s="165"/>
      <c r="AF54" s="199"/>
      <c r="AG54" s="199"/>
      <c r="AH54" s="161"/>
      <c r="AI54" s="85"/>
      <c r="AJ54" s="158"/>
      <c r="AK54" s="93"/>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c r="B55" s="408"/>
      <c r="C55" s="347"/>
      <c r="D55" s="347"/>
      <c r="E55" s="347"/>
      <c r="F55" s="347"/>
      <c r="G55" s="347"/>
      <c r="H55" s="348"/>
      <c r="I55" s="412"/>
      <c r="J55" s="350"/>
      <c r="K55" s="351"/>
      <c r="L55" s="350">
        <f>IF(NOT(ISERROR(MATCH(K55,_xlfn.ANCHORARRAY(F78),0))),#REF!&amp;"Por favor no seleccionar los criterios de impacto",K55)</f>
        <v>0</v>
      </c>
      <c r="M55" s="412"/>
      <c r="N55" s="350"/>
      <c r="O55" s="352"/>
      <c r="P55" s="171">
        <v>4</v>
      </c>
      <c r="Q55" s="160"/>
      <c r="R55" s="164" t="str">
        <f t="shared" ref="R55:R57" si="61">IF(OR(S55="Preventivo",S55="Detectivo"),"Probabilidad",IF(S55="Correctivo","Impacto",""))</f>
        <v/>
      </c>
      <c r="S55" s="165"/>
      <c r="T55" s="165"/>
      <c r="U55" s="166" t="str">
        <f t="shared" si="58"/>
        <v/>
      </c>
      <c r="V55" s="165"/>
      <c r="W55" s="165"/>
      <c r="X55" s="165"/>
      <c r="Y55" s="167" t="str">
        <f t="shared" ref="Y55:Y57" si="62">IFERROR(IF(AND(R54="Probabilidad",R55="Probabilidad"),(AA54-(+AA54*U55)),IF(AND(R54="Impacto",R55="Probabilidad"),(AA53-(+AA53*U55)),IF(R55="Impacto",AA54,""))),"")</f>
        <v/>
      </c>
      <c r="Z55" s="172" t="str">
        <f t="shared" si="9"/>
        <v/>
      </c>
      <c r="AA55" s="166" t="str">
        <f t="shared" si="59"/>
        <v/>
      </c>
      <c r="AB55" s="172" t="str">
        <f t="shared" si="11"/>
        <v/>
      </c>
      <c r="AC55" s="166" t="str">
        <f t="shared" ref="AC55:AC57" si="63">IFERROR(IF(AND(R54="Impacto",R55="Impacto"),(AC54-(+AC54*U55)),IF(AND(R54="Probabilidad",R55="Impacto"),(AC53-(+AC53*U55)),IF(R55="Probabilidad",AC54,""))),"")</f>
        <v/>
      </c>
      <c r="AD55" s="169"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165"/>
      <c r="AF55" s="199"/>
      <c r="AG55" s="199"/>
      <c r="AH55" s="161"/>
      <c r="AI55" s="85"/>
      <c r="AJ55" s="158"/>
      <c r="AK55" s="93"/>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c r="B56" s="408"/>
      <c r="C56" s="347"/>
      <c r="D56" s="347"/>
      <c r="E56" s="347"/>
      <c r="F56" s="347"/>
      <c r="G56" s="347"/>
      <c r="H56" s="348"/>
      <c r="I56" s="412"/>
      <c r="J56" s="350"/>
      <c r="K56" s="351"/>
      <c r="L56" s="350">
        <f>IF(NOT(ISERROR(MATCH(K56,_xlfn.ANCHORARRAY(#REF!),0))),#REF!&amp;"Por favor no seleccionar los criterios de impacto",K56)</f>
        <v>0</v>
      </c>
      <c r="M56" s="412"/>
      <c r="N56" s="350"/>
      <c r="O56" s="352"/>
      <c r="P56" s="171">
        <v>5</v>
      </c>
      <c r="Q56" s="160"/>
      <c r="R56" s="164" t="str">
        <f t="shared" si="61"/>
        <v/>
      </c>
      <c r="S56" s="165"/>
      <c r="T56" s="165"/>
      <c r="U56" s="166" t="str">
        <f t="shared" si="58"/>
        <v/>
      </c>
      <c r="V56" s="165"/>
      <c r="W56" s="165"/>
      <c r="X56" s="165"/>
      <c r="Y56" s="167" t="str">
        <f t="shared" si="62"/>
        <v/>
      </c>
      <c r="Z56" s="172" t="str">
        <f t="shared" si="9"/>
        <v/>
      </c>
      <c r="AA56" s="166" t="str">
        <f t="shared" si="59"/>
        <v/>
      </c>
      <c r="AB56" s="172" t="str">
        <f t="shared" si="11"/>
        <v/>
      </c>
      <c r="AC56" s="166" t="str">
        <f t="shared" si="63"/>
        <v/>
      </c>
      <c r="AD56" s="169" t="str">
        <f t="shared" ref="AD56:AD57" si="64">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165"/>
      <c r="AF56" s="199"/>
      <c r="AG56" s="199"/>
      <c r="AH56" s="161"/>
      <c r="AI56" s="85"/>
      <c r="AJ56" s="158"/>
      <c r="AK56" s="93"/>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c r="B57" s="408"/>
      <c r="C57" s="347"/>
      <c r="D57" s="347"/>
      <c r="E57" s="347"/>
      <c r="F57" s="347"/>
      <c r="G57" s="347"/>
      <c r="H57" s="348"/>
      <c r="I57" s="412"/>
      <c r="J57" s="350"/>
      <c r="K57" s="351"/>
      <c r="L57" s="350">
        <f>IF(NOT(ISERROR(MATCH(K57,_xlfn.ANCHORARRAY(#REF!),0))),J79&amp;"Por favor no seleccionar los criterios de impacto",K57)</f>
        <v>0</v>
      </c>
      <c r="M57" s="412"/>
      <c r="N57" s="350"/>
      <c r="O57" s="352"/>
      <c r="P57" s="171">
        <v>6</v>
      </c>
      <c r="Q57" s="160"/>
      <c r="R57" s="164" t="str">
        <f t="shared" si="61"/>
        <v/>
      </c>
      <c r="S57" s="165"/>
      <c r="T57" s="165"/>
      <c r="U57" s="166" t="str">
        <f t="shared" si="58"/>
        <v/>
      </c>
      <c r="V57" s="165"/>
      <c r="W57" s="165"/>
      <c r="X57" s="165"/>
      <c r="Y57" s="167" t="str">
        <f t="shared" si="62"/>
        <v/>
      </c>
      <c r="Z57" s="172" t="str">
        <f t="shared" si="9"/>
        <v/>
      </c>
      <c r="AA57" s="166" t="str">
        <f t="shared" si="59"/>
        <v/>
      </c>
      <c r="AB57" s="172" t="str">
        <f t="shared" si="11"/>
        <v/>
      </c>
      <c r="AC57" s="166" t="str">
        <f t="shared" si="63"/>
        <v/>
      </c>
      <c r="AD57" s="169" t="str">
        <f t="shared" si="64"/>
        <v/>
      </c>
      <c r="AE57" s="165"/>
      <c r="AF57" s="199"/>
      <c r="AG57" s="199"/>
      <c r="AH57" s="161"/>
      <c r="AI57" s="85"/>
      <c r="AJ57" s="158"/>
      <c r="AK57" s="93"/>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72.5" customHeight="1">
      <c r="B58" s="408">
        <v>8</v>
      </c>
      <c r="C58" s="347" t="s">
        <v>176</v>
      </c>
      <c r="D58" s="347" t="s">
        <v>245</v>
      </c>
      <c r="E58" s="347" t="s">
        <v>246</v>
      </c>
      <c r="F58" s="413" t="s">
        <v>247</v>
      </c>
      <c r="G58" s="347" t="s">
        <v>180</v>
      </c>
      <c r="H58" s="348">
        <v>24</v>
      </c>
      <c r="I58" s="412" t="str">
        <f>IF(H58&lt;=0,"",IF(H58&lt;=2,"Muy Baja",IF(H58&lt;=24,"Baja",IF(H58&lt;=500,"Media",IF(H58&lt;=5000,"Alta","Muy Alta")))))</f>
        <v>Baja</v>
      </c>
      <c r="J58" s="350">
        <f>IF(I58="","",IF(I58="Muy Baja",0.2,IF(I58="Baja",0.4,IF(I58="Media",0.6,IF(I58="Alta",0.8,IF(I58="Muy Alta",1,))))))</f>
        <v>0.4</v>
      </c>
      <c r="K58" s="351" t="s">
        <v>200</v>
      </c>
      <c r="L58" s="350" t="str">
        <f>IF(NOT(ISERROR(MATCH(K58,'[1]Tabla Impacto'!$B$222:$B$224,0))),'[1]Tabla Impacto'!$F$224&amp;"Por favor no seleccionar los criterios de impacto(Afectación Económica o presupuestal y Pérdida Reputacional)",K58)</f>
        <v xml:space="preserve">     El riesgo afecta la imagen de la entidad con algunos usuarios de relevancia frente al logro de los objetivos</v>
      </c>
      <c r="M58" s="412" t="str">
        <f>IF(OR(L58='[1]Tabla Impacto'!$C$12,L58='[1]Tabla Impacto'!$D$12),"Leve",IF(OR(L58='[1]Tabla Impacto'!$C$13,L58='[1]Tabla Impacto'!$D$13),"Menor",IF(OR(L58='[1]Tabla Impacto'!$C$14,L58='[1]Tabla Impacto'!$D$14),"Moderado",IF(OR(L58='[1]Tabla Impacto'!$C$15,L58='[1]Tabla Impacto'!$D$15),"Mayor",IF(OR(L58='[1]Tabla Impacto'!$C$16,L58='[1]Tabla Impacto'!$D$16),"Catastrófico","")))))</f>
        <v>Moderado</v>
      </c>
      <c r="N58" s="350">
        <f>IF(M58="","",IF(M58="Leve",0.2,IF(M58="Menor",0.4,IF(M58="Moderado",0.6,IF(M58="Mayor",0.8,IF(M58="Catastrófico",1,))))))</f>
        <v>0.6</v>
      </c>
      <c r="O58" s="352"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Moderado</v>
      </c>
      <c r="P58" s="163">
        <v>1</v>
      </c>
      <c r="Q58" s="160" t="s">
        <v>248</v>
      </c>
      <c r="R58" s="164" t="s">
        <v>183</v>
      </c>
      <c r="S58" s="165" t="s">
        <v>184</v>
      </c>
      <c r="T58" s="165" t="s">
        <v>185</v>
      </c>
      <c r="U58" s="166" t="str">
        <f>IF(AND(S58="Preventivo",T58="Automático"),"50%",IF(AND(S58="Preventivo",T58="Manual"),"40%",IF(AND(S58="Detectivo",T58="Automático"),"40%",IF(AND(S58="Detectivo",T58="Manual"),"30%",IF(AND(S58="Correctivo",T58="Automático"),"35%",IF(AND(S58="Correctivo",T58="Manual"),"25%",""))))))</f>
        <v>40%</v>
      </c>
      <c r="V58" s="165" t="s">
        <v>186</v>
      </c>
      <c r="W58" s="165" t="s">
        <v>187</v>
      </c>
      <c r="X58" s="165" t="s">
        <v>188</v>
      </c>
      <c r="Y58" s="167">
        <f>IFERROR(IF(R58="Probabilidad",(J58-(+J58*U58)),IF(R58="Impacto",J58,"")),"")</f>
        <v>0.24</v>
      </c>
      <c r="Z58" s="168" t="str">
        <f>IFERROR(IF(Y58="","",IF(Y58&lt;=0.2,"Muy Baja",IF(Y58&lt;=0.4,"Baja",IF(Y58&lt;=0.6,"Media",IF(Y58&lt;=0.8,"Alta","Muy Alta"))))),"")</f>
        <v>Baja</v>
      </c>
      <c r="AA58" s="166">
        <f t="shared" si="59"/>
        <v>0.24</v>
      </c>
      <c r="AB58" s="168" t="str">
        <f>IFERROR(IF(AC58="","",IF(AC58&lt;=0.2,"Leve",IF(AC58&lt;=0.4,"Menor",IF(AC58&lt;=0.6,"Moderado",IF(AC58&lt;=0.8,"Mayor","Catastrófico"))))),"")</f>
        <v>Moderado</v>
      </c>
      <c r="AC58" s="166">
        <f>IFERROR(IF(R58="Impacto",(N58-(+N58*U58)),IF(R58="Probabilidad",N58,"")),"")</f>
        <v>0.6</v>
      </c>
      <c r="AD58" s="169"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Moderado</v>
      </c>
      <c r="AE58" s="165" t="s">
        <v>189</v>
      </c>
      <c r="AF58" s="199" t="s">
        <v>249</v>
      </c>
      <c r="AG58" s="199" t="s">
        <v>250</v>
      </c>
      <c r="AH58" s="161">
        <v>44438</v>
      </c>
      <c r="AI58" s="85"/>
      <c r="AJ58" s="158"/>
      <c r="AK58" s="93"/>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c r="B59" s="408"/>
      <c r="C59" s="347"/>
      <c r="D59" s="347"/>
      <c r="E59" s="347"/>
      <c r="F59" s="413"/>
      <c r="G59" s="347"/>
      <c r="H59" s="348"/>
      <c r="I59" s="412"/>
      <c r="J59" s="350"/>
      <c r="K59" s="351"/>
      <c r="L59" s="350">
        <f>IF(NOT(ISERROR(MATCH(K59,_xlfn.ANCHORARRAY(F79),0))),#REF!&amp;"Por favor no seleccionar los criterios de impacto",K59)</f>
        <v>0</v>
      </c>
      <c r="M59" s="412"/>
      <c r="N59" s="350"/>
      <c r="O59" s="352"/>
      <c r="P59" s="163">
        <v>2</v>
      </c>
      <c r="Q59" s="160"/>
      <c r="R59" s="164" t="str">
        <f>IF(OR(S59="Preventivo",S59="Detectivo"),"Probabilidad",IF(S59="Correctivo","Impacto",""))</f>
        <v/>
      </c>
      <c r="S59" s="165"/>
      <c r="T59" s="165"/>
      <c r="U59" s="166" t="str">
        <f t="shared" ref="U59:U63" si="65">IF(AND(S59="Preventivo",T59="Automático"),"50%",IF(AND(S59="Preventivo",T59="Manual"),"40%",IF(AND(S59="Detectivo",T59="Automático"),"40%",IF(AND(S59="Detectivo",T59="Manual"),"30%",IF(AND(S59="Correctivo",T59="Automático"),"35%",IF(AND(S59="Correctivo",T59="Manual"),"25%",""))))))</f>
        <v/>
      </c>
      <c r="V59" s="165"/>
      <c r="W59" s="165"/>
      <c r="X59" s="165"/>
      <c r="Y59" s="167" t="str">
        <f>IFERROR(IF(AND(R58="Probabilidad",R59="Probabilidad"),(AA58-(+AA58*U59)),IF(R59="Probabilidad",(J58-(+J58*U59)),IF(R59="Impacto",AA58,""))),"")</f>
        <v/>
      </c>
      <c r="Z59" s="168" t="str">
        <f t="shared" ref="Z59:Z63" si="66">IFERROR(IF(Y59="","",IF(Y59&lt;=0.2,"Muy Baja",IF(Y59&lt;=0.4,"Baja",IF(Y59&lt;=0.6,"Media",IF(Y59&lt;=0.8,"Alta","Muy Alta"))))),"")</f>
        <v/>
      </c>
      <c r="AA59" s="166" t="str">
        <f t="shared" si="59"/>
        <v/>
      </c>
      <c r="AB59" s="168" t="str">
        <f t="shared" ref="AB59:AB63" si="67">IFERROR(IF(AC59="","",IF(AC59&lt;=0.2,"Leve",IF(AC59&lt;=0.4,"Menor",IF(AC59&lt;=0.6,"Moderado",IF(AC59&lt;=0.8,"Mayor","Catastrófico"))))),"")</f>
        <v/>
      </c>
      <c r="AC59" s="166" t="str">
        <f>IFERROR(IF(AND(R58="Impacto",R59="Impacto"),(AC52-(+AC52*U59)),IF(R59="Impacto",($N$58-(+$N$58*U59)),IF(R59="Probabilidad",AC52,""))),"")</f>
        <v/>
      </c>
      <c r="AD59" s="169" t="str">
        <f t="shared" ref="AD59:AD60" si="6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165"/>
      <c r="AF59" s="199"/>
      <c r="AG59" s="199"/>
      <c r="AH59" s="161"/>
      <c r="AI59" s="85"/>
      <c r="AJ59" s="158"/>
      <c r="AK59" s="93"/>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c r="B60" s="408"/>
      <c r="C60" s="347"/>
      <c r="D60" s="347"/>
      <c r="E60" s="347"/>
      <c r="F60" s="413"/>
      <c r="G60" s="347"/>
      <c r="H60" s="348"/>
      <c r="I60" s="412"/>
      <c r="J60" s="350"/>
      <c r="K60" s="351"/>
      <c r="L60" s="350">
        <f>IF(NOT(ISERROR(MATCH(K60,_xlfn.ANCHORARRAY(#REF!),0))),#REF!&amp;"Por favor no seleccionar los criterios de impacto",K60)</f>
        <v>0</v>
      </c>
      <c r="M60" s="412"/>
      <c r="N60" s="350"/>
      <c r="O60" s="352"/>
      <c r="P60" s="163">
        <v>3</v>
      </c>
      <c r="Q60" s="170"/>
      <c r="R60" s="164" t="str">
        <f>IF(OR(S60="Preventivo",S60="Detectivo"),"Probabilidad",IF(S60="Correctivo","Impacto",""))</f>
        <v/>
      </c>
      <c r="S60" s="165"/>
      <c r="T60" s="165"/>
      <c r="U60" s="166" t="str">
        <f t="shared" si="65"/>
        <v/>
      </c>
      <c r="V60" s="165"/>
      <c r="W60" s="165"/>
      <c r="X60" s="165"/>
      <c r="Y60" s="167" t="str">
        <f>IFERROR(IF(AND(R59="Probabilidad",R60="Probabilidad"),(AA59-(+AA59*U60)),IF(AND(R59="Impacto",R60="Probabilidad"),(AA58-(+AA58*U60)),IF(R60="Impacto",AA59,""))),"")</f>
        <v/>
      </c>
      <c r="Z60" s="168" t="str">
        <f t="shared" si="66"/>
        <v/>
      </c>
      <c r="AA60" s="166" t="str">
        <f t="shared" si="59"/>
        <v/>
      </c>
      <c r="AB60" s="168" t="str">
        <f t="shared" si="67"/>
        <v/>
      </c>
      <c r="AC60" s="166" t="str">
        <f>IFERROR(IF(AND(R59="Impacto",R60="Impacto"),(AC59-(+AC59*U60)),IF(AND(R59="Probabilidad",R60="Impacto"),(AC58-(+AC58*U60)),IF(R60="Probabilidad",AC59,""))),"")</f>
        <v/>
      </c>
      <c r="AD60" s="169" t="str">
        <f t="shared" si="68"/>
        <v/>
      </c>
      <c r="AE60" s="165"/>
      <c r="AF60" s="199"/>
      <c r="AG60" s="199"/>
      <c r="AH60" s="161"/>
      <c r="AI60" s="85"/>
      <c r="AJ60" s="158"/>
      <c r="AK60" s="93"/>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c r="B61" s="408"/>
      <c r="C61" s="347"/>
      <c r="D61" s="347"/>
      <c r="E61" s="347"/>
      <c r="F61" s="413"/>
      <c r="G61" s="347"/>
      <c r="H61" s="348"/>
      <c r="I61" s="412"/>
      <c r="J61" s="350"/>
      <c r="K61" s="351"/>
      <c r="L61" s="350">
        <f>IF(NOT(ISERROR(MATCH(K61,_xlfn.ANCHORARRAY(#REF!),0))),#REF!&amp;"Por favor no seleccionar los criterios de impacto",K61)</f>
        <v>0</v>
      </c>
      <c r="M61" s="412"/>
      <c r="N61" s="350"/>
      <c r="O61" s="352"/>
      <c r="P61" s="163">
        <v>4</v>
      </c>
      <c r="Q61" s="160"/>
      <c r="R61" s="164" t="str">
        <f t="shared" ref="R61:R78" si="69">IF(OR(S61="Preventivo",S61="Detectivo"),"Probabilidad",IF(S61="Correctivo","Impacto",""))</f>
        <v/>
      </c>
      <c r="S61" s="165"/>
      <c r="T61" s="165"/>
      <c r="U61" s="166" t="str">
        <f t="shared" si="65"/>
        <v/>
      </c>
      <c r="V61" s="165"/>
      <c r="W61" s="165"/>
      <c r="X61" s="165"/>
      <c r="Y61" s="167" t="str">
        <f t="shared" ref="Y61:Y63" si="70">IFERROR(IF(AND(R60="Probabilidad",R61="Probabilidad"),(AA60-(+AA60*U61)),IF(AND(R60="Impacto",R61="Probabilidad"),(AA59-(+AA59*U61)),IF(R61="Impacto",AA60,""))),"")</f>
        <v/>
      </c>
      <c r="Z61" s="168" t="str">
        <f t="shared" si="66"/>
        <v/>
      </c>
      <c r="AA61" s="166" t="str">
        <f t="shared" si="59"/>
        <v/>
      </c>
      <c r="AB61" s="168" t="str">
        <f t="shared" si="67"/>
        <v/>
      </c>
      <c r="AC61" s="166" t="str">
        <f t="shared" ref="AC61:AC63" si="71">IFERROR(IF(AND(R60="Impacto",R61="Impacto"),(AC60-(+AC60*U61)),IF(AND(R60="Probabilidad",R61="Impacto"),(AC59-(+AC59*U61)),IF(R61="Probabilidad",AC60,""))),"")</f>
        <v/>
      </c>
      <c r="AD61" s="169"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165"/>
      <c r="AF61" s="199"/>
      <c r="AG61" s="199"/>
      <c r="AH61" s="161"/>
      <c r="AI61" s="85"/>
      <c r="AJ61" s="158"/>
      <c r="AK61" s="93"/>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c r="B62" s="408"/>
      <c r="C62" s="347"/>
      <c r="D62" s="347"/>
      <c r="E62" s="347"/>
      <c r="F62" s="413"/>
      <c r="G62" s="347"/>
      <c r="H62" s="348"/>
      <c r="I62" s="412"/>
      <c r="J62" s="350"/>
      <c r="K62" s="351"/>
      <c r="L62" s="350">
        <f>IF(NOT(ISERROR(MATCH(K62,_xlfn.ANCHORARRAY(#REF!),0))),#REF!&amp;"Por favor no seleccionar los criterios de impacto",K62)</f>
        <v>0</v>
      </c>
      <c r="M62" s="412"/>
      <c r="N62" s="350"/>
      <c r="O62" s="352"/>
      <c r="P62" s="163">
        <v>5</v>
      </c>
      <c r="Q62" s="160"/>
      <c r="R62" s="164" t="str">
        <f t="shared" si="69"/>
        <v/>
      </c>
      <c r="S62" s="165"/>
      <c r="T62" s="165"/>
      <c r="U62" s="166" t="str">
        <f t="shared" si="65"/>
        <v/>
      </c>
      <c r="V62" s="165"/>
      <c r="W62" s="165"/>
      <c r="X62" s="165"/>
      <c r="Y62" s="167" t="str">
        <f t="shared" si="70"/>
        <v/>
      </c>
      <c r="Z62" s="168" t="str">
        <f t="shared" si="66"/>
        <v/>
      </c>
      <c r="AA62" s="166" t="str">
        <f t="shared" si="59"/>
        <v/>
      </c>
      <c r="AB62" s="168" t="str">
        <f t="shared" si="67"/>
        <v/>
      </c>
      <c r="AC62" s="166" t="str">
        <f t="shared" si="71"/>
        <v/>
      </c>
      <c r="AD62" s="169" t="str">
        <f t="shared" ref="AD62:AD63" si="7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165"/>
      <c r="AF62" s="199"/>
      <c r="AG62" s="199"/>
      <c r="AH62" s="161"/>
      <c r="AI62" s="85"/>
      <c r="AJ62" s="158"/>
      <c r="AK62" s="93"/>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c r="B63" s="408"/>
      <c r="C63" s="347"/>
      <c r="D63" s="347"/>
      <c r="E63" s="347"/>
      <c r="F63" s="413"/>
      <c r="G63" s="347"/>
      <c r="H63" s="348"/>
      <c r="I63" s="412"/>
      <c r="J63" s="350"/>
      <c r="K63" s="351"/>
      <c r="L63" s="350">
        <f>IF(NOT(ISERROR(MATCH(K63,_xlfn.ANCHORARRAY(#REF!),0))),J83&amp;"Por favor no seleccionar los criterios de impacto",K63)</f>
        <v>0</v>
      </c>
      <c r="M63" s="412"/>
      <c r="N63" s="350"/>
      <c r="O63" s="352"/>
      <c r="P63" s="163">
        <v>6</v>
      </c>
      <c r="Q63" s="160"/>
      <c r="R63" s="164" t="str">
        <f t="shared" si="69"/>
        <v/>
      </c>
      <c r="S63" s="165"/>
      <c r="T63" s="165"/>
      <c r="U63" s="166" t="str">
        <f t="shared" si="65"/>
        <v/>
      </c>
      <c r="V63" s="165"/>
      <c r="W63" s="165"/>
      <c r="X63" s="165"/>
      <c r="Y63" s="167" t="str">
        <f t="shared" si="70"/>
        <v/>
      </c>
      <c r="Z63" s="168" t="str">
        <f t="shared" si="66"/>
        <v/>
      </c>
      <c r="AA63" s="166" t="str">
        <f t="shared" si="59"/>
        <v/>
      </c>
      <c r="AB63" s="168" t="str">
        <f t="shared" si="67"/>
        <v/>
      </c>
      <c r="AC63" s="166" t="str">
        <f t="shared" si="71"/>
        <v/>
      </c>
      <c r="AD63" s="169" t="str">
        <f t="shared" si="72"/>
        <v/>
      </c>
      <c r="AE63" s="165"/>
      <c r="AF63" s="199"/>
      <c r="AG63" s="199"/>
      <c r="AH63" s="161"/>
      <c r="AI63" s="85"/>
      <c r="AJ63" s="158"/>
      <c r="AK63" s="93"/>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s="91" customFormat="1" ht="151.5" customHeight="1">
      <c r="B64" s="410">
        <v>9</v>
      </c>
      <c r="C64" s="353" t="s">
        <v>197</v>
      </c>
      <c r="D64" s="353" t="s">
        <v>251</v>
      </c>
      <c r="E64" s="353" t="s">
        <v>252</v>
      </c>
      <c r="F64" s="353" t="s">
        <v>253</v>
      </c>
      <c r="G64" s="353" t="s">
        <v>180</v>
      </c>
      <c r="H64" s="356">
        <v>1</v>
      </c>
      <c r="I64" s="359" t="str">
        <f>IF(H64&lt;=0,"",IF(H64&lt;=2,"Muy Baja",IF(H64&lt;=24,"Baja",IF(H64&lt;=500,"Media",IF(H64&lt;=5000,"Alta","Muy Alta")))))</f>
        <v>Muy Baja</v>
      </c>
      <c r="J64" s="362">
        <f>IF(I64="","",IF(I64="Muy Baja",0.2,IF(I64="Baja",0.4,IF(I64="Media",0.6,IF(I64="Alta",0.8,IF(I64="Muy Alta",1,))))))</f>
        <v>0.2</v>
      </c>
      <c r="K64" s="365" t="s">
        <v>181</v>
      </c>
      <c r="L64" s="362" t="str">
        <f>IF(NOT(ISERROR(MATCH(K64,'Tabla Impacto'!$B$222:$B$224,0))),'Tabla Impacto'!$F$224&amp;"Por favor no seleccionar los criterios de impacto(Afectación Económica o presupuestal y Pérdida Reputacional)",K64)</f>
        <v xml:space="preserve">     El riesgo afecta la imagen de de la entidad con efecto publicitario sostenido a nivel de sector administrativo, nivel departamental o municipal</v>
      </c>
      <c r="M64" s="359" t="str">
        <f>IF(OR(L64='Tabla Impacto'!$C$12,L64='Tabla Impacto'!$D$12),"Leve",IF(OR(L64='Tabla Impacto'!$C$13,L64='Tabla Impacto'!$D$13),"Menor",IF(OR(L64='Tabla Impacto'!$C$14,L64='Tabla Impacto'!$D$14),"Moderado",IF(OR(L64='Tabla Impacto'!$C$15,L64='Tabla Impacto'!$D$15),"Mayor",IF(OR(L64='Tabla Impacto'!$C$16,L64='Tabla Impacto'!$D$16),"Catastrófico","")))))</f>
        <v>Mayor</v>
      </c>
      <c r="N64" s="362">
        <f>IF(M64="","",IF(M64="Leve",0.2,IF(M64="Menor",0.4,IF(M64="Moderado",0.6,IF(M64="Mayor",0.8,IF(M64="Catastrófico",1,))))))</f>
        <v>0.8</v>
      </c>
      <c r="O64" s="343"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Alto</v>
      </c>
      <c r="P64" s="171">
        <v>1</v>
      </c>
      <c r="Q64" s="160" t="s">
        <v>254</v>
      </c>
      <c r="R64" s="164" t="str">
        <f t="shared" si="69"/>
        <v>Probabilidad</v>
      </c>
      <c r="S64" s="165" t="s">
        <v>184</v>
      </c>
      <c r="T64" s="165" t="s">
        <v>185</v>
      </c>
      <c r="U64" s="166" t="str">
        <f>IF(AND(S64="Preventivo",T64="Automático"),"50%",IF(AND(S64="Preventivo",T64="Manual"),"40%",IF(AND(S64="Detectivo",T64="Automático"),"40%",IF(AND(S64="Detectivo",T64="Manual"),"30%",IF(AND(S64="Correctivo",T64="Automático"),"35%",IF(AND(S64="Correctivo",T64="Manual"),"25%",""))))))</f>
        <v>40%</v>
      </c>
      <c r="V64" s="165" t="s">
        <v>186</v>
      </c>
      <c r="W64" s="165" t="s">
        <v>187</v>
      </c>
      <c r="X64" s="165" t="s">
        <v>188</v>
      </c>
      <c r="Y64" s="167">
        <f>IFERROR(IF(R64="Probabilidad",(J64-(+J64*U64)),IF(R64="Impacto",J64,"")),"")</f>
        <v>0.12</v>
      </c>
      <c r="Z64" s="168" t="str">
        <f>IFERROR(IF(Y64="","",IF(Y64&lt;=0.2,"Muy Baja",IF(Y64&lt;=0.4,"Baja",IF(Y64&lt;=0.6,"Media",IF(Y64&lt;=0.8,"Alta","Muy Alta"))))),"")</f>
        <v>Muy Baja</v>
      </c>
      <c r="AA64" s="166">
        <f>+Y64</f>
        <v>0.12</v>
      </c>
      <c r="AB64" s="168" t="str">
        <f>IFERROR(IF(AC64="","",IF(AC64&lt;=0.2,"Leve",IF(AC64&lt;=0.4,"Menor",IF(AC64&lt;=0.6,"Moderado",IF(AC64&lt;=0.8,"Mayor","Catastrófico"))))),"")</f>
        <v>Mayor</v>
      </c>
      <c r="AC64" s="166">
        <f>IFERROR(IF(R64="Impacto",(N64-(+N64*U64)),IF(R64="Probabilidad",N64,"")),"")</f>
        <v>0.8</v>
      </c>
      <c r="AD64" s="169"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Alto</v>
      </c>
      <c r="AE64" s="165" t="s">
        <v>189</v>
      </c>
      <c r="AF64" s="199" t="s">
        <v>255</v>
      </c>
      <c r="AG64" s="199" t="s">
        <v>241</v>
      </c>
      <c r="AH64" s="161">
        <v>44530</v>
      </c>
      <c r="AI64" s="85"/>
      <c r="AJ64" s="158"/>
      <c r="AK64" s="93"/>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s="91" customFormat="1" ht="151.5" hidden="1" customHeight="1">
      <c r="B65" s="410"/>
      <c r="C65" s="354"/>
      <c r="D65" s="354"/>
      <c r="E65" s="354"/>
      <c r="F65" s="354"/>
      <c r="G65" s="354"/>
      <c r="H65" s="357"/>
      <c r="I65" s="360"/>
      <c r="J65" s="363"/>
      <c r="K65" s="366"/>
      <c r="L65" s="363">
        <f>IF(NOT(ISERROR(MATCH(K65,_xlfn.ANCHORARRAY(F87),0))),#REF!&amp;"Por favor no seleccionar los criterios de impacto",K65)</f>
        <v>0</v>
      </c>
      <c r="M65" s="360"/>
      <c r="N65" s="363"/>
      <c r="O65" s="344"/>
      <c r="P65" s="171">
        <v>2</v>
      </c>
      <c r="Q65" s="160"/>
      <c r="R65" s="164" t="str">
        <f>IF(OR(S65="Preventivo",S65="Detectivo"),"Probabilidad",IF(S65="Correctivo","Impacto",""))</f>
        <v/>
      </c>
      <c r="S65" s="165"/>
      <c r="T65" s="165"/>
      <c r="U65" s="166" t="str">
        <f t="shared" ref="U65:U69" si="73">IF(AND(S65="Preventivo",T65="Automático"),"50%",IF(AND(S65="Preventivo",T65="Manual"),"40%",IF(AND(S65="Detectivo",T65="Automático"),"40%",IF(AND(S65="Detectivo",T65="Manual"),"30%",IF(AND(S65="Correctivo",T65="Automático"),"35%",IF(AND(S65="Correctivo",T65="Manual"),"25%",""))))))</f>
        <v/>
      </c>
      <c r="V65" s="165"/>
      <c r="W65" s="165"/>
      <c r="X65" s="165"/>
      <c r="Y65" s="167" t="str">
        <f>IFERROR(IF(AND(R64="Probabilidad",R65="Probabilidad"),(AA64-(+AA64*U65)),IF(R65="Probabilidad",(J64-(+J64*U65)),IF(R65="Impacto",AA64,""))),"")</f>
        <v/>
      </c>
      <c r="Z65" s="172" t="str">
        <f t="shared" ref="Z65:Z69" si="74">IFERROR(IF(Y65="","",IF(Y65&lt;=0.2,"Muy Baja",IF(Y65&lt;=0.4,"Baja",IF(Y65&lt;=0.6,"Media",IF(Y65&lt;=0.8,"Alta","Muy Alta"))))),"")</f>
        <v/>
      </c>
      <c r="AA65" s="166" t="str">
        <f t="shared" ref="AA65:AA69" si="75">+Y65</f>
        <v/>
      </c>
      <c r="AB65" s="172" t="str">
        <f t="shared" ref="AB65:AB69" si="76">IFERROR(IF(AC65="","",IF(AC65&lt;=0.2,"Leve",IF(AC65&lt;=0.4,"Menor",IF(AC65&lt;=0.6,"Moderado",IF(AC65&lt;=0.8,"Mayor","Catastrófico"))))),"")</f>
        <v/>
      </c>
      <c r="AC65" s="166" t="str">
        <f>IFERROR(IF(AND(R64="Impacto",R65="Impacto"),(AC58-(+AC58*U65)),IF(R65="Impacto",($N$82-(+$N$82*U65)),IF(R65="Probabilidad",AC58,""))),"")</f>
        <v/>
      </c>
      <c r="AD65" s="169" t="str">
        <f t="shared" ref="AD65:AD66" si="77">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165"/>
      <c r="AF65" s="199"/>
      <c r="AG65" s="199"/>
      <c r="AH65" s="161"/>
      <c r="AI65" s="85"/>
      <c r="AJ65" s="158"/>
      <c r="AK65" s="93"/>
    </row>
    <row r="66" spans="2:69" s="91" customFormat="1" ht="151.5" hidden="1" customHeight="1">
      <c r="B66" s="410"/>
      <c r="C66" s="354"/>
      <c r="D66" s="354"/>
      <c r="E66" s="354"/>
      <c r="F66" s="354"/>
      <c r="G66" s="354"/>
      <c r="H66" s="357"/>
      <c r="I66" s="360"/>
      <c r="J66" s="363"/>
      <c r="K66" s="366"/>
      <c r="L66" s="363">
        <f>IF(NOT(ISERROR(MATCH(K66,_xlfn.ANCHORARRAY(#REF!),0))),#REF!&amp;"Por favor no seleccionar los criterios de impacto",K66)</f>
        <v>0</v>
      </c>
      <c r="M66" s="360"/>
      <c r="N66" s="363"/>
      <c r="O66" s="344"/>
      <c r="P66" s="171">
        <v>3</v>
      </c>
      <c r="Q66" s="170"/>
      <c r="R66" s="164" t="str">
        <f>IF(OR(S66="Preventivo",S66="Detectivo"),"Probabilidad",IF(S66="Correctivo","Impacto",""))</f>
        <v/>
      </c>
      <c r="S66" s="165"/>
      <c r="T66" s="165"/>
      <c r="U66" s="166" t="str">
        <f t="shared" si="73"/>
        <v/>
      </c>
      <c r="V66" s="165"/>
      <c r="W66" s="165"/>
      <c r="X66" s="165"/>
      <c r="Y66" s="167" t="str">
        <f>IFERROR(IF(AND(R65="Probabilidad",R66="Probabilidad"),(AA65-(+AA65*U66)),IF(AND(R65="Impacto",R66="Probabilidad"),(AA64-(+AA64*U66)),IF(R66="Impacto",AA65,""))),"")</f>
        <v/>
      </c>
      <c r="Z66" s="172" t="str">
        <f t="shared" si="74"/>
        <v/>
      </c>
      <c r="AA66" s="166" t="str">
        <f t="shared" si="75"/>
        <v/>
      </c>
      <c r="AB66" s="172" t="str">
        <f t="shared" si="76"/>
        <v/>
      </c>
      <c r="AC66" s="166" t="str">
        <f>IFERROR(IF(AND(R65="Impacto",R66="Impacto"),(AC65-(+AC65*U66)),IF(AND(R65="Probabilidad",R66="Impacto"),(AC64-(+AC64*U66)),IF(R66="Probabilidad",AC65,""))),"")</f>
        <v/>
      </c>
      <c r="AD66" s="169" t="str">
        <f t="shared" si="77"/>
        <v/>
      </c>
      <c r="AE66" s="165"/>
      <c r="AF66" s="199"/>
      <c r="AG66" s="199"/>
      <c r="AH66" s="161"/>
      <c r="AI66" s="85"/>
      <c r="AJ66" s="158"/>
      <c r="AK66" s="93"/>
    </row>
    <row r="67" spans="2:69" s="91" customFormat="1" ht="151.5" hidden="1" customHeight="1">
      <c r="B67" s="410"/>
      <c r="C67" s="354"/>
      <c r="D67" s="354"/>
      <c r="E67" s="354"/>
      <c r="F67" s="354"/>
      <c r="G67" s="354"/>
      <c r="H67" s="357"/>
      <c r="I67" s="360"/>
      <c r="J67" s="363"/>
      <c r="K67" s="366"/>
      <c r="L67" s="363">
        <f>IF(NOT(ISERROR(MATCH(K67,_xlfn.ANCHORARRAY(#REF!),0))),#REF!&amp;"Por favor no seleccionar los criterios de impacto",K67)</f>
        <v>0</v>
      </c>
      <c r="M67" s="360"/>
      <c r="N67" s="363"/>
      <c r="O67" s="344"/>
      <c r="P67" s="171">
        <v>4</v>
      </c>
      <c r="Q67" s="160"/>
      <c r="R67" s="164" t="str">
        <f t="shared" ref="R67:R70" si="78">IF(OR(S67="Preventivo",S67="Detectivo"),"Probabilidad",IF(S67="Correctivo","Impacto",""))</f>
        <v/>
      </c>
      <c r="S67" s="165"/>
      <c r="T67" s="165"/>
      <c r="U67" s="166" t="str">
        <f t="shared" si="73"/>
        <v/>
      </c>
      <c r="V67" s="165"/>
      <c r="W67" s="165"/>
      <c r="X67" s="165"/>
      <c r="Y67" s="167" t="str">
        <f t="shared" ref="Y67:Y69" si="79">IFERROR(IF(AND(R66="Probabilidad",R67="Probabilidad"),(AA66-(+AA66*U67)),IF(AND(R66="Impacto",R67="Probabilidad"),(AA65-(+AA65*U67)),IF(R67="Impacto",AA66,""))),"")</f>
        <v/>
      </c>
      <c r="Z67" s="172" t="str">
        <f t="shared" si="74"/>
        <v/>
      </c>
      <c r="AA67" s="166" t="str">
        <f t="shared" si="75"/>
        <v/>
      </c>
      <c r="AB67" s="172" t="str">
        <f t="shared" si="76"/>
        <v/>
      </c>
      <c r="AC67" s="166" t="str">
        <f t="shared" ref="AC67:AC69" si="80">IFERROR(IF(AND(R66="Impacto",R67="Impacto"),(AC66-(+AC66*U67)),IF(AND(R66="Probabilidad",R67="Impacto"),(AC65-(+AC65*U67)),IF(R67="Probabilidad",AC66,""))),"")</f>
        <v/>
      </c>
      <c r="AD67" s="169" t="str">
        <f>IFERROR(IF(OR(AND(Z67="Muy Baja",AB67="Leve"),AND(Z67="Muy Baja",AB67="Menor"),AND(Z67="Baja",AB67="Leve")),"Bajo",IF(OR(AND(Z67="Muy baja",AB67="Moderado"),AND(Z67="Baja",AB67="Menor"),AND(Z67="Baja",AB67="Moderado"),AND(Z67="Media",AB67="Leve"),AND(Z67="Media",AB67="Menor"),AND(Z67="Media",AB67="Moderado"),AND(Z67="Alta",AB67="Leve"),AND(Z67="Alta",AB67="Menor")),"Moderado",IF(OR(AND(Z67="Muy Baja",AB67="Mayor"),AND(Z67="Baja",AB67="Mayor"),AND(Z67="Media",AB67="Mayor"),AND(Z67="Alta",AB67="Moderado"),AND(Z67="Alta",AB67="Mayor"),AND(Z67="Muy Alta",AB67="Leve"),AND(Z67="Muy Alta",AB67="Menor"),AND(Z67="Muy Alta",AB67="Moderado"),AND(Z67="Muy Alta",AB67="Mayor")),"Alto",IF(OR(AND(Z67="Muy Baja",AB67="Catastrófico"),AND(Z67="Baja",AB67="Catastrófico"),AND(Z67="Media",AB67="Catastrófico"),AND(Z67="Alta",AB67="Catastrófico"),AND(Z67="Muy Alta",AB67="Catastrófico")),"Extremo","")))),"")</f>
        <v/>
      </c>
      <c r="AE67" s="165"/>
      <c r="AF67" s="199"/>
      <c r="AG67" s="199"/>
      <c r="AH67" s="161"/>
      <c r="AI67" s="85"/>
      <c r="AJ67" s="158"/>
      <c r="AK67" s="93"/>
    </row>
    <row r="68" spans="2:69" s="91" customFormat="1" ht="151.5" hidden="1" customHeight="1">
      <c r="B68" s="410"/>
      <c r="C68" s="354"/>
      <c r="D68" s="354"/>
      <c r="E68" s="354"/>
      <c r="F68" s="354"/>
      <c r="G68" s="354"/>
      <c r="H68" s="357"/>
      <c r="I68" s="360"/>
      <c r="J68" s="363"/>
      <c r="K68" s="366"/>
      <c r="L68" s="363">
        <f>IF(NOT(ISERROR(MATCH(K68,_xlfn.ANCHORARRAY(#REF!),0))),#REF!&amp;"Por favor no seleccionar los criterios de impacto",K68)</f>
        <v>0</v>
      </c>
      <c r="M68" s="360"/>
      <c r="N68" s="363"/>
      <c r="O68" s="344"/>
      <c r="P68" s="171">
        <v>5</v>
      </c>
      <c r="Q68" s="160"/>
      <c r="R68" s="164" t="str">
        <f t="shared" si="78"/>
        <v/>
      </c>
      <c r="S68" s="165"/>
      <c r="T68" s="165"/>
      <c r="U68" s="166" t="str">
        <f t="shared" si="73"/>
        <v/>
      </c>
      <c r="V68" s="165"/>
      <c r="W68" s="165"/>
      <c r="X68" s="165"/>
      <c r="Y68" s="167" t="str">
        <f t="shared" si="79"/>
        <v/>
      </c>
      <c r="Z68" s="172" t="str">
        <f t="shared" si="74"/>
        <v/>
      </c>
      <c r="AA68" s="166" t="str">
        <f t="shared" si="75"/>
        <v/>
      </c>
      <c r="AB68" s="172" t="str">
        <f t="shared" si="76"/>
        <v/>
      </c>
      <c r="AC68" s="166" t="str">
        <f t="shared" si="80"/>
        <v/>
      </c>
      <c r="AD68" s="169" t="str">
        <f t="shared" ref="AD68:AD69" si="81">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165"/>
      <c r="AF68" s="199"/>
      <c r="AG68" s="199"/>
      <c r="AH68" s="161"/>
      <c r="AI68" s="85"/>
      <c r="AJ68" s="158"/>
      <c r="AK68" s="93"/>
    </row>
    <row r="69" spans="2:69" s="91" customFormat="1" ht="151.5" hidden="1" customHeight="1">
      <c r="B69" s="410"/>
      <c r="C69" s="355"/>
      <c r="D69" s="355"/>
      <c r="E69" s="355"/>
      <c r="F69" s="355"/>
      <c r="G69" s="355"/>
      <c r="H69" s="358"/>
      <c r="I69" s="361"/>
      <c r="J69" s="364"/>
      <c r="K69" s="367"/>
      <c r="L69" s="364">
        <f>IF(NOT(ISERROR(MATCH(K69,_xlfn.ANCHORARRAY(#REF!),0))),#REF!&amp;"Por favor no seleccionar los criterios de impacto",K69)</f>
        <v>0</v>
      </c>
      <c r="M69" s="361"/>
      <c r="N69" s="364"/>
      <c r="O69" s="345"/>
      <c r="P69" s="171">
        <v>6</v>
      </c>
      <c r="Q69" s="160"/>
      <c r="R69" s="164" t="str">
        <f t="shared" si="78"/>
        <v/>
      </c>
      <c r="S69" s="165"/>
      <c r="T69" s="165"/>
      <c r="U69" s="166" t="str">
        <f t="shared" si="73"/>
        <v/>
      </c>
      <c r="V69" s="165"/>
      <c r="W69" s="165"/>
      <c r="X69" s="165"/>
      <c r="Y69" s="167" t="str">
        <f t="shared" si="79"/>
        <v/>
      </c>
      <c r="Z69" s="172" t="str">
        <f t="shared" si="74"/>
        <v/>
      </c>
      <c r="AA69" s="166" t="str">
        <f t="shared" si="75"/>
        <v/>
      </c>
      <c r="AB69" s="172" t="str">
        <f t="shared" si="76"/>
        <v/>
      </c>
      <c r="AC69" s="166" t="str">
        <f t="shared" si="80"/>
        <v/>
      </c>
      <c r="AD69" s="169" t="str">
        <f t="shared" si="81"/>
        <v/>
      </c>
      <c r="AE69" s="165"/>
      <c r="AF69" s="199"/>
      <c r="AG69" s="199"/>
      <c r="AH69" s="161"/>
      <c r="AI69" s="85"/>
      <c r="AJ69" s="158"/>
      <c r="AK69" s="93"/>
    </row>
    <row r="70" spans="2:69" s="91" customFormat="1" ht="207" customHeight="1">
      <c r="B70" s="346">
        <v>10</v>
      </c>
      <c r="C70" s="347" t="s">
        <v>197</v>
      </c>
      <c r="D70" s="347" t="s">
        <v>256</v>
      </c>
      <c r="E70" s="347" t="s">
        <v>257</v>
      </c>
      <c r="F70" s="347" t="s">
        <v>258</v>
      </c>
      <c r="G70" s="347" t="s">
        <v>180</v>
      </c>
      <c r="H70" s="348">
        <v>621</v>
      </c>
      <c r="I70" s="349" t="str">
        <f>IF(H70&lt;=0,"",IF(H70&lt;=2,"Muy Baja",IF(H70&lt;=24,"Baja",IF(H70&lt;=500,"Media",IF(H70&lt;=5000,"Alta","Muy Alta")))))</f>
        <v>Alta</v>
      </c>
      <c r="J70" s="350">
        <f>IF(I70="","",IF(I70="Muy Baja",0.2,IF(I70="Baja",0.4,IF(I70="Media",0.6,IF(I70="Alta",0.8,IF(I70="Muy Alta",1,))))))</f>
        <v>0.8</v>
      </c>
      <c r="K70" s="351" t="s">
        <v>181</v>
      </c>
      <c r="L70" s="350" t="str">
        <f>IF(NOT(ISERROR(MATCH(K70,'Tabla Impacto'!$B$222:$B$224,0))),'Tabla Impacto'!$F$224&amp;"Por favor no seleccionar los criterios de impacto(Afectación Económica o presupuestal y Pérdida Reputacional)",K70)</f>
        <v xml:space="preserve">     El riesgo afecta la imagen de de la entidad con efecto publicitario sostenido a nivel de sector administrativo, nivel departamental o municipal</v>
      </c>
      <c r="M70" s="349" t="str">
        <f>IF(OR(L70='Tabla Impacto'!$C$12,L70='Tabla Impacto'!$D$12),"Leve",IF(OR(L70='Tabla Impacto'!$C$13,L70='Tabla Impacto'!$D$13),"Menor",IF(OR(L70='Tabla Impacto'!$C$14,L70='Tabla Impacto'!$D$14),"Moderado",IF(OR(L70='Tabla Impacto'!$C$15,L70='Tabla Impacto'!$D$15),"Mayor",IF(OR(L70='Tabla Impacto'!$C$16,L70='Tabla Impacto'!$D$16),"Catastrófico","")))))</f>
        <v>Mayor</v>
      </c>
      <c r="N70" s="350">
        <f>IF(M70="","",IF(M70="Leve",0.2,IF(M70="Menor",0.4,IF(M70="Moderado",0.6,IF(M70="Mayor",0.8,IF(M70="Catastrófico",1,))))))</f>
        <v>0.8</v>
      </c>
      <c r="O70" s="352"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Alto</v>
      </c>
      <c r="P70" s="171">
        <v>1</v>
      </c>
      <c r="Q70" s="160" t="s">
        <v>259</v>
      </c>
      <c r="R70" s="164" t="str">
        <f t="shared" si="78"/>
        <v>Probabilidad</v>
      </c>
      <c r="S70" s="165" t="s">
        <v>184</v>
      </c>
      <c r="T70" s="165" t="s">
        <v>185</v>
      </c>
      <c r="U70" s="166" t="str">
        <f>IF(AND(S70="Preventivo",T70="Automático"),"50%",IF(AND(S70="Preventivo",T70="Manual"),"40%",IF(AND(S70="Detectivo",T70="Automático"),"40%",IF(AND(S70="Detectivo",T70="Manual"),"30%",IF(AND(S70="Correctivo",T70="Automático"),"35%",IF(AND(S70="Correctivo",T70="Manual"),"25%",""))))))</f>
        <v>40%</v>
      </c>
      <c r="V70" s="165" t="s">
        <v>186</v>
      </c>
      <c r="W70" s="165" t="s">
        <v>187</v>
      </c>
      <c r="X70" s="165" t="s">
        <v>188</v>
      </c>
      <c r="Y70" s="167">
        <f>IFERROR(IF(R70="Probabilidad",(J70-(+J70*U70)),IF(R70="Impacto",J70,"")),"")</f>
        <v>0.48</v>
      </c>
      <c r="Z70" s="168" t="str">
        <f>IFERROR(IF(Y70="","",IF(Y70&lt;=0.2,"Muy Baja",IF(Y70&lt;=0.4,"Baja",IF(Y70&lt;=0.6,"Media",IF(Y70&lt;=0.8,"Alta","Muy Alta"))))),"")</f>
        <v>Media</v>
      </c>
      <c r="AA70" s="166">
        <f>+Y70</f>
        <v>0.48</v>
      </c>
      <c r="AB70" s="168" t="str">
        <f>IFERROR(IF(AC70="","",IF(AC70&lt;=0.2,"Leve",IF(AC70&lt;=0.4,"Menor",IF(AC70&lt;=0.6,"Moderado",IF(AC70&lt;=0.8,"Mayor","Catastrófico"))))),"")</f>
        <v>Mayor</v>
      </c>
      <c r="AC70" s="166">
        <f>IFERROR(IF(R70="Impacto",(N70-(+N70*U70)),IF(R70="Probabilidad",N70,"")),"")</f>
        <v>0.8</v>
      </c>
      <c r="AD70" s="169"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Alto</v>
      </c>
      <c r="AE70" s="165" t="s">
        <v>189</v>
      </c>
      <c r="AF70" s="199" t="s">
        <v>260</v>
      </c>
      <c r="AG70" s="199" t="s">
        <v>261</v>
      </c>
      <c r="AH70" s="161">
        <v>44469</v>
      </c>
      <c r="AI70" s="85"/>
      <c r="AJ70" s="158"/>
      <c r="AK70" s="159"/>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s="91" customFormat="1" ht="151.5" hidden="1" customHeight="1">
      <c r="B71" s="346"/>
      <c r="C71" s="347"/>
      <c r="D71" s="347"/>
      <c r="E71" s="347"/>
      <c r="F71" s="347"/>
      <c r="G71" s="347"/>
      <c r="H71" s="348"/>
      <c r="I71" s="349"/>
      <c r="J71" s="350"/>
      <c r="K71" s="351"/>
      <c r="L71" s="350">
        <f>IF(NOT(ISERROR(MATCH(K71,_xlfn.ANCHORARRAY(#REF!),0))),#REF!&amp;"Por favor no seleccionar los criterios de impacto",K71)</f>
        <v>0</v>
      </c>
      <c r="M71" s="349"/>
      <c r="N71" s="350"/>
      <c r="O71" s="352"/>
      <c r="P71" s="171">
        <v>2</v>
      </c>
      <c r="Q71" s="160"/>
      <c r="R71" s="164" t="str">
        <f>IF(OR(S71="Preventivo",S71="Detectivo"),"Probabilidad",IF(S71="Correctivo","Impacto",""))</f>
        <v/>
      </c>
      <c r="S71" s="165"/>
      <c r="T71" s="165"/>
      <c r="U71" s="166" t="str">
        <f t="shared" ref="U71:U75" si="82">IF(AND(S71="Preventivo",T71="Automático"),"50%",IF(AND(S71="Preventivo",T71="Manual"),"40%",IF(AND(S71="Detectivo",T71="Automático"),"40%",IF(AND(S71="Detectivo",T71="Manual"),"30%",IF(AND(S71="Correctivo",T71="Automático"),"35%",IF(AND(S71="Correctivo",T71="Manual"),"25%",""))))))</f>
        <v/>
      </c>
      <c r="V71" s="165"/>
      <c r="W71" s="165"/>
      <c r="X71" s="165"/>
      <c r="Y71" s="167" t="str">
        <f>IFERROR(IF(AND(R70="Probabilidad",R71="Probabilidad"),(AA70-(+AA70*U71)),IF(R71="Probabilidad",(J70-(+J70*U71)),IF(R71="Impacto",AA70,""))),"")</f>
        <v/>
      </c>
      <c r="Z71" s="172" t="str">
        <f t="shared" ref="Z71:Z75" si="83">IFERROR(IF(Y71="","",IF(Y71&lt;=0.2,"Muy Baja",IF(Y71&lt;=0.4,"Baja",IF(Y71&lt;=0.6,"Media",IF(Y71&lt;=0.8,"Alta","Muy Alta"))))),"")</f>
        <v/>
      </c>
      <c r="AA71" s="166" t="str">
        <f t="shared" ref="AA71:AA75" si="84">+Y71</f>
        <v/>
      </c>
      <c r="AB71" s="172" t="str">
        <f t="shared" ref="AB71:AB75" si="85">IFERROR(IF(AC71="","",IF(AC71&lt;=0.2,"Leve",IF(AC71&lt;=0.4,"Menor",IF(AC71&lt;=0.6,"Moderado",IF(AC71&lt;=0.8,"Mayor","Catastrófico"))))),"")</f>
        <v/>
      </c>
      <c r="AC71" s="166" t="str">
        <f>IFERROR(IF(AND(R70="Impacto",R71="Impacto"),(AC64-(+AC64*U71)),IF(R71="Impacto",($N$82-(+$N$82*U71)),IF(R71="Probabilidad",AC64,""))),"")</f>
        <v/>
      </c>
      <c r="AD71" s="169" t="str">
        <f t="shared" ref="AD71:AD72" si="86">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165"/>
      <c r="AF71" s="199"/>
      <c r="AG71" s="199"/>
      <c r="AH71" s="161"/>
      <c r="AI71" s="85"/>
      <c r="AJ71" s="158"/>
      <c r="AK71" s="159"/>
    </row>
    <row r="72" spans="2:69" s="91" customFormat="1" ht="151.5" hidden="1" customHeight="1">
      <c r="B72" s="346"/>
      <c r="C72" s="347"/>
      <c r="D72" s="347"/>
      <c r="E72" s="347"/>
      <c r="F72" s="347"/>
      <c r="G72" s="347"/>
      <c r="H72" s="348"/>
      <c r="I72" s="349"/>
      <c r="J72" s="350"/>
      <c r="K72" s="351"/>
      <c r="L72" s="350">
        <f>IF(NOT(ISERROR(MATCH(K72,_xlfn.ANCHORARRAY(#REF!),0))),#REF!&amp;"Por favor no seleccionar los criterios de impacto",K72)</f>
        <v>0</v>
      </c>
      <c r="M72" s="349"/>
      <c r="N72" s="350"/>
      <c r="O72" s="352"/>
      <c r="P72" s="171">
        <v>3</v>
      </c>
      <c r="Q72" s="170"/>
      <c r="R72" s="164" t="str">
        <f>IF(OR(S72="Preventivo",S72="Detectivo"),"Probabilidad",IF(S72="Correctivo","Impacto",""))</f>
        <v/>
      </c>
      <c r="S72" s="165"/>
      <c r="T72" s="165"/>
      <c r="U72" s="166" t="str">
        <f t="shared" si="82"/>
        <v/>
      </c>
      <c r="V72" s="165"/>
      <c r="W72" s="165"/>
      <c r="X72" s="165"/>
      <c r="Y72" s="167" t="str">
        <f>IFERROR(IF(AND(R71="Probabilidad",R72="Probabilidad"),(AA71-(+AA71*U72)),IF(AND(R71="Impacto",R72="Probabilidad"),(AA70-(+AA70*U72)),IF(R72="Impacto",AA71,""))),"")</f>
        <v/>
      </c>
      <c r="Z72" s="172" t="str">
        <f t="shared" si="83"/>
        <v/>
      </c>
      <c r="AA72" s="166" t="str">
        <f t="shared" si="84"/>
        <v/>
      </c>
      <c r="AB72" s="172" t="str">
        <f t="shared" si="85"/>
        <v/>
      </c>
      <c r="AC72" s="166" t="str">
        <f>IFERROR(IF(AND(R71="Impacto",R72="Impacto"),(AC71-(+AC71*U72)),IF(AND(R71="Probabilidad",R72="Impacto"),(AC70-(+AC70*U72)),IF(R72="Probabilidad",AC71,""))),"")</f>
        <v/>
      </c>
      <c r="AD72" s="169" t="str">
        <f t="shared" si="86"/>
        <v/>
      </c>
      <c r="AE72" s="165"/>
      <c r="AF72" s="199"/>
      <c r="AG72" s="199"/>
      <c r="AH72" s="161"/>
      <c r="AI72" s="85"/>
      <c r="AJ72" s="158"/>
      <c r="AK72" s="159"/>
    </row>
    <row r="73" spans="2:69" s="91" customFormat="1" ht="151.5" hidden="1" customHeight="1">
      <c r="B73" s="346"/>
      <c r="C73" s="347"/>
      <c r="D73" s="347"/>
      <c r="E73" s="347"/>
      <c r="F73" s="347"/>
      <c r="G73" s="347"/>
      <c r="H73" s="348"/>
      <c r="I73" s="349"/>
      <c r="J73" s="350"/>
      <c r="K73" s="351"/>
      <c r="L73" s="350">
        <f>IF(NOT(ISERROR(MATCH(K73,_xlfn.ANCHORARRAY(#REF!),0))),#REF!&amp;"Por favor no seleccionar los criterios de impacto",K73)</f>
        <v>0</v>
      </c>
      <c r="M73" s="349"/>
      <c r="N73" s="350"/>
      <c r="O73" s="352"/>
      <c r="P73" s="171">
        <v>4</v>
      </c>
      <c r="Q73" s="160"/>
      <c r="R73" s="164" t="str">
        <f t="shared" ref="R73:R75" si="87">IF(OR(S73="Preventivo",S73="Detectivo"),"Probabilidad",IF(S73="Correctivo","Impacto",""))</f>
        <v/>
      </c>
      <c r="S73" s="165"/>
      <c r="T73" s="165"/>
      <c r="U73" s="166" t="str">
        <f t="shared" si="82"/>
        <v/>
      </c>
      <c r="V73" s="165"/>
      <c r="W73" s="165"/>
      <c r="X73" s="165"/>
      <c r="Y73" s="167" t="str">
        <f t="shared" ref="Y73:Y75" si="88">IFERROR(IF(AND(R72="Probabilidad",R73="Probabilidad"),(AA72-(+AA72*U73)),IF(AND(R72="Impacto",R73="Probabilidad"),(AA71-(+AA71*U73)),IF(R73="Impacto",AA72,""))),"")</f>
        <v/>
      </c>
      <c r="Z73" s="172" t="str">
        <f t="shared" si="83"/>
        <v/>
      </c>
      <c r="AA73" s="166" t="str">
        <f t="shared" si="84"/>
        <v/>
      </c>
      <c r="AB73" s="172" t="str">
        <f t="shared" si="85"/>
        <v/>
      </c>
      <c r="AC73" s="166" t="str">
        <f t="shared" ref="AC73:AC75" si="89">IFERROR(IF(AND(R72="Impacto",R73="Impacto"),(AC72-(+AC72*U73)),IF(AND(R72="Probabilidad",R73="Impacto"),(AC71-(+AC71*U73)),IF(R73="Probabilidad",AC72,""))),"")</f>
        <v/>
      </c>
      <c r="AD73" s="169"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165"/>
      <c r="AF73" s="199"/>
      <c r="AG73" s="199"/>
      <c r="AH73" s="161"/>
      <c r="AI73" s="85"/>
      <c r="AJ73" s="158"/>
      <c r="AK73" s="159"/>
    </row>
    <row r="74" spans="2:69" s="91" customFormat="1" ht="151.5" hidden="1" customHeight="1">
      <c r="B74" s="346"/>
      <c r="C74" s="347"/>
      <c r="D74" s="347"/>
      <c r="E74" s="347"/>
      <c r="F74" s="347"/>
      <c r="G74" s="347"/>
      <c r="H74" s="348"/>
      <c r="I74" s="349"/>
      <c r="J74" s="350"/>
      <c r="K74" s="351"/>
      <c r="L74" s="350">
        <f>IF(NOT(ISERROR(MATCH(K74,_xlfn.ANCHORARRAY(#REF!),0))),#REF!&amp;"Por favor no seleccionar los criterios de impacto",K74)</f>
        <v>0</v>
      </c>
      <c r="M74" s="349"/>
      <c r="N74" s="350"/>
      <c r="O74" s="352"/>
      <c r="P74" s="171">
        <v>5</v>
      </c>
      <c r="Q74" s="160"/>
      <c r="R74" s="164" t="str">
        <f t="shared" si="87"/>
        <v/>
      </c>
      <c r="S74" s="165"/>
      <c r="T74" s="165"/>
      <c r="U74" s="166" t="str">
        <f t="shared" si="82"/>
        <v/>
      </c>
      <c r="V74" s="165"/>
      <c r="W74" s="165"/>
      <c r="X74" s="165"/>
      <c r="Y74" s="167" t="str">
        <f t="shared" si="88"/>
        <v/>
      </c>
      <c r="Z74" s="172" t="str">
        <f t="shared" si="83"/>
        <v/>
      </c>
      <c r="AA74" s="166" t="str">
        <f t="shared" si="84"/>
        <v/>
      </c>
      <c r="AB74" s="172" t="str">
        <f t="shared" si="85"/>
        <v/>
      </c>
      <c r="AC74" s="166" t="str">
        <f t="shared" si="89"/>
        <v/>
      </c>
      <c r="AD74" s="169" t="str">
        <f t="shared" ref="AD74:AD75" si="90">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165"/>
      <c r="AF74" s="199"/>
      <c r="AG74" s="199"/>
      <c r="AH74" s="161"/>
      <c r="AI74" s="85"/>
      <c r="AJ74" s="158"/>
      <c r="AK74" s="159"/>
    </row>
    <row r="75" spans="2:69" s="91" customFormat="1" ht="151.5" hidden="1" customHeight="1">
      <c r="B75" s="346"/>
      <c r="C75" s="347"/>
      <c r="D75" s="347"/>
      <c r="E75" s="347"/>
      <c r="F75" s="347"/>
      <c r="G75" s="347"/>
      <c r="H75" s="348"/>
      <c r="I75" s="349"/>
      <c r="J75" s="350"/>
      <c r="K75" s="351"/>
      <c r="L75" s="350">
        <f>IF(NOT(ISERROR(MATCH(K75,_xlfn.ANCHORARRAY(#REF!),0))),#REF!&amp;"Por favor no seleccionar los criterios de impacto",K75)</f>
        <v>0</v>
      </c>
      <c r="M75" s="349"/>
      <c r="N75" s="350"/>
      <c r="O75" s="352"/>
      <c r="P75" s="171">
        <v>6</v>
      </c>
      <c r="Q75" s="160"/>
      <c r="R75" s="164" t="str">
        <f t="shared" si="87"/>
        <v/>
      </c>
      <c r="S75" s="165"/>
      <c r="T75" s="165"/>
      <c r="U75" s="166" t="str">
        <f t="shared" si="82"/>
        <v/>
      </c>
      <c r="V75" s="165"/>
      <c r="W75" s="165"/>
      <c r="X75" s="165"/>
      <c r="Y75" s="167" t="str">
        <f t="shared" si="88"/>
        <v/>
      </c>
      <c r="Z75" s="172" t="str">
        <f t="shared" si="83"/>
        <v/>
      </c>
      <c r="AA75" s="166" t="str">
        <f t="shared" si="84"/>
        <v/>
      </c>
      <c r="AB75" s="172" t="str">
        <f t="shared" si="85"/>
        <v/>
      </c>
      <c r="AC75" s="166" t="str">
        <f t="shared" si="89"/>
        <v/>
      </c>
      <c r="AD75" s="169" t="str">
        <f t="shared" si="90"/>
        <v/>
      </c>
      <c r="AE75" s="165"/>
      <c r="AF75" s="199"/>
      <c r="AG75" s="199"/>
      <c r="AH75" s="161"/>
      <c r="AI75" s="85"/>
      <c r="AJ75" s="158"/>
      <c r="AK75" s="159"/>
    </row>
    <row r="76" spans="2:69" ht="84.75" customHeight="1">
      <c r="B76" s="408">
        <v>11</v>
      </c>
      <c r="C76" s="347" t="s">
        <v>197</v>
      </c>
      <c r="D76" s="347" t="s">
        <v>262</v>
      </c>
      <c r="E76" s="347" t="s">
        <v>263</v>
      </c>
      <c r="F76" s="347" t="s">
        <v>264</v>
      </c>
      <c r="G76" s="347" t="s">
        <v>180</v>
      </c>
      <c r="H76" s="348">
        <v>300</v>
      </c>
      <c r="I76" s="412" t="str">
        <f>IF(H76&lt;=0,"",IF(H76&lt;=2,"Muy Baja",IF(H76&lt;=24,"Baja",IF(H76&lt;=500,"Media",IF(H76&lt;=5000,"Alta","Muy Alta")))))</f>
        <v>Media</v>
      </c>
      <c r="J76" s="350">
        <f>IF(I76="","",IF(I76="Muy Baja",0.2,IF(I76="Baja",0.4,IF(I76="Media",0.6,IF(I76="Alta",0.8,IF(I76="Muy Alta",1,))))))</f>
        <v>0.6</v>
      </c>
      <c r="K76" s="351" t="s">
        <v>200</v>
      </c>
      <c r="L76" s="350" t="str">
        <f>IF(NOT(ISERROR(MATCH(K76,'[1]Tabla Impacto'!$B$222:$B$224,0))),'[1]Tabla Impacto'!$F$224&amp;"Por favor no seleccionar los criterios de impacto(Afectación Económica o presupuestal y Pérdida Reputacional)",K76)</f>
        <v xml:space="preserve">     El riesgo afecta la imagen de la entidad con algunos usuarios de relevancia frente al logro de los objetivos</v>
      </c>
      <c r="M76" s="412" t="str">
        <f>IF(OR(L76='[1]Tabla Impacto'!$C$12,L76='[1]Tabla Impacto'!$D$12),"Leve",IF(OR(L76='[1]Tabla Impacto'!$C$13,L76='[1]Tabla Impacto'!$D$13),"Menor",IF(OR(L76='[1]Tabla Impacto'!$C$14,L76='[1]Tabla Impacto'!$D$14),"Moderado",IF(OR(L76='[1]Tabla Impacto'!$C$15,L76='[1]Tabla Impacto'!$D$15),"Mayor",IF(OR(L76='[1]Tabla Impacto'!$C$16,L76='[1]Tabla Impacto'!$D$16),"Catastrófico","")))))</f>
        <v>Moderado</v>
      </c>
      <c r="N76" s="350">
        <f>IF(M76="","",IF(M76="Leve",0.2,IF(M76="Menor",0.4,IF(M76="Moderado",0.6,IF(M76="Mayor",0.8,IF(M76="Catastrófico",1,))))))</f>
        <v>0.6</v>
      </c>
      <c r="O76" s="352" t="str">
        <f>IF(OR(AND(I76="Muy Baja",M76="Leve"),AND(I76="Muy Baja",M76="Menor"),AND(I76="Baja",M76="Leve")),"Bajo",IF(OR(AND(I76="Muy baja",M76="Moderado"),AND(I76="Baja",M76="Menor"),AND(I76="Baja",M76="Moderado"),AND(I76="Media",M76="Leve"),AND(I76="Media",M76="Menor"),AND(I76="Media",M76="Moderado"),AND(I76="Alta",M76="Leve"),AND(I76="Alta",M76="Menor")),"Moderado",IF(OR(AND(I76="Muy Baja",M76="Mayor"),AND(I76="Baja",M76="Mayor"),AND(I76="Media",M76="Mayor"),AND(I76="Alta",M76="Moderado"),AND(I76="Alta",M76="Mayor"),AND(I76="Muy Alta",M76="Leve"),AND(I76="Muy Alta",M76="Menor"),AND(I76="Muy Alta",M76="Moderado"),AND(I76="Muy Alta",M76="Mayor")),"Alto",IF(OR(AND(I76="Muy Baja",M76="Catastrófico"),AND(I76="Baja",M76="Catastrófico"),AND(I76="Media",M76="Catastrófico"),AND(I76="Alta",M76="Catastrófico"),AND(I76="Muy Alta",M76="Catastrófico")),"Extremo",""))))</f>
        <v>Moderado</v>
      </c>
      <c r="P76" s="171">
        <v>1</v>
      </c>
      <c r="Q76" s="160" t="s">
        <v>265</v>
      </c>
      <c r="R76" s="164" t="str">
        <f t="shared" si="69"/>
        <v>Probabilidad</v>
      </c>
      <c r="S76" s="165" t="s">
        <v>184</v>
      </c>
      <c r="T76" s="165" t="s">
        <v>185</v>
      </c>
      <c r="U76" s="166" t="str">
        <f>IF(AND(S76="Preventivo",T76="Automático"),"50%",IF(AND(S76="Preventivo",T76="Manual"),"40%",IF(AND(S76="Detectivo",T76="Automático"),"40%",IF(AND(S76="Detectivo",T76="Manual"),"30%",IF(AND(S76="Correctivo",T76="Automático"),"35%",IF(AND(S76="Correctivo",T76="Manual"),"25%",""))))))</f>
        <v>40%</v>
      </c>
      <c r="V76" s="165" t="s">
        <v>186</v>
      </c>
      <c r="W76" s="165" t="s">
        <v>187</v>
      </c>
      <c r="X76" s="165" t="s">
        <v>188</v>
      </c>
      <c r="Y76" s="167">
        <f>IFERROR(IF(R76="Probabilidad",(J76-(+J76*U76)),IF(R76="Impacto",J76,"")),"")</f>
        <v>0.36</v>
      </c>
      <c r="Z76" s="168" t="str">
        <f>IFERROR(IF(Y76="","",IF(Y76&lt;=0.2,"Muy Baja",IF(Y76&lt;=0.4,"Baja",IF(Y76&lt;=0.6,"Media",IF(Y76&lt;=0.8,"Alta","Muy Alta"))))),"")</f>
        <v>Baja</v>
      </c>
      <c r="AA76" s="166">
        <f>+Y76</f>
        <v>0.36</v>
      </c>
      <c r="AB76" s="168" t="str">
        <f>IFERROR(IF(AC76="","",IF(AC76&lt;=0.2,"Leve",IF(AC76&lt;=0.4,"Menor",IF(AC76&lt;=0.6,"Moderado",IF(AC76&lt;=0.8,"Mayor","Catastrófico"))))),"")</f>
        <v>Moderado</v>
      </c>
      <c r="AC76" s="166">
        <f>IFERROR(IF(R76="Impacto",(N76-(+N76*U76)),IF(R76="Probabilidad",N76,"")),"")</f>
        <v>0.6</v>
      </c>
      <c r="AD76" s="169" t="str">
        <f>IFERROR(IF(OR(AND(Z76="Muy Baja",AB76="Leve"),AND(Z76="Muy Baja",AB76="Menor"),AND(Z76="Baja",AB76="Leve")),"Bajo",IF(OR(AND(Z76="Muy baja",AB76="Moderado"),AND(Z76="Baja",AB76="Menor"),AND(Z76="Baja",AB76="Moderado"),AND(Z76="Media",AB76="Leve"),AND(Z76="Media",AB76="Menor"),AND(Z76="Media",AB76="Moderado"),AND(Z76="Alta",AB76="Leve"),AND(Z76="Alta",AB76="Menor")),"Moderado",IF(OR(AND(Z76="Muy Baja",AB76="Mayor"),AND(Z76="Baja",AB76="Mayor"),AND(Z76="Media",AB76="Mayor"),AND(Z76="Alta",AB76="Moderado"),AND(Z76="Alta",AB76="Mayor"),AND(Z76="Muy Alta",AB76="Leve"),AND(Z76="Muy Alta",AB76="Menor"),AND(Z76="Muy Alta",AB76="Moderado"),AND(Z76="Muy Alta",AB76="Mayor")),"Alto",IF(OR(AND(Z76="Muy Baja",AB76="Catastrófico"),AND(Z76="Baja",AB76="Catastrófico"),AND(Z76="Media",AB76="Catastrófico"),AND(Z76="Alta",AB76="Catastrófico"),AND(Z76="Muy Alta",AB76="Catastrófico")),"Extremo","")))),"")</f>
        <v>Moderado</v>
      </c>
      <c r="AE76" s="165" t="s">
        <v>189</v>
      </c>
      <c r="AF76" s="199" t="s">
        <v>266</v>
      </c>
      <c r="AG76" s="199" t="s">
        <v>267</v>
      </c>
      <c r="AH76" s="161">
        <v>44407</v>
      </c>
      <c r="AI76" s="85"/>
      <c r="AJ76" s="158"/>
      <c r="AK76" s="93"/>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row>
    <row r="77" spans="2:69" ht="113.25" customHeight="1">
      <c r="B77" s="408"/>
      <c r="C77" s="347"/>
      <c r="D77" s="347"/>
      <c r="E77" s="347"/>
      <c r="F77" s="347"/>
      <c r="G77" s="347"/>
      <c r="H77" s="348"/>
      <c r="I77" s="412"/>
      <c r="J77" s="350"/>
      <c r="K77" s="351"/>
      <c r="L77" s="350">
        <f>IF(NOT(ISERROR(MATCH(K77,_xlfn.ANCHORARRAY(F83),0))),J85&amp;"Por favor no seleccionar los criterios de impacto",K77)</f>
        <v>0</v>
      </c>
      <c r="M77" s="412"/>
      <c r="N77" s="350"/>
      <c r="O77" s="352"/>
      <c r="P77" s="171">
        <v>2</v>
      </c>
      <c r="Q77" s="160" t="s">
        <v>268</v>
      </c>
      <c r="R77" s="164" t="str">
        <f t="shared" si="69"/>
        <v>Probabilidad</v>
      </c>
      <c r="S77" s="165" t="s">
        <v>184</v>
      </c>
      <c r="T77" s="165" t="s">
        <v>185</v>
      </c>
      <c r="U77" s="166" t="str">
        <f t="shared" ref="U77:U78" si="91">IF(AND(S77="Preventivo",T77="Automático"),"50%",IF(AND(S77="Preventivo",T77="Manual"),"40%",IF(AND(S77="Detectivo",T77="Automático"),"40%",IF(AND(S77="Detectivo",T77="Manual"),"30%",IF(AND(S77="Correctivo",T77="Automático"),"35%",IF(AND(S77="Correctivo",T77="Manual"),"25%",""))))))</f>
        <v>40%</v>
      </c>
      <c r="V77" s="165" t="s">
        <v>186</v>
      </c>
      <c r="W77" s="165" t="s">
        <v>187</v>
      </c>
      <c r="X77" s="165" t="s">
        <v>188</v>
      </c>
      <c r="Y77" s="167">
        <f>IFERROR(IF(AND(R76="Probabilidad",R77="Probabilidad"),(AA76-(+AA76*U77)),IF(R77="Probabilidad",(J76-(+J76*U77)),IF(R77="Impacto",AA76,""))),"")</f>
        <v>0.216</v>
      </c>
      <c r="Z77" s="168" t="str">
        <f t="shared" ref="Z77:Z78" si="92">IFERROR(IF(Y77="","",IF(Y77&lt;=0.2,"Muy Baja",IF(Y77&lt;=0.4,"Baja",IF(Y77&lt;=0.6,"Media",IF(Y77&lt;=0.8,"Alta","Muy Alta"))))),"")</f>
        <v>Baja</v>
      </c>
      <c r="AA77" s="166">
        <f t="shared" ref="AA77:AA78" si="93">+Y77</f>
        <v>0.216</v>
      </c>
      <c r="AB77" s="168" t="str">
        <f t="shared" ref="AB77:AB78" si="94">IFERROR(IF(AC77="","",IF(AC77&lt;=0.2,"Leve",IF(AC77&lt;=0.4,"Menor",IF(AC77&lt;=0.6,"Moderado",IF(AC77&lt;=0.8,"Mayor","Catastrófico"))))),"")</f>
        <v>Moderado</v>
      </c>
      <c r="AC77" s="166">
        <f>IFERROR(IF(AND(R76="Impacto",R77="Impacto"),(AC58-(+AC58*U77)),IF(R77="Impacto",($N$76-(+$N$76*U77)),IF(R77="Probabilidad",AC58,""))),"")</f>
        <v>0.6</v>
      </c>
      <c r="AD77" s="169" t="str">
        <f t="shared" ref="AD77:AD78" si="95">IFERROR(IF(OR(AND(Z77="Muy Baja",AB77="Leve"),AND(Z77="Muy Baja",AB77="Menor"),AND(Z77="Baja",AB77="Leve")),"Bajo",IF(OR(AND(Z77="Muy baja",AB77="Moderado"),AND(Z77="Baja",AB77="Menor"),AND(Z77="Baja",AB77="Moderado"),AND(Z77="Media",AB77="Leve"),AND(Z77="Media",AB77="Menor"),AND(Z77="Media",AB77="Moderado"),AND(Z77="Alta",AB77="Leve"),AND(Z77="Alta",AB77="Menor")),"Moderado",IF(OR(AND(Z77="Muy Baja",AB77="Mayor"),AND(Z77="Baja",AB77="Mayor"),AND(Z77="Media",AB77="Mayor"),AND(Z77="Alta",AB77="Moderado"),AND(Z77="Alta",AB77="Mayor"),AND(Z77="Muy Alta",AB77="Leve"),AND(Z77="Muy Alta",AB77="Menor"),AND(Z77="Muy Alta",AB77="Moderado"),AND(Z77="Muy Alta",AB77="Mayor")),"Alto",IF(OR(AND(Z77="Muy Baja",AB77="Catastrófico"),AND(Z77="Baja",AB77="Catastrófico"),AND(Z77="Media",AB77="Catastrófico"),AND(Z77="Alta",AB77="Catastrófico"),AND(Z77="Muy Alta",AB77="Catastrófico")),"Extremo","")))),"")</f>
        <v>Moderado</v>
      </c>
      <c r="AE77" s="165" t="s">
        <v>189</v>
      </c>
      <c r="AF77" s="199" t="s">
        <v>269</v>
      </c>
      <c r="AG77" s="199" t="s">
        <v>270</v>
      </c>
      <c r="AH77" s="161">
        <v>44438</v>
      </c>
      <c r="AI77" s="85"/>
      <c r="AJ77" s="158"/>
      <c r="AK77" s="93"/>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row>
    <row r="78" spans="2:69" ht="90" customHeight="1">
      <c r="B78" s="408"/>
      <c r="C78" s="347"/>
      <c r="D78" s="347"/>
      <c r="E78" s="347"/>
      <c r="F78" s="347"/>
      <c r="G78" s="347"/>
      <c r="H78" s="348"/>
      <c r="I78" s="412"/>
      <c r="J78" s="350"/>
      <c r="K78" s="351"/>
      <c r="L78" s="350">
        <f>IF(NOT(ISERROR(MATCH(K78,_xlfn.ANCHORARRAY(F84),0))),J86&amp;"Por favor no seleccionar los criterios de impacto",K78)</f>
        <v>0</v>
      </c>
      <c r="M78" s="412"/>
      <c r="N78" s="350"/>
      <c r="O78" s="352"/>
      <c r="P78" s="171">
        <v>3</v>
      </c>
      <c r="Q78" s="170" t="s">
        <v>271</v>
      </c>
      <c r="R78" s="164" t="str">
        <f t="shared" si="69"/>
        <v>Probabilidad</v>
      </c>
      <c r="S78" s="165" t="s">
        <v>184</v>
      </c>
      <c r="T78" s="165" t="s">
        <v>185</v>
      </c>
      <c r="U78" s="166" t="str">
        <f t="shared" si="91"/>
        <v>40%</v>
      </c>
      <c r="V78" s="165" t="s">
        <v>186</v>
      </c>
      <c r="W78" s="165" t="s">
        <v>187</v>
      </c>
      <c r="X78" s="165" t="s">
        <v>188</v>
      </c>
      <c r="Y78" s="167">
        <f>IFERROR(IF(AND(R77="Probabilidad",R78="Probabilidad"),(AA77-(+AA77*U78)),IF(AND(R77="Impacto",R78="Probabilidad"),(AA76-(+AA76*U78)),IF(R78="Impacto",AA77,""))),"")</f>
        <v>0.12959999999999999</v>
      </c>
      <c r="Z78" s="168" t="str">
        <f t="shared" si="92"/>
        <v>Muy Baja</v>
      </c>
      <c r="AA78" s="166">
        <f t="shared" si="93"/>
        <v>0.12959999999999999</v>
      </c>
      <c r="AB78" s="168" t="str">
        <f t="shared" si="94"/>
        <v>Moderado</v>
      </c>
      <c r="AC78" s="166">
        <f>IFERROR(IF(AND(R77="Impacto",R78="Impacto"),(AC77-(+AC77*U78)),IF(AND(R77="Probabilidad",R78="Impacto"),(AC76-(+AC76*U78)),IF(R78="Probabilidad",AC77,""))),"")</f>
        <v>0.6</v>
      </c>
      <c r="AD78" s="169" t="str">
        <f t="shared" si="95"/>
        <v>Moderado</v>
      </c>
      <c r="AE78" s="165"/>
      <c r="AF78" s="199" t="s">
        <v>272</v>
      </c>
      <c r="AG78" s="199" t="s">
        <v>270</v>
      </c>
      <c r="AH78" s="161">
        <v>44407</v>
      </c>
      <c r="AI78" s="85"/>
      <c r="AJ78" s="158"/>
      <c r="AK78" s="93"/>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row>
    <row r="79" spans="2:69" hidden="1">
      <c r="B79" s="411"/>
      <c r="C79" s="347"/>
      <c r="D79" s="347"/>
      <c r="E79" s="347"/>
      <c r="F79" s="347"/>
      <c r="G79" s="347"/>
      <c r="H79" s="348"/>
      <c r="I79" s="412"/>
      <c r="J79" s="350"/>
      <c r="K79" s="351"/>
      <c r="L79" s="350"/>
      <c r="M79" s="412"/>
      <c r="N79" s="350"/>
      <c r="O79" s="352"/>
      <c r="P79" s="178"/>
      <c r="Q79" s="178"/>
      <c r="R79" s="178"/>
      <c r="S79" s="178"/>
      <c r="T79" s="178"/>
      <c r="U79" s="178"/>
      <c r="V79" s="178"/>
      <c r="W79" s="178"/>
      <c r="X79" s="178"/>
      <c r="Y79" s="178"/>
      <c r="Z79" s="178"/>
      <c r="AA79" s="178"/>
      <c r="AB79" s="178"/>
      <c r="AC79" s="178"/>
      <c r="AD79" s="178"/>
      <c r="AE79" s="178"/>
      <c r="AF79" s="178"/>
      <c r="AG79" s="179"/>
      <c r="AH79" s="178"/>
      <c r="AI79" s="94"/>
      <c r="AJ79" s="94"/>
      <c r="AK79" s="95"/>
      <c r="AL79" s="91"/>
      <c r="AM79" s="91"/>
      <c r="AN79" s="91"/>
      <c r="AO79" s="91"/>
      <c r="AP79" s="91"/>
      <c r="AQ79" s="91"/>
      <c r="AR79" s="91"/>
      <c r="AS79" s="91"/>
      <c r="AT79" s="91"/>
      <c r="AU79" s="91"/>
      <c r="AV79" s="91"/>
      <c r="AW79" s="91"/>
      <c r="AX79" s="91"/>
      <c r="AY79" s="91"/>
      <c r="AZ79" s="91"/>
      <c r="BA79" s="91"/>
      <c r="BB79" s="91"/>
      <c r="BC79" s="91"/>
      <c r="BD79" s="91"/>
      <c r="BE79" s="91"/>
      <c r="BF79" s="91"/>
      <c r="BG79" s="91"/>
      <c r="BH79" s="91"/>
      <c r="BI79" s="91"/>
      <c r="BJ79" s="91"/>
      <c r="BK79" s="91"/>
      <c r="BL79" s="91"/>
      <c r="BM79" s="91"/>
      <c r="BN79" s="91"/>
      <c r="BO79" s="91"/>
      <c r="BP79" s="91"/>
      <c r="BQ79" s="91"/>
    </row>
    <row r="80" spans="2:69" ht="151.5" hidden="1" customHeight="1">
      <c r="B80" s="408"/>
      <c r="C80" s="347"/>
      <c r="D80" s="347"/>
      <c r="E80" s="347"/>
      <c r="F80" s="347"/>
      <c r="G80" s="347"/>
      <c r="H80" s="348"/>
      <c r="I80" s="412"/>
      <c r="J80" s="350"/>
      <c r="K80" s="351"/>
      <c r="L80" s="350"/>
      <c r="M80" s="412"/>
      <c r="N80" s="350"/>
      <c r="O80" s="352"/>
      <c r="P80" s="171">
        <v>5</v>
      </c>
      <c r="Q80" s="160"/>
      <c r="R80" s="164" t="str">
        <f t="shared" ref="R80:R82" si="96">IF(OR(S80="Preventivo",S80="Detectivo"),"Probabilidad",IF(S80="Correctivo","Impacto",""))</f>
        <v/>
      </c>
      <c r="S80" s="165"/>
      <c r="T80" s="165"/>
      <c r="U80" s="166" t="str">
        <f t="shared" ref="U80:U81" si="97">IF(AND(S80="Preventivo",T80="Automático"),"50%",IF(AND(S80="Preventivo",T80="Manual"),"40%",IF(AND(S80="Detectivo",T80="Automático"),"40%",IF(AND(S80="Detectivo",T80="Manual"),"30%",IF(AND(S80="Correctivo",T80="Automático"),"35%",IF(AND(S80="Correctivo",T80="Manual"),"25%",""))))))</f>
        <v/>
      </c>
      <c r="V80" s="165"/>
      <c r="W80" s="165"/>
      <c r="X80" s="165"/>
      <c r="Y80" s="167" t="str">
        <f t="shared" ref="Y80:Y81" si="98">IFERROR(IF(AND(R79="Probabilidad",R80="Probabilidad"),(AA79-(+AA79*U80)),IF(AND(R79="Impacto",R80="Probabilidad"),(AA78-(+AA78*U80)),IF(R80="Impacto",AA79,""))),"")</f>
        <v/>
      </c>
      <c r="Z80" s="172" t="str">
        <f t="shared" si="9"/>
        <v/>
      </c>
      <c r="AA80" s="166" t="str">
        <f t="shared" ref="AA80:AA81" si="99">+Y80</f>
        <v/>
      </c>
      <c r="AB80" s="172" t="str">
        <f t="shared" si="11"/>
        <v/>
      </c>
      <c r="AC80" s="166" t="str">
        <f t="shared" ref="AC80:AC81" si="100">IFERROR(IF(AND(R79="Impacto",R80="Impacto"),(AC79-(+AC79*U80)),IF(AND(R79="Probabilidad",R80="Impacto"),(AC78-(+AC78*U80)),IF(R80="Probabilidad",AC79,""))),"")</f>
        <v/>
      </c>
      <c r="AD80" s="169" t="str">
        <f t="shared" ref="AD80:AD81" si="101">IFERROR(IF(OR(AND(Z80="Muy Baja",AB80="Leve"),AND(Z80="Muy Baja",AB80="Menor"),AND(Z80="Baja",AB80="Leve")),"Bajo",IF(OR(AND(Z80="Muy baja",AB80="Moderado"),AND(Z80="Baja",AB80="Menor"),AND(Z80="Baja",AB80="Moderado"),AND(Z80="Media",AB80="Leve"),AND(Z80="Media",AB80="Menor"),AND(Z80="Media",AB80="Moderado"),AND(Z80="Alta",AB80="Leve"),AND(Z80="Alta",AB80="Menor")),"Moderado",IF(OR(AND(Z80="Muy Baja",AB80="Mayor"),AND(Z80="Baja",AB80="Mayor"),AND(Z80="Media",AB80="Mayor"),AND(Z80="Alta",AB80="Moderado"),AND(Z80="Alta",AB80="Mayor"),AND(Z80="Muy Alta",AB80="Leve"),AND(Z80="Muy Alta",AB80="Menor"),AND(Z80="Muy Alta",AB80="Moderado"),AND(Z80="Muy Alta",AB80="Mayor")),"Alto",IF(OR(AND(Z80="Muy Baja",AB80="Catastrófico"),AND(Z80="Baja",AB80="Catastrófico"),AND(Z80="Media",AB80="Catastrófico"),AND(Z80="Alta",AB80="Catastrófico"),AND(Z80="Muy Alta",AB80="Catastrófico")),"Extremo","")))),"")</f>
        <v/>
      </c>
      <c r="AE80" s="165"/>
      <c r="AF80" s="199"/>
      <c r="AG80" s="199"/>
      <c r="AH80" s="161"/>
      <c r="AI80" s="85"/>
      <c r="AJ80" s="158"/>
      <c r="AK80" s="93"/>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row>
    <row r="81" spans="2:69" ht="151.5" hidden="1" customHeight="1">
      <c r="B81" s="408"/>
      <c r="C81" s="347"/>
      <c r="D81" s="347"/>
      <c r="E81" s="347"/>
      <c r="F81" s="347"/>
      <c r="G81" s="347"/>
      <c r="H81" s="348"/>
      <c r="I81" s="412"/>
      <c r="J81" s="350"/>
      <c r="K81" s="351"/>
      <c r="L81" s="350"/>
      <c r="M81" s="412"/>
      <c r="N81" s="350"/>
      <c r="O81" s="352"/>
      <c r="P81" s="171">
        <v>6</v>
      </c>
      <c r="Q81" s="160"/>
      <c r="R81" s="164" t="str">
        <f t="shared" si="96"/>
        <v/>
      </c>
      <c r="S81" s="165"/>
      <c r="T81" s="165"/>
      <c r="U81" s="166" t="str">
        <f t="shared" si="97"/>
        <v/>
      </c>
      <c r="V81" s="165"/>
      <c r="W81" s="165"/>
      <c r="X81" s="165"/>
      <c r="Y81" s="167" t="str">
        <f t="shared" si="98"/>
        <v/>
      </c>
      <c r="Z81" s="172" t="str">
        <f t="shared" si="9"/>
        <v/>
      </c>
      <c r="AA81" s="166" t="str">
        <f t="shared" si="99"/>
        <v/>
      </c>
      <c r="AB81" s="172" t="str">
        <f t="shared" si="11"/>
        <v/>
      </c>
      <c r="AC81" s="166" t="str">
        <f t="shared" si="100"/>
        <v/>
      </c>
      <c r="AD81" s="169" t="str">
        <f t="shared" si="101"/>
        <v/>
      </c>
      <c r="AE81" s="165"/>
      <c r="AF81" s="199"/>
      <c r="AG81" s="199"/>
      <c r="AH81" s="161"/>
      <c r="AI81" s="85"/>
      <c r="AJ81" s="158"/>
      <c r="AK81" s="93"/>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row>
    <row r="82" spans="2:69" ht="126.75" customHeight="1">
      <c r="B82" s="408">
        <v>12</v>
      </c>
      <c r="C82" s="353" t="s">
        <v>176</v>
      </c>
      <c r="D82" s="353" t="s">
        <v>177</v>
      </c>
      <c r="E82" s="353" t="s">
        <v>273</v>
      </c>
      <c r="F82" s="353" t="s">
        <v>274</v>
      </c>
      <c r="G82" s="353" t="s">
        <v>180</v>
      </c>
      <c r="H82" s="356">
        <v>246</v>
      </c>
      <c r="I82" s="359" t="str">
        <f>IF(H82&lt;=0,"",IF(H82&lt;=2,"Muy Baja",IF(H82&lt;=24,"Baja",IF(H82&lt;=500,"Media",IF(H82&lt;=5000,"Alta","Muy Alta")))))</f>
        <v>Media</v>
      </c>
      <c r="J82" s="362">
        <f>IF(I82="","",IF(I82="Muy Baja",0.2,IF(I82="Baja",0.4,IF(I82="Media",0.6,IF(I82="Alta",0.8,IF(I82="Muy Alta",1,))))))</f>
        <v>0.6</v>
      </c>
      <c r="K82" s="365" t="s">
        <v>200</v>
      </c>
      <c r="L82" s="362" t="str">
        <f>IF(NOT(ISERROR(MATCH(K82,'Tabla Impacto'!$B$222:$B$224,0))),'Tabla Impacto'!$F$224&amp;"Por favor no seleccionar los criterios de impacto(Afectación Económica o presupuestal y Pérdida Reputacional)",K82)</f>
        <v xml:space="preserve">     El riesgo afecta la imagen de la entidad con algunos usuarios de relevancia frente al logro de los objetivos</v>
      </c>
      <c r="M82" s="359" t="str">
        <f>IF(OR(L82='Tabla Impacto'!$C$12,L82='Tabla Impacto'!$D$12),"Leve",IF(OR(L82='Tabla Impacto'!$C$13,L82='Tabla Impacto'!$D$13),"Menor",IF(OR(L82='Tabla Impacto'!$C$14,L82='Tabla Impacto'!$D$14),"Moderado",IF(OR(L82='Tabla Impacto'!$C$15,L82='Tabla Impacto'!$D$15),"Mayor",IF(OR(L82='Tabla Impacto'!$C$16,L82='Tabla Impacto'!$D$16),"Catastrófico","")))))</f>
        <v>Moderado</v>
      </c>
      <c r="N82" s="362">
        <f>IF(M82="","",IF(M82="Leve",0.2,IF(M82="Menor",0.4,IF(M82="Moderado",0.6,IF(M82="Mayor",0.8,IF(M82="Catastrófico",1,))))))</f>
        <v>0.6</v>
      </c>
      <c r="O82" s="343" t="str">
        <f>IF(OR(AND(I82="Muy Baja",M82="Leve"),AND(I82="Muy Baja",M82="Menor"),AND(I82="Baja",M82="Leve")),"Bajo",IF(OR(AND(I82="Muy baja",M82="Moderado"),AND(I82="Baja",M82="Menor"),AND(I82="Baja",M82="Moderado"),AND(I82="Media",M82="Leve"),AND(I82="Media",M82="Menor"),AND(I82="Media",M82="Moderado"),AND(I82="Alta",M82="Leve"),AND(I82="Alta",M82="Menor")),"Moderado",IF(OR(AND(I82="Muy Baja",M82="Mayor"),AND(I82="Baja",M82="Mayor"),AND(I82="Media",M82="Mayor"),AND(I82="Alta",M82="Moderado"),AND(I82="Alta",M82="Mayor"),AND(I82="Muy Alta",M82="Leve"),AND(I82="Muy Alta",M82="Menor"),AND(I82="Muy Alta",M82="Moderado"),AND(I82="Muy Alta",M82="Mayor")),"Alto",IF(OR(AND(I82="Muy Baja",M82="Catastrófico"),AND(I82="Baja",M82="Catastrófico"),AND(I82="Media",M82="Catastrófico"),AND(I82="Alta",M82="Catastrófico"),AND(I82="Muy Alta",M82="Catastrófico")),"Extremo",""))))</f>
        <v>Moderado</v>
      </c>
      <c r="P82" s="171">
        <v>1</v>
      </c>
      <c r="Q82" s="160" t="s">
        <v>275</v>
      </c>
      <c r="R82" s="164" t="str">
        <f t="shared" si="96"/>
        <v>Probabilidad</v>
      </c>
      <c r="S82" s="165" t="s">
        <v>184</v>
      </c>
      <c r="T82" s="165" t="s">
        <v>185</v>
      </c>
      <c r="U82" s="166" t="str">
        <f>IF(AND(S82="Preventivo",T82="Automático"),"50%",IF(AND(S82="Preventivo",T82="Manual"),"40%",IF(AND(S82="Detectivo",T82="Automático"),"40%",IF(AND(S82="Detectivo",T82="Manual"),"30%",IF(AND(S82="Correctivo",T82="Automático"),"35%",IF(AND(S82="Correctivo",T82="Manual"),"25%",""))))))</f>
        <v>40%</v>
      </c>
      <c r="V82" s="165" t="s">
        <v>186</v>
      </c>
      <c r="W82" s="165" t="s">
        <v>187</v>
      </c>
      <c r="X82" s="165" t="s">
        <v>188</v>
      </c>
      <c r="Y82" s="167">
        <f>IFERROR(IF(R82="Probabilidad",(J82-(+J82*U82)),IF(R82="Impacto",J82,"")),"")</f>
        <v>0.36</v>
      </c>
      <c r="Z82" s="168" t="str">
        <f>IFERROR(IF(Y82="","",IF(Y82&lt;=0.2,"Muy Baja",IF(Y82&lt;=0.4,"Baja",IF(Y82&lt;=0.6,"Media",IF(Y82&lt;=0.8,"Alta","Muy Alta"))))),"")</f>
        <v>Baja</v>
      </c>
      <c r="AA82" s="166">
        <f>+Y82</f>
        <v>0.36</v>
      </c>
      <c r="AB82" s="168" t="str">
        <f>IFERROR(IF(AC82="","",IF(AC82&lt;=0.2,"Leve",IF(AC82&lt;=0.4,"Menor",IF(AC82&lt;=0.6,"Moderado",IF(AC82&lt;=0.8,"Mayor","Catastrófico"))))),"")</f>
        <v>Moderado</v>
      </c>
      <c r="AC82" s="166">
        <f>IFERROR(IF(R82="Impacto",(N82-(+N82*U82)),IF(R82="Probabilidad",N82,"")),"")</f>
        <v>0.6</v>
      </c>
      <c r="AD82" s="169" t="str">
        <f>IFERROR(IF(OR(AND(Z82="Muy Baja",AB82="Leve"),AND(Z82="Muy Baja",AB82="Menor"),AND(Z82="Baja",AB82="Leve")),"Bajo",IF(OR(AND(Z82="Muy baja",AB82="Moderado"),AND(Z82="Baja",AB82="Menor"),AND(Z82="Baja",AB82="Moderado"),AND(Z82="Media",AB82="Leve"),AND(Z82="Media",AB82="Menor"),AND(Z82="Media",AB82="Moderado"),AND(Z82="Alta",AB82="Leve"),AND(Z82="Alta",AB82="Menor")),"Moderado",IF(OR(AND(Z82="Muy Baja",AB82="Mayor"),AND(Z82="Baja",AB82="Mayor"),AND(Z82="Media",AB82="Mayor"),AND(Z82="Alta",AB82="Moderado"),AND(Z82="Alta",AB82="Mayor"),AND(Z82="Muy Alta",AB82="Leve"),AND(Z82="Muy Alta",AB82="Menor"),AND(Z82="Muy Alta",AB82="Moderado"),AND(Z82="Muy Alta",AB82="Mayor")),"Alto",IF(OR(AND(Z82="Muy Baja",AB82="Catastrófico"),AND(Z82="Baja",AB82="Catastrófico"),AND(Z82="Media",AB82="Catastrófico"),AND(Z82="Alta",AB82="Catastrófico"),AND(Z82="Muy Alta",AB82="Catastrófico")),"Extremo","")))),"")</f>
        <v>Moderado</v>
      </c>
      <c r="AE82" s="165" t="s">
        <v>189</v>
      </c>
      <c r="AF82" s="199" t="s">
        <v>276</v>
      </c>
      <c r="AG82" s="199" t="s">
        <v>277</v>
      </c>
      <c r="AH82" s="161">
        <v>44469</v>
      </c>
      <c r="AI82" s="85"/>
      <c r="AJ82" s="158"/>
      <c r="AK82" s="93"/>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row>
    <row r="83" spans="2:69" ht="102" customHeight="1" thickBot="1">
      <c r="B83" s="408"/>
      <c r="C83" s="354"/>
      <c r="D83" s="354"/>
      <c r="E83" s="354"/>
      <c r="F83" s="354"/>
      <c r="G83" s="354"/>
      <c r="H83" s="357"/>
      <c r="I83" s="360"/>
      <c r="J83" s="363"/>
      <c r="K83" s="366"/>
      <c r="L83" s="363">
        <f>IF(NOT(ISERROR(MATCH(K83,_xlfn.ANCHORARRAY(F94),0))),J96&amp;"Por favor no seleccionar los criterios de impacto",K83)</f>
        <v>0</v>
      </c>
      <c r="M83" s="360"/>
      <c r="N83" s="363"/>
      <c r="O83" s="344"/>
      <c r="P83" s="171">
        <v>2</v>
      </c>
      <c r="Q83" s="160" t="s">
        <v>278</v>
      </c>
      <c r="R83" s="164" t="str">
        <f>IF(OR(S83="Preventivo",S83="Detectivo"),"Probabilidad",IF(S83="Correctivo","Impacto",""))</f>
        <v>Probabilidad</v>
      </c>
      <c r="S83" s="165" t="s">
        <v>184</v>
      </c>
      <c r="T83" s="165" t="s">
        <v>185</v>
      </c>
      <c r="U83" s="166" t="str">
        <f t="shared" ref="U83:U87" si="102">IF(AND(S83="Preventivo",T83="Automático"),"50%",IF(AND(S83="Preventivo",T83="Manual"),"40%",IF(AND(S83="Detectivo",T83="Automático"),"40%",IF(AND(S83="Detectivo",T83="Manual"),"30%",IF(AND(S83="Correctivo",T83="Automático"),"35%",IF(AND(S83="Correctivo",T83="Manual"),"25%",""))))))</f>
        <v>40%</v>
      </c>
      <c r="V83" s="165" t="s">
        <v>186</v>
      </c>
      <c r="W83" s="165" t="s">
        <v>187</v>
      </c>
      <c r="X83" s="165" t="s">
        <v>188</v>
      </c>
      <c r="Y83" s="167">
        <f>IFERROR(IF(AND(R82="Probabilidad",R83="Probabilidad"),(AA82-(+AA82*U83)),IF(R83="Probabilidad",(J82-(+J82*U83)),IF(R83="Impacto",AA82,""))),"")</f>
        <v>0.216</v>
      </c>
      <c r="Z83" s="172" t="str">
        <f t="shared" si="9"/>
        <v>Baja</v>
      </c>
      <c r="AA83" s="166">
        <f t="shared" ref="AA83:AA87" si="103">+Y83</f>
        <v>0.216</v>
      </c>
      <c r="AB83" s="172" t="str">
        <f t="shared" si="11"/>
        <v>Moderado</v>
      </c>
      <c r="AC83" s="166">
        <f>IFERROR(IF(AND(R82="Impacto",R83="Impacto"),(AC76-(+AC76*U83)),IF(R83="Impacto",($N$82-(+$N$82*U83)),IF(R83="Probabilidad",AC76,""))),"")</f>
        <v>0.6</v>
      </c>
      <c r="AD83" s="169" t="str">
        <f t="shared" ref="AD83:AD84" si="104">IFERROR(IF(OR(AND(Z83="Muy Baja",AB83="Leve"),AND(Z83="Muy Baja",AB83="Menor"),AND(Z83="Baja",AB83="Leve")),"Bajo",IF(OR(AND(Z83="Muy baja",AB83="Moderado"),AND(Z83="Baja",AB83="Menor"),AND(Z83="Baja",AB83="Moderado"),AND(Z83="Media",AB83="Leve"),AND(Z83="Media",AB83="Menor"),AND(Z83="Media",AB83="Moderado"),AND(Z83="Alta",AB83="Leve"),AND(Z83="Alta",AB83="Menor")),"Moderado",IF(OR(AND(Z83="Muy Baja",AB83="Mayor"),AND(Z83="Baja",AB83="Mayor"),AND(Z83="Media",AB83="Mayor"),AND(Z83="Alta",AB83="Moderado"),AND(Z83="Alta",AB83="Mayor"),AND(Z83="Muy Alta",AB83="Leve"),AND(Z83="Muy Alta",AB83="Menor"),AND(Z83="Muy Alta",AB83="Moderado"),AND(Z83="Muy Alta",AB83="Mayor")),"Alto",IF(OR(AND(Z83="Muy Baja",AB83="Catastrófico"),AND(Z83="Baja",AB83="Catastrófico"),AND(Z83="Media",AB83="Catastrófico"),AND(Z83="Alta",AB83="Catastrófico"),AND(Z83="Muy Alta",AB83="Catastrófico")),"Extremo","")))),"")</f>
        <v>Moderado</v>
      </c>
      <c r="AE83" s="165" t="s">
        <v>189</v>
      </c>
      <c r="AF83" s="199" t="s">
        <v>279</v>
      </c>
      <c r="AG83" s="199" t="s">
        <v>277</v>
      </c>
      <c r="AH83" s="161">
        <v>44469</v>
      </c>
      <c r="AI83" s="85"/>
      <c r="AJ83" s="158"/>
      <c r="AK83" s="93"/>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row>
    <row r="84" spans="2:69" ht="151.5" hidden="1" customHeight="1">
      <c r="B84" s="408"/>
      <c r="C84" s="354"/>
      <c r="D84" s="354"/>
      <c r="E84" s="354"/>
      <c r="F84" s="354"/>
      <c r="G84" s="354"/>
      <c r="H84" s="357"/>
      <c r="I84" s="360"/>
      <c r="J84" s="363"/>
      <c r="K84" s="366"/>
      <c r="L84" s="363">
        <f>IF(NOT(ISERROR(MATCH(K84,_xlfn.ANCHORARRAY(F95),0))),J97&amp;"Por favor no seleccionar los criterios de impacto",K84)</f>
        <v>0</v>
      </c>
      <c r="M84" s="360"/>
      <c r="N84" s="363"/>
      <c r="O84" s="344"/>
      <c r="P84" s="171">
        <v>3</v>
      </c>
      <c r="Q84" s="170"/>
      <c r="R84" s="164" t="str">
        <f>IF(OR(S84="Preventivo",S84="Detectivo"),"Probabilidad",IF(S84="Correctivo","Impacto",""))</f>
        <v/>
      </c>
      <c r="S84" s="165"/>
      <c r="T84" s="165"/>
      <c r="U84" s="166" t="str">
        <f t="shared" si="102"/>
        <v/>
      </c>
      <c r="V84" s="165"/>
      <c r="W84" s="165"/>
      <c r="X84" s="165"/>
      <c r="Y84" s="167" t="str">
        <f>IFERROR(IF(AND(R83="Probabilidad",R84="Probabilidad"),(AA83-(+AA83*U84)),IF(AND(R83="Impacto",R84="Probabilidad"),(AA82-(+AA82*U84)),IF(R84="Impacto",AA83,""))),"")</f>
        <v/>
      </c>
      <c r="Z84" s="172" t="str">
        <f t="shared" si="9"/>
        <v/>
      </c>
      <c r="AA84" s="166" t="str">
        <f t="shared" si="103"/>
        <v/>
      </c>
      <c r="AB84" s="172" t="str">
        <f t="shared" si="11"/>
        <v/>
      </c>
      <c r="AC84" s="166" t="str">
        <f>IFERROR(IF(AND(R83="Impacto",R84="Impacto"),(AC83-(+AC83*U84)),IF(AND(R83="Probabilidad",R84="Impacto"),(AC82-(+AC82*U84)),IF(R84="Probabilidad",AC83,""))),"")</f>
        <v/>
      </c>
      <c r="AD84" s="169" t="str">
        <f t="shared" si="104"/>
        <v/>
      </c>
      <c r="AE84" s="165"/>
      <c r="AF84" s="199"/>
      <c r="AG84" s="199"/>
      <c r="AH84" s="161"/>
      <c r="AI84" s="85"/>
      <c r="AJ84" s="158"/>
      <c r="AK84" s="93"/>
      <c r="AL84" s="91"/>
      <c r="AM84" s="91"/>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c r="BL84" s="91"/>
      <c r="BM84" s="91"/>
      <c r="BN84" s="91"/>
      <c r="BO84" s="91"/>
      <c r="BP84" s="91"/>
      <c r="BQ84" s="91"/>
    </row>
    <row r="85" spans="2:69" ht="151.5" hidden="1" customHeight="1">
      <c r="B85" s="408"/>
      <c r="C85" s="354"/>
      <c r="D85" s="354"/>
      <c r="E85" s="354"/>
      <c r="F85" s="354"/>
      <c r="G85" s="354"/>
      <c r="H85" s="357"/>
      <c r="I85" s="360"/>
      <c r="J85" s="363"/>
      <c r="K85" s="366"/>
      <c r="L85" s="363">
        <f>IF(NOT(ISERROR(MATCH(K85,_xlfn.ANCHORARRAY(F96),0))),J98&amp;"Por favor no seleccionar los criterios de impacto",K85)</f>
        <v>0</v>
      </c>
      <c r="M85" s="360"/>
      <c r="N85" s="363"/>
      <c r="O85" s="344"/>
      <c r="P85" s="171">
        <v>4</v>
      </c>
      <c r="Q85" s="160"/>
      <c r="R85" s="164" t="str">
        <f t="shared" ref="R85:R87" si="105">IF(OR(S85="Preventivo",S85="Detectivo"),"Probabilidad",IF(S85="Correctivo","Impacto",""))</f>
        <v/>
      </c>
      <c r="S85" s="165"/>
      <c r="T85" s="165"/>
      <c r="U85" s="166" t="str">
        <f t="shared" si="102"/>
        <v/>
      </c>
      <c r="V85" s="165"/>
      <c r="W85" s="165"/>
      <c r="X85" s="165"/>
      <c r="Y85" s="167" t="str">
        <f t="shared" ref="Y85:Y87" si="106">IFERROR(IF(AND(R84="Probabilidad",R85="Probabilidad"),(AA84-(+AA84*U85)),IF(AND(R84="Impacto",R85="Probabilidad"),(AA83-(+AA83*U85)),IF(R85="Impacto",AA84,""))),"")</f>
        <v/>
      </c>
      <c r="Z85" s="172" t="str">
        <f t="shared" si="9"/>
        <v/>
      </c>
      <c r="AA85" s="166" t="str">
        <f t="shared" si="103"/>
        <v/>
      </c>
      <c r="AB85" s="172" t="str">
        <f t="shared" si="11"/>
        <v/>
      </c>
      <c r="AC85" s="166" t="str">
        <f t="shared" ref="AC85:AC87" si="107">IFERROR(IF(AND(R84="Impacto",R85="Impacto"),(AC84-(+AC84*U85)),IF(AND(R84="Probabilidad",R85="Impacto"),(AC83-(+AC83*U85)),IF(R85="Probabilidad",AC84,""))),"")</f>
        <v/>
      </c>
      <c r="AD85" s="169" t="str">
        <f>IFERROR(IF(OR(AND(Z85="Muy Baja",AB85="Leve"),AND(Z85="Muy Baja",AB85="Menor"),AND(Z85="Baja",AB85="Leve")),"Bajo",IF(OR(AND(Z85="Muy baja",AB85="Moderado"),AND(Z85="Baja",AB85="Menor"),AND(Z85="Baja",AB85="Moderado"),AND(Z85="Media",AB85="Leve"),AND(Z85="Media",AB85="Menor"),AND(Z85="Media",AB85="Moderado"),AND(Z85="Alta",AB85="Leve"),AND(Z85="Alta",AB85="Menor")),"Moderado",IF(OR(AND(Z85="Muy Baja",AB85="Mayor"),AND(Z85="Baja",AB85="Mayor"),AND(Z85="Media",AB85="Mayor"),AND(Z85="Alta",AB85="Moderado"),AND(Z85="Alta",AB85="Mayor"),AND(Z85="Muy Alta",AB85="Leve"),AND(Z85="Muy Alta",AB85="Menor"),AND(Z85="Muy Alta",AB85="Moderado"),AND(Z85="Muy Alta",AB85="Mayor")),"Alto",IF(OR(AND(Z85="Muy Baja",AB85="Catastrófico"),AND(Z85="Baja",AB85="Catastrófico"),AND(Z85="Media",AB85="Catastrófico"),AND(Z85="Alta",AB85="Catastrófico"),AND(Z85="Muy Alta",AB85="Catastrófico")),"Extremo","")))),"")</f>
        <v/>
      </c>
      <c r="AE85" s="165"/>
      <c r="AF85" s="199"/>
      <c r="AG85" s="199"/>
      <c r="AH85" s="161"/>
      <c r="AI85" s="85"/>
      <c r="AJ85" s="158"/>
      <c r="AK85" s="93"/>
      <c r="AL85" s="91"/>
      <c r="AM85" s="91"/>
      <c r="AN85" s="91"/>
      <c r="AO85" s="91"/>
      <c r="AP85" s="91"/>
      <c r="AQ85" s="91"/>
      <c r="AR85" s="91"/>
      <c r="AS85" s="91"/>
      <c r="AT85" s="91"/>
      <c r="AU85" s="91"/>
      <c r="AV85" s="91"/>
      <c r="AW85" s="91"/>
      <c r="AX85" s="91"/>
      <c r="AY85" s="91"/>
      <c r="AZ85" s="91"/>
      <c r="BA85" s="91"/>
      <c r="BB85" s="91"/>
      <c r="BC85" s="91"/>
      <c r="BD85" s="91"/>
      <c r="BE85" s="91"/>
      <c r="BF85" s="91"/>
      <c r="BG85" s="91"/>
      <c r="BH85" s="91"/>
      <c r="BI85" s="91"/>
      <c r="BJ85" s="91"/>
      <c r="BK85" s="91"/>
      <c r="BL85" s="91"/>
      <c r="BM85" s="91"/>
      <c r="BN85" s="91"/>
      <c r="BO85" s="91"/>
      <c r="BP85" s="91"/>
      <c r="BQ85" s="91"/>
    </row>
    <row r="86" spans="2:69" ht="151.5" hidden="1" customHeight="1">
      <c r="B86" s="408"/>
      <c r="C86" s="354"/>
      <c r="D86" s="354"/>
      <c r="E86" s="354"/>
      <c r="F86" s="354"/>
      <c r="G86" s="354"/>
      <c r="H86" s="357"/>
      <c r="I86" s="360"/>
      <c r="J86" s="363"/>
      <c r="K86" s="366"/>
      <c r="L86" s="363">
        <f>IF(NOT(ISERROR(MATCH(K86,_xlfn.ANCHORARRAY(F97),0))),J99&amp;"Por favor no seleccionar los criterios de impacto",K86)</f>
        <v>0</v>
      </c>
      <c r="M86" s="360"/>
      <c r="N86" s="363"/>
      <c r="O86" s="344"/>
      <c r="P86" s="171">
        <v>5</v>
      </c>
      <c r="Q86" s="160"/>
      <c r="R86" s="164" t="str">
        <f t="shared" si="105"/>
        <v/>
      </c>
      <c r="S86" s="165"/>
      <c r="T86" s="165"/>
      <c r="U86" s="166" t="str">
        <f t="shared" si="102"/>
        <v/>
      </c>
      <c r="V86" s="165"/>
      <c r="W86" s="165"/>
      <c r="X86" s="165"/>
      <c r="Y86" s="167" t="str">
        <f t="shared" si="106"/>
        <v/>
      </c>
      <c r="Z86" s="172" t="str">
        <f t="shared" si="9"/>
        <v/>
      </c>
      <c r="AA86" s="166" t="str">
        <f t="shared" si="103"/>
        <v/>
      </c>
      <c r="AB86" s="172" t="str">
        <f t="shared" si="11"/>
        <v/>
      </c>
      <c r="AC86" s="166" t="str">
        <f t="shared" si="107"/>
        <v/>
      </c>
      <c r="AD86" s="169" t="str">
        <f t="shared" ref="AD86:AD87" si="108">IFERROR(IF(OR(AND(Z86="Muy Baja",AB86="Leve"),AND(Z86="Muy Baja",AB86="Menor"),AND(Z86="Baja",AB86="Leve")),"Bajo",IF(OR(AND(Z86="Muy baja",AB86="Moderado"),AND(Z86="Baja",AB86="Menor"),AND(Z86="Baja",AB86="Moderado"),AND(Z86="Media",AB86="Leve"),AND(Z86="Media",AB86="Menor"),AND(Z86="Media",AB86="Moderado"),AND(Z86="Alta",AB86="Leve"),AND(Z86="Alta",AB86="Menor")),"Moderado",IF(OR(AND(Z86="Muy Baja",AB86="Mayor"),AND(Z86="Baja",AB86="Mayor"),AND(Z86="Media",AB86="Mayor"),AND(Z86="Alta",AB86="Moderado"),AND(Z86="Alta",AB86="Mayor"),AND(Z86="Muy Alta",AB86="Leve"),AND(Z86="Muy Alta",AB86="Menor"),AND(Z86="Muy Alta",AB86="Moderado"),AND(Z86="Muy Alta",AB86="Mayor")),"Alto",IF(OR(AND(Z86="Muy Baja",AB86="Catastrófico"),AND(Z86="Baja",AB86="Catastrófico"),AND(Z86="Media",AB86="Catastrófico"),AND(Z86="Alta",AB86="Catastrófico"),AND(Z86="Muy Alta",AB86="Catastrófico")),"Extremo","")))),"")</f>
        <v/>
      </c>
      <c r="AE86" s="165"/>
      <c r="AF86" s="199"/>
      <c r="AG86" s="199"/>
      <c r="AH86" s="161"/>
      <c r="AI86" s="85"/>
      <c r="AJ86" s="158"/>
      <c r="AK86" s="93"/>
      <c r="AL86" s="91"/>
      <c r="AM86" s="91"/>
      <c r="AN86" s="91"/>
      <c r="AO86" s="91"/>
      <c r="AP86" s="91"/>
      <c r="AQ86" s="91"/>
      <c r="AR86" s="91"/>
      <c r="AS86" s="91"/>
      <c r="AT86" s="91"/>
      <c r="AU86" s="91"/>
      <c r="AV86" s="91"/>
      <c r="AW86" s="91"/>
      <c r="AX86" s="91"/>
      <c r="AY86" s="91"/>
      <c r="AZ86" s="91"/>
      <c r="BA86" s="91"/>
      <c r="BB86" s="91"/>
      <c r="BC86" s="91"/>
      <c r="BD86" s="91"/>
      <c r="BE86" s="91"/>
      <c r="BF86" s="91"/>
      <c r="BG86" s="91"/>
      <c r="BH86" s="91"/>
      <c r="BI86" s="91"/>
      <c r="BJ86" s="91"/>
      <c r="BK86" s="91"/>
      <c r="BL86" s="91"/>
      <c r="BM86" s="91"/>
      <c r="BN86" s="91"/>
      <c r="BO86" s="91"/>
      <c r="BP86" s="91"/>
      <c r="BQ86" s="91"/>
    </row>
    <row r="87" spans="2:69" ht="151.5" hidden="1" customHeight="1">
      <c r="B87" s="409"/>
      <c r="C87" s="354"/>
      <c r="D87" s="354"/>
      <c r="E87" s="354"/>
      <c r="F87" s="354"/>
      <c r="G87" s="354"/>
      <c r="H87" s="357"/>
      <c r="I87" s="360"/>
      <c r="J87" s="363"/>
      <c r="K87" s="366"/>
      <c r="L87" s="363">
        <f>IF(NOT(ISERROR(MATCH(K87,_xlfn.ANCHORARRAY(F98),0))),J100&amp;"Por favor no seleccionar los criterios de impacto",K87)</f>
        <v>0</v>
      </c>
      <c r="M87" s="360"/>
      <c r="N87" s="363"/>
      <c r="O87" s="344"/>
      <c r="P87" s="184">
        <v>6</v>
      </c>
      <c r="Q87" s="185"/>
      <c r="R87" s="186" t="str">
        <f t="shared" si="105"/>
        <v/>
      </c>
      <c r="S87" s="187"/>
      <c r="T87" s="187"/>
      <c r="U87" s="188" t="str">
        <f t="shared" si="102"/>
        <v/>
      </c>
      <c r="V87" s="187"/>
      <c r="W87" s="187"/>
      <c r="X87" s="187"/>
      <c r="Y87" s="189" t="str">
        <f t="shared" si="106"/>
        <v/>
      </c>
      <c r="Z87" s="190" t="str">
        <f t="shared" si="9"/>
        <v/>
      </c>
      <c r="AA87" s="188" t="str">
        <f t="shared" si="103"/>
        <v/>
      </c>
      <c r="AB87" s="190" t="str">
        <f t="shared" si="11"/>
        <v/>
      </c>
      <c r="AC87" s="188" t="str">
        <f t="shared" si="107"/>
        <v/>
      </c>
      <c r="AD87" s="191" t="str">
        <f t="shared" si="108"/>
        <v/>
      </c>
      <c r="AE87" s="187"/>
      <c r="AF87" s="200"/>
      <c r="AG87" s="200"/>
      <c r="AH87" s="192"/>
      <c r="AI87" s="193"/>
      <c r="AJ87" s="162"/>
      <c r="AK87" s="194"/>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1"/>
    </row>
    <row r="88" spans="2:69" ht="49.5" customHeight="1" thickBot="1">
      <c r="B88" s="195"/>
      <c r="C88" s="405" t="s">
        <v>280</v>
      </c>
      <c r="D88" s="406"/>
      <c r="E88" s="406"/>
      <c r="F88" s="406"/>
      <c r="G88" s="406"/>
      <c r="H88" s="406"/>
      <c r="I88" s="406"/>
      <c r="J88" s="406"/>
      <c r="K88" s="406"/>
      <c r="L88" s="406"/>
      <c r="M88" s="406"/>
      <c r="N88" s="406"/>
      <c r="O88" s="406"/>
      <c r="P88" s="406"/>
      <c r="Q88" s="406"/>
      <c r="R88" s="406"/>
      <c r="S88" s="406"/>
      <c r="T88" s="406"/>
      <c r="U88" s="406"/>
      <c r="V88" s="406"/>
      <c r="W88" s="406"/>
      <c r="X88" s="406"/>
      <c r="Y88" s="406"/>
      <c r="Z88" s="406"/>
      <c r="AA88" s="406"/>
      <c r="AB88" s="406"/>
      <c r="AC88" s="406"/>
      <c r="AD88" s="406"/>
      <c r="AE88" s="406"/>
      <c r="AF88" s="406"/>
      <c r="AG88" s="406"/>
      <c r="AH88" s="406"/>
      <c r="AI88" s="406"/>
      <c r="AJ88" s="406"/>
      <c r="AK88" s="407"/>
      <c r="AL88" s="91"/>
      <c r="AM88" s="91"/>
      <c r="AN88" s="91"/>
      <c r="AO88" s="91"/>
      <c r="AP88" s="91"/>
      <c r="AQ88" s="91"/>
      <c r="AR88" s="91"/>
      <c r="AS88" s="91"/>
      <c r="AT88" s="91"/>
      <c r="AU88" s="91"/>
      <c r="AV88" s="91"/>
      <c r="AW88" s="91"/>
      <c r="AX88" s="91"/>
      <c r="AY88" s="91"/>
      <c r="AZ88" s="91"/>
      <c r="BA88" s="91"/>
      <c r="BB88" s="91"/>
      <c r="BC88" s="91"/>
      <c r="BD88" s="91"/>
      <c r="BE88" s="91"/>
      <c r="BF88" s="91"/>
      <c r="BG88" s="91"/>
      <c r="BH88" s="91"/>
      <c r="BI88" s="91"/>
      <c r="BJ88" s="91"/>
      <c r="BK88" s="91"/>
      <c r="BL88" s="91"/>
      <c r="BM88" s="91"/>
      <c r="BN88" s="91"/>
      <c r="BO88" s="91"/>
      <c r="BP88" s="91"/>
      <c r="BQ88" s="91"/>
    </row>
    <row r="90" spans="2:69">
      <c r="B90" s="91"/>
      <c r="C90" s="9" t="s">
        <v>281</v>
      </c>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1"/>
    </row>
  </sheetData>
  <dataConsolidate/>
  <mergeCells count="231">
    <mergeCell ref="N76:N78"/>
    <mergeCell ref="O76:O78"/>
    <mergeCell ref="C79:C81"/>
    <mergeCell ref="D79:D81"/>
    <mergeCell ref="E79:E81"/>
    <mergeCell ref="F79:F81"/>
    <mergeCell ref="G79:G81"/>
    <mergeCell ref="H79:H81"/>
    <mergeCell ref="I79:I81"/>
    <mergeCell ref="J79:J81"/>
    <mergeCell ref="K79:K81"/>
    <mergeCell ref="L79:L81"/>
    <mergeCell ref="M79:M81"/>
    <mergeCell ref="N79:N81"/>
    <mergeCell ref="O79:O81"/>
    <mergeCell ref="K76:K78"/>
    <mergeCell ref="L76:L78"/>
    <mergeCell ref="M76:M78"/>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B76:B81"/>
    <mergeCell ref="C76:C78"/>
    <mergeCell ref="D76:D78"/>
    <mergeCell ref="E76:E78"/>
    <mergeCell ref="F76:F78"/>
    <mergeCell ref="G76:G78"/>
    <mergeCell ref="H76:H78"/>
    <mergeCell ref="I76:I78"/>
    <mergeCell ref="J76:J78"/>
    <mergeCell ref="B13:H13"/>
    <mergeCell ref="I13:O13"/>
    <mergeCell ref="P13:X13"/>
    <mergeCell ref="Y13:AE13"/>
    <mergeCell ref="AF13:AK13"/>
    <mergeCell ref="C88:AK88"/>
    <mergeCell ref="B82:B87"/>
    <mergeCell ref="C82:C87"/>
    <mergeCell ref="D82:D87"/>
    <mergeCell ref="E82:E87"/>
    <mergeCell ref="F82:F87"/>
    <mergeCell ref="G82:G87"/>
    <mergeCell ref="H82:H87"/>
    <mergeCell ref="I82:I87"/>
    <mergeCell ref="J82:J87"/>
    <mergeCell ref="K82:K87"/>
    <mergeCell ref="L82:L87"/>
    <mergeCell ref="M82:M87"/>
    <mergeCell ref="N82:N87"/>
    <mergeCell ref="O82:O87"/>
    <mergeCell ref="B64:B69"/>
    <mergeCell ref="C64:C69"/>
    <mergeCell ref="D64:D69"/>
    <mergeCell ref="E64:E69"/>
    <mergeCell ref="AJ7:AK7"/>
    <mergeCell ref="AJ6:AK6"/>
    <mergeCell ref="AJ5:AK5"/>
    <mergeCell ref="AJ4:AK4"/>
    <mergeCell ref="F4:AI7"/>
    <mergeCell ref="B4:E7"/>
    <mergeCell ref="B12:AK12"/>
    <mergeCell ref="B9:C9"/>
    <mergeCell ref="B10:C10"/>
    <mergeCell ref="B11:C11"/>
    <mergeCell ref="D9:AK9"/>
    <mergeCell ref="D10:AK10"/>
    <mergeCell ref="D11:AK11"/>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F64:F69"/>
    <mergeCell ref="G64:G69"/>
    <mergeCell ref="H64:H69"/>
    <mergeCell ref="I64:I69"/>
    <mergeCell ref="J64:J69"/>
    <mergeCell ref="K64:K69"/>
    <mergeCell ref="L64:L69"/>
    <mergeCell ref="M64:M69"/>
    <mergeCell ref="N64:N69"/>
  </mergeCells>
  <conditionalFormatting sqref="M82">
    <cfRule type="cellIs" dxfId="491" priority="803" operator="equal">
      <formula>"Catastrófico"</formula>
    </cfRule>
    <cfRule type="cellIs" dxfId="490" priority="804" operator="equal">
      <formula>"Mayor"</formula>
    </cfRule>
    <cfRule type="cellIs" dxfId="489" priority="805" operator="equal">
      <formula>"Moderado"</formula>
    </cfRule>
    <cfRule type="cellIs" dxfId="488" priority="806" operator="equal">
      <formula>"Menor"</formula>
    </cfRule>
    <cfRule type="cellIs" dxfId="487" priority="807" operator="equal">
      <formula>"Leve"</formula>
    </cfRule>
  </conditionalFormatting>
  <conditionalFormatting sqref="I16">
    <cfRule type="cellIs" dxfId="486" priority="485" operator="equal">
      <formula>"Muy Alta"</formula>
    </cfRule>
    <cfRule type="cellIs" dxfId="485" priority="486" operator="equal">
      <formula>"Alta"</formula>
    </cfRule>
    <cfRule type="cellIs" dxfId="484" priority="487" operator="equal">
      <formula>"Media"</formula>
    </cfRule>
    <cfRule type="cellIs" dxfId="483" priority="488" operator="equal">
      <formula>"Baja"</formula>
    </cfRule>
    <cfRule type="cellIs" dxfId="482" priority="489" operator="equal">
      <formula>"Muy Baja"</formula>
    </cfRule>
  </conditionalFormatting>
  <conditionalFormatting sqref="Z23 Z25:Z27">
    <cfRule type="cellIs" dxfId="481" priority="724" operator="equal">
      <formula>"Muy Alta"</formula>
    </cfRule>
    <cfRule type="cellIs" dxfId="480" priority="725" operator="equal">
      <formula>"Alta"</formula>
    </cfRule>
    <cfRule type="cellIs" dxfId="479" priority="726" operator="equal">
      <formula>"Media"</formula>
    </cfRule>
    <cfRule type="cellIs" dxfId="478" priority="727" operator="equal">
      <formula>"Baja"</formula>
    </cfRule>
    <cfRule type="cellIs" dxfId="477" priority="728" operator="equal">
      <formula>"Muy Baja"</formula>
    </cfRule>
  </conditionalFormatting>
  <conditionalFormatting sqref="AB23 AB25:AB27">
    <cfRule type="cellIs" dxfId="476" priority="719" operator="equal">
      <formula>"Catastrófico"</formula>
    </cfRule>
    <cfRule type="cellIs" dxfId="475" priority="720" operator="equal">
      <formula>"Mayor"</formula>
    </cfRule>
    <cfRule type="cellIs" dxfId="474" priority="721" operator="equal">
      <formula>"Moderado"</formula>
    </cfRule>
    <cfRule type="cellIs" dxfId="473" priority="722" operator="equal">
      <formula>"Menor"</formula>
    </cfRule>
    <cfRule type="cellIs" dxfId="472" priority="723" operator="equal">
      <formula>"Leve"</formula>
    </cfRule>
  </conditionalFormatting>
  <conditionalFormatting sqref="AD23 AD25:AD27">
    <cfRule type="cellIs" dxfId="471" priority="715" operator="equal">
      <formula>"Extremo"</formula>
    </cfRule>
    <cfRule type="cellIs" dxfId="470" priority="716" operator="equal">
      <formula>"Alto"</formula>
    </cfRule>
    <cfRule type="cellIs" dxfId="469" priority="717" operator="equal">
      <formula>"Moderado"</formula>
    </cfRule>
    <cfRule type="cellIs" dxfId="468" priority="718" operator="equal">
      <formula>"Bajo"</formula>
    </cfRule>
  </conditionalFormatting>
  <conditionalFormatting sqref="Z30:Z33">
    <cfRule type="cellIs" dxfId="467" priority="696" operator="equal">
      <formula>"Muy Alta"</formula>
    </cfRule>
    <cfRule type="cellIs" dxfId="466" priority="697" operator="equal">
      <formula>"Alta"</formula>
    </cfRule>
    <cfRule type="cellIs" dxfId="465" priority="698" operator="equal">
      <formula>"Media"</formula>
    </cfRule>
    <cfRule type="cellIs" dxfId="464" priority="699" operator="equal">
      <formula>"Baja"</formula>
    </cfRule>
    <cfRule type="cellIs" dxfId="463" priority="700" operator="equal">
      <formula>"Muy Baja"</formula>
    </cfRule>
  </conditionalFormatting>
  <conditionalFormatting sqref="AB30:AB33">
    <cfRule type="cellIs" dxfId="462" priority="691" operator="equal">
      <formula>"Catastrófico"</formula>
    </cfRule>
    <cfRule type="cellIs" dxfId="461" priority="692" operator="equal">
      <formula>"Mayor"</formula>
    </cfRule>
    <cfRule type="cellIs" dxfId="460" priority="693" operator="equal">
      <formula>"Moderado"</formula>
    </cfRule>
    <cfRule type="cellIs" dxfId="459" priority="694" operator="equal">
      <formula>"Menor"</formula>
    </cfRule>
    <cfRule type="cellIs" dxfId="458" priority="695" operator="equal">
      <formula>"Leve"</formula>
    </cfRule>
  </conditionalFormatting>
  <conditionalFormatting sqref="AD30:AD33">
    <cfRule type="cellIs" dxfId="457" priority="687" operator="equal">
      <formula>"Extremo"</formula>
    </cfRule>
    <cfRule type="cellIs" dxfId="456" priority="688" operator="equal">
      <formula>"Alto"</formula>
    </cfRule>
    <cfRule type="cellIs" dxfId="455" priority="689" operator="equal">
      <formula>"Moderado"</formula>
    </cfRule>
    <cfRule type="cellIs" dxfId="454" priority="690" operator="equal">
      <formula>"Bajo"</formula>
    </cfRule>
  </conditionalFormatting>
  <conditionalFormatting sqref="Z54:Z57">
    <cfRule type="cellIs" dxfId="453" priority="584" operator="equal">
      <formula>"Muy Alta"</formula>
    </cfRule>
    <cfRule type="cellIs" dxfId="452" priority="585" operator="equal">
      <formula>"Alta"</formula>
    </cfRule>
    <cfRule type="cellIs" dxfId="451" priority="586" operator="equal">
      <formula>"Media"</formula>
    </cfRule>
    <cfRule type="cellIs" dxfId="450" priority="587" operator="equal">
      <formula>"Baja"</formula>
    </cfRule>
    <cfRule type="cellIs" dxfId="449" priority="588" operator="equal">
      <formula>"Muy Baja"</formula>
    </cfRule>
  </conditionalFormatting>
  <conditionalFormatting sqref="AB54:AB57">
    <cfRule type="cellIs" dxfId="448" priority="579" operator="equal">
      <formula>"Catastrófico"</formula>
    </cfRule>
    <cfRule type="cellIs" dxfId="447" priority="580" operator="equal">
      <formula>"Mayor"</formula>
    </cfRule>
    <cfRule type="cellIs" dxfId="446" priority="581" operator="equal">
      <formula>"Moderado"</formula>
    </cfRule>
    <cfRule type="cellIs" dxfId="445" priority="582" operator="equal">
      <formula>"Menor"</formula>
    </cfRule>
    <cfRule type="cellIs" dxfId="444" priority="583" operator="equal">
      <formula>"Leve"</formula>
    </cfRule>
  </conditionalFormatting>
  <conditionalFormatting sqref="AD54:AD57">
    <cfRule type="cellIs" dxfId="443" priority="575" operator="equal">
      <formula>"Extremo"</formula>
    </cfRule>
    <cfRule type="cellIs" dxfId="442" priority="576" operator="equal">
      <formula>"Alto"</formula>
    </cfRule>
    <cfRule type="cellIs" dxfId="441" priority="577" operator="equal">
      <formula>"Moderado"</formula>
    </cfRule>
    <cfRule type="cellIs" dxfId="440" priority="578" operator="equal">
      <formula>"Bajo"</formula>
    </cfRule>
  </conditionalFormatting>
  <conditionalFormatting sqref="O16">
    <cfRule type="cellIs" dxfId="439" priority="476" operator="equal">
      <formula>"Extremo"</formula>
    </cfRule>
    <cfRule type="cellIs" dxfId="438" priority="477" operator="equal">
      <formula>"Alto"</formula>
    </cfRule>
    <cfRule type="cellIs" dxfId="437" priority="478" operator="equal">
      <formula>"Moderado"</formula>
    </cfRule>
    <cfRule type="cellIs" dxfId="436" priority="479" operator="equal">
      <formula>"Bajo"</formula>
    </cfRule>
  </conditionalFormatting>
  <conditionalFormatting sqref="Z79:Z81">
    <cfRule type="cellIs" dxfId="435" priority="528" operator="equal">
      <formula>"Muy Alta"</formula>
    </cfRule>
    <cfRule type="cellIs" dxfId="434" priority="529" operator="equal">
      <formula>"Alta"</formula>
    </cfRule>
    <cfRule type="cellIs" dxfId="433" priority="530" operator="equal">
      <formula>"Media"</formula>
    </cfRule>
    <cfRule type="cellIs" dxfId="432" priority="531" operator="equal">
      <formula>"Baja"</formula>
    </cfRule>
    <cfRule type="cellIs" dxfId="431" priority="532" operator="equal">
      <formula>"Muy Baja"</formula>
    </cfRule>
  </conditionalFormatting>
  <conditionalFormatting sqref="AB79:AB81">
    <cfRule type="cellIs" dxfId="430" priority="523" operator="equal">
      <formula>"Catastrófico"</formula>
    </cfRule>
    <cfRule type="cellIs" dxfId="429" priority="524" operator="equal">
      <formula>"Mayor"</formula>
    </cfRule>
    <cfRule type="cellIs" dxfId="428" priority="525" operator="equal">
      <formula>"Moderado"</formula>
    </cfRule>
    <cfRule type="cellIs" dxfId="427" priority="526" operator="equal">
      <formula>"Menor"</formula>
    </cfRule>
    <cfRule type="cellIs" dxfId="426" priority="527" operator="equal">
      <formula>"Leve"</formula>
    </cfRule>
  </conditionalFormatting>
  <conditionalFormatting sqref="AD79:AD81">
    <cfRule type="cellIs" dxfId="425" priority="519" operator="equal">
      <formula>"Extremo"</formula>
    </cfRule>
    <cfRule type="cellIs" dxfId="424" priority="520" operator="equal">
      <formula>"Alto"</formula>
    </cfRule>
    <cfRule type="cellIs" dxfId="423" priority="521" operator="equal">
      <formula>"Moderado"</formula>
    </cfRule>
    <cfRule type="cellIs" dxfId="422" priority="522" operator="equal">
      <formula>"Bajo"</formula>
    </cfRule>
  </conditionalFormatting>
  <conditionalFormatting sqref="I82">
    <cfRule type="cellIs" dxfId="421" priority="514" operator="equal">
      <formula>"Muy Alta"</formula>
    </cfRule>
    <cfRule type="cellIs" dxfId="420" priority="515" operator="equal">
      <formula>"Alta"</formula>
    </cfRule>
    <cfRule type="cellIs" dxfId="419" priority="516" operator="equal">
      <formula>"Media"</formula>
    </cfRule>
    <cfRule type="cellIs" dxfId="418" priority="517" operator="equal">
      <formula>"Baja"</formula>
    </cfRule>
    <cfRule type="cellIs" dxfId="417" priority="518" operator="equal">
      <formula>"Muy Baja"</formula>
    </cfRule>
  </conditionalFormatting>
  <conditionalFormatting sqref="O82">
    <cfRule type="cellIs" dxfId="416" priority="505" operator="equal">
      <formula>"Extremo"</formula>
    </cfRule>
    <cfRule type="cellIs" dxfId="415" priority="506" operator="equal">
      <formula>"Alto"</formula>
    </cfRule>
    <cfRule type="cellIs" dxfId="414" priority="507" operator="equal">
      <formula>"Moderado"</formula>
    </cfRule>
    <cfRule type="cellIs" dxfId="413" priority="508" operator="equal">
      <formula>"Bajo"</formula>
    </cfRule>
  </conditionalFormatting>
  <conditionalFormatting sqref="Z83:Z87">
    <cfRule type="cellIs" dxfId="412" priority="500" operator="equal">
      <formula>"Muy Alta"</formula>
    </cfRule>
    <cfRule type="cellIs" dxfId="411" priority="501" operator="equal">
      <formula>"Alta"</formula>
    </cfRule>
    <cfRule type="cellIs" dxfId="410" priority="502" operator="equal">
      <formula>"Media"</formula>
    </cfRule>
    <cfRule type="cellIs" dxfId="409" priority="503" operator="equal">
      <formula>"Baja"</formula>
    </cfRule>
    <cfRule type="cellIs" dxfId="408" priority="504" operator="equal">
      <formula>"Muy Baja"</formula>
    </cfRule>
  </conditionalFormatting>
  <conditionalFormatting sqref="AB83:AB87">
    <cfRule type="cellIs" dxfId="407" priority="495" operator="equal">
      <formula>"Catastrófico"</formula>
    </cfRule>
    <cfRule type="cellIs" dxfId="406" priority="496" operator="equal">
      <formula>"Mayor"</formula>
    </cfRule>
    <cfRule type="cellIs" dxfId="405" priority="497" operator="equal">
      <formula>"Moderado"</formula>
    </cfRule>
    <cfRule type="cellIs" dxfId="404" priority="498" operator="equal">
      <formula>"Menor"</formula>
    </cfRule>
    <cfRule type="cellIs" dxfId="403" priority="499" operator="equal">
      <formula>"Leve"</formula>
    </cfRule>
  </conditionalFormatting>
  <conditionalFormatting sqref="AD83:AD87">
    <cfRule type="cellIs" dxfId="402" priority="491" operator="equal">
      <formula>"Extremo"</formula>
    </cfRule>
    <cfRule type="cellIs" dxfId="401" priority="492" operator="equal">
      <formula>"Alto"</formula>
    </cfRule>
    <cfRule type="cellIs" dxfId="400" priority="493" operator="equal">
      <formula>"Moderado"</formula>
    </cfRule>
    <cfRule type="cellIs" dxfId="399" priority="494" operator="equal">
      <formula>"Bajo"</formula>
    </cfRule>
  </conditionalFormatting>
  <conditionalFormatting sqref="L82:L87">
    <cfRule type="containsText" dxfId="398" priority="490" operator="containsText" text="❌">
      <formula>NOT(ISERROR(SEARCH("❌",L82)))</formula>
    </cfRule>
  </conditionalFormatting>
  <conditionalFormatting sqref="I22">
    <cfRule type="cellIs" dxfId="397" priority="456" operator="equal">
      <formula>"Muy Alta"</formula>
    </cfRule>
    <cfRule type="cellIs" dxfId="396" priority="457" operator="equal">
      <formula>"Alta"</formula>
    </cfRule>
    <cfRule type="cellIs" dxfId="395" priority="458" operator="equal">
      <formula>"Media"</formula>
    </cfRule>
    <cfRule type="cellIs" dxfId="394" priority="459" operator="equal">
      <formula>"Baja"</formula>
    </cfRule>
    <cfRule type="cellIs" dxfId="393" priority="460" operator="equal">
      <formula>"Muy Baja"</formula>
    </cfRule>
  </conditionalFormatting>
  <conditionalFormatting sqref="M16">
    <cfRule type="cellIs" dxfId="392" priority="480" operator="equal">
      <formula>"Catastrófico"</formula>
    </cfRule>
    <cfRule type="cellIs" dxfId="391" priority="481" operator="equal">
      <formula>"Mayor"</formula>
    </cfRule>
    <cfRule type="cellIs" dxfId="390" priority="482" operator="equal">
      <formula>"Moderado"</formula>
    </cfRule>
    <cfRule type="cellIs" dxfId="389" priority="483" operator="equal">
      <formula>"Menor"</formula>
    </cfRule>
    <cfRule type="cellIs" dxfId="388" priority="484" operator="equal">
      <formula>"Leve"</formula>
    </cfRule>
  </conditionalFormatting>
  <conditionalFormatting sqref="O22">
    <cfRule type="cellIs" dxfId="387" priority="447" operator="equal">
      <formula>"Extremo"</formula>
    </cfRule>
    <cfRule type="cellIs" dxfId="386" priority="448" operator="equal">
      <formula>"Alto"</formula>
    </cfRule>
    <cfRule type="cellIs" dxfId="385" priority="449" operator="equal">
      <formula>"Moderado"</formula>
    </cfRule>
    <cfRule type="cellIs" dxfId="384" priority="450" operator="equal">
      <formula>"Bajo"</formula>
    </cfRule>
  </conditionalFormatting>
  <conditionalFormatting sqref="Z16:Z21">
    <cfRule type="cellIs" dxfId="383" priority="471" operator="equal">
      <formula>"Muy Alta"</formula>
    </cfRule>
    <cfRule type="cellIs" dxfId="382" priority="472" operator="equal">
      <formula>"Alta"</formula>
    </cfRule>
    <cfRule type="cellIs" dxfId="381" priority="473" operator="equal">
      <formula>"Media"</formula>
    </cfRule>
    <cfRule type="cellIs" dxfId="380" priority="474" operator="equal">
      <formula>"Baja"</formula>
    </cfRule>
    <cfRule type="cellIs" dxfId="379" priority="475" operator="equal">
      <formula>"Muy Baja"</formula>
    </cfRule>
  </conditionalFormatting>
  <conditionalFormatting sqref="AB16:AB21">
    <cfRule type="cellIs" dxfId="378" priority="466" operator="equal">
      <formula>"Catastrófico"</formula>
    </cfRule>
    <cfRule type="cellIs" dxfId="377" priority="467" operator="equal">
      <formula>"Mayor"</formula>
    </cfRule>
    <cfRule type="cellIs" dxfId="376" priority="468" operator="equal">
      <formula>"Moderado"</formula>
    </cfRule>
    <cfRule type="cellIs" dxfId="375" priority="469" operator="equal">
      <formula>"Menor"</formula>
    </cfRule>
    <cfRule type="cellIs" dxfId="374" priority="470" operator="equal">
      <formula>"Leve"</formula>
    </cfRule>
  </conditionalFormatting>
  <conditionalFormatting sqref="AD16:AD21">
    <cfRule type="cellIs" dxfId="373" priority="462" operator="equal">
      <formula>"Extremo"</formula>
    </cfRule>
    <cfRule type="cellIs" dxfId="372" priority="463" operator="equal">
      <formula>"Alto"</formula>
    </cfRule>
    <cfRule type="cellIs" dxfId="371" priority="464" operator="equal">
      <formula>"Moderado"</formula>
    </cfRule>
    <cfRule type="cellIs" dxfId="370" priority="465" operator="equal">
      <formula>"Bajo"</formula>
    </cfRule>
  </conditionalFormatting>
  <conditionalFormatting sqref="L16:L21">
    <cfRule type="containsText" dxfId="369" priority="461" operator="containsText" text="❌">
      <formula>NOT(ISERROR(SEARCH("❌",L16)))</formula>
    </cfRule>
  </conditionalFormatting>
  <conditionalFormatting sqref="M22">
    <cfRule type="cellIs" dxfId="368" priority="451" operator="equal">
      <formula>"Catastrófico"</formula>
    </cfRule>
    <cfRule type="cellIs" dxfId="367" priority="452" operator="equal">
      <formula>"Mayor"</formula>
    </cfRule>
    <cfRule type="cellIs" dxfId="366" priority="453" operator="equal">
      <formula>"Moderado"</formula>
    </cfRule>
    <cfRule type="cellIs" dxfId="365" priority="454" operator="equal">
      <formula>"Menor"</formula>
    </cfRule>
    <cfRule type="cellIs" dxfId="364" priority="455" operator="equal">
      <formula>"Leve"</formula>
    </cfRule>
  </conditionalFormatting>
  <conditionalFormatting sqref="L22:L27">
    <cfRule type="containsText" dxfId="363" priority="446" operator="containsText" text="❌">
      <formula>NOT(ISERROR(SEARCH("❌",L22)))</formula>
    </cfRule>
  </conditionalFormatting>
  <conditionalFormatting sqref="Z22">
    <cfRule type="cellIs" dxfId="362" priority="441" operator="equal">
      <formula>"Muy Alta"</formula>
    </cfRule>
    <cfRule type="cellIs" dxfId="361" priority="442" operator="equal">
      <formula>"Alta"</formula>
    </cfRule>
    <cfRule type="cellIs" dxfId="360" priority="443" operator="equal">
      <formula>"Media"</formula>
    </cfRule>
    <cfRule type="cellIs" dxfId="359" priority="444" operator="equal">
      <formula>"Baja"</formula>
    </cfRule>
    <cfRule type="cellIs" dxfId="358" priority="445" operator="equal">
      <formula>"Muy Baja"</formula>
    </cfRule>
  </conditionalFormatting>
  <conditionalFormatting sqref="AB22">
    <cfRule type="cellIs" dxfId="357" priority="436" operator="equal">
      <formula>"Catastrófico"</formula>
    </cfRule>
    <cfRule type="cellIs" dxfId="356" priority="437" operator="equal">
      <formula>"Mayor"</formula>
    </cfRule>
    <cfRule type="cellIs" dxfId="355" priority="438" operator="equal">
      <formula>"Moderado"</formula>
    </cfRule>
    <cfRule type="cellIs" dxfId="354" priority="439" operator="equal">
      <formula>"Menor"</formula>
    </cfRule>
    <cfRule type="cellIs" dxfId="353" priority="440" operator="equal">
      <formula>"Leve"</formula>
    </cfRule>
  </conditionalFormatting>
  <conditionalFormatting sqref="AD22">
    <cfRule type="cellIs" dxfId="352" priority="432" operator="equal">
      <formula>"Extremo"</formula>
    </cfRule>
    <cfRule type="cellIs" dxfId="351" priority="433" operator="equal">
      <formula>"Alto"</formula>
    </cfRule>
    <cfRule type="cellIs" dxfId="350" priority="434" operator="equal">
      <formula>"Moderado"</formula>
    </cfRule>
    <cfRule type="cellIs" dxfId="349" priority="435" operator="equal">
      <formula>"Bajo"</formula>
    </cfRule>
  </conditionalFormatting>
  <conditionalFormatting sqref="Z24">
    <cfRule type="cellIs" dxfId="348" priority="427" operator="equal">
      <formula>"Muy Alta"</formula>
    </cfRule>
    <cfRule type="cellIs" dxfId="347" priority="428" operator="equal">
      <formula>"Alta"</formula>
    </cfRule>
    <cfRule type="cellIs" dxfId="346" priority="429" operator="equal">
      <formula>"Media"</formula>
    </cfRule>
    <cfRule type="cellIs" dxfId="345" priority="430" operator="equal">
      <formula>"Baja"</formula>
    </cfRule>
    <cfRule type="cellIs" dxfId="344" priority="431" operator="equal">
      <formula>"Muy Baja"</formula>
    </cfRule>
  </conditionalFormatting>
  <conditionalFormatting sqref="AB24">
    <cfRule type="cellIs" dxfId="343" priority="422" operator="equal">
      <formula>"Catastrófico"</formula>
    </cfRule>
    <cfRule type="cellIs" dxfId="342" priority="423" operator="equal">
      <formula>"Mayor"</formula>
    </cfRule>
    <cfRule type="cellIs" dxfId="341" priority="424" operator="equal">
      <formula>"Moderado"</formula>
    </cfRule>
    <cfRule type="cellIs" dxfId="340" priority="425" operator="equal">
      <formula>"Menor"</formula>
    </cfRule>
    <cfRule type="cellIs" dxfId="339" priority="426" operator="equal">
      <formula>"Leve"</formula>
    </cfRule>
  </conditionalFormatting>
  <conditionalFormatting sqref="AD24">
    <cfRule type="cellIs" dxfId="338" priority="418" operator="equal">
      <formula>"Extremo"</formula>
    </cfRule>
    <cfRule type="cellIs" dxfId="337" priority="419" operator="equal">
      <formula>"Alto"</formula>
    </cfRule>
    <cfRule type="cellIs" dxfId="336" priority="420" operator="equal">
      <formula>"Moderado"</formula>
    </cfRule>
    <cfRule type="cellIs" dxfId="335" priority="421" operator="equal">
      <formula>"Bajo"</formula>
    </cfRule>
  </conditionalFormatting>
  <conditionalFormatting sqref="M28">
    <cfRule type="cellIs" dxfId="334" priority="413" operator="equal">
      <formula>"Catastrófico"</formula>
    </cfRule>
    <cfRule type="cellIs" dxfId="333" priority="414" operator="equal">
      <formula>"Mayor"</formula>
    </cfRule>
    <cfRule type="cellIs" dxfId="332" priority="415" operator="equal">
      <formula>"Moderado"</formula>
    </cfRule>
    <cfRule type="cellIs" dxfId="331" priority="416" operator="equal">
      <formula>"Menor"</formula>
    </cfRule>
    <cfRule type="cellIs" dxfId="330" priority="417" operator="equal">
      <formula>"Leve"</formula>
    </cfRule>
  </conditionalFormatting>
  <conditionalFormatting sqref="I28">
    <cfRule type="cellIs" dxfId="329" priority="408" operator="equal">
      <formula>"Muy Alta"</formula>
    </cfRule>
    <cfRule type="cellIs" dxfId="328" priority="409" operator="equal">
      <formula>"Alta"</formula>
    </cfRule>
    <cfRule type="cellIs" dxfId="327" priority="410" operator="equal">
      <formula>"Media"</formula>
    </cfRule>
    <cfRule type="cellIs" dxfId="326" priority="411" operator="equal">
      <formula>"Baja"</formula>
    </cfRule>
    <cfRule type="cellIs" dxfId="325" priority="412" operator="equal">
      <formula>"Muy Baja"</formula>
    </cfRule>
  </conditionalFormatting>
  <conditionalFormatting sqref="O28">
    <cfRule type="cellIs" dxfId="324" priority="404" operator="equal">
      <formula>"Extremo"</formula>
    </cfRule>
    <cfRule type="cellIs" dxfId="323" priority="405" operator="equal">
      <formula>"Alto"</formula>
    </cfRule>
    <cfRule type="cellIs" dxfId="322" priority="406" operator="equal">
      <formula>"Moderado"</formula>
    </cfRule>
    <cfRule type="cellIs" dxfId="321" priority="407" operator="equal">
      <formula>"Bajo"</formula>
    </cfRule>
  </conditionalFormatting>
  <conditionalFormatting sqref="L28:L33">
    <cfRule type="containsText" dxfId="320" priority="403" operator="containsText" text="❌">
      <formula>NOT(ISERROR(SEARCH("❌",L28)))</formula>
    </cfRule>
  </conditionalFormatting>
  <conditionalFormatting sqref="Z28:Z29">
    <cfRule type="cellIs" dxfId="319" priority="398" operator="equal">
      <formula>"Muy Alta"</formula>
    </cfRule>
    <cfRule type="cellIs" dxfId="318" priority="399" operator="equal">
      <formula>"Alta"</formula>
    </cfRule>
    <cfRule type="cellIs" dxfId="317" priority="400" operator="equal">
      <formula>"Media"</formula>
    </cfRule>
    <cfRule type="cellIs" dxfId="316" priority="401" operator="equal">
      <formula>"Baja"</formula>
    </cfRule>
    <cfRule type="cellIs" dxfId="315" priority="402" operator="equal">
      <formula>"Muy Baja"</formula>
    </cfRule>
  </conditionalFormatting>
  <conditionalFormatting sqref="AB28:AB29">
    <cfRule type="cellIs" dxfId="314" priority="393" operator="equal">
      <formula>"Catastrófico"</formula>
    </cfRule>
    <cfRule type="cellIs" dxfId="313" priority="394" operator="equal">
      <formula>"Mayor"</formula>
    </cfRule>
    <cfRule type="cellIs" dxfId="312" priority="395" operator="equal">
      <formula>"Moderado"</formula>
    </cfRule>
    <cfRule type="cellIs" dxfId="311" priority="396" operator="equal">
      <formula>"Menor"</formula>
    </cfRule>
    <cfRule type="cellIs" dxfId="310" priority="397" operator="equal">
      <formula>"Leve"</formula>
    </cfRule>
  </conditionalFormatting>
  <conditionalFormatting sqref="AD28:AD29">
    <cfRule type="cellIs" dxfId="309" priority="389" operator="equal">
      <formula>"Extremo"</formula>
    </cfRule>
    <cfRule type="cellIs" dxfId="308" priority="390" operator="equal">
      <formula>"Alto"</formula>
    </cfRule>
    <cfRule type="cellIs" dxfId="307" priority="391" operator="equal">
      <formula>"Moderado"</formula>
    </cfRule>
    <cfRule type="cellIs" dxfId="306" priority="392" operator="equal">
      <formula>"Bajo"</formula>
    </cfRule>
  </conditionalFormatting>
  <conditionalFormatting sqref="M34">
    <cfRule type="cellIs" dxfId="305" priority="384" operator="equal">
      <formula>"Catastrófico"</formula>
    </cfRule>
    <cfRule type="cellIs" dxfId="304" priority="385" operator="equal">
      <formula>"Mayor"</formula>
    </cfRule>
    <cfRule type="cellIs" dxfId="303" priority="386" operator="equal">
      <formula>"Moderado"</formula>
    </cfRule>
    <cfRule type="cellIs" dxfId="302" priority="387" operator="equal">
      <formula>"Menor"</formula>
    </cfRule>
    <cfRule type="cellIs" dxfId="301" priority="388" operator="equal">
      <formula>"Leve"</formula>
    </cfRule>
  </conditionalFormatting>
  <conditionalFormatting sqref="I34">
    <cfRule type="cellIs" dxfId="300" priority="379" operator="equal">
      <formula>"Muy Alta"</formula>
    </cfRule>
    <cfRule type="cellIs" dxfId="299" priority="380" operator="equal">
      <formula>"Alta"</formula>
    </cfRule>
    <cfRule type="cellIs" dxfId="298" priority="381" operator="equal">
      <formula>"Media"</formula>
    </cfRule>
    <cfRule type="cellIs" dxfId="297" priority="382" operator="equal">
      <formula>"Baja"</formula>
    </cfRule>
    <cfRule type="cellIs" dxfId="296" priority="383" operator="equal">
      <formula>"Muy Baja"</formula>
    </cfRule>
  </conditionalFormatting>
  <conditionalFormatting sqref="O34">
    <cfRule type="cellIs" dxfId="295" priority="375" operator="equal">
      <formula>"Extremo"</formula>
    </cfRule>
    <cfRule type="cellIs" dxfId="294" priority="376" operator="equal">
      <formula>"Alto"</formula>
    </cfRule>
    <cfRule type="cellIs" dxfId="293" priority="377" operator="equal">
      <formula>"Moderado"</formula>
    </cfRule>
    <cfRule type="cellIs" dxfId="292" priority="378" operator="equal">
      <formula>"Bajo"</formula>
    </cfRule>
  </conditionalFormatting>
  <conditionalFormatting sqref="Z34:Z39">
    <cfRule type="cellIs" dxfId="291" priority="370" operator="equal">
      <formula>"Muy Alta"</formula>
    </cfRule>
    <cfRule type="cellIs" dxfId="290" priority="371" operator="equal">
      <formula>"Alta"</formula>
    </cfRule>
    <cfRule type="cellIs" dxfId="289" priority="372" operator="equal">
      <formula>"Media"</formula>
    </cfRule>
    <cfRule type="cellIs" dxfId="288" priority="373" operator="equal">
      <formula>"Baja"</formula>
    </cfRule>
    <cfRule type="cellIs" dxfId="287" priority="374" operator="equal">
      <formula>"Muy Baja"</formula>
    </cfRule>
  </conditionalFormatting>
  <conditionalFormatting sqref="AB34:AB39">
    <cfRule type="cellIs" dxfId="286" priority="365" operator="equal">
      <formula>"Catastrófico"</formula>
    </cfRule>
    <cfRule type="cellIs" dxfId="285" priority="366" operator="equal">
      <formula>"Mayor"</formula>
    </cfRule>
    <cfRule type="cellIs" dxfId="284" priority="367" operator="equal">
      <formula>"Moderado"</formula>
    </cfRule>
    <cfRule type="cellIs" dxfId="283" priority="368" operator="equal">
      <formula>"Menor"</formula>
    </cfRule>
    <cfRule type="cellIs" dxfId="282" priority="369" operator="equal">
      <formula>"Leve"</formula>
    </cfRule>
  </conditionalFormatting>
  <conditionalFormatting sqref="AD34:AD39">
    <cfRule type="cellIs" dxfId="281" priority="361" operator="equal">
      <formula>"Extremo"</formula>
    </cfRule>
    <cfRule type="cellIs" dxfId="280" priority="362" operator="equal">
      <formula>"Alto"</formula>
    </cfRule>
    <cfRule type="cellIs" dxfId="279" priority="363" operator="equal">
      <formula>"Moderado"</formula>
    </cfRule>
    <cfRule type="cellIs" dxfId="278" priority="364" operator="equal">
      <formula>"Bajo"</formula>
    </cfRule>
  </conditionalFormatting>
  <conditionalFormatting sqref="L34:L39">
    <cfRule type="containsText" dxfId="277" priority="360" operator="containsText" text="❌">
      <formula>NOT(ISERROR(SEARCH("❌",L34)))</formula>
    </cfRule>
  </conditionalFormatting>
  <conditionalFormatting sqref="M40">
    <cfRule type="cellIs" dxfId="276" priority="355" operator="equal">
      <formula>"Catastrófico"</formula>
    </cfRule>
    <cfRule type="cellIs" dxfId="275" priority="356" operator="equal">
      <formula>"Mayor"</formula>
    </cfRule>
    <cfRule type="cellIs" dxfId="274" priority="357" operator="equal">
      <formula>"Moderado"</formula>
    </cfRule>
    <cfRule type="cellIs" dxfId="273" priority="358" operator="equal">
      <formula>"Menor"</formula>
    </cfRule>
    <cfRule type="cellIs" dxfId="272" priority="359" operator="equal">
      <formula>"Leve"</formula>
    </cfRule>
  </conditionalFormatting>
  <conditionalFormatting sqref="I40">
    <cfRule type="cellIs" dxfId="271" priority="350" operator="equal">
      <formula>"Muy Alta"</formula>
    </cfRule>
    <cfRule type="cellIs" dxfId="270" priority="351" operator="equal">
      <formula>"Alta"</formula>
    </cfRule>
    <cfRule type="cellIs" dxfId="269" priority="352" operator="equal">
      <formula>"Media"</formula>
    </cfRule>
    <cfRule type="cellIs" dxfId="268" priority="353" operator="equal">
      <formula>"Baja"</formula>
    </cfRule>
    <cfRule type="cellIs" dxfId="267" priority="354" operator="equal">
      <formula>"Muy Baja"</formula>
    </cfRule>
  </conditionalFormatting>
  <conditionalFormatting sqref="O40">
    <cfRule type="cellIs" dxfId="266" priority="346" operator="equal">
      <formula>"Extremo"</formula>
    </cfRule>
    <cfRule type="cellIs" dxfId="265" priority="347" operator="equal">
      <formula>"Alto"</formula>
    </cfRule>
    <cfRule type="cellIs" dxfId="264" priority="348" operator="equal">
      <formula>"Moderado"</formula>
    </cfRule>
    <cfRule type="cellIs" dxfId="263" priority="349" operator="equal">
      <formula>"Bajo"</formula>
    </cfRule>
  </conditionalFormatting>
  <conditionalFormatting sqref="Z40:Z45">
    <cfRule type="cellIs" dxfId="262" priority="341" operator="equal">
      <formula>"Muy Alta"</formula>
    </cfRule>
    <cfRule type="cellIs" dxfId="261" priority="342" operator="equal">
      <formula>"Alta"</formula>
    </cfRule>
    <cfRule type="cellIs" dxfId="260" priority="343" operator="equal">
      <formula>"Media"</formula>
    </cfRule>
    <cfRule type="cellIs" dxfId="259" priority="344" operator="equal">
      <formula>"Baja"</formula>
    </cfRule>
    <cfRule type="cellIs" dxfId="258" priority="345" operator="equal">
      <formula>"Muy Baja"</formula>
    </cfRule>
  </conditionalFormatting>
  <conditionalFormatting sqref="AB40:AB45">
    <cfRule type="cellIs" dxfId="257" priority="336" operator="equal">
      <formula>"Catastrófico"</formula>
    </cfRule>
    <cfRule type="cellIs" dxfId="256" priority="337" operator="equal">
      <formula>"Mayor"</formula>
    </cfRule>
    <cfRule type="cellIs" dxfId="255" priority="338" operator="equal">
      <formula>"Moderado"</formula>
    </cfRule>
    <cfRule type="cellIs" dxfId="254" priority="339" operator="equal">
      <formula>"Menor"</formula>
    </cfRule>
    <cfRule type="cellIs" dxfId="253" priority="340" operator="equal">
      <formula>"Leve"</formula>
    </cfRule>
  </conditionalFormatting>
  <conditionalFormatting sqref="AD40:AD45">
    <cfRule type="cellIs" dxfId="252" priority="332" operator="equal">
      <formula>"Extremo"</formula>
    </cfRule>
    <cfRule type="cellIs" dxfId="251" priority="333" operator="equal">
      <formula>"Alto"</formula>
    </cfRule>
    <cfRule type="cellIs" dxfId="250" priority="334" operator="equal">
      <formula>"Moderado"</formula>
    </cfRule>
    <cfRule type="cellIs" dxfId="249" priority="335" operator="equal">
      <formula>"Bajo"</formula>
    </cfRule>
  </conditionalFormatting>
  <conditionalFormatting sqref="L40:L45">
    <cfRule type="containsText" dxfId="248" priority="331" operator="containsText" text="❌">
      <formula>NOT(ISERROR(SEARCH("❌",L40)))</formula>
    </cfRule>
  </conditionalFormatting>
  <conditionalFormatting sqref="M46">
    <cfRule type="cellIs" dxfId="247" priority="326" operator="equal">
      <formula>"Catastrófico"</formula>
    </cfRule>
    <cfRule type="cellIs" dxfId="246" priority="327" operator="equal">
      <formula>"Mayor"</formula>
    </cfRule>
    <cfRule type="cellIs" dxfId="245" priority="328" operator="equal">
      <formula>"Moderado"</formula>
    </cfRule>
    <cfRule type="cellIs" dxfId="244" priority="329" operator="equal">
      <formula>"Menor"</formula>
    </cfRule>
    <cfRule type="cellIs" dxfId="243" priority="330" operator="equal">
      <formula>"Leve"</formula>
    </cfRule>
  </conditionalFormatting>
  <conditionalFormatting sqref="I46">
    <cfRule type="cellIs" dxfId="242" priority="321" operator="equal">
      <formula>"Muy Alta"</formula>
    </cfRule>
    <cfRule type="cellIs" dxfId="241" priority="322" operator="equal">
      <formula>"Alta"</formula>
    </cfRule>
    <cfRule type="cellIs" dxfId="240" priority="323" operator="equal">
      <formula>"Media"</formula>
    </cfRule>
    <cfRule type="cellIs" dxfId="239" priority="324" operator="equal">
      <formula>"Baja"</formula>
    </cfRule>
    <cfRule type="cellIs" dxfId="238" priority="325" operator="equal">
      <formula>"Muy Baja"</formula>
    </cfRule>
  </conditionalFormatting>
  <conditionalFormatting sqref="O46">
    <cfRule type="cellIs" dxfId="237" priority="317" operator="equal">
      <formula>"Extremo"</formula>
    </cfRule>
    <cfRule type="cellIs" dxfId="236" priority="318" operator="equal">
      <formula>"Alto"</formula>
    </cfRule>
    <cfRule type="cellIs" dxfId="235" priority="319" operator="equal">
      <formula>"Moderado"</formula>
    </cfRule>
    <cfRule type="cellIs" dxfId="234" priority="320" operator="equal">
      <formula>"Bajo"</formula>
    </cfRule>
  </conditionalFormatting>
  <conditionalFormatting sqref="Z46:Z51">
    <cfRule type="cellIs" dxfId="233" priority="312" operator="equal">
      <formula>"Muy Alta"</formula>
    </cfRule>
    <cfRule type="cellIs" dxfId="232" priority="313" operator="equal">
      <formula>"Alta"</formula>
    </cfRule>
    <cfRule type="cellIs" dxfId="231" priority="314" operator="equal">
      <formula>"Media"</formula>
    </cfRule>
    <cfRule type="cellIs" dxfId="230" priority="315" operator="equal">
      <formula>"Baja"</formula>
    </cfRule>
    <cfRule type="cellIs" dxfId="229" priority="316" operator="equal">
      <formula>"Muy Baja"</formula>
    </cfRule>
  </conditionalFormatting>
  <conditionalFormatting sqref="AB46:AB51">
    <cfRule type="cellIs" dxfId="228" priority="307" operator="equal">
      <formula>"Catastrófico"</formula>
    </cfRule>
    <cfRule type="cellIs" dxfId="227" priority="308" operator="equal">
      <formula>"Mayor"</formula>
    </cfRule>
    <cfRule type="cellIs" dxfId="226" priority="309" operator="equal">
      <formula>"Moderado"</formula>
    </cfRule>
    <cfRule type="cellIs" dxfId="225" priority="310" operator="equal">
      <formula>"Menor"</formula>
    </cfRule>
    <cfRule type="cellIs" dxfId="224" priority="311" operator="equal">
      <formula>"Leve"</formula>
    </cfRule>
  </conditionalFormatting>
  <conditionalFormatting sqref="AD46:AD51">
    <cfRule type="cellIs" dxfId="223" priority="303" operator="equal">
      <formula>"Extremo"</formula>
    </cfRule>
    <cfRule type="cellIs" dxfId="222" priority="304" operator="equal">
      <formula>"Alto"</formula>
    </cfRule>
    <cfRule type="cellIs" dxfId="221" priority="305" operator="equal">
      <formula>"Moderado"</formula>
    </cfRule>
    <cfRule type="cellIs" dxfId="220" priority="306" operator="equal">
      <formula>"Bajo"</formula>
    </cfRule>
  </conditionalFormatting>
  <conditionalFormatting sqref="L46:L51">
    <cfRule type="containsText" dxfId="219" priority="302" operator="containsText" text="❌">
      <formula>NOT(ISERROR(SEARCH("❌",L46)))</formula>
    </cfRule>
  </conditionalFormatting>
  <conditionalFormatting sqref="M52">
    <cfRule type="cellIs" dxfId="218" priority="297" operator="equal">
      <formula>"Catastrófico"</formula>
    </cfRule>
    <cfRule type="cellIs" dxfId="217" priority="298" operator="equal">
      <formula>"Mayor"</formula>
    </cfRule>
    <cfRule type="cellIs" dxfId="216" priority="299" operator="equal">
      <formula>"Moderado"</formula>
    </cfRule>
    <cfRule type="cellIs" dxfId="215" priority="300" operator="equal">
      <formula>"Menor"</formula>
    </cfRule>
    <cfRule type="cellIs" dxfId="214" priority="301" operator="equal">
      <formula>"Leve"</formula>
    </cfRule>
  </conditionalFormatting>
  <conditionalFormatting sqref="I52">
    <cfRule type="cellIs" dxfId="213" priority="292" operator="equal">
      <formula>"Muy Alta"</formula>
    </cfRule>
    <cfRule type="cellIs" dxfId="212" priority="293" operator="equal">
      <formula>"Alta"</formula>
    </cfRule>
    <cfRule type="cellIs" dxfId="211" priority="294" operator="equal">
      <formula>"Media"</formula>
    </cfRule>
    <cfRule type="cellIs" dxfId="210" priority="295" operator="equal">
      <formula>"Baja"</formula>
    </cfRule>
    <cfRule type="cellIs" dxfId="209" priority="296" operator="equal">
      <formula>"Muy Baja"</formula>
    </cfRule>
  </conditionalFormatting>
  <conditionalFormatting sqref="O52">
    <cfRule type="cellIs" dxfId="208" priority="288" operator="equal">
      <formula>"Extremo"</formula>
    </cfRule>
    <cfRule type="cellIs" dxfId="207" priority="289" operator="equal">
      <formula>"Alto"</formula>
    </cfRule>
    <cfRule type="cellIs" dxfId="206" priority="290" operator="equal">
      <formula>"Moderado"</formula>
    </cfRule>
    <cfRule type="cellIs" dxfId="205" priority="291" operator="equal">
      <formula>"Bajo"</formula>
    </cfRule>
  </conditionalFormatting>
  <conditionalFormatting sqref="L52:L57">
    <cfRule type="containsText" dxfId="204" priority="287" operator="containsText" text="❌">
      <formula>NOT(ISERROR(SEARCH("❌",L52)))</formula>
    </cfRule>
  </conditionalFormatting>
  <conditionalFormatting sqref="Z52:Z53">
    <cfRule type="cellIs" dxfId="203" priority="282" operator="equal">
      <formula>"Muy Alta"</formula>
    </cfRule>
    <cfRule type="cellIs" dxfId="202" priority="283" operator="equal">
      <formula>"Alta"</formula>
    </cfRule>
    <cfRule type="cellIs" dxfId="201" priority="284" operator="equal">
      <formula>"Media"</formula>
    </cfRule>
    <cfRule type="cellIs" dxfId="200" priority="285" operator="equal">
      <formula>"Baja"</formula>
    </cfRule>
    <cfRule type="cellIs" dxfId="199" priority="286" operator="equal">
      <formula>"Muy Baja"</formula>
    </cfRule>
  </conditionalFormatting>
  <conditionalFormatting sqref="AB52:AB53">
    <cfRule type="cellIs" dxfId="198" priority="277" operator="equal">
      <formula>"Catastrófico"</formula>
    </cfRule>
    <cfRule type="cellIs" dxfId="197" priority="278" operator="equal">
      <formula>"Mayor"</formula>
    </cfRule>
    <cfRule type="cellIs" dxfId="196" priority="279" operator="equal">
      <formula>"Moderado"</formula>
    </cfRule>
    <cfRule type="cellIs" dxfId="195" priority="280" operator="equal">
      <formula>"Menor"</formula>
    </cfRule>
    <cfRule type="cellIs" dxfId="194" priority="281" operator="equal">
      <formula>"Leve"</formula>
    </cfRule>
  </conditionalFormatting>
  <conditionalFormatting sqref="AD52:AD53">
    <cfRule type="cellIs" dxfId="193" priority="273" operator="equal">
      <formula>"Extremo"</formula>
    </cfRule>
    <cfRule type="cellIs" dxfId="192" priority="274" operator="equal">
      <formula>"Alto"</formula>
    </cfRule>
    <cfRule type="cellIs" dxfId="191" priority="275" operator="equal">
      <formula>"Moderado"</formula>
    </cfRule>
    <cfRule type="cellIs" dxfId="190" priority="276" operator="equal">
      <formula>"Bajo"</formula>
    </cfRule>
  </conditionalFormatting>
  <conditionalFormatting sqref="M58">
    <cfRule type="cellIs" dxfId="189" priority="268" operator="equal">
      <formula>"Catastrófico"</formula>
    </cfRule>
    <cfRule type="cellIs" dxfId="188" priority="269" operator="equal">
      <formula>"Mayor"</formula>
    </cfRule>
    <cfRule type="cellIs" dxfId="187" priority="270" operator="equal">
      <formula>"Moderado"</formula>
    </cfRule>
    <cfRule type="cellIs" dxfId="186" priority="271" operator="equal">
      <formula>"Menor"</formula>
    </cfRule>
    <cfRule type="cellIs" dxfId="185" priority="272" operator="equal">
      <formula>"Leve"</formula>
    </cfRule>
  </conditionalFormatting>
  <conditionalFormatting sqref="I58">
    <cfRule type="cellIs" dxfId="184" priority="263" operator="equal">
      <formula>"Muy Alta"</formula>
    </cfRule>
    <cfRule type="cellIs" dxfId="183" priority="264" operator="equal">
      <formula>"Alta"</formula>
    </cfRule>
    <cfRule type="cellIs" dxfId="182" priority="265" operator="equal">
      <formula>"Media"</formula>
    </cfRule>
    <cfRule type="cellIs" dxfId="181" priority="266" operator="equal">
      <formula>"Baja"</formula>
    </cfRule>
    <cfRule type="cellIs" dxfId="180" priority="267" operator="equal">
      <formula>"Muy Baja"</formula>
    </cfRule>
  </conditionalFormatting>
  <conditionalFormatting sqref="O58">
    <cfRule type="cellIs" dxfId="179" priority="259" operator="equal">
      <formula>"Extremo"</formula>
    </cfRule>
    <cfRule type="cellIs" dxfId="178" priority="260" operator="equal">
      <formula>"Alto"</formula>
    </cfRule>
    <cfRule type="cellIs" dxfId="177" priority="261" operator="equal">
      <formula>"Moderado"</formula>
    </cfRule>
    <cfRule type="cellIs" dxfId="176" priority="262" operator="equal">
      <formula>"Bajo"</formula>
    </cfRule>
  </conditionalFormatting>
  <conditionalFormatting sqref="Z58:Z63">
    <cfRule type="cellIs" dxfId="175" priority="254" operator="equal">
      <formula>"Muy Alta"</formula>
    </cfRule>
    <cfRule type="cellIs" dxfId="174" priority="255" operator="equal">
      <formula>"Alta"</formula>
    </cfRule>
    <cfRule type="cellIs" dxfId="173" priority="256" operator="equal">
      <formula>"Media"</formula>
    </cfRule>
    <cfRule type="cellIs" dxfId="172" priority="257" operator="equal">
      <formula>"Baja"</formula>
    </cfRule>
    <cfRule type="cellIs" dxfId="171" priority="258" operator="equal">
      <formula>"Muy Baja"</formula>
    </cfRule>
  </conditionalFormatting>
  <conditionalFormatting sqref="AB58:AB63">
    <cfRule type="cellIs" dxfId="170" priority="249" operator="equal">
      <formula>"Catastrófico"</formula>
    </cfRule>
    <cfRule type="cellIs" dxfId="169" priority="250" operator="equal">
      <formula>"Mayor"</formula>
    </cfRule>
    <cfRule type="cellIs" dxfId="168" priority="251" operator="equal">
      <formula>"Moderado"</formula>
    </cfRule>
    <cfRule type="cellIs" dxfId="167" priority="252" operator="equal">
      <formula>"Menor"</formula>
    </cfRule>
    <cfRule type="cellIs" dxfId="166" priority="253" operator="equal">
      <formula>"Leve"</formula>
    </cfRule>
  </conditionalFormatting>
  <conditionalFormatting sqref="AD58:AD63">
    <cfRule type="cellIs" dxfId="165" priority="245" operator="equal">
      <formula>"Extremo"</formula>
    </cfRule>
    <cfRule type="cellIs" dxfId="164" priority="246" operator="equal">
      <formula>"Alto"</formula>
    </cfRule>
    <cfRule type="cellIs" dxfId="163" priority="247" operator="equal">
      <formula>"Moderado"</formula>
    </cfRule>
    <cfRule type="cellIs" dxfId="162" priority="248" operator="equal">
      <formula>"Bajo"</formula>
    </cfRule>
  </conditionalFormatting>
  <conditionalFormatting sqref="L58:L63">
    <cfRule type="containsText" dxfId="161" priority="244" operator="containsText" text="❌">
      <formula>NOT(ISERROR(SEARCH("❌",L58)))</formula>
    </cfRule>
  </conditionalFormatting>
  <conditionalFormatting sqref="M76 M79">
    <cfRule type="cellIs" dxfId="160" priority="239" operator="equal">
      <formula>"Catastrófico"</formula>
    </cfRule>
    <cfRule type="cellIs" dxfId="159" priority="240" operator="equal">
      <formula>"Mayor"</formula>
    </cfRule>
    <cfRule type="cellIs" dxfId="158" priority="241" operator="equal">
      <formula>"Moderado"</formula>
    </cfRule>
    <cfRule type="cellIs" dxfId="157" priority="242" operator="equal">
      <formula>"Menor"</formula>
    </cfRule>
    <cfRule type="cellIs" dxfId="156" priority="243" operator="equal">
      <formula>"Leve"</formula>
    </cfRule>
  </conditionalFormatting>
  <conditionalFormatting sqref="I76 I79">
    <cfRule type="cellIs" dxfId="155" priority="234" operator="equal">
      <formula>"Muy Alta"</formula>
    </cfRule>
    <cfRule type="cellIs" dxfId="154" priority="235" operator="equal">
      <formula>"Alta"</formula>
    </cfRule>
    <cfRule type="cellIs" dxfId="153" priority="236" operator="equal">
      <formula>"Media"</formula>
    </cfRule>
    <cfRule type="cellIs" dxfId="152" priority="237" operator="equal">
      <formula>"Baja"</formula>
    </cfRule>
    <cfRule type="cellIs" dxfId="151" priority="238" operator="equal">
      <formula>"Muy Baja"</formula>
    </cfRule>
  </conditionalFormatting>
  <conditionalFormatting sqref="O76 O79">
    <cfRule type="cellIs" dxfId="150" priority="230" operator="equal">
      <formula>"Extremo"</formula>
    </cfRule>
    <cfRule type="cellIs" dxfId="149" priority="231" operator="equal">
      <formula>"Alto"</formula>
    </cfRule>
    <cfRule type="cellIs" dxfId="148" priority="232" operator="equal">
      <formula>"Moderado"</formula>
    </cfRule>
    <cfRule type="cellIs" dxfId="147" priority="233" operator="equal">
      <formula>"Bajo"</formula>
    </cfRule>
  </conditionalFormatting>
  <conditionalFormatting sqref="L76:L81">
    <cfRule type="containsText" dxfId="146" priority="229" operator="containsText" text="❌">
      <formula>NOT(ISERROR(SEARCH("❌",L76)))</formula>
    </cfRule>
  </conditionalFormatting>
  <conditionalFormatting sqref="AD78">
    <cfRule type="cellIs" dxfId="145" priority="187" operator="equal">
      <formula>"Extremo"</formula>
    </cfRule>
    <cfRule type="cellIs" dxfId="144" priority="188" operator="equal">
      <formula>"Alto"</formula>
    </cfRule>
    <cfRule type="cellIs" dxfId="143" priority="189" operator="equal">
      <formula>"Moderado"</formula>
    </cfRule>
    <cfRule type="cellIs" dxfId="142" priority="190" operator="equal">
      <formula>"Bajo"</formula>
    </cfRule>
  </conditionalFormatting>
  <conditionalFormatting sqref="Z76">
    <cfRule type="cellIs" dxfId="141" priority="224" operator="equal">
      <formula>"Muy Alta"</formula>
    </cfRule>
    <cfRule type="cellIs" dxfId="140" priority="225" operator="equal">
      <formula>"Alta"</formula>
    </cfRule>
    <cfRule type="cellIs" dxfId="139" priority="226" operator="equal">
      <formula>"Media"</formula>
    </cfRule>
    <cfRule type="cellIs" dxfId="138" priority="227" operator="equal">
      <formula>"Baja"</formula>
    </cfRule>
    <cfRule type="cellIs" dxfId="137" priority="228" operator="equal">
      <formula>"Muy Baja"</formula>
    </cfRule>
  </conditionalFormatting>
  <conditionalFormatting sqref="AB76">
    <cfRule type="cellIs" dxfId="136" priority="219" operator="equal">
      <formula>"Catastrófico"</formula>
    </cfRule>
    <cfRule type="cellIs" dxfId="135" priority="220" operator="equal">
      <formula>"Mayor"</formula>
    </cfRule>
    <cfRule type="cellIs" dxfId="134" priority="221" operator="equal">
      <formula>"Moderado"</formula>
    </cfRule>
    <cfRule type="cellIs" dxfId="133" priority="222" operator="equal">
      <formula>"Menor"</formula>
    </cfRule>
    <cfRule type="cellIs" dxfId="132" priority="223" operator="equal">
      <formula>"Leve"</formula>
    </cfRule>
  </conditionalFormatting>
  <conditionalFormatting sqref="AD76">
    <cfRule type="cellIs" dxfId="131" priority="215" operator="equal">
      <formula>"Extremo"</formula>
    </cfRule>
    <cfRule type="cellIs" dxfId="130" priority="216" operator="equal">
      <formula>"Alto"</formula>
    </cfRule>
    <cfRule type="cellIs" dxfId="129" priority="217" operator="equal">
      <formula>"Moderado"</formula>
    </cfRule>
    <cfRule type="cellIs" dxfId="128" priority="218" operator="equal">
      <formula>"Bajo"</formula>
    </cfRule>
  </conditionalFormatting>
  <conditionalFormatting sqref="Z77">
    <cfRule type="cellIs" dxfId="127" priority="210" operator="equal">
      <formula>"Muy Alta"</formula>
    </cfRule>
    <cfRule type="cellIs" dxfId="126" priority="211" operator="equal">
      <formula>"Alta"</formula>
    </cfRule>
    <cfRule type="cellIs" dxfId="125" priority="212" operator="equal">
      <formula>"Media"</formula>
    </cfRule>
    <cfRule type="cellIs" dxfId="124" priority="213" operator="equal">
      <formula>"Baja"</formula>
    </cfRule>
    <cfRule type="cellIs" dxfId="123" priority="214" operator="equal">
      <formula>"Muy Baja"</formula>
    </cfRule>
  </conditionalFormatting>
  <conditionalFormatting sqref="AB77">
    <cfRule type="cellIs" dxfId="122" priority="205" operator="equal">
      <formula>"Catastrófico"</formula>
    </cfRule>
    <cfRule type="cellIs" dxfId="121" priority="206" operator="equal">
      <formula>"Mayor"</formula>
    </cfRule>
    <cfRule type="cellIs" dxfId="120" priority="207" operator="equal">
      <formula>"Moderado"</formula>
    </cfRule>
    <cfRule type="cellIs" dxfId="119" priority="208" operator="equal">
      <formula>"Menor"</formula>
    </cfRule>
    <cfRule type="cellIs" dxfId="118" priority="209" operator="equal">
      <formula>"Leve"</formula>
    </cfRule>
  </conditionalFormatting>
  <conditionalFormatting sqref="AD77">
    <cfRule type="cellIs" dxfId="117" priority="201" operator="equal">
      <formula>"Extremo"</formula>
    </cfRule>
    <cfRule type="cellIs" dxfId="116" priority="202" operator="equal">
      <formula>"Alto"</formula>
    </cfRule>
    <cfRule type="cellIs" dxfId="115" priority="203" operator="equal">
      <formula>"Moderado"</formula>
    </cfRule>
    <cfRule type="cellIs" dxfId="114" priority="204" operator="equal">
      <formula>"Bajo"</formula>
    </cfRule>
  </conditionalFormatting>
  <conditionalFormatting sqref="Z78">
    <cfRule type="cellIs" dxfId="113" priority="196" operator="equal">
      <formula>"Muy Alta"</formula>
    </cfRule>
    <cfRule type="cellIs" dxfId="112" priority="197" operator="equal">
      <formula>"Alta"</formula>
    </cfRule>
    <cfRule type="cellIs" dxfId="111" priority="198" operator="equal">
      <formula>"Media"</formula>
    </cfRule>
    <cfRule type="cellIs" dxfId="110" priority="199" operator="equal">
      <formula>"Baja"</formula>
    </cfRule>
    <cfRule type="cellIs" dxfId="109" priority="200" operator="equal">
      <formula>"Muy Baja"</formula>
    </cfRule>
  </conditionalFormatting>
  <conditionalFormatting sqref="AB78">
    <cfRule type="cellIs" dxfId="108" priority="191" operator="equal">
      <formula>"Catastrófico"</formula>
    </cfRule>
    <cfRule type="cellIs" dxfId="107" priority="192" operator="equal">
      <formula>"Mayor"</formula>
    </cfRule>
    <cfRule type="cellIs" dxfId="106" priority="193" operator="equal">
      <formula>"Moderado"</formula>
    </cfRule>
    <cfRule type="cellIs" dxfId="105" priority="194" operator="equal">
      <formula>"Menor"</formula>
    </cfRule>
    <cfRule type="cellIs" dxfId="104" priority="195" operator="equal">
      <formula>"Leve"</formula>
    </cfRule>
  </conditionalFormatting>
  <conditionalFormatting sqref="Z82">
    <cfRule type="cellIs" dxfId="103" priority="124" operator="equal">
      <formula>"Muy Alta"</formula>
    </cfRule>
    <cfRule type="cellIs" dxfId="102" priority="125" operator="equal">
      <formula>"Alta"</formula>
    </cfRule>
    <cfRule type="cellIs" dxfId="101" priority="126" operator="equal">
      <formula>"Media"</formula>
    </cfRule>
    <cfRule type="cellIs" dxfId="100" priority="127" operator="equal">
      <formula>"Baja"</formula>
    </cfRule>
    <cfRule type="cellIs" dxfId="99" priority="128" operator="equal">
      <formula>"Muy Baja"</formula>
    </cfRule>
  </conditionalFormatting>
  <conditionalFormatting sqref="AB82">
    <cfRule type="cellIs" dxfId="98" priority="119" operator="equal">
      <formula>"Catastrófico"</formula>
    </cfRule>
    <cfRule type="cellIs" dxfId="97" priority="120" operator="equal">
      <formula>"Mayor"</formula>
    </cfRule>
    <cfRule type="cellIs" dxfId="96" priority="121" operator="equal">
      <formula>"Moderado"</formula>
    </cfRule>
    <cfRule type="cellIs" dxfId="95" priority="122" operator="equal">
      <formula>"Menor"</formula>
    </cfRule>
    <cfRule type="cellIs" dxfId="94" priority="123" operator="equal">
      <formula>"Leve"</formula>
    </cfRule>
  </conditionalFormatting>
  <conditionalFormatting sqref="AD82">
    <cfRule type="cellIs" dxfId="93" priority="115" operator="equal">
      <formula>"Extremo"</formula>
    </cfRule>
    <cfRule type="cellIs" dxfId="92" priority="116" operator="equal">
      <formula>"Alto"</formula>
    </cfRule>
    <cfRule type="cellIs" dxfId="91" priority="117" operator="equal">
      <formula>"Moderado"</formula>
    </cfRule>
    <cfRule type="cellIs" dxfId="90" priority="118" operator="equal">
      <formula>"Bajo"</formula>
    </cfRule>
  </conditionalFormatting>
  <conditionalFormatting sqref="M64">
    <cfRule type="cellIs" dxfId="89" priority="82" operator="equal">
      <formula>"Catastrófico"</formula>
    </cfRule>
    <cfRule type="cellIs" dxfId="88" priority="83" operator="equal">
      <formula>"Mayor"</formula>
    </cfRule>
    <cfRule type="cellIs" dxfId="87" priority="84" operator="equal">
      <formula>"Moderado"</formula>
    </cfRule>
    <cfRule type="cellIs" dxfId="86" priority="85" operator="equal">
      <formula>"Menor"</formula>
    </cfRule>
    <cfRule type="cellIs" dxfId="85" priority="86" operator="equal">
      <formula>"Leve"</formula>
    </cfRule>
  </conditionalFormatting>
  <conditionalFormatting sqref="I64">
    <cfRule type="cellIs" dxfId="84" priority="77" operator="equal">
      <formula>"Muy Alta"</formula>
    </cfRule>
    <cfRule type="cellIs" dxfId="83" priority="78" operator="equal">
      <formula>"Alta"</formula>
    </cfRule>
    <cfRule type="cellIs" dxfId="82" priority="79" operator="equal">
      <formula>"Media"</formula>
    </cfRule>
    <cfRule type="cellIs" dxfId="81" priority="80" operator="equal">
      <formula>"Baja"</formula>
    </cfRule>
    <cfRule type="cellIs" dxfId="80" priority="81" operator="equal">
      <formula>"Muy Baja"</formula>
    </cfRule>
  </conditionalFormatting>
  <conditionalFormatting sqref="O64">
    <cfRule type="cellIs" dxfId="79" priority="73" operator="equal">
      <formula>"Extremo"</formula>
    </cfRule>
    <cfRule type="cellIs" dxfId="78" priority="74" operator="equal">
      <formula>"Alto"</formula>
    </cfRule>
    <cfRule type="cellIs" dxfId="77" priority="75" operator="equal">
      <formula>"Moderado"</formula>
    </cfRule>
    <cfRule type="cellIs" dxfId="76" priority="76" operator="equal">
      <formula>"Bajo"</formula>
    </cfRule>
  </conditionalFormatting>
  <conditionalFormatting sqref="Z65:Z69">
    <cfRule type="cellIs" dxfId="75" priority="68" operator="equal">
      <formula>"Muy Alta"</formula>
    </cfRule>
    <cfRule type="cellIs" dxfId="74" priority="69" operator="equal">
      <formula>"Alta"</formula>
    </cfRule>
    <cfRule type="cellIs" dxfId="73" priority="70" operator="equal">
      <formula>"Media"</formula>
    </cfRule>
    <cfRule type="cellIs" dxfId="72" priority="71" operator="equal">
      <formula>"Baja"</formula>
    </cfRule>
    <cfRule type="cellIs" dxfId="71" priority="72" operator="equal">
      <formula>"Muy Baja"</formula>
    </cfRule>
  </conditionalFormatting>
  <conditionalFormatting sqref="AB65:AB69">
    <cfRule type="cellIs" dxfId="70" priority="63" operator="equal">
      <formula>"Catastrófico"</formula>
    </cfRule>
    <cfRule type="cellIs" dxfId="69" priority="64" operator="equal">
      <formula>"Mayor"</formula>
    </cfRule>
    <cfRule type="cellIs" dxfId="68" priority="65" operator="equal">
      <formula>"Moderado"</formula>
    </cfRule>
    <cfRule type="cellIs" dxfId="67" priority="66" operator="equal">
      <formula>"Menor"</formula>
    </cfRule>
    <cfRule type="cellIs" dxfId="66" priority="67" operator="equal">
      <formula>"Leve"</formula>
    </cfRule>
  </conditionalFormatting>
  <conditionalFormatting sqref="AD65:AD69">
    <cfRule type="cellIs" dxfId="65" priority="59" operator="equal">
      <formula>"Extremo"</formula>
    </cfRule>
    <cfRule type="cellIs" dxfId="64" priority="60" operator="equal">
      <formula>"Alto"</formula>
    </cfRule>
    <cfRule type="cellIs" dxfId="63" priority="61" operator="equal">
      <formula>"Moderado"</formula>
    </cfRule>
    <cfRule type="cellIs" dxfId="62" priority="62" operator="equal">
      <formula>"Bajo"</formula>
    </cfRule>
  </conditionalFormatting>
  <conditionalFormatting sqref="L64:L69">
    <cfRule type="containsText" dxfId="61" priority="58" operator="containsText" text="❌">
      <formula>NOT(ISERROR(SEARCH("❌",L64)))</formula>
    </cfRule>
  </conditionalFormatting>
  <conditionalFormatting sqref="M70">
    <cfRule type="cellIs" dxfId="60" priority="53" operator="equal">
      <formula>"Catastrófico"</formula>
    </cfRule>
    <cfRule type="cellIs" dxfId="59" priority="54" operator="equal">
      <formula>"Mayor"</formula>
    </cfRule>
    <cfRule type="cellIs" dxfId="58" priority="55" operator="equal">
      <formula>"Moderado"</formula>
    </cfRule>
    <cfRule type="cellIs" dxfId="57" priority="56" operator="equal">
      <formula>"Menor"</formula>
    </cfRule>
    <cfRule type="cellIs" dxfId="56" priority="57" operator="equal">
      <formula>"Leve"</formula>
    </cfRule>
  </conditionalFormatting>
  <conditionalFormatting sqref="I70">
    <cfRule type="cellIs" dxfId="55" priority="48" operator="equal">
      <formula>"Muy Alta"</formula>
    </cfRule>
    <cfRule type="cellIs" dxfId="54" priority="49" operator="equal">
      <formula>"Alta"</formula>
    </cfRule>
    <cfRule type="cellIs" dxfId="53" priority="50" operator="equal">
      <formula>"Media"</formula>
    </cfRule>
    <cfRule type="cellIs" dxfId="52" priority="51" operator="equal">
      <formula>"Baja"</formula>
    </cfRule>
    <cfRule type="cellIs" dxfId="51" priority="52" operator="equal">
      <formula>"Muy Baja"</formula>
    </cfRule>
  </conditionalFormatting>
  <conditionalFormatting sqref="O70">
    <cfRule type="cellIs" dxfId="50" priority="44" operator="equal">
      <formula>"Extremo"</formula>
    </cfRule>
    <cfRule type="cellIs" dxfId="49" priority="45" operator="equal">
      <formula>"Alto"</formula>
    </cfRule>
    <cfRule type="cellIs" dxfId="48" priority="46" operator="equal">
      <formula>"Moderado"</formula>
    </cfRule>
    <cfRule type="cellIs" dxfId="47" priority="47" operator="equal">
      <formula>"Bajo"</formula>
    </cfRule>
  </conditionalFormatting>
  <conditionalFormatting sqref="Z71:Z75">
    <cfRule type="cellIs" dxfId="46" priority="39" operator="equal">
      <formula>"Muy Alta"</formula>
    </cfRule>
    <cfRule type="cellIs" dxfId="45" priority="40" operator="equal">
      <formula>"Alta"</formula>
    </cfRule>
    <cfRule type="cellIs" dxfId="44" priority="41" operator="equal">
      <formula>"Media"</formula>
    </cfRule>
    <cfRule type="cellIs" dxfId="43" priority="42" operator="equal">
      <formula>"Baja"</formula>
    </cfRule>
    <cfRule type="cellIs" dxfId="42" priority="43" operator="equal">
      <formula>"Muy Baja"</formula>
    </cfRule>
  </conditionalFormatting>
  <conditionalFormatting sqref="AB71:AB75">
    <cfRule type="cellIs" dxfId="41" priority="34" operator="equal">
      <formula>"Catastrófico"</formula>
    </cfRule>
    <cfRule type="cellIs" dxfId="40" priority="35" operator="equal">
      <formula>"Mayor"</formula>
    </cfRule>
    <cfRule type="cellIs" dxfId="39" priority="36" operator="equal">
      <formula>"Moderado"</formula>
    </cfRule>
    <cfRule type="cellIs" dxfId="38" priority="37" operator="equal">
      <formula>"Menor"</formula>
    </cfRule>
    <cfRule type="cellIs" dxfId="37" priority="38" operator="equal">
      <formula>"Leve"</formula>
    </cfRule>
  </conditionalFormatting>
  <conditionalFormatting sqref="AD71:AD75">
    <cfRule type="cellIs" dxfId="36" priority="30" operator="equal">
      <formula>"Extremo"</formula>
    </cfRule>
    <cfRule type="cellIs" dxfId="35" priority="31" operator="equal">
      <formula>"Alto"</formula>
    </cfRule>
    <cfRule type="cellIs" dxfId="34" priority="32" operator="equal">
      <formula>"Moderado"</formula>
    </cfRule>
    <cfRule type="cellIs" dxfId="33" priority="33" operator="equal">
      <formula>"Bajo"</formula>
    </cfRule>
  </conditionalFormatting>
  <conditionalFormatting sqref="L70:L75">
    <cfRule type="containsText" dxfId="32" priority="29" operator="containsText" text="❌">
      <formula>NOT(ISERROR(SEARCH("❌",L70)))</formula>
    </cfRule>
  </conditionalFormatting>
  <conditionalFormatting sqref="Z64">
    <cfRule type="cellIs" dxfId="31" priority="24" operator="equal">
      <formula>"Muy Alta"</formula>
    </cfRule>
    <cfRule type="cellIs" dxfId="30" priority="25" operator="equal">
      <formula>"Alta"</formula>
    </cfRule>
    <cfRule type="cellIs" dxfId="29" priority="26" operator="equal">
      <formula>"Media"</formula>
    </cfRule>
    <cfRule type="cellIs" dxfId="28" priority="27" operator="equal">
      <formula>"Baja"</formula>
    </cfRule>
    <cfRule type="cellIs" dxfId="27" priority="28" operator="equal">
      <formula>"Muy Baja"</formula>
    </cfRule>
  </conditionalFormatting>
  <conditionalFormatting sqref="AB64">
    <cfRule type="cellIs" dxfId="26" priority="19" operator="equal">
      <formula>"Catastrófico"</formula>
    </cfRule>
    <cfRule type="cellIs" dxfId="25" priority="20" operator="equal">
      <formula>"Mayor"</formula>
    </cfRule>
    <cfRule type="cellIs" dxfId="24" priority="21" operator="equal">
      <formula>"Moderado"</formula>
    </cfRule>
    <cfRule type="cellIs" dxfId="23" priority="22" operator="equal">
      <formula>"Menor"</formula>
    </cfRule>
    <cfRule type="cellIs" dxfId="22" priority="23" operator="equal">
      <formula>"Leve"</formula>
    </cfRule>
  </conditionalFormatting>
  <conditionalFormatting sqref="AD64">
    <cfRule type="cellIs" dxfId="21" priority="15" operator="equal">
      <formula>"Extremo"</formula>
    </cfRule>
    <cfRule type="cellIs" dxfId="20" priority="16" operator="equal">
      <formula>"Alto"</formula>
    </cfRule>
    <cfRule type="cellIs" dxfId="19" priority="17" operator="equal">
      <formula>"Moderado"</formula>
    </cfRule>
    <cfRule type="cellIs" dxfId="18" priority="18" operator="equal">
      <formula>"Bajo"</formula>
    </cfRule>
  </conditionalFormatting>
  <conditionalFormatting sqref="Z70">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B70">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D70">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controles'!$D$5:$D$7</xm:f>
          </x14:formula1>
          <xm:sqref>S23 S25:S27 S30:S33 S54:S57 S79:S81 S83:S87 S65:S69 S71:S75</xm:sqref>
        </x14:dataValidation>
        <x14:dataValidation type="list" allowBlank="1" showInputMessage="1" showErrorMessage="1" xr:uid="{00000000-0002-0000-0100-000001000000}">
          <x14:formula1>
            <xm:f>'Tabla Valoración controles'!$D$8:$D$9</xm:f>
          </x14:formula1>
          <xm:sqref>T23 T25:T27 T30:T33 T54:T57 T79:T81 T83:T87 T65:T69 T71:T75</xm:sqref>
        </x14:dataValidation>
        <x14:dataValidation type="list" allowBlank="1" showInputMessage="1" showErrorMessage="1" xr:uid="{00000000-0002-0000-0100-000002000000}">
          <x14:formula1>
            <xm:f>'Tabla Valoración controles'!$D$10:$D$11</xm:f>
          </x14:formula1>
          <xm:sqref>V23 V25:V27 V30:V33 V54:V57 V79:V81 V83:V87 V65:V69 V71:V75</xm:sqref>
        </x14:dataValidation>
        <x14:dataValidation type="list" allowBlank="1" showInputMessage="1" showErrorMessage="1" xr:uid="{00000000-0002-0000-0100-000003000000}">
          <x14:formula1>
            <xm:f>'Tabla Valoración controles'!$D$12:$D$13</xm:f>
          </x14:formula1>
          <xm:sqref>W23 W25:W27 W30:W33 W54:W57 W79:W81 W83:W87 W65:W69 W71:W75</xm:sqref>
        </x14:dataValidation>
        <x14:dataValidation type="list" allowBlank="1" showInputMessage="1" showErrorMessage="1" xr:uid="{00000000-0002-0000-0100-000004000000}">
          <x14:formula1>
            <xm:f>'Opciones Tratamiento'!$B$9:$B$10</xm:f>
          </x14:formula1>
          <xm:sqref>AK16:AK17 AK19:AK20 AK22:AK23 AK25:AK26 AK28:AK29 AK31:AK32 AK34:AK35 AK37:AK38 AK40:AK41 AK43:AK44 AK46:AK47 AK49:AK50 AK52:AK53 AK55:AK56 AK58:AK59 AK61:AK62 AK76:AK77 AK79:AK80 AK82:AK83 AK85:AK86 AK64:AK65 AK67:AK68 AK70:AK71 AK73:AK74</xm:sqref>
        </x14:dataValidation>
        <x14:dataValidation type="list" allowBlank="1" showInputMessage="1" showErrorMessage="1" xr:uid="{00000000-0002-0000-0100-000005000000}">
          <x14:formula1>
            <xm:f>'Tabla Valoración controles'!$D$14:$D$15</xm:f>
          </x14:formula1>
          <xm:sqref>X23 X25:X27 X30:X33 X54:X57 X79:X81 X83:X87 X65:X69 X71:X75</xm:sqref>
        </x14:dataValidation>
        <x14:dataValidation type="list" allowBlank="1" showInputMessage="1" showErrorMessage="1" xr:uid="{00000000-0002-0000-0100-000006000000}">
          <x14:formula1>
            <xm:f>'Opciones Tratamiento'!$B$13:$B$19</xm:f>
          </x14:formula1>
          <xm:sqref>G82:G87 G64:G75</xm:sqref>
        </x14:dataValidation>
        <x14:dataValidation type="list" allowBlank="1" showInputMessage="1" showErrorMessage="1" xr:uid="{00000000-0002-0000-0100-000007000000}">
          <x14:formula1>
            <xm:f>'Opciones Tratamiento'!$E$2:$E$4</xm:f>
          </x14:formula1>
          <xm:sqref>C82:C87 C64:C75</xm:sqref>
        </x14:dataValidation>
        <x14:dataValidation type="list" allowBlank="1" showInputMessage="1" showErrorMessage="1" xr:uid="{00000000-0002-0000-0100-000008000000}">
          <x14:formula1>
            <xm:f>'Opciones Tratamiento'!$B$2:$B$5</xm:f>
          </x14:formula1>
          <xm:sqref>AE23 AE25:AE27 AE30:AE33 AE54:AE57 AE79:AE81 AE83:AE87 AE65:AE69 AE71:AE75</xm:sqref>
        </x14:dataValidation>
        <x14:dataValidation type="list" allowBlank="1" showInputMessage="1" showErrorMessage="1" xr:uid="{00000000-0002-0000-0100-000009000000}">
          <x14:formula1>
            <xm:f>'Tabla Impacto'!$F$211:$F$222</xm:f>
          </x14:formula1>
          <xm:sqref>K82:K87 K64:K75</xm:sqref>
        </x14:dataValidation>
        <x14:dataValidation type="custom" allowBlank="1" showInputMessage="1" showErrorMessage="1" error="Recuerde que las acciones se generan bajo la medida de mitigar el riesgo" xr:uid="{00000000-0002-0000-0100-00000A000000}">
          <x14:formula1>
            <xm:f>IF(OR(AE23='Opciones Tratamiento'!$B$2,AE23='Opciones Tratamiento'!$B$3,AE23='Opciones Tratamiento'!$B$4),ISBLANK(AE23),ISTEXT(AE23))</xm:f>
          </x14:formula1>
          <xm:sqref>AF23 AF25:AF27 AF30:AF33 AF54:AF57 AF79:AF81 AF84:AF87 AF65:AF69 AF71:AF75</xm:sqref>
        </x14:dataValidation>
        <x14:dataValidation type="custom" allowBlank="1" showInputMessage="1" showErrorMessage="1" error="Recuerde que las acciones se generan bajo la medida de mitigar el riesgo" xr:uid="{00000000-0002-0000-0100-00000B000000}">
          <x14:formula1>
            <xm:f>IF(OR(AE23='Opciones Tratamiento'!$B$2,AE23='Opciones Tratamiento'!$B$3,AE23='Opciones Tratamiento'!$B$4),ISBLANK(AE23),ISTEXT(AE23))</xm:f>
          </x14:formula1>
          <xm:sqref>AG23 AG25:AG27 AG30:AG33 AG54:AG57 AG79:AG81 AG84:AG87 AG65:AG69 AG71:AG75</xm:sqref>
        </x14:dataValidation>
        <x14:dataValidation type="custom" allowBlank="1" showInputMessage="1" showErrorMessage="1" error="Recuerde que las acciones se generan bajo la medida de mitigar el riesgo" xr:uid="{00000000-0002-0000-0100-00000C000000}">
          <x14:formula1>
            <xm:f>IF(OR(AE16='Opciones Tratamiento'!$B$2,AE16='Opciones Tratamiento'!$B$3,AE16='Opciones Tratamiento'!$B$4),ISBLANK(AE16),ISTEXT(AE16))</xm:f>
          </x14:formula1>
          <xm:sqref>AI16:AI17 AH23 AH25:AH27 AH30:AH33 AH54:AH57 AH79:AH81 AH84:AH87 AH65:AH69 AH71:AH75</xm:sqref>
        </x14:dataValidation>
        <x14:dataValidation type="custom" allowBlank="1" showInputMessage="1" showErrorMessage="1" error="Recuerde que las acciones se generan bajo la medida de mitigar el riesgo" xr:uid="{00000000-0002-0000-0100-00000D000000}">
          <x14:formula1>
            <xm:f>IF(OR(AE18='Opciones Tratamiento'!$B$2,AE18='Opciones Tratamiento'!$B$3,AE18='Opciones Tratamiento'!$B$4),ISBLANK(AE18),ISTEXT(AE18))</xm:f>
          </x14:formula1>
          <xm:sqref>AI18:AI87</xm:sqref>
        </x14:dataValidation>
        <x14:dataValidation type="custom" allowBlank="1" showInputMessage="1" showErrorMessage="1" error="Recuerde que las acciones se generan bajo la medida de mitigar el riesgo" xr:uid="{00000000-0002-0000-0100-00000E000000}">
          <x14:formula1>
            <xm:f>IF(OR(AE16='Opciones Tratamiento'!$B$2,AE16='Opciones Tratamiento'!$B$3,AE16='Opciones Tratamiento'!$B$4),ISBLANK(AE16),ISTEXT(AE16))</xm:f>
          </x14:formula1>
          <xm:sqref>AJ16:AJ87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heetViews>
  <sheetFormatPr defaultColWidth="11.42578125" defaultRowHeight="15"/>
  <cols>
    <col min="2" max="39" width="5.7109375" customWidth="1" collapsed="1"/>
    <col min="41" max="46" width="5.7109375" customWidth="1" collapsed="1"/>
  </cols>
  <sheetData>
    <row r="1" spans="1:99">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row>
    <row r="2" spans="1:99" ht="18" customHeight="1">
      <c r="A2" s="54"/>
      <c r="B2" s="507" t="s">
        <v>282</v>
      </c>
      <c r="C2" s="507"/>
      <c r="D2" s="507"/>
      <c r="E2" s="507"/>
      <c r="F2" s="507"/>
      <c r="G2" s="507"/>
      <c r="H2" s="507"/>
      <c r="I2" s="507"/>
      <c r="J2" s="474" t="s">
        <v>23</v>
      </c>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row>
    <row r="3" spans="1:99" ht="18.75" customHeight="1">
      <c r="A3" s="54"/>
      <c r="B3" s="507"/>
      <c r="C3" s="507"/>
      <c r="D3" s="507"/>
      <c r="E3" s="507"/>
      <c r="F3" s="507"/>
      <c r="G3" s="507"/>
      <c r="H3" s="507"/>
      <c r="I3" s="507"/>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row>
    <row r="4" spans="1:99" ht="15" customHeight="1">
      <c r="A4" s="54"/>
      <c r="B4" s="507"/>
      <c r="C4" s="507"/>
      <c r="D4" s="507"/>
      <c r="E4" s="507"/>
      <c r="F4" s="507"/>
      <c r="G4" s="507"/>
      <c r="H4" s="507"/>
      <c r="I4" s="507"/>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row>
    <row r="5" spans="1:99" ht="15.75" thickBo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row>
    <row r="6" spans="1:99" ht="15" customHeight="1">
      <c r="A6" s="54"/>
      <c r="B6" s="420" t="s">
        <v>183</v>
      </c>
      <c r="C6" s="420"/>
      <c r="D6" s="421"/>
      <c r="E6" s="458" t="s">
        <v>283</v>
      </c>
      <c r="F6" s="459"/>
      <c r="G6" s="459"/>
      <c r="H6" s="459"/>
      <c r="I6" s="460"/>
      <c r="J6" s="470" t="str">
        <f>IF(AND('MAPA DE RIESGO'!$I$16="Muy Alta",'MAPA DE RIESGO'!$M$16="Leve"),CONCATENATE("R",'MAPA DE RIESGO'!$B$16),"")</f>
        <v/>
      </c>
      <c r="K6" s="471"/>
      <c r="L6" s="471" t="str">
        <f>IF(AND('MAPA DE RIESGO'!$I$22="Muy Alta",'MAPA DE RIESGO'!$M$22="Leve"),CONCATENATE("R",'MAPA DE RIESGO'!$B$22),"")</f>
        <v/>
      </c>
      <c r="M6" s="471"/>
      <c r="N6" s="471" t="str">
        <f>IF(AND('MAPA DE RIESGO'!$I$28="Muy Alta",'MAPA DE RIESGO'!$M$28="Leve"),CONCATENATE("R",'MAPA DE RIESGO'!$B$28),"")</f>
        <v/>
      </c>
      <c r="O6" s="473"/>
      <c r="P6" s="470" t="str">
        <f>IF(AND('MAPA DE RIESGO'!$I$16="Muy Alta",'MAPA DE RIESGO'!$M$16="Menor"),CONCATENATE("R",'MAPA DE RIESGO'!$B$16),"")</f>
        <v/>
      </c>
      <c r="Q6" s="471"/>
      <c r="R6" s="471" t="str">
        <f>IF(AND('MAPA DE RIESGO'!$I$22="Muy Alta",'MAPA DE RIESGO'!$M$22="Menor"),CONCATENATE("R",'MAPA DE RIESGO'!$B$22),"")</f>
        <v/>
      </c>
      <c r="S6" s="471"/>
      <c r="T6" s="471" t="str">
        <f>IF(AND('MAPA DE RIESGO'!$I$28="Muy Alta",'MAPA DE RIESGO'!$M$28="Menor"),CONCATENATE("R",'MAPA DE RIESGO'!$B$28),"")</f>
        <v/>
      </c>
      <c r="U6" s="473"/>
      <c r="V6" s="470" t="str">
        <f>IF(AND('MAPA DE RIESGO'!$I$16="Muy Alta",'MAPA DE RIESGO'!$M$16="Moderado"),CONCATENATE("R",'MAPA DE RIESGO'!$B$16),"")</f>
        <v/>
      </c>
      <c r="W6" s="471"/>
      <c r="X6" s="471" t="str">
        <f>IF(AND('MAPA DE RIESGO'!$I$22="Muy Alta",'MAPA DE RIESGO'!$M$22="Moderado"),CONCATENATE("R",'MAPA DE RIESGO'!$B$22),"")</f>
        <v/>
      </c>
      <c r="Y6" s="471"/>
      <c r="Z6" s="471" t="str">
        <f>IF(AND('MAPA DE RIESGO'!$I$28="Muy Alta",'MAPA DE RIESGO'!$M$28="Moderado"),CONCATENATE("R",'MAPA DE RIESGO'!$B$28),"")</f>
        <v/>
      </c>
      <c r="AA6" s="473"/>
      <c r="AB6" s="470" t="str">
        <f>IF(AND('MAPA DE RIESGO'!$I$16="Muy Alta",'MAPA DE RIESGO'!$M$16="Mayor"),CONCATENATE("R",'MAPA DE RIESGO'!$B$16),"")</f>
        <v/>
      </c>
      <c r="AC6" s="471"/>
      <c r="AD6" s="471" t="str">
        <f>IF(AND('MAPA DE RIESGO'!$I$22="Muy Alta",'MAPA DE RIESGO'!$M$22="Mayor"),CONCATENATE("R",'MAPA DE RIESGO'!$B$22),"")</f>
        <v/>
      </c>
      <c r="AE6" s="471"/>
      <c r="AF6" s="471" t="str">
        <f>IF(AND('MAPA DE RIESGO'!$I$28="Muy Alta",'MAPA DE RIESGO'!$M$28="Mayor"),CONCATENATE("R",'MAPA DE RIESGO'!$B$28),"")</f>
        <v/>
      </c>
      <c r="AG6" s="473"/>
      <c r="AH6" s="486" t="str">
        <f>IF(AND('MAPA DE RIESGO'!$I$16="Muy Alta",'MAPA DE RIESGO'!$M$16="Catastrófico"),CONCATENATE("R",'MAPA DE RIESGO'!$B$16),"")</f>
        <v/>
      </c>
      <c r="AI6" s="487"/>
      <c r="AJ6" s="487" t="str">
        <f>IF(AND('MAPA DE RIESGO'!$I$22="Muy Alta",'MAPA DE RIESGO'!$M$22="Catastrófico"),CONCATENATE("R",'MAPA DE RIESGO'!$B$22),"")</f>
        <v/>
      </c>
      <c r="AK6" s="487"/>
      <c r="AL6" s="487" t="str">
        <f>IF(AND('MAPA DE RIESGO'!$I$28="Muy Alta",'MAPA DE RIESGO'!$M$28="Catastrófico"),CONCATENATE("R",'MAPA DE RIESGO'!$B$28),"")</f>
        <v/>
      </c>
      <c r="AM6" s="488"/>
      <c r="AO6" s="422" t="s">
        <v>284</v>
      </c>
      <c r="AP6" s="423"/>
      <c r="AQ6" s="423"/>
      <c r="AR6" s="423"/>
      <c r="AS6" s="423"/>
      <c r="AT6" s="42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row>
    <row r="7" spans="1:99" ht="15" customHeight="1">
      <c r="A7" s="54"/>
      <c r="B7" s="420"/>
      <c r="C7" s="420"/>
      <c r="D7" s="421"/>
      <c r="E7" s="461"/>
      <c r="F7" s="462"/>
      <c r="G7" s="462"/>
      <c r="H7" s="462"/>
      <c r="I7" s="463"/>
      <c r="J7" s="472"/>
      <c r="K7" s="469"/>
      <c r="L7" s="469"/>
      <c r="M7" s="469"/>
      <c r="N7" s="469"/>
      <c r="O7" s="468"/>
      <c r="P7" s="472"/>
      <c r="Q7" s="469"/>
      <c r="R7" s="469"/>
      <c r="S7" s="469"/>
      <c r="T7" s="469"/>
      <c r="U7" s="468"/>
      <c r="V7" s="472"/>
      <c r="W7" s="469"/>
      <c r="X7" s="469"/>
      <c r="Y7" s="469"/>
      <c r="Z7" s="469"/>
      <c r="AA7" s="468"/>
      <c r="AB7" s="472"/>
      <c r="AC7" s="469"/>
      <c r="AD7" s="469"/>
      <c r="AE7" s="469"/>
      <c r="AF7" s="469"/>
      <c r="AG7" s="468"/>
      <c r="AH7" s="480"/>
      <c r="AI7" s="481"/>
      <c r="AJ7" s="481"/>
      <c r="AK7" s="481"/>
      <c r="AL7" s="481"/>
      <c r="AM7" s="482"/>
      <c r="AN7" s="54"/>
      <c r="AO7" s="425"/>
      <c r="AP7" s="426"/>
      <c r="AQ7" s="426"/>
      <c r="AR7" s="426"/>
      <c r="AS7" s="426"/>
      <c r="AT7" s="427"/>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row>
    <row r="8" spans="1:99" ht="15" customHeight="1">
      <c r="A8" s="54"/>
      <c r="B8" s="420"/>
      <c r="C8" s="420"/>
      <c r="D8" s="421"/>
      <c r="E8" s="461"/>
      <c r="F8" s="462"/>
      <c r="G8" s="462"/>
      <c r="H8" s="462"/>
      <c r="I8" s="463"/>
      <c r="J8" s="472" t="str">
        <f>IF(AND('MAPA DE RIESGO'!$I$34="Muy Alta",'MAPA DE RIESGO'!$M$34="Leve"),CONCATENATE("R",'MAPA DE RIESGO'!$B$34),"")</f>
        <v/>
      </c>
      <c r="K8" s="469"/>
      <c r="L8" s="467" t="str">
        <f>IF(AND('MAPA DE RIESGO'!$I$40="Muy Alta",'MAPA DE RIESGO'!$M$40="Leve"),CONCATENATE("R",'MAPA DE RIESGO'!$B$40),"")</f>
        <v/>
      </c>
      <c r="M8" s="467"/>
      <c r="N8" s="467" t="str">
        <f>IF(AND('MAPA DE RIESGO'!$I$46="Muy Alta",'MAPA DE RIESGO'!$M$46="Leve"),CONCATENATE("R",'MAPA DE RIESGO'!$B$46),"")</f>
        <v/>
      </c>
      <c r="O8" s="468"/>
      <c r="P8" s="472" t="str">
        <f>IF(AND('MAPA DE RIESGO'!$I$34="Muy Alta",'MAPA DE RIESGO'!$M$34="Menor"),CONCATENATE("R",'MAPA DE RIESGO'!$B$34),"")</f>
        <v/>
      </c>
      <c r="Q8" s="469"/>
      <c r="R8" s="467" t="str">
        <f>IF(AND('MAPA DE RIESGO'!$I$40="Muy Alta",'MAPA DE RIESGO'!$M$40="Menor"),CONCATENATE("R",'MAPA DE RIESGO'!$B$40),"")</f>
        <v/>
      </c>
      <c r="S8" s="467"/>
      <c r="T8" s="467" t="str">
        <f>IF(AND('MAPA DE RIESGO'!$I$46="Muy Alta",'MAPA DE RIESGO'!$M$46="Menor"),CONCATENATE("R",'MAPA DE RIESGO'!$B$46),"")</f>
        <v/>
      </c>
      <c r="U8" s="468"/>
      <c r="V8" s="472" t="str">
        <f>IF(AND('MAPA DE RIESGO'!$I$34="Muy Alta",'MAPA DE RIESGO'!$M$34="Moderado"),CONCATENATE("R",'MAPA DE RIESGO'!$B$34),"")</f>
        <v/>
      </c>
      <c r="W8" s="469"/>
      <c r="X8" s="467" t="str">
        <f>IF(AND('MAPA DE RIESGO'!$I$40="Muy Alta",'MAPA DE RIESGO'!$M$40="Moderado"),CONCATENATE("R",'MAPA DE RIESGO'!$B$40),"")</f>
        <v/>
      </c>
      <c r="Y8" s="467"/>
      <c r="Z8" s="467" t="str">
        <f>IF(AND('MAPA DE RIESGO'!$I$46="Muy Alta",'MAPA DE RIESGO'!$M$46="Moderado"),CONCATENATE("R",'MAPA DE RIESGO'!$B$46),"")</f>
        <v/>
      </c>
      <c r="AA8" s="468"/>
      <c r="AB8" s="472" t="str">
        <f>IF(AND('MAPA DE RIESGO'!$I$34="Muy Alta",'MAPA DE RIESGO'!$M$34="Mayor"),CONCATENATE("R",'MAPA DE RIESGO'!$B$34),"")</f>
        <v/>
      </c>
      <c r="AC8" s="469"/>
      <c r="AD8" s="467" t="str">
        <f>IF(AND('MAPA DE RIESGO'!$I$40="Muy Alta",'MAPA DE RIESGO'!$M$40="Mayor"),CONCATENATE("R",'MAPA DE RIESGO'!$B$40),"")</f>
        <v/>
      </c>
      <c r="AE8" s="467"/>
      <c r="AF8" s="467" t="str">
        <f>IF(AND('MAPA DE RIESGO'!$I$46="Muy Alta",'MAPA DE RIESGO'!$M$46="Mayor"),CONCATENATE("R",'MAPA DE RIESGO'!$B$46),"")</f>
        <v/>
      </c>
      <c r="AG8" s="468"/>
      <c r="AH8" s="480" t="str">
        <f>IF(AND('MAPA DE RIESGO'!$I$34="Muy Alta",'MAPA DE RIESGO'!$M$34="Catastrófico"),CONCATENATE("R",'MAPA DE RIESGO'!$B$34),"")</f>
        <v/>
      </c>
      <c r="AI8" s="481"/>
      <c r="AJ8" s="481" t="str">
        <f>IF(AND('MAPA DE RIESGO'!$I$40="Muy Alta",'MAPA DE RIESGO'!$M$40="Catastrófico"),CONCATENATE("R",'MAPA DE RIESGO'!$B$40),"")</f>
        <v/>
      </c>
      <c r="AK8" s="481"/>
      <c r="AL8" s="481" t="str">
        <f>IF(AND('MAPA DE RIESGO'!$I$46="Muy Alta",'MAPA DE RIESGO'!$M$46="Catastrófico"),CONCATENATE("R",'MAPA DE RIESGO'!$B$46),"")</f>
        <v/>
      </c>
      <c r="AM8" s="482"/>
      <c r="AN8" s="54"/>
      <c r="AO8" s="425"/>
      <c r="AP8" s="426"/>
      <c r="AQ8" s="426"/>
      <c r="AR8" s="426"/>
      <c r="AS8" s="426"/>
      <c r="AT8" s="427"/>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row>
    <row r="9" spans="1:99" ht="15" customHeight="1">
      <c r="A9" s="54"/>
      <c r="B9" s="420"/>
      <c r="C9" s="420"/>
      <c r="D9" s="421"/>
      <c r="E9" s="461"/>
      <c r="F9" s="462"/>
      <c r="G9" s="462"/>
      <c r="H9" s="462"/>
      <c r="I9" s="463"/>
      <c r="J9" s="472"/>
      <c r="K9" s="469"/>
      <c r="L9" s="467"/>
      <c r="M9" s="467"/>
      <c r="N9" s="467"/>
      <c r="O9" s="468"/>
      <c r="P9" s="472"/>
      <c r="Q9" s="469"/>
      <c r="R9" s="467"/>
      <c r="S9" s="467"/>
      <c r="T9" s="467"/>
      <c r="U9" s="468"/>
      <c r="V9" s="472"/>
      <c r="W9" s="469"/>
      <c r="X9" s="467"/>
      <c r="Y9" s="467"/>
      <c r="Z9" s="467"/>
      <c r="AA9" s="468"/>
      <c r="AB9" s="472"/>
      <c r="AC9" s="469"/>
      <c r="AD9" s="467"/>
      <c r="AE9" s="467"/>
      <c r="AF9" s="467"/>
      <c r="AG9" s="468"/>
      <c r="AH9" s="480"/>
      <c r="AI9" s="481"/>
      <c r="AJ9" s="481"/>
      <c r="AK9" s="481"/>
      <c r="AL9" s="481"/>
      <c r="AM9" s="482"/>
      <c r="AN9" s="54"/>
      <c r="AO9" s="425"/>
      <c r="AP9" s="426"/>
      <c r="AQ9" s="426"/>
      <c r="AR9" s="426"/>
      <c r="AS9" s="426"/>
      <c r="AT9" s="427"/>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row>
    <row r="10" spans="1:99" ht="15" customHeight="1">
      <c r="A10" s="54"/>
      <c r="B10" s="420"/>
      <c r="C10" s="420"/>
      <c r="D10" s="421"/>
      <c r="E10" s="461"/>
      <c r="F10" s="462"/>
      <c r="G10" s="462"/>
      <c r="H10" s="462"/>
      <c r="I10" s="463"/>
      <c r="J10" s="472" t="str">
        <f>IF(AND('MAPA DE RIESGO'!$I$52="Muy Alta",'MAPA DE RIESGO'!$M$52="Leve"),CONCATENATE("R",'MAPA DE RIESGO'!$B$52),"")</f>
        <v/>
      </c>
      <c r="K10" s="469"/>
      <c r="L10" s="467" t="str">
        <f>IF(AND('MAPA DE RIESGO'!$I$58="Muy Alta",'MAPA DE RIESGO'!$M$58="Leve"),CONCATENATE("R",'MAPA DE RIESGO'!$B$58),"")</f>
        <v/>
      </c>
      <c r="M10" s="467"/>
      <c r="N10" s="467" t="str">
        <f>IF(AND('MAPA DE RIESGO'!$I$76="Muy Alta",'MAPA DE RIESGO'!$M$76="Leve"),CONCATENATE("R",'MAPA DE RIESGO'!$B$76),"")</f>
        <v/>
      </c>
      <c r="O10" s="468"/>
      <c r="P10" s="472" t="str">
        <f>IF(AND('MAPA DE RIESGO'!$I$52="Muy Alta",'MAPA DE RIESGO'!$M$52="Menor"),CONCATENATE("R",'MAPA DE RIESGO'!$B$52),"")</f>
        <v/>
      </c>
      <c r="Q10" s="469"/>
      <c r="R10" s="467" t="str">
        <f>IF(AND('MAPA DE RIESGO'!$I$58="Muy Alta",'MAPA DE RIESGO'!$M$58="Menor"),CONCATENATE("R",'MAPA DE RIESGO'!$B$58),"")</f>
        <v/>
      </c>
      <c r="S10" s="467"/>
      <c r="T10" s="467" t="str">
        <f>IF(AND('MAPA DE RIESGO'!$I$76="Muy Alta",'MAPA DE RIESGO'!$M$76="Menor"),CONCATENATE("R",'MAPA DE RIESGO'!$B$76),"")</f>
        <v/>
      </c>
      <c r="U10" s="468"/>
      <c r="V10" s="472" t="str">
        <f>IF(AND('MAPA DE RIESGO'!$I$52="Muy Alta",'MAPA DE RIESGO'!$M$52="Moderado"),CONCATENATE("R",'MAPA DE RIESGO'!$B$52),"")</f>
        <v/>
      </c>
      <c r="W10" s="469"/>
      <c r="X10" s="467" t="str">
        <f>IF(AND('MAPA DE RIESGO'!$I$58="Muy Alta",'MAPA DE RIESGO'!$M$58="Moderado"),CONCATENATE("R",'MAPA DE RIESGO'!$B$58),"")</f>
        <v/>
      </c>
      <c r="Y10" s="467"/>
      <c r="Z10" s="467" t="str">
        <f>IF(AND('MAPA DE RIESGO'!$I$76="Muy Alta",'MAPA DE RIESGO'!$M$76="Moderado"),CONCATENATE("R",'MAPA DE RIESGO'!$B$76),"")</f>
        <v/>
      </c>
      <c r="AA10" s="468"/>
      <c r="AB10" s="472" t="str">
        <f>IF(AND('MAPA DE RIESGO'!$I$52="Muy Alta",'MAPA DE RIESGO'!$M$52="Mayor"),CONCATENATE("R",'MAPA DE RIESGO'!$B$52),"")</f>
        <v/>
      </c>
      <c r="AC10" s="469"/>
      <c r="AD10" s="467" t="str">
        <f>IF(AND('MAPA DE RIESGO'!$I$58="Muy Alta",'MAPA DE RIESGO'!$M$58="Mayor"),CONCATENATE("R",'MAPA DE RIESGO'!$B$58),"")</f>
        <v/>
      </c>
      <c r="AE10" s="467"/>
      <c r="AF10" s="467" t="str">
        <f>IF(AND('MAPA DE RIESGO'!$I$76="Muy Alta",'MAPA DE RIESGO'!$M$76="Mayor"),CONCATENATE("R",'MAPA DE RIESGO'!$B$76),"")</f>
        <v/>
      </c>
      <c r="AG10" s="468"/>
      <c r="AH10" s="480" t="str">
        <f>IF(AND('MAPA DE RIESGO'!$I$52="Muy Alta",'MAPA DE RIESGO'!$M$52="Catastrófico"),CONCATENATE("R",'MAPA DE RIESGO'!$B$52),"")</f>
        <v/>
      </c>
      <c r="AI10" s="481"/>
      <c r="AJ10" s="481" t="str">
        <f>IF(AND('MAPA DE RIESGO'!$I$58="Muy Alta",'MAPA DE RIESGO'!$M$58="Catastrófico"),CONCATENATE("R",'MAPA DE RIESGO'!$B$58),"")</f>
        <v/>
      </c>
      <c r="AK10" s="481"/>
      <c r="AL10" s="481" t="str">
        <f>IF(AND('MAPA DE RIESGO'!$I$76="Muy Alta",'MAPA DE RIESGO'!$M$76="Catastrófico"),CONCATENATE("R",'MAPA DE RIESGO'!$B$76),"")</f>
        <v/>
      </c>
      <c r="AM10" s="482"/>
      <c r="AN10" s="54"/>
      <c r="AO10" s="425"/>
      <c r="AP10" s="426"/>
      <c r="AQ10" s="426"/>
      <c r="AR10" s="426"/>
      <c r="AS10" s="426"/>
      <c r="AT10" s="427"/>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row>
    <row r="11" spans="1:99" ht="15" customHeight="1">
      <c r="A11" s="54"/>
      <c r="B11" s="420"/>
      <c r="C11" s="420"/>
      <c r="D11" s="421"/>
      <c r="E11" s="461"/>
      <c r="F11" s="462"/>
      <c r="G11" s="462"/>
      <c r="H11" s="462"/>
      <c r="I11" s="463"/>
      <c r="J11" s="472"/>
      <c r="K11" s="469"/>
      <c r="L11" s="467"/>
      <c r="M11" s="467"/>
      <c r="N11" s="467"/>
      <c r="O11" s="468"/>
      <c r="P11" s="472"/>
      <c r="Q11" s="469"/>
      <c r="R11" s="467"/>
      <c r="S11" s="467"/>
      <c r="T11" s="467"/>
      <c r="U11" s="468"/>
      <c r="V11" s="472"/>
      <c r="W11" s="469"/>
      <c r="X11" s="467"/>
      <c r="Y11" s="467"/>
      <c r="Z11" s="467"/>
      <c r="AA11" s="468"/>
      <c r="AB11" s="472"/>
      <c r="AC11" s="469"/>
      <c r="AD11" s="467"/>
      <c r="AE11" s="467"/>
      <c r="AF11" s="467"/>
      <c r="AG11" s="468"/>
      <c r="AH11" s="480"/>
      <c r="AI11" s="481"/>
      <c r="AJ11" s="481"/>
      <c r="AK11" s="481"/>
      <c r="AL11" s="481"/>
      <c r="AM11" s="482"/>
      <c r="AN11" s="54"/>
      <c r="AO11" s="425"/>
      <c r="AP11" s="426"/>
      <c r="AQ11" s="426"/>
      <c r="AR11" s="426"/>
      <c r="AS11" s="426"/>
      <c r="AT11" s="427"/>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row>
    <row r="12" spans="1:99" ht="15" customHeight="1">
      <c r="A12" s="54"/>
      <c r="B12" s="420"/>
      <c r="C12" s="420"/>
      <c r="D12" s="421"/>
      <c r="E12" s="461"/>
      <c r="F12" s="462"/>
      <c r="G12" s="462"/>
      <c r="H12" s="462"/>
      <c r="I12" s="463"/>
      <c r="J12" s="472" t="str">
        <f>IF(AND('MAPA DE RIESGO'!$I$82="Muy Alta",'MAPA DE RIESGO'!$M$82="Leve"),CONCATENATE("R",'MAPA DE RIESGO'!$B$82),"")</f>
        <v/>
      </c>
      <c r="K12" s="469"/>
      <c r="L12" s="467" t="str">
        <f>IF(AND('MAPA DE RIESGO'!$I$88="Muy Alta",'MAPA DE RIESGO'!$M$88="Leve"),CONCATENATE("R",'MAPA DE RIESGO'!$B$88),"")</f>
        <v/>
      </c>
      <c r="M12" s="467"/>
      <c r="N12" s="467" t="str">
        <f>IF(AND('MAPA DE RIESGO'!$I$94="Muy Alta",'MAPA DE RIESGO'!$M$94="Leve"),CONCATENATE("R",'MAPA DE RIESGO'!$B$94),"")</f>
        <v/>
      </c>
      <c r="O12" s="468"/>
      <c r="P12" s="472" t="str">
        <f>IF(AND('MAPA DE RIESGO'!$I$82="Muy Alta",'MAPA DE RIESGO'!$M$82="Menor"),CONCATENATE("R",'MAPA DE RIESGO'!$B$82),"")</f>
        <v/>
      </c>
      <c r="Q12" s="469"/>
      <c r="R12" s="467" t="str">
        <f>IF(AND('MAPA DE RIESGO'!$I$88="Muy Alta",'MAPA DE RIESGO'!$M$88="Menor"),CONCATENATE("R",'MAPA DE RIESGO'!$B$88),"")</f>
        <v/>
      </c>
      <c r="S12" s="467"/>
      <c r="T12" s="467" t="str">
        <f>IF(AND('MAPA DE RIESGO'!$I$94="Muy Alta",'MAPA DE RIESGO'!$M$94="Menor"),CONCATENATE("R",'MAPA DE RIESGO'!$B$94),"")</f>
        <v/>
      </c>
      <c r="U12" s="468"/>
      <c r="V12" s="472" t="str">
        <f>IF(AND('MAPA DE RIESGO'!$I$82="Muy Alta",'MAPA DE RIESGO'!$M$82="Moderado"),CONCATENATE("R",'MAPA DE RIESGO'!$B$82),"")</f>
        <v/>
      </c>
      <c r="W12" s="469"/>
      <c r="X12" s="467" t="str">
        <f>IF(AND('MAPA DE RIESGO'!$I$88="Muy Alta",'MAPA DE RIESGO'!$M$88="Moderado"),CONCATENATE("R",'MAPA DE RIESGO'!$B$88),"")</f>
        <v/>
      </c>
      <c r="Y12" s="467"/>
      <c r="Z12" s="467" t="str">
        <f>IF(AND('MAPA DE RIESGO'!$I$94="Muy Alta",'MAPA DE RIESGO'!$M$94="Moderado"),CONCATENATE("R",'MAPA DE RIESGO'!$B$94),"")</f>
        <v/>
      </c>
      <c r="AA12" s="468"/>
      <c r="AB12" s="472" t="str">
        <f>IF(AND('MAPA DE RIESGO'!$I$82="Muy Alta",'MAPA DE RIESGO'!$M$82="Mayor"),CONCATENATE("R",'MAPA DE RIESGO'!$B$82),"")</f>
        <v/>
      </c>
      <c r="AC12" s="469"/>
      <c r="AD12" s="467" t="str">
        <f>IF(AND('MAPA DE RIESGO'!$I$88="Muy Alta",'MAPA DE RIESGO'!$M$88="Mayor"),CONCATENATE("R",'MAPA DE RIESGO'!$B$88),"")</f>
        <v/>
      </c>
      <c r="AE12" s="467"/>
      <c r="AF12" s="467" t="str">
        <f>IF(AND('MAPA DE RIESGO'!$I$94="Muy Alta",'MAPA DE RIESGO'!$M$94="Mayor"),CONCATENATE("R",'MAPA DE RIESGO'!$B$94),"")</f>
        <v/>
      </c>
      <c r="AG12" s="468"/>
      <c r="AH12" s="480" t="str">
        <f>IF(AND('MAPA DE RIESGO'!$I$82="Muy Alta",'MAPA DE RIESGO'!$M$82="Catastrófico"),CONCATENATE("R",'MAPA DE RIESGO'!$B$82),"")</f>
        <v/>
      </c>
      <c r="AI12" s="481"/>
      <c r="AJ12" s="481" t="str">
        <f>IF(AND('MAPA DE RIESGO'!$I$88="Muy Alta",'MAPA DE RIESGO'!$M$88="Catastrófico"),CONCATENATE("R",'MAPA DE RIESGO'!$B$88),"")</f>
        <v/>
      </c>
      <c r="AK12" s="481"/>
      <c r="AL12" s="481" t="str">
        <f>IF(AND('MAPA DE RIESGO'!$I$94="Muy Alta",'MAPA DE RIESGO'!$M$94="Catastrófico"),CONCATENATE("R",'MAPA DE RIESGO'!$B$94),"")</f>
        <v/>
      </c>
      <c r="AM12" s="482"/>
      <c r="AN12" s="54"/>
      <c r="AO12" s="425"/>
      <c r="AP12" s="426"/>
      <c r="AQ12" s="426"/>
      <c r="AR12" s="426"/>
      <c r="AS12" s="426"/>
      <c r="AT12" s="427"/>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row>
    <row r="13" spans="1:99" ht="15.75" customHeight="1" thickBot="1">
      <c r="A13" s="54"/>
      <c r="B13" s="420"/>
      <c r="C13" s="420"/>
      <c r="D13" s="421"/>
      <c r="E13" s="464"/>
      <c r="F13" s="465"/>
      <c r="G13" s="465"/>
      <c r="H13" s="465"/>
      <c r="I13" s="466"/>
      <c r="J13" s="472"/>
      <c r="K13" s="469"/>
      <c r="L13" s="469"/>
      <c r="M13" s="469"/>
      <c r="N13" s="469"/>
      <c r="O13" s="468"/>
      <c r="P13" s="472"/>
      <c r="Q13" s="469"/>
      <c r="R13" s="469"/>
      <c r="S13" s="469"/>
      <c r="T13" s="469"/>
      <c r="U13" s="468"/>
      <c r="V13" s="472"/>
      <c r="W13" s="469"/>
      <c r="X13" s="469"/>
      <c r="Y13" s="469"/>
      <c r="Z13" s="469"/>
      <c r="AA13" s="468"/>
      <c r="AB13" s="472"/>
      <c r="AC13" s="469"/>
      <c r="AD13" s="469"/>
      <c r="AE13" s="469"/>
      <c r="AF13" s="469"/>
      <c r="AG13" s="468"/>
      <c r="AH13" s="483"/>
      <c r="AI13" s="484"/>
      <c r="AJ13" s="484"/>
      <c r="AK13" s="484"/>
      <c r="AL13" s="484"/>
      <c r="AM13" s="485"/>
      <c r="AN13" s="54"/>
      <c r="AO13" s="428"/>
      <c r="AP13" s="429"/>
      <c r="AQ13" s="429"/>
      <c r="AR13" s="429"/>
      <c r="AS13" s="429"/>
      <c r="AT13" s="430"/>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row>
    <row r="14" spans="1:99" ht="15" customHeight="1">
      <c r="A14" s="54"/>
      <c r="B14" s="420"/>
      <c r="C14" s="420"/>
      <c r="D14" s="421"/>
      <c r="E14" s="458" t="s">
        <v>285</v>
      </c>
      <c r="F14" s="459"/>
      <c r="G14" s="459"/>
      <c r="H14" s="459"/>
      <c r="I14" s="459"/>
      <c r="J14" s="495" t="str">
        <f>IF(AND('MAPA DE RIESGO'!$I$16="Alta",'MAPA DE RIESGO'!$M$16="Leve"),CONCATENATE("R",'MAPA DE RIESGO'!$B$16),"")</f>
        <v/>
      </c>
      <c r="K14" s="496"/>
      <c r="L14" s="496" t="str">
        <f>IF(AND('MAPA DE RIESGO'!$I$22="Alta",'MAPA DE RIESGO'!$M$22="Leve"),CONCATENATE("R",'MAPA DE RIESGO'!$B$22),"")</f>
        <v/>
      </c>
      <c r="M14" s="496"/>
      <c r="N14" s="496" t="str">
        <f>IF(AND('MAPA DE RIESGO'!$I$28="Alta",'MAPA DE RIESGO'!$M$28="Leve"),CONCATENATE("R",'MAPA DE RIESGO'!$B$28),"")</f>
        <v/>
      </c>
      <c r="O14" s="497"/>
      <c r="P14" s="495" t="str">
        <f>IF(AND('MAPA DE RIESGO'!$I$16="Alta",'MAPA DE RIESGO'!$M$16="Menor"),CONCATENATE("R",'MAPA DE RIESGO'!$B$16),"")</f>
        <v/>
      </c>
      <c r="Q14" s="496"/>
      <c r="R14" s="496" t="str">
        <f>IF(AND('MAPA DE RIESGO'!$I$22="Alta",'MAPA DE RIESGO'!$M$22="Menor"),CONCATENATE("R",'MAPA DE RIESGO'!$B$22),"")</f>
        <v/>
      </c>
      <c r="S14" s="496"/>
      <c r="T14" s="496" t="str">
        <f>IF(AND('MAPA DE RIESGO'!$I$28="Alta",'MAPA DE RIESGO'!$M$28="Menor"),CONCATENATE("R",'MAPA DE RIESGO'!$B$28),"")</f>
        <v/>
      </c>
      <c r="U14" s="497"/>
      <c r="V14" s="470" t="str">
        <f>IF(AND('MAPA DE RIESGO'!$I$16="Alta",'MAPA DE RIESGO'!$M$16="Moderado"),CONCATENATE("R",'MAPA DE RIESGO'!$B$16),"")</f>
        <v/>
      </c>
      <c r="W14" s="471"/>
      <c r="X14" s="471" t="str">
        <f>IF(AND('MAPA DE RIESGO'!$I$22="Alta",'MAPA DE RIESGO'!$M$22="Moderado"),CONCATENATE("R",'MAPA DE RIESGO'!$B$22),"")</f>
        <v/>
      </c>
      <c r="Y14" s="471"/>
      <c r="Z14" s="471" t="str">
        <f>IF(AND('MAPA DE RIESGO'!$I$28="Alta",'MAPA DE RIESGO'!$M$28="Moderado"),CONCATENATE("R",'MAPA DE RIESGO'!$B$28),"")</f>
        <v/>
      </c>
      <c r="AA14" s="473"/>
      <c r="AB14" s="470" t="str">
        <f>IF(AND('MAPA DE RIESGO'!$I$16="Alta",'MAPA DE RIESGO'!$M$16="Mayor"),CONCATENATE("R",'MAPA DE RIESGO'!$B$16),"")</f>
        <v/>
      </c>
      <c r="AC14" s="471"/>
      <c r="AD14" s="471" t="str">
        <f>IF(AND('MAPA DE RIESGO'!$I$22="Alta",'MAPA DE RIESGO'!$M$22="Mayor"),CONCATENATE("R",'MAPA DE RIESGO'!$B$22),"")</f>
        <v/>
      </c>
      <c r="AE14" s="471"/>
      <c r="AF14" s="471" t="str">
        <f>IF(AND('MAPA DE RIESGO'!$I$28="Alta",'MAPA DE RIESGO'!$M$28="Mayor"),CONCATENATE("R",'MAPA DE RIESGO'!$B$28),"")</f>
        <v/>
      </c>
      <c r="AG14" s="473"/>
      <c r="AH14" s="486" t="str">
        <f>IF(AND('MAPA DE RIESGO'!$I$16="Alta",'MAPA DE RIESGO'!$M$16="Catastrófico"),CONCATENATE("R",'MAPA DE RIESGO'!$B$16),"")</f>
        <v/>
      </c>
      <c r="AI14" s="487"/>
      <c r="AJ14" s="487" t="str">
        <f>IF(AND('MAPA DE RIESGO'!$I$22="Alta",'MAPA DE RIESGO'!$M$22="Catastrófico"),CONCATENATE("R",'MAPA DE RIESGO'!$B$22),"")</f>
        <v/>
      </c>
      <c r="AK14" s="487"/>
      <c r="AL14" s="487" t="str">
        <f>IF(AND('MAPA DE RIESGO'!$I$28="Alta",'MAPA DE RIESGO'!$M$28="Catastrófico"),CONCATENATE("R",'MAPA DE RIESGO'!$B$28),"")</f>
        <v/>
      </c>
      <c r="AM14" s="488"/>
      <c r="AN14" s="54"/>
      <c r="AO14" s="431" t="s">
        <v>286</v>
      </c>
      <c r="AP14" s="432"/>
      <c r="AQ14" s="432"/>
      <c r="AR14" s="432"/>
      <c r="AS14" s="432"/>
      <c r="AT14" s="433"/>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row>
    <row r="15" spans="1:99" ht="15" customHeight="1">
      <c r="A15" s="54"/>
      <c r="B15" s="420"/>
      <c r="C15" s="420"/>
      <c r="D15" s="421"/>
      <c r="E15" s="461"/>
      <c r="F15" s="462"/>
      <c r="G15" s="462"/>
      <c r="H15" s="462"/>
      <c r="I15" s="475"/>
      <c r="J15" s="489"/>
      <c r="K15" s="490"/>
      <c r="L15" s="490"/>
      <c r="M15" s="490"/>
      <c r="N15" s="490"/>
      <c r="O15" s="491"/>
      <c r="P15" s="489"/>
      <c r="Q15" s="490"/>
      <c r="R15" s="490"/>
      <c r="S15" s="490"/>
      <c r="T15" s="490"/>
      <c r="U15" s="491"/>
      <c r="V15" s="472"/>
      <c r="W15" s="469"/>
      <c r="X15" s="469"/>
      <c r="Y15" s="469"/>
      <c r="Z15" s="469"/>
      <c r="AA15" s="468"/>
      <c r="AB15" s="472"/>
      <c r="AC15" s="469"/>
      <c r="AD15" s="469"/>
      <c r="AE15" s="469"/>
      <c r="AF15" s="469"/>
      <c r="AG15" s="468"/>
      <c r="AH15" s="480"/>
      <c r="AI15" s="481"/>
      <c r="AJ15" s="481"/>
      <c r="AK15" s="481"/>
      <c r="AL15" s="481"/>
      <c r="AM15" s="482"/>
      <c r="AN15" s="54"/>
      <c r="AO15" s="434"/>
      <c r="AP15" s="435"/>
      <c r="AQ15" s="435"/>
      <c r="AR15" s="435"/>
      <c r="AS15" s="435"/>
      <c r="AT15" s="436"/>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row>
    <row r="16" spans="1:99" ht="15" customHeight="1">
      <c r="A16" s="54"/>
      <c r="B16" s="420"/>
      <c r="C16" s="420"/>
      <c r="D16" s="421"/>
      <c r="E16" s="461"/>
      <c r="F16" s="462"/>
      <c r="G16" s="462"/>
      <c r="H16" s="462"/>
      <c r="I16" s="475"/>
      <c r="J16" s="489" t="str">
        <f>IF(AND('MAPA DE RIESGO'!$I$34="Alta",'MAPA DE RIESGO'!$M$34="Leve"),CONCATENATE("R",'MAPA DE RIESGO'!$B$34),"")</f>
        <v/>
      </c>
      <c r="K16" s="490"/>
      <c r="L16" s="490" t="str">
        <f>IF(AND('MAPA DE RIESGO'!$I$40="Alta",'MAPA DE RIESGO'!$M$40="Leve"),CONCATENATE("R",'MAPA DE RIESGO'!$B$40),"")</f>
        <v/>
      </c>
      <c r="M16" s="490"/>
      <c r="N16" s="490" t="str">
        <f>IF(AND('MAPA DE RIESGO'!$I$46="Alta",'MAPA DE RIESGO'!$M$46="Leve"),CONCATENATE("R",'MAPA DE RIESGO'!$B$46),"")</f>
        <v/>
      </c>
      <c r="O16" s="491"/>
      <c r="P16" s="489" t="str">
        <f>IF(AND('MAPA DE RIESGO'!$I$34="Alta",'MAPA DE RIESGO'!$M$34="Menor"),CONCATENATE("R",'MAPA DE RIESGO'!$B$34),"")</f>
        <v/>
      </c>
      <c r="Q16" s="490"/>
      <c r="R16" s="490" t="str">
        <f>IF(AND('MAPA DE RIESGO'!$I$40="Alta",'MAPA DE RIESGO'!$M$40="Menor"),CONCATENATE("R",'MAPA DE RIESGO'!$B$40),"")</f>
        <v/>
      </c>
      <c r="S16" s="490"/>
      <c r="T16" s="490" t="str">
        <f>IF(AND('MAPA DE RIESGO'!$I$46="Alta",'MAPA DE RIESGO'!$M$46="Menor"),CONCATENATE("R",'MAPA DE RIESGO'!$B$46),"")</f>
        <v/>
      </c>
      <c r="U16" s="491"/>
      <c r="V16" s="472" t="str">
        <f>IF(AND('MAPA DE RIESGO'!$I$34="Alta",'MAPA DE RIESGO'!$M$34="Moderado"),CONCATENATE("R",'MAPA DE RIESGO'!$B$34),"")</f>
        <v/>
      </c>
      <c r="W16" s="469"/>
      <c r="X16" s="467" t="str">
        <f>IF(AND('MAPA DE RIESGO'!$I$40="Alta",'MAPA DE RIESGO'!$M$40="Moderado"),CONCATENATE("R",'MAPA DE RIESGO'!$B$40),"")</f>
        <v>R5</v>
      </c>
      <c r="Y16" s="467"/>
      <c r="Z16" s="467" t="str">
        <f>IF(AND('MAPA DE RIESGO'!$I$46="Alta",'MAPA DE RIESGO'!$M$46="Moderado"),CONCATENATE("R",'MAPA DE RIESGO'!$B$46),"")</f>
        <v/>
      </c>
      <c r="AA16" s="468"/>
      <c r="AB16" s="472" t="str">
        <f>IF(AND('MAPA DE RIESGO'!$I$34="Alta",'MAPA DE RIESGO'!$M$34="Mayor"),CONCATENATE("R",'MAPA DE RIESGO'!$B$34),"")</f>
        <v/>
      </c>
      <c r="AC16" s="469"/>
      <c r="AD16" s="467" t="str">
        <f>IF(AND('MAPA DE RIESGO'!$I$40="Alta",'MAPA DE RIESGO'!$M$40="Mayor"),CONCATENATE("R",'MAPA DE RIESGO'!$B$40),"")</f>
        <v/>
      </c>
      <c r="AE16" s="467"/>
      <c r="AF16" s="467" t="str">
        <f>IF(AND('MAPA DE RIESGO'!$I$46="Alta",'MAPA DE RIESGO'!$M$46="Mayor"),CONCATENATE("R",'MAPA DE RIESGO'!$B$46),"")</f>
        <v/>
      </c>
      <c r="AG16" s="468"/>
      <c r="AH16" s="480" t="str">
        <f>IF(AND('MAPA DE RIESGO'!$I$34="Alta",'MAPA DE RIESGO'!$M$34="Catastrófico"),CONCATENATE("R",'MAPA DE RIESGO'!$B$34),"")</f>
        <v/>
      </c>
      <c r="AI16" s="481"/>
      <c r="AJ16" s="481" t="str">
        <f>IF(AND('MAPA DE RIESGO'!$I$40="Alta",'MAPA DE RIESGO'!$M$40="Catastrófico"),CONCATENATE("R",'MAPA DE RIESGO'!$B$40),"")</f>
        <v/>
      </c>
      <c r="AK16" s="481"/>
      <c r="AL16" s="481" t="str">
        <f>IF(AND('MAPA DE RIESGO'!$I$46="Alta",'MAPA DE RIESGO'!$M$46="Catastrófico"),CONCATENATE("R",'MAPA DE RIESGO'!$B$46),"")</f>
        <v/>
      </c>
      <c r="AM16" s="482"/>
      <c r="AN16" s="54"/>
      <c r="AO16" s="434"/>
      <c r="AP16" s="435"/>
      <c r="AQ16" s="435"/>
      <c r="AR16" s="435"/>
      <c r="AS16" s="435"/>
      <c r="AT16" s="436"/>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row>
    <row r="17" spans="1:80" ht="15" customHeight="1">
      <c r="A17" s="54"/>
      <c r="B17" s="420"/>
      <c r="C17" s="420"/>
      <c r="D17" s="421"/>
      <c r="E17" s="461"/>
      <c r="F17" s="462"/>
      <c r="G17" s="462"/>
      <c r="H17" s="462"/>
      <c r="I17" s="475"/>
      <c r="J17" s="489"/>
      <c r="K17" s="490"/>
      <c r="L17" s="490"/>
      <c r="M17" s="490"/>
      <c r="N17" s="490"/>
      <c r="O17" s="491"/>
      <c r="P17" s="489"/>
      <c r="Q17" s="490"/>
      <c r="R17" s="490"/>
      <c r="S17" s="490"/>
      <c r="T17" s="490"/>
      <c r="U17" s="491"/>
      <c r="V17" s="472"/>
      <c r="W17" s="469"/>
      <c r="X17" s="467"/>
      <c r="Y17" s="467"/>
      <c r="Z17" s="467"/>
      <c r="AA17" s="468"/>
      <c r="AB17" s="472"/>
      <c r="AC17" s="469"/>
      <c r="AD17" s="467"/>
      <c r="AE17" s="467"/>
      <c r="AF17" s="467"/>
      <c r="AG17" s="468"/>
      <c r="AH17" s="480"/>
      <c r="AI17" s="481"/>
      <c r="AJ17" s="481"/>
      <c r="AK17" s="481"/>
      <c r="AL17" s="481"/>
      <c r="AM17" s="482"/>
      <c r="AN17" s="54"/>
      <c r="AO17" s="434"/>
      <c r="AP17" s="435"/>
      <c r="AQ17" s="435"/>
      <c r="AR17" s="435"/>
      <c r="AS17" s="435"/>
      <c r="AT17" s="436"/>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row>
    <row r="18" spans="1:80" ht="15" customHeight="1">
      <c r="A18" s="54"/>
      <c r="B18" s="420"/>
      <c r="C18" s="420"/>
      <c r="D18" s="421"/>
      <c r="E18" s="461"/>
      <c r="F18" s="462"/>
      <c r="G18" s="462"/>
      <c r="H18" s="462"/>
      <c r="I18" s="475"/>
      <c r="J18" s="489" t="str">
        <f>IF(AND('MAPA DE RIESGO'!$I$52="Alta",'MAPA DE RIESGO'!$M$52="Leve"),CONCATENATE("R",'MAPA DE RIESGO'!$B$52),"")</f>
        <v/>
      </c>
      <c r="K18" s="490"/>
      <c r="L18" s="490" t="str">
        <f>IF(AND('MAPA DE RIESGO'!$I$58="Alta",'MAPA DE RIESGO'!$M$58="Leve"),CONCATENATE("R",'MAPA DE RIESGO'!$B$58),"")</f>
        <v/>
      </c>
      <c r="M18" s="490"/>
      <c r="N18" s="490" t="str">
        <f>IF(AND('MAPA DE RIESGO'!$I$76="Alta",'MAPA DE RIESGO'!$M$76="Leve"),CONCATENATE("R",'MAPA DE RIESGO'!$B$76),"")</f>
        <v/>
      </c>
      <c r="O18" s="491"/>
      <c r="P18" s="489" t="str">
        <f>IF(AND('MAPA DE RIESGO'!$I$52="Alta",'MAPA DE RIESGO'!$M$52="Menor"),CONCATENATE("R",'MAPA DE RIESGO'!$B$52),"")</f>
        <v/>
      </c>
      <c r="Q18" s="490"/>
      <c r="R18" s="490" t="str">
        <f>IF(AND('MAPA DE RIESGO'!$I$58="Alta",'MAPA DE RIESGO'!$M$58="Menor"),CONCATENATE("R",'MAPA DE RIESGO'!$B$58),"")</f>
        <v/>
      </c>
      <c r="S18" s="490"/>
      <c r="T18" s="490" t="str">
        <f>IF(AND('MAPA DE RIESGO'!$I$76="Alta",'MAPA DE RIESGO'!$M$76="Menor"),CONCATENATE("R",'MAPA DE RIESGO'!$B$76),"")</f>
        <v/>
      </c>
      <c r="U18" s="491"/>
      <c r="V18" s="472" t="str">
        <f>IF(AND('MAPA DE RIESGO'!$I$52="Alta",'MAPA DE RIESGO'!$M$52="Moderado"),CONCATENATE("R",'MAPA DE RIESGO'!$B$52),"")</f>
        <v/>
      </c>
      <c r="W18" s="469"/>
      <c r="X18" s="467" t="str">
        <f>IF(AND('MAPA DE RIESGO'!$I$58="Alta",'MAPA DE RIESGO'!$M$58="Moderado"),CONCATENATE("R",'MAPA DE RIESGO'!$B$58),"")</f>
        <v/>
      </c>
      <c r="Y18" s="467"/>
      <c r="Z18" s="467" t="str">
        <f>IF(AND('MAPA DE RIESGO'!$I$76="Alta",'MAPA DE RIESGO'!$M$76="Moderado"),CONCATENATE("R",'MAPA DE RIESGO'!$B$76),"")</f>
        <v/>
      </c>
      <c r="AA18" s="468"/>
      <c r="AB18" s="472" t="str">
        <f>IF(AND('MAPA DE RIESGO'!$I$52="Alta",'MAPA DE RIESGO'!$M$52="Mayor"),CONCATENATE("R",'MAPA DE RIESGO'!$B$52),"")</f>
        <v/>
      </c>
      <c r="AC18" s="469"/>
      <c r="AD18" s="467" t="str">
        <f>IF(AND('MAPA DE RIESGO'!$I$58="Alta",'MAPA DE RIESGO'!$M$58="Mayor"),CONCATENATE("R",'MAPA DE RIESGO'!$B$58),"")</f>
        <v/>
      </c>
      <c r="AE18" s="467"/>
      <c r="AF18" s="467" t="str">
        <f>IF(AND('MAPA DE RIESGO'!$I$76="Alta",'MAPA DE RIESGO'!$M$76="Mayor"),CONCATENATE("R",'MAPA DE RIESGO'!$B$76),"")</f>
        <v/>
      </c>
      <c r="AG18" s="468"/>
      <c r="AH18" s="480" t="str">
        <f>IF(AND('MAPA DE RIESGO'!$I$52="Alta",'MAPA DE RIESGO'!$M$52="Catastrófico"),CONCATENATE("R",'MAPA DE RIESGO'!$B$52),"")</f>
        <v/>
      </c>
      <c r="AI18" s="481"/>
      <c r="AJ18" s="481" t="str">
        <f>IF(AND('MAPA DE RIESGO'!$I$58="Alta",'MAPA DE RIESGO'!$M$58="Catastrófico"),CONCATENATE("R",'MAPA DE RIESGO'!$B$58),"")</f>
        <v/>
      </c>
      <c r="AK18" s="481"/>
      <c r="AL18" s="481" t="str">
        <f>IF(AND('MAPA DE RIESGO'!$I$76="Alta",'MAPA DE RIESGO'!$M$76="Catastrófico"),CONCATENATE("R",'MAPA DE RIESGO'!$B$76),"")</f>
        <v/>
      </c>
      <c r="AM18" s="482"/>
      <c r="AN18" s="54"/>
      <c r="AO18" s="434"/>
      <c r="AP18" s="435"/>
      <c r="AQ18" s="435"/>
      <c r="AR18" s="435"/>
      <c r="AS18" s="435"/>
      <c r="AT18" s="436"/>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row>
    <row r="19" spans="1:80" ht="15" customHeight="1">
      <c r="A19" s="54"/>
      <c r="B19" s="420"/>
      <c r="C19" s="420"/>
      <c r="D19" s="421"/>
      <c r="E19" s="461"/>
      <c r="F19" s="462"/>
      <c r="G19" s="462"/>
      <c r="H19" s="462"/>
      <c r="I19" s="475"/>
      <c r="J19" s="489"/>
      <c r="K19" s="490"/>
      <c r="L19" s="490"/>
      <c r="M19" s="490"/>
      <c r="N19" s="490"/>
      <c r="O19" s="491"/>
      <c r="P19" s="489"/>
      <c r="Q19" s="490"/>
      <c r="R19" s="490"/>
      <c r="S19" s="490"/>
      <c r="T19" s="490"/>
      <c r="U19" s="491"/>
      <c r="V19" s="472"/>
      <c r="W19" s="469"/>
      <c r="X19" s="467"/>
      <c r="Y19" s="467"/>
      <c r="Z19" s="467"/>
      <c r="AA19" s="468"/>
      <c r="AB19" s="472"/>
      <c r="AC19" s="469"/>
      <c r="AD19" s="467"/>
      <c r="AE19" s="467"/>
      <c r="AF19" s="467"/>
      <c r="AG19" s="468"/>
      <c r="AH19" s="480"/>
      <c r="AI19" s="481"/>
      <c r="AJ19" s="481"/>
      <c r="AK19" s="481"/>
      <c r="AL19" s="481"/>
      <c r="AM19" s="482"/>
      <c r="AN19" s="54"/>
      <c r="AO19" s="434"/>
      <c r="AP19" s="435"/>
      <c r="AQ19" s="435"/>
      <c r="AR19" s="435"/>
      <c r="AS19" s="435"/>
      <c r="AT19" s="436"/>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row>
    <row r="20" spans="1:80" ht="15" customHeight="1">
      <c r="A20" s="54"/>
      <c r="B20" s="420"/>
      <c r="C20" s="420"/>
      <c r="D20" s="421"/>
      <c r="E20" s="461"/>
      <c r="F20" s="462"/>
      <c r="G20" s="462"/>
      <c r="H20" s="462"/>
      <c r="I20" s="475"/>
      <c r="J20" s="489" t="str">
        <f>IF(AND('MAPA DE RIESGO'!$I$82="Alta",'MAPA DE RIESGO'!$M$82="Leve"),CONCATENATE("R",'MAPA DE RIESGO'!$B$82),"")</f>
        <v/>
      </c>
      <c r="K20" s="490"/>
      <c r="L20" s="490" t="str">
        <f>IF(AND('MAPA DE RIESGO'!$I$88="Alta",'MAPA DE RIESGO'!$M$88="Leve"),CONCATENATE("R",'MAPA DE RIESGO'!$B$88),"")</f>
        <v/>
      </c>
      <c r="M20" s="490"/>
      <c r="N20" s="490" t="str">
        <f>IF(AND('MAPA DE RIESGO'!$I$94="Alta",'MAPA DE RIESGO'!$M$94="Leve"),CONCATENATE("R",'MAPA DE RIESGO'!$B$94),"")</f>
        <v/>
      </c>
      <c r="O20" s="491"/>
      <c r="P20" s="489" t="str">
        <f>IF(AND('MAPA DE RIESGO'!$I$82="Alta",'MAPA DE RIESGO'!$M$82="Menor"),CONCATENATE("R",'MAPA DE RIESGO'!$B$82),"")</f>
        <v/>
      </c>
      <c r="Q20" s="490"/>
      <c r="R20" s="490" t="str">
        <f>IF(AND('MAPA DE RIESGO'!$I$88="Alta",'MAPA DE RIESGO'!$M$88="Menor"),CONCATENATE("R",'MAPA DE RIESGO'!$B$88),"")</f>
        <v/>
      </c>
      <c r="S20" s="490"/>
      <c r="T20" s="490" t="str">
        <f>IF(AND('MAPA DE RIESGO'!$I$94="Alta",'MAPA DE RIESGO'!$M$94="Menor"),CONCATENATE("R",'MAPA DE RIESGO'!$B$94),"")</f>
        <v/>
      </c>
      <c r="U20" s="491"/>
      <c r="V20" s="472" t="str">
        <f>IF(AND('MAPA DE RIESGO'!$I$82="Alta",'MAPA DE RIESGO'!$M$82="Moderado"),CONCATENATE("R",'MAPA DE RIESGO'!$B$82),"")</f>
        <v/>
      </c>
      <c r="W20" s="469"/>
      <c r="X20" s="467" t="str">
        <f>IF(AND('MAPA DE RIESGO'!$I$88="Alta",'MAPA DE RIESGO'!$M$88="Moderado"),CONCATENATE("R",'MAPA DE RIESGO'!$B$88),"")</f>
        <v/>
      </c>
      <c r="Y20" s="467"/>
      <c r="Z20" s="467" t="str">
        <f>IF(AND('MAPA DE RIESGO'!$I$94="Alta",'MAPA DE RIESGO'!$M$94="Moderado"),CONCATENATE("R",'MAPA DE RIESGO'!$B$94),"")</f>
        <v/>
      </c>
      <c r="AA20" s="468"/>
      <c r="AB20" s="472" t="str">
        <f>IF(AND('MAPA DE RIESGO'!$I$82="Alta",'MAPA DE RIESGO'!$M$82="Mayor"),CONCATENATE("R",'MAPA DE RIESGO'!$B$82),"")</f>
        <v/>
      </c>
      <c r="AC20" s="469"/>
      <c r="AD20" s="467" t="str">
        <f>IF(AND('MAPA DE RIESGO'!$I$88="Alta",'MAPA DE RIESGO'!$M$88="Mayor"),CONCATENATE("R",'MAPA DE RIESGO'!$B$88),"")</f>
        <v/>
      </c>
      <c r="AE20" s="467"/>
      <c r="AF20" s="467" t="str">
        <f>IF(AND('MAPA DE RIESGO'!$I$94="Alta",'MAPA DE RIESGO'!$M$94="Mayor"),CONCATENATE("R",'MAPA DE RIESGO'!$B$94),"")</f>
        <v/>
      </c>
      <c r="AG20" s="468"/>
      <c r="AH20" s="480" t="str">
        <f>IF(AND('MAPA DE RIESGO'!$I$82="Alta",'MAPA DE RIESGO'!$M$82="Catastrófico"),CONCATENATE("R",'MAPA DE RIESGO'!$B$82),"")</f>
        <v/>
      </c>
      <c r="AI20" s="481"/>
      <c r="AJ20" s="481" t="str">
        <f>IF(AND('MAPA DE RIESGO'!$I$88="Alta",'MAPA DE RIESGO'!$M$88="Catastrófico"),CONCATENATE("R",'MAPA DE RIESGO'!$B$88),"")</f>
        <v/>
      </c>
      <c r="AK20" s="481"/>
      <c r="AL20" s="481" t="str">
        <f>IF(AND('MAPA DE RIESGO'!$I$94="Alta",'MAPA DE RIESGO'!$M$94="Catastrófico"),CONCATENATE("R",'MAPA DE RIESGO'!$B$94),"")</f>
        <v/>
      </c>
      <c r="AM20" s="482"/>
      <c r="AN20" s="54"/>
      <c r="AO20" s="434"/>
      <c r="AP20" s="435"/>
      <c r="AQ20" s="435"/>
      <c r="AR20" s="435"/>
      <c r="AS20" s="435"/>
      <c r="AT20" s="436"/>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row>
    <row r="21" spans="1:80" ht="15.75" customHeight="1" thickBot="1">
      <c r="A21" s="54"/>
      <c r="B21" s="420"/>
      <c r="C21" s="420"/>
      <c r="D21" s="421"/>
      <c r="E21" s="464"/>
      <c r="F21" s="465"/>
      <c r="G21" s="465"/>
      <c r="H21" s="465"/>
      <c r="I21" s="465"/>
      <c r="J21" s="492"/>
      <c r="K21" s="493"/>
      <c r="L21" s="493"/>
      <c r="M21" s="493"/>
      <c r="N21" s="493"/>
      <c r="O21" s="494"/>
      <c r="P21" s="492"/>
      <c r="Q21" s="493"/>
      <c r="R21" s="493"/>
      <c r="S21" s="493"/>
      <c r="T21" s="493"/>
      <c r="U21" s="494"/>
      <c r="V21" s="477"/>
      <c r="W21" s="478"/>
      <c r="X21" s="478"/>
      <c r="Y21" s="478"/>
      <c r="Z21" s="478"/>
      <c r="AA21" s="479"/>
      <c r="AB21" s="477"/>
      <c r="AC21" s="478"/>
      <c r="AD21" s="478"/>
      <c r="AE21" s="478"/>
      <c r="AF21" s="478"/>
      <c r="AG21" s="479"/>
      <c r="AH21" s="483"/>
      <c r="AI21" s="484"/>
      <c r="AJ21" s="484"/>
      <c r="AK21" s="484"/>
      <c r="AL21" s="484"/>
      <c r="AM21" s="485"/>
      <c r="AN21" s="54"/>
      <c r="AO21" s="437"/>
      <c r="AP21" s="438"/>
      <c r="AQ21" s="438"/>
      <c r="AR21" s="438"/>
      <c r="AS21" s="438"/>
      <c r="AT21" s="439"/>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row>
    <row r="22" spans="1:80">
      <c r="A22" s="54"/>
      <c r="B22" s="420"/>
      <c r="C22" s="420"/>
      <c r="D22" s="421"/>
      <c r="E22" s="458" t="s">
        <v>287</v>
      </c>
      <c r="F22" s="459"/>
      <c r="G22" s="459"/>
      <c r="H22" s="459"/>
      <c r="I22" s="460"/>
      <c r="J22" s="495" t="str">
        <f>IF(AND('MAPA DE RIESGO'!$I$16="Media",'MAPA DE RIESGO'!$M$16="Leve"),CONCATENATE("R",'MAPA DE RIESGO'!$B$16),"")</f>
        <v/>
      </c>
      <c r="K22" s="496"/>
      <c r="L22" s="496" t="str">
        <f>IF(AND('MAPA DE RIESGO'!$I$22="Media",'MAPA DE RIESGO'!$M$22="Leve"),CONCATENATE("R",'MAPA DE RIESGO'!$B$22),"")</f>
        <v/>
      </c>
      <c r="M22" s="496"/>
      <c r="N22" s="496" t="str">
        <f>IF(AND('MAPA DE RIESGO'!$I$28="Media",'MAPA DE RIESGO'!$M$28="Leve"),CONCATENATE("R",'MAPA DE RIESGO'!$B$28),"")</f>
        <v/>
      </c>
      <c r="O22" s="497"/>
      <c r="P22" s="495" t="str">
        <f>IF(AND('MAPA DE RIESGO'!$I$16="Media",'MAPA DE RIESGO'!$M$16="Menor"),CONCATENATE("R",'MAPA DE RIESGO'!$B$16),"")</f>
        <v/>
      </c>
      <c r="Q22" s="496"/>
      <c r="R22" s="496" t="str">
        <f>IF(AND('MAPA DE RIESGO'!$I$22="Media",'MAPA DE RIESGO'!$M$22="Menor"),CONCATENATE("R",'MAPA DE RIESGO'!$B$22),"")</f>
        <v/>
      </c>
      <c r="S22" s="496"/>
      <c r="T22" s="496" t="str">
        <f>IF(AND('MAPA DE RIESGO'!$I$28="Media",'MAPA DE RIESGO'!$M$28="Menor"),CONCATENATE("R",'MAPA DE RIESGO'!$B$28),"")</f>
        <v>R3</v>
      </c>
      <c r="U22" s="497"/>
      <c r="V22" s="495" t="str">
        <f>IF(AND('MAPA DE RIESGO'!$I$16="Media",'MAPA DE RIESGO'!$M$16="Moderado"),CONCATENATE("R",'MAPA DE RIESGO'!$B$16),"")</f>
        <v/>
      </c>
      <c r="W22" s="496"/>
      <c r="X22" s="496" t="str">
        <f>IF(AND('MAPA DE RIESGO'!$I$22="Media",'MAPA DE RIESGO'!$M$22="Moderado"),CONCATENATE("R",'MAPA DE RIESGO'!$B$22),"")</f>
        <v>R2</v>
      </c>
      <c r="Y22" s="496"/>
      <c r="Z22" s="496" t="str">
        <f>IF(AND('MAPA DE RIESGO'!$I$28="Media",'MAPA DE RIESGO'!$M$28="Moderado"),CONCATENATE("R",'MAPA DE RIESGO'!$B$28),"")</f>
        <v/>
      </c>
      <c r="AA22" s="497"/>
      <c r="AB22" s="470" t="str">
        <f>IF(AND('MAPA DE RIESGO'!$I$16="Media",'MAPA DE RIESGO'!$M$16="Mayor"),CONCATENATE("R",'MAPA DE RIESGO'!$B$16),"")</f>
        <v/>
      </c>
      <c r="AC22" s="471"/>
      <c r="AD22" s="471" t="str">
        <f>IF(AND('MAPA DE RIESGO'!$I$22="Media",'MAPA DE RIESGO'!$M$22="Mayor"),CONCATENATE("R",'MAPA DE RIESGO'!$B$22),"")</f>
        <v/>
      </c>
      <c r="AE22" s="471"/>
      <c r="AF22" s="471" t="str">
        <f>IF(AND('MAPA DE RIESGO'!$I$28="Media",'MAPA DE RIESGO'!$M$28="Mayor"),CONCATENATE("R",'MAPA DE RIESGO'!$B$28),"")</f>
        <v/>
      </c>
      <c r="AG22" s="473"/>
      <c r="AH22" s="486" t="str">
        <f>IF(AND('MAPA DE RIESGO'!$I$16="Media",'MAPA DE RIESGO'!$M$16="Catastrófico"),CONCATENATE("R",'MAPA DE RIESGO'!$B$16),"")</f>
        <v/>
      </c>
      <c r="AI22" s="487"/>
      <c r="AJ22" s="487" t="str">
        <f>IF(AND('MAPA DE RIESGO'!$I$22="Media",'MAPA DE RIESGO'!$M$22="Catastrófico"),CONCATENATE("R",'MAPA DE RIESGO'!$B$22),"")</f>
        <v/>
      </c>
      <c r="AK22" s="487"/>
      <c r="AL22" s="487" t="str">
        <f>IF(AND('MAPA DE RIESGO'!$I$28="Media",'MAPA DE RIESGO'!$M$28="Catastrófico"),CONCATENATE("R",'MAPA DE RIESGO'!$B$28),"")</f>
        <v/>
      </c>
      <c r="AM22" s="488"/>
      <c r="AN22" s="54"/>
      <c r="AO22" s="440" t="s">
        <v>288</v>
      </c>
      <c r="AP22" s="441"/>
      <c r="AQ22" s="441"/>
      <c r="AR22" s="441"/>
      <c r="AS22" s="441"/>
      <c r="AT22" s="442"/>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row>
    <row r="23" spans="1:80">
      <c r="A23" s="54"/>
      <c r="B23" s="420"/>
      <c r="C23" s="420"/>
      <c r="D23" s="421"/>
      <c r="E23" s="461"/>
      <c r="F23" s="462"/>
      <c r="G23" s="462"/>
      <c r="H23" s="462"/>
      <c r="I23" s="463"/>
      <c r="J23" s="489"/>
      <c r="K23" s="490"/>
      <c r="L23" s="490"/>
      <c r="M23" s="490"/>
      <c r="N23" s="490"/>
      <c r="O23" s="491"/>
      <c r="P23" s="489"/>
      <c r="Q23" s="490"/>
      <c r="R23" s="490"/>
      <c r="S23" s="490"/>
      <c r="T23" s="490"/>
      <c r="U23" s="491"/>
      <c r="V23" s="489"/>
      <c r="W23" s="490"/>
      <c r="X23" s="490"/>
      <c r="Y23" s="490"/>
      <c r="Z23" s="490"/>
      <c r="AA23" s="491"/>
      <c r="AB23" s="472"/>
      <c r="AC23" s="469"/>
      <c r="AD23" s="469"/>
      <c r="AE23" s="469"/>
      <c r="AF23" s="469"/>
      <c r="AG23" s="468"/>
      <c r="AH23" s="480"/>
      <c r="AI23" s="481"/>
      <c r="AJ23" s="481"/>
      <c r="AK23" s="481"/>
      <c r="AL23" s="481"/>
      <c r="AM23" s="482"/>
      <c r="AN23" s="54"/>
      <c r="AO23" s="443"/>
      <c r="AP23" s="444"/>
      <c r="AQ23" s="444"/>
      <c r="AR23" s="444"/>
      <c r="AS23" s="444"/>
      <c r="AT23" s="445"/>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row>
    <row r="24" spans="1:80">
      <c r="A24" s="54"/>
      <c r="B24" s="420"/>
      <c r="C24" s="420"/>
      <c r="D24" s="421"/>
      <c r="E24" s="461"/>
      <c r="F24" s="462"/>
      <c r="G24" s="462"/>
      <c r="H24" s="462"/>
      <c r="I24" s="463"/>
      <c r="J24" s="489" t="str">
        <f>IF(AND('MAPA DE RIESGO'!$I$34="Media",'MAPA DE RIESGO'!$M$34="Leve"),CONCATENATE("R",'MAPA DE RIESGO'!$B$34),"")</f>
        <v/>
      </c>
      <c r="K24" s="490"/>
      <c r="L24" s="490" t="str">
        <f>IF(AND('MAPA DE RIESGO'!$I$40="Media",'MAPA DE RIESGO'!$M$40="Leve"),CONCATENATE("R",'MAPA DE RIESGO'!$B$40),"")</f>
        <v/>
      </c>
      <c r="M24" s="490"/>
      <c r="N24" s="490" t="str">
        <f>IF(AND('MAPA DE RIESGO'!$I$46="Media",'MAPA DE RIESGO'!$M$46="Leve"),CONCATENATE("R",'MAPA DE RIESGO'!$B$46),"")</f>
        <v/>
      </c>
      <c r="O24" s="491"/>
      <c r="P24" s="489" t="str">
        <f>IF(AND('MAPA DE RIESGO'!$I$34="Media",'MAPA DE RIESGO'!$M$34="Menor"),CONCATENATE("R",'MAPA DE RIESGO'!$B$34),"")</f>
        <v/>
      </c>
      <c r="Q24" s="490"/>
      <c r="R24" s="490" t="str">
        <f>IF(AND('MAPA DE RIESGO'!$I$40="Media",'MAPA DE RIESGO'!$M$40="Menor"),CONCATENATE("R",'MAPA DE RIESGO'!$B$40),"")</f>
        <v/>
      </c>
      <c r="S24" s="490"/>
      <c r="T24" s="490" t="str">
        <f>IF(AND('MAPA DE RIESGO'!$I$46="Media",'MAPA DE RIESGO'!$M$46="Menor"),CONCATENATE("R",'MAPA DE RIESGO'!$B$46),"")</f>
        <v/>
      </c>
      <c r="U24" s="491"/>
      <c r="V24" s="489" t="str">
        <f>IF(AND('MAPA DE RIESGO'!$I$34="Media",'MAPA DE RIESGO'!$M$34="Moderado"),CONCATENATE("R",'MAPA DE RIESGO'!$B$34),"")</f>
        <v/>
      </c>
      <c r="W24" s="490"/>
      <c r="X24" s="490" t="str">
        <f>IF(AND('MAPA DE RIESGO'!$I$40="Media",'MAPA DE RIESGO'!$M$40="Moderado"),CONCATENATE("R",'MAPA DE RIESGO'!$B$40),"")</f>
        <v/>
      </c>
      <c r="Y24" s="490"/>
      <c r="Z24" s="490" t="str">
        <f>IF(AND('MAPA DE RIESGO'!$I$46="Media",'MAPA DE RIESGO'!$M$46="Moderado"),CONCATENATE("R",'MAPA DE RIESGO'!$B$46),"")</f>
        <v>R6</v>
      </c>
      <c r="AA24" s="491"/>
      <c r="AB24" s="472" t="str">
        <f>IF(AND('MAPA DE RIESGO'!$I$34="Media",'MAPA DE RIESGO'!$M$34="Mayor"),CONCATENATE("R",'MAPA DE RIESGO'!$B$34),"")</f>
        <v/>
      </c>
      <c r="AC24" s="469"/>
      <c r="AD24" s="467" t="str">
        <f>IF(AND('MAPA DE RIESGO'!$I$40="Media",'MAPA DE RIESGO'!$M$40="Mayor"),CONCATENATE("R",'MAPA DE RIESGO'!$B$40),"")</f>
        <v/>
      </c>
      <c r="AE24" s="467"/>
      <c r="AF24" s="467" t="str">
        <f>IF(AND('MAPA DE RIESGO'!$I$46="Media",'MAPA DE RIESGO'!$M$46="Mayor"),CONCATENATE("R",'MAPA DE RIESGO'!$B$46),"")</f>
        <v/>
      </c>
      <c r="AG24" s="468"/>
      <c r="AH24" s="480" t="str">
        <f>IF(AND('MAPA DE RIESGO'!$I$34="Media",'MAPA DE RIESGO'!$M$34="Catastrófico"),CONCATENATE("R",'MAPA DE RIESGO'!$B$34),"")</f>
        <v/>
      </c>
      <c r="AI24" s="481"/>
      <c r="AJ24" s="481" t="str">
        <f>IF(AND('MAPA DE RIESGO'!$I$40="Media",'MAPA DE RIESGO'!$M$40="Catastrófico"),CONCATENATE("R",'MAPA DE RIESGO'!$B$40),"")</f>
        <v/>
      </c>
      <c r="AK24" s="481"/>
      <c r="AL24" s="481" t="str">
        <f>IF(AND('MAPA DE RIESGO'!$I$46="Media",'MAPA DE RIESGO'!$M$46="Catastrófico"),CONCATENATE("R",'MAPA DE RIESGO'!$B$46),"")</f>
        <v/>
      </c>
      <c r="AM24" s="482"/>
      <c r="AN24" s="54"/>
      <c r="AO24" s="443"/>
      <c r="AP24" s="444"/>
      <c r="AQ24" s="444"/>
      <c r="AR24" s="444"/>
      <c r="AS24" s="444"/>
      <c r="AT24" s="445"/>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row>
    <row r="25" spans="1:80">
      <c r="A25" s="54"/>
      <c r="B25" s="420"/>
      <c r="C25" s="420"/>
      <c r="D25" s="421"/>
      <c r="E25" s="461"/>
      <c r="F25" s="462"/>
      <c r="G25" s="462"/>
      <c r="H25" s="462"/>
      <c r="I25" s="463"/>
      <c r="J25" s="489"/>
      <c r="K25" s="490"/>
      <c r="L25" s="490"/>
      <c r="M25" s="490"/>
      <c r="N25" s="490"/>
      <c r="O25" s="491"/>
      <c r="P25" s="489"/>
      <c r="Q25" s="490"/>
      <c r="R25" s="490"/>
      <c r="S25" s="490"/>
      <c r="T25" s="490"/>
      <c r="U25" s="491"/>
      <c r="V25" s="489"/>
      <c r="W25" s="490"/>
      <c r="X25" s="490"/>
      <c r="Y25" s="490"/>
      <c r="Z25" s="490"/>
      <c r="AA25" s="491"/>
      <c r="AB25" s="472"/>
      <c r="AC25" s="469"/>
      <c r="AD25" s="467"/>
      <c r="AE25" s="467"/>
      <c r="AF25" s="467"/>
      <c r="AG25" s="468"/>
      <c r="AH25" s="480"/>
      <c r="AI25" s="481"/>
      <c r="AJ25" s="481"/>
      <c r="AK25" s="481"/>
      <c r="AL25" s="481"/>
      <c r="AM25" s="482"/>
      <c r="AN25" s="54"/>
      <c r="AO25" s="443"/>
      <c r="AP25" s="444"/>
      <c r="AQ25" s="444"/>
      <c r="AR25" s="444"/>
      <c r="AS25" s="444"/>
      <c r="AT25" s="445"/>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row>
    <row r="26" spans="1:80">
      <c r="A26" s="54"/>
      <c r="B26" s="420"/>
      <c r="C26" s="420"/>
      <c r="D26" s="421"/>
      <c r="E26" s="461"/>
      <c r="F26" s="462"/>
      <c r="G26" s="462"/>
      <c r="H26" s="462"/>
      <c r="I26" s="463"/>
      <c r="J26" s="489" t="str">
        <f>IF(AND('MAPA DE RIESGO'!$I$52="Media",'MAPA DE RIESGO'!$M$52="Leve"),CONCATENATE("R",'MAPA DE RIESGO'!$B$52),"")</f>
        <v/>
      </c>
      <c r="K26" s="490"/>
      <c r="L26" s="490" t="str">
        <f>IF(AND('MAPA DE RIESGO'!$I$58="Media",'MAPA DE RIESGO'!$M$58="Leve"),CONCATENATE("R",'MAPA DE RIESGO'!$B$58),"")</f>
        <v/>
      </c>
      <c r="M26" s="490"/>
      <c r="N26" s="490" t="str">
        <f>IF(AND('MAPA DE RIESGO'!$I$76="Media",'MAPA DE RIESGO'!$M$76="Leve"),CONCATENATE("R",'MAPA DE RIESGO'!$B$76),"")</f>
        <v/>
      </c>
      <c r="O26" s="491"/>
      <c r="P26" s="489" t="str">
        <f>IF(AND('MAPA DE RIESGO'!$I$52="Media",'MAPA DE RIESGO'!$M$52="Menor"),CONCATENATE("R",'MAPA DE RIESGO'!$B$52),"")</f>
        <v/>
      </c>
      <c r="Q26" s="490"/>
      <c r="R26" s="490" t="str">
        <f>IF(AND('MAPA DE RIESGO'!$I$58="Media",'MAPA DE RIESGO'!$M$58="Menor"),CONCATENATE("R",'MAPA DE RIESGO'!$B$58),"")</f>
        <v/>
      </c>
      <c r="S26" s="490"/>
      <c r="T26" s="490" t="str">
        <f>IF(AND('MAPA DE RIESGO'!$I$76="Media",'MAPA DE RIESGO'!$M$76="Menor"),CONCATENATE("R",'MAPA DE RIESGO'!$B$76),"")</f>
        <v/>
      </c>
      <c r="U26" s="491"/>
      <c r="V26" s="489" t="str">
        <f>IF(AND('MAPA DE RIESGO'!$I$52="Media",'MAPA DE RIESGO'!$M$52="Moderado"),CONCATENATE("R",'MAPA DE RIESGO'!$B$52),"")</f>
        <v/>
      </c>
      <c r="W26" s="490"/>
      <c r="X26" s="490" t="str">
        <f>IF(AND('MAPA DE RIESGO'!$I$58="Media",'MAPA DE RIESGO'!$M$58="Moderado"),CONCATENATE("R",'MAPA DE RIESGO'!$B$58),"")</f>
        <v/>
      </c>
      <c r="Y26" s="490"/>
      <c r="Z26" s="490" t="str">
        <f>IF(AND('MAPA DE RIESGO'!$I$76="Media",'MAPA DE RIESGO'!$M$76="Moderado"),CONCATENATE("R",'MAPA DE RIESGO'!$B$76),"")</f>
        <v>R11</v>
      </c>
      <c r="AA26" s="491"/>
      <c r="AB26" s="472" t="str">
        <f>IF(AND('MAPA DE RIESGO'!$I$52="Media",'MAPA DE RIESGO'!$M$52="Mayor"),CONCATENATE("R",'MAPA DE RIESGO'!$B$52),"")</f>
        <v/>
      </c>
      <c r="AC26" s="469"/>
      <c r="AD26" s="467" t="str">
        <f>IF(AND('MAPA DE RIESGO'!$I$58="Media",'MAPA DE RIESGO'!$M$58="Mayor"),CONCATENATE("R",'MAPA DE RIESGO'!$B$58),"")</f>
        <v/>
      </c>
      <c r="AE26" s="467"/>
      <c r="AF26" s="467" t="str">
        <f>IF(AND('MAPA DE RIESGO'!$I$76="Media",'MAPA DE RIESGO'!$M$76="Mayor"),CONCATENATE("R",'MAPA DE RIESGO'!$B$76),"")</f>
        <v/>
      </c>
      <c r="AG26" s="468"/>
      <c r="AH26" s="480" t="str">
        <f>IF(AND('MAPA DE RIESGO'!$I$52="Media",'MAPA DE RIESGO'!$M$52="Catastrófico"),CONCATENATE("R",'MAPA DE RIESGO'!$B$52),"")</f>
        <v/>
      </c>
      <c r="AI26" s="481"/>
      <c r="AJ26" s="481" t="str">
        <f>IF(AND('MAPA DE RIESGO'!$I$58="Media",'MAPA DE RIESGO'!$M$58="Catastrófico"),CONCATENATE("R",'MAPA DE RIESGO'!$B$58),"")</f>
        <v/>
      </c>
      <c r="AK26" s="481"/>
      <c r="AL26" s="481" t="str">
        <f>IF(AND('MAPA DE RIESGO'!$I$76="Media",'MAPA DE RIESGO'!$M$76="Catastrófico"),CONCATENATE("R",'MAPA DE RIESGO'!$B$76),"")</f>
        <v/>
      </c>
      <c r="AM26" s="482"/>
      <c r="AN26" s="54"/>
      <c r="AO26" s="443"/>
      <c r="AP26" s="444"/>
      <c r="AQ26" s="444"/>
      <c r="AR26" s="444"/>
      <c r="AS26" s="444"/>
      <c r="AT26" s="445"/>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row>
    <row r="27" spans="1:80">
      <c r="A27" s="54"/>
      <c r="B27" s="420"/>
      <c r="C27" s="420"/>
      <c r="D27" s="421"/>
      <c r="E27" s="461"/>
      <c r="F27" s="462"/>
      <c r="G27" s="462"/>
      <c r="H27" s="462"/>
      <c r="I27" s="463"/>
      <c r="J27" s="489"/>
      <c r="K27" s="490"/>
      <c r="L27" s="490"/>
      <c r="M27" s="490"/>
      <c r="N27" s="490"/>
      <c r="O27" s="491"/>
      <c r="P27" s="489"/>
      <c r="Q27" s="490"/>
      <c r="R27" s="490"/>
      <c r="S27" s="490"/>
      <c r="T27" s="490"/>
      <c r="U27" s="491"/>
      <c r="V27" s="489"/>
      <c r="W27" s="490"/>
      <c r="X27" s="490"/>
      <c r="Y27" s="490"/>
      <c r="Z27" s="490"/>
      <c r="AA27" s="491"/>
      <c r="AB27" s="472"/>
      <c r="AC27" s="469"/>
      <c r="AD27" s="467"/>
      <c r="AE27" s="467"/>
      <c r="AF27" s="467"/>
      <c r="AG27" s="468"/>
      <c r="AH27" s="480"/>
      <c r="AI27" s="481"/>
      <c r="AJ27" s="481"/>
      <c r="AK27" s="481"/>
      <c r="AL27" s="481"/>
      <c r="AM27" s="482"/>
      <c r="AN27" s="54"/>
      <c r="AO27" s="443"/>
      <c r="AP27" s="444"/>
      <c r="AQ27" s="444"/>
      <c r="AR27" s="444"/>
      <c r="AS27" s="444"/>
      <c r="AT27" s="445"/>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row>
    <row r="28" spans="1:80">
      <c r="A28" s="54"/>
      <c r="B28" s="420"/>
      <c r="C28" s="420"/>
      <c r="D28" s="421"/>
      <c r="E28" s="461"/>
      <c r="F28" s="462"/>
      <c r="G28" s="462"/>
      <c r="H28" s="462"/>
      <c r="I28" s="463"/>
      <c r="J28" s="489" t="str">
        <f>IF(AND('MAPA DE RIESGO'!$I$82="Media",'MAPA DE RIESGO'!$M$82="Leve"),CONCATENATE("R",'MAPA DE RIESGO'!$B$82),"")</f>
        <v/>
      </c>
      <c r="K28" s="490"/>
      <c r="L28" s="490" t="str">
        <f>IF(AND('MAPA DE RIESGO'!$I$88="Media",'MAPA DE RIESGO'!$M$88="Leve"),CONCATENATE("R",'MAPA DE RIESGO'!$B$88),"")</f>
        <v/>
      </c>
      <c r="M28" s="490"/>
      <c r="N28" s="490" t="str">
        <f>IF(AND('MAPA DE RIESGO'!$I$94="Media",'MAPA DE RIESGO'!$M$94="Leve"),CONCATENATE("R",'MAPA DE RIESGO'!$B$94),"")</f>
        <v/>
      </c>
      <c r="O28" s="491"/>
      <c r="P28" s="489" t="str">
        <f>IF(AND('MAPA DE RIESGO'!$I$82="Media",'MAPA DE RIESGO'!$M$82="Menor"),CONCATENATE("R",'MAPA DE RIESGO'!$B$82),"")</f>
        <v/>
      </c>
      <c r="Q28" s="490"/>
      <c r="R28" s="490" t="str">
        <f>IF(AND('MAPA DE RIESGO'!$I$88="Media",'MAPA DE RIESGO'!$M$88="Menor"),CONCATENATE("R",'MAPA DE RIESGO'!$B$88),"")</f>
        <v/>
      </c>
      <c r="S28" s="490"/>
      <c r="T28" s="490" t="str">
        <f>IF(AND('MAPA DE RIESGO'!$I$94="Media",'MAPA DE RIESGO'!$M$94="Menor"),CONCATENATE("R",'MAPA DE RIESGO'!$B$94),"")</f>
        <v/>
      </c>
      <c r="U28" s="491"/>
      <c r="V28" s="489" t="str">
        <f>IF(AND('MAPA DE RIESGO'!$I$82="Media",'MAPA DE RIESGO'!$M$82="Moderado"),CONCATENATE("R",'MAPA DE RIESGO'!$B$82),"")</f>
        <v>R12</v>
      </c>
      <c r="W28" s="490"/>
      <c r="X28" s="490" t="str">
        <f>IF(AND('MAPA DE RIESGO'!$I$88="Media",'MAPA DE RIESGO'!$M$88="Moderado"),CONCATENATE("R",'MAPA DE RIESGO'!$B$88),"")</f>
        <v/>
      </c>
      <c r="Y28" s="490"/>
      <c r="Z28" s="490" t="str">
        <f>IF(AND('MAPA DE RIESGO'!$I$94="Media",'MAPA DE RIESGO'!$M$94="Moderado"),CONCATENATE("R",'MAPA DE RIESGO'!$B$94),"")</f>
        <v/>
      </c>
      <c r="AA28" s="491"/>
      <c r="AB28" s="472" t="str">
        <f>IF(AND('MAPA DE RIESGO'!$I$82="Media",'MAPA DE RIESGO'!$M$82="Mayor"),CONCATENATE("R",'MAPA DE RIESGO'!$B$82),"")</f>
        <v/>
      </c>
      <c r="AC28" s="469"/>
      <c r="AD28" s="467" t="str">
        <f>IF(AND('MAPA DE RIESGO'!$I$88="Media",'MAPA DE RIESGO'!$M$88="Mayor"),CONCATENATE("R",'MAPA DE RIESGO'!$B$88),"")</f>
        <v/>
      </c>
      <c r="AE28" s="467"/>
      <c r="AF28" s="467" t="str">
        <f>IF(AND('MAPA DE RIESGO'!$I$94="Media",'MAPA DE RIESGO'!$M$94="Mayor"),CONCATENATE("R",'MAPA DE RIESGO'!$B$94),"")</f>
        <v/>
      </c>
      <c r="AG28" s="468"/>
      <c r="AH28" s="480" t="str">
        <f>IF(AND('MAPA DE RIESGO'!$I$82="Media",'MAPA DE RIESGO'!$M$82="Catastrófico"),CONCATENATE("R",'MAPA DE RIESGO'!$B$82),"")</f>
        <v/>
      </c>
      <c r="AI28" s="481"/>
      <c r="AJ28" s="481" t="str">
        <f>IF(AND('MAPA DE RIESGO'!$I$88="Media",'MAPA DE RIESGO'!$M$88="Catastrófico"),CONCATENATE("R",'MAPA DE RIESGO'!$B$88),"")</f>
        <v/>
      </c>
      <c r="AK28" s="481"/>
      <c r="AL28" s="481" t="str">
        <f>IF(AND('MAPA DE RIESGO'!$I$94="Media",'MAPA DE RIESGO'!$M$94="Catastrófico"),CONCATENATE("R",'MAPA DE RIESGO'!$B$94),"")</f>
        <v/>
      </c>
      <c r="AM28" s="482"/>
      <c r="AN28" s="54"/>
      <c r="AO28" s="443"/>
      <c r="AP28" s="444"/>
      <c r="AQ28" s="444"/>
      <c r="AR28" s="444"/>
      <c r="AS28" s="444"/>
      <c r="AT28" s="445"/>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row>
    <row r="29" spans="1:80" ht="15.75" thickBot="1">
      <c r="A29" s="54"/>
      <c r="B29" s="420"/>
      <c r="C29" s="420"/>
      <c r="D29" s="421"/>
      <c r="E29" s="464"/>
      <c r="F29" s="465"/>
      <c r="G29" s="465"/>
      <c r="H29" s="465"/>
      <c r="I29" s="466"/>
      <c r="J29" s="489"/>
      <c r="K29" s="490"/>
      <c r="L29" s="490"/>
      <c r="M29" s="490"/>
      <c r="N29" s="490"/>
      <c r="O29" s="491"/>
      <c r="P29" s="492"/>
      <c r="Q29" s="493"/>
      <c r="R29" s="493"/>
      <c r="S29" s="493"/>
      <c r="T29" s="493"/>
      <c r="U29" s="494"/>
      <c r="V29" s="492"/>
      <c r="W29" s="493"/>
      <c r="X29" s="493"/>
      <c r="Y29" s="493"/>
      <c r="Z29" s="493"/>
      <c r="AA29" s="494"/>
      <c r="AB29" s="477"/>
      <c r="AC29" s="478"/>
      <c r="AD29" s="478"/>
      <c r="AE29" s="478"/>
      <c r="AF29" s="478"/>
      <c r="AG29" s="479"/>
      <c r="AH29" s="483"/>
      <c r="AI29" s="484"/>
      <c r="AJ29" s="484"/>
      <c r="AK29" s="484"/>
      <c r="AL29" s="484"/>
      <c r="AM29" s="485"/>
      <c r="AN29" s="54"/>
      <c r="AO29" s="446"/>
      <c r="AP29" s="447"/>
      <c r="AQ29" s="447"/>
      <c r="AR29" s="447"/>
      <c r="AS29" s="447"/>
      <c r="AT29" s="448"/>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row>
    <row r="30" spans="1:80">
      <c r="A30" s="54"/>
      <c r="B30" s="420"/>
      <c r="C30" s="420"/>
      <c r="D30" s="421"/>
      <c r="E30" s="458" t="s">
        <v>289</v>
      </c>
      <c r="F30" s="459"/>
      <c r="G30" s="459"/>
      <c r="H30" s="459"/>
      <c r="I30" s="459"/>
      <c r="J30" s="504" t="str">
        <f>IF(AND('MAPA DE RIESGO'!$I$16="Baja",'MAPA DE RIESGO'!$M$16="Leve"),CONCATENATE("R",'MAPA DE RIESGO'!$B$16),"")</f>
        <v/>
      </c>
      <c r="K30" s="505"/>
      <c r="L30" s="505" t="str">
        <f>IF(AND('MAPA DE RIESGO'!$I$22="Baja",'MAPA DE RIESGO'!$M$22="Leve"),CONCATENATE("R",'MAPA DE RIESGO'!$B$22),"")</f>
        <v/>
      </c>
      <c r="M30" s="505"/>
      <c r="N30" s="505" t="str">
        <f>IF(AND('MAPA DE RIESGO'!$I$28="Baja",'MAPA DE RIESGO'!$M$28="Leve"),CONCATENATE("R",'MAPA DE RIESGO'!$B$28),"")</f>
        <v/>
      </c>
      <c r="O30" s="506"/>
      <c r="P30" s="496" t="str">
        <f>IF(AND('MAPA DE RIESGO'!$I$16="Baja",'MAPA DE RIESGO'!$M$16="Menor"),CONCATENATE("R",'MAPA DE RIESGO'!$B$16),"")</f>
        <v/>
      </c>
      <c r="Q30" s="496"/>
      <c r="R30" s="496" t="str">
        <f>IF(AND('MAPA DE RIESGO'!$I$22="Baja",'MAPA DE RIESGO'!$M$22="Menor"),CONCATENATE("R",'MAPA DE RIESGO'!$B$22),"")</f>
        <v/>
      </c>
      <c r="S30" s="496"/>
      <c r="T30" s="496" t="str">
        <f>IF(AND('MAPA DE RIESGO'!$I$28="Baja",'MAPA DE RIESGO'!$M$28="Menor"),CONCATENATE("R",'MAPA DE RIESGO'!$B$28),"")</f>
        <v/>
      </c>
      <c r="U30" s="497"/>
      <c r="V30" s="495" t="str">
        <f>IF(AND('MAPA DE RIESGO'!$I$16="Baja",'MAPA DE RIESGO'!$M$16="Moderado"),CONCATENATE("R",'MAPA DE RIESGO'!$B$16),"")</f>
        <v/>
      </c>
      <c r="W30" s="496"/>
      <c r="X30" s="496" t="str">
        <f>IF(AND('MAPA DE RIESGO'!$I$22="Baja",'MAPA DE RIESGO'!$M$22="Moderado"),CONCATENATE("R",'MAPA DE RIESGO'!$B$22),"")</f>
        <v/>
      </c>
      <c r="Y30" s="496"/>
      <c r="Z30" s="496" t="str">
        <f>IF(AND('MAPA DE RIESGO'!$I$28="Baja",'MAPA DE RIESGO'!$M$28="Moderado"),CONCATENATE("R",'MAPA DE RIESGO'!$B$28),"")</f>
        <v/>
      </c>
      <c r="AA30" s="497"/>
      <c r="AB30" s="470" t="str">
        <f>IF(AND('MAPA DE RIESGO'!$I$16="Baja",'MAPA DE RIESGO'!$M$16="Mayor"),CONCATENATE("R",'MAPA DE RIESGO'!$B$16),"")</f>
        <v>R1</v>
      </c>
      <c r="AC30" s="471"/>
      <c r="AD30" s="471" t="str">
        <f>IF(AND('MAPA DE RIESGO'!$I$22="Baja",'MAPA DE RIESGO'!$M$22="Mayor"),CONCATENATE("R",'MAPA DE RIESGO'!$B$22),"")</f>
        <v/>
      </c>
      <c r="AE30" s="471"/>
      <c r="AF30" s="471" t="str">
        <f>IF(AND('MAPA DE RIESGO'!$I$28="Baja",'MAPA DE RIESGO'!$M$28="Mayor"),CONCATENATE("R",'MAPA DE RIESGO'!$B$28),"")</f>
        <v/>
      </c>
      <c r="AG30" s="473"/>
      <c r="AH30" s="486" t="str">
        <f>IF(AND('MAPA DE RIESGO'!$I$16="Baja",'MAPA DE RIESGO'!$M$16="Catastrófico"),CONCATENATE("R",'MAPA DE RIESGO'!$B$16),"")</f>
        <v/>
      </c>
      <c r="AI30" s="487"/>
      <c r="AJ30" s="487" t="str">
        <f>IF(AND('MAPA DE RIESGO'!$I$22="Baja",'MAPA DE RIESGO'!$M$22="Catastrófico"),CONCATENATE("R",'MAPA DE RIESGO'!$B$22),"")</f>
        <v/>
      </c>
      <c r="AK30" s="487"/>
      <c r="AL30" s="487" t="str">
        <f>IF(AND('MAPA DE RIESGO'!$I$28="Baja",'MAPA DE RIESGO'!$M$28="Catastrófico"),CONCATENATE("R",'MAPA DE RIESGO'!$B$28),"")</f>
        <v/>
      </c>
      <c r="AM30" s="488"/>
      <c r="AN30" s="54"/>
      <c r="AO30" s="449" t="s">
        <v>290</v>
      </c>
      <c r="AP30" s="450"/>
      <c r="AQ30" s="450"/>
      <c r="AR30" s="450"/>
      <c r="AS30" s="450"/>
      <c r="AT30" s="451"/>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row>
    <row r="31" spans="1:80">
      <c r="A31" s="54"/>
      <c r="B31" s="420"/>
      <c r="C31" s="420"/>
      <c r="D31" s="421"/>
      <c r="E31" s="461"/>
      <c r="F31" s="462"/>
      <c r="G31" s="462"/>
      <c r="H31" s="462"/>
      <c r="I31" s="475"/>
      <c r="J31" s="500"/>
      <c r="K31" s="498"/>
      <c r="L31" s="498"/>
      <c r="M31" s="498"/>
      <c r="N31" s="498"/>
      <c r="O31" s="499"/>
      <c r="P31" s="490"/>
      <c r="Q31" s="490"/>
      <c r="R31" s="490"/>
      <c r="S31" s="490"/>
      <c r="T31" s="490"/>
      <c r="U31" s="491"/>
      <c r="V31" s="489"/>
      <c r="W31" s="490"/>
      <c r="X31" s="490"/>
      <c r="Y31" s="490"/>
      <c r="Z31" s="490"/>
      <c r="AA31" s="491"/>
      <c r="AB31" s="472"/>
      <c r="AC31" s="469"/>
      <c r="AD31" s="469"/>
      <c r="AE31" s="469"/>
      <c r="AF31" s="469"/>
      <c r="AG31" s="468"/>
      <c r="AH31" s="480"/>
      <c r="AI31" s="481"/>
      <c r="AJ31" s="481"/>
      <c r="AK31" s="481"/>
      <c r="AL31" s="481"/>
      <c r="AM31" s="482"/>
      <c r="AN31" s="54"/>
      <c r="AO31" s="452"/>
      <c r="AP31" s="453"/>
      <c r="AQ31" s="453"/>
      <c r="AR31" s="453"/>
      <c r="AS31" s="453"/>
      <c r="AT31" s="4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row>
    <row r="32" spans="1:80">
      <c r="A32" s="54"/>
      <c r="B32" s="420"/>
      <c r="C32" s="420"/>
      <c r="D32" s="421"/>
      <c r="E32" s="461"/>
      <c r="F32" s="462"/>
      <c r="G32" s="462"/>
      <c r="H32" s="462"/>
      <c r="I32" s="475"/>
      <c r="J32" s="500" t="str">
        <f>IF(AND('MAPA DE RIESGO'!$I$34="Baja",'MAPA DE RIESGO'!$M$34="Leve"),CONCATENATE("R",'MAPA DE RIESGO'!$B$34),"")</f>
        <v/>
      </c>
      <c r="K32" s="498"/>
      <c r="L32" s="498" t="str">
        <f>IF(AND('MAPA DE RIESGO'!$I$40="Baja",'MAPA DE RIESGO'!$M$40="Leve"),CONCATENATE("R",'MAPA DE RIESGO'!$B$40),"")</f>
        <v/>
      </c>
      <c r="M32" s="498"/>
      <c r="N32" s="498" t="str">
        <f>IF(AND('MAPA DE RIESGO'!$I$46="Baja",'MAPA DE RIESGO'!$M$46="Leve"),CONCATENATE("R",'MAPA DE RIESGO'!$B$46),"")</f>
        <v/>
      </c>
      <c r="O32" s="499"/>
      <c r="P32" s="490" t="str">
        <f>IF(AND('MAPA DE RIESGO'!$I$34="Baja",'MAPA DE RIESGO'!$M$34="Menor"),CONCATENATE("R",'MAPA DE RIESGO'!$B$34),"")</f>
        <v/>
      </c>
      <c r="Q32" s="490"/>
      <c r="R32" s="490" t="str">
        <f>IF(AND('MAPA DE RIESGO'!$I$40="Baja",'MAPA DE RIESGO'!$M$40="Menor"),CONCATENATE("R",'MAPA DE RIESGO'!$B$40),"")</f>
        <v/>
      </c>
      <c r="S32" s="490"/>
      <c r="T32" s="490" t="str">
        <f>IF(AND('MAPA DE RIESGO'!$I$46="Baja",'MAPA DE RIESGO'!$M$46="Menor"),CONCATENATE("R",'MAPA DE RIESGO'!$B$46),"")</f>
        <v/>
      </c>
      <c r="U32" s="491"/>
      <c r="V32" s="489" t="str">
        <f>IF(AND('MAPA DE RIESGO'!$I$34="Baja",'MAPA DE RIESGO'!$M$34="Moderado"),CONCATENATE("R",'MAPA DE RIESGO'!$B$34),"")</f>
        <v>R4</v>
      </c>
      <c r="W32" s="490"/>
      <c r="X32" s="490" t="str">
        <f>IF(AND('MAPA DE RIESGO'!$I$40="Baja",'MAPA DE RIESGO'!$M$40="Moderado"),CONCATENATE("R",'MAPA DE RIESGO'!$B$40),"")</f>
        <v/>
      </c>
      <c r="Y32" s="490"/>
      <c r="Z32" s="490" t="str">
        <f>IF(AND('MAPA DE RIESGO'!$I$46="Baja",'MAPA DE RIESGO'!$M$46="Moderado"),CONCATENATE("R",'MAPA DE RIESGO'!$B$46),"")</f>
        <v/>
      </c>
      <c r="AA32" s="491"/>
      <c r="AB32" s="472" t="str">
        <f>IF(AND('MAPA DE RIESGO'!$I$34="Baja",'MAPA DE RIESGO'!$M$34="Mayor"),CONCATENATE("R",'MAPA DE RIESGO'!$B$34),"")</f>
        <v/>
      </c>
      <c r="AC32" s="469"/>
      <c r="AD32" s="467" t="str">
        <f>IF(AND('MAPA DE RIESGO'!$I$40="Baja",'MAPA DE RIESGO'!$M$40="Mayor"),CONCATENATE("R",'MAPA DE RIESGO'!$B$40),"")</f>
        <v/>
      </c>
      <c r="AE32" s="467"/>
      <c r="AF32" s="467" t="str">
        <f>IF(AND('MAPA DE RIESGO'!$I$46="Baja",'MAPA DE RIESGO'!$M$46="Mayor"),CONCATENATE("R",'MAPA DE RIESGO'!$B$46),"")</f>
        <v/>
      </c>
      <c r="AG32" s="468"/>
      <c r="AH32" s="480" t="str">
        <f>IF(AND('MAPA DE RIESGO'!$I$34="Baja",'MAPA DE RIESGO'!$M$34="Catastrófico"),CONCATENATE("R",'MAPA DE RIESGO'!$B$34),"")</f>
        <v/>
      </c>
      <c r="AI32" s="481"/>
      <c r="AJ32" s="481" t="str">
        <f>IF(AND('MAPA DE RIESGO'!$I$40="Baja",'MAPA DE RIESGO'!$M$40="Catastrófico"),CONCATENATE("R",'MAPA DE RIESGO'!$B$40),"")</f>
        <v/>
      </c>
      <c r="AK32" s="481"/>
      <c r="AL32" s="481" t="str">
        <f>IF(AND('MAPA DE RIESGO'!$I$46="Baja",'MAPA DE RIESGO'!$M$46="Catastrófico"),CONCATENATE("R",'MAPA DE RIESGO'!$B$46),"")</f>
        <v/>
      </c>
      <c r="AM32" s="482"/>
      <c r="AN32" s="54"/>
      <c r="AO32" s="452"/>
      <c r="AP32" s="453"/>
      <c r="AQ32" s="453"/>
      <c r="AR32" s="453"/>
      <c r="AS32" s="453"/>
      <c r="AT32" s="4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row>
    <row r="33" spans="1:80">
      <c r="A33" s="54"/>
      <c r="B33" s="420"/>
      <c r="C33" s="420"/>
      <c r="D33" s="421"/>
      <c r="E33" s="461"/>
      <c r="F33" s="462"/>
      <c r="G33" s="462"/>
      <c r="H33" s="462"/>
      <c r="I33" s="475"/>
      <c r="J33" s="500"/>
      <c r="K33" s="498"/>
      <c r="L33" s="498"/>
      <c r="M33" s="498"/>
      <c r="N33" s="498"/>
      <c r="O33" s="499"/>
      <c r="P33" s="490"/>
      <c r="Q33" s="490"/>
      <c r="R33" s="490"/>
      <c r="S33" s="490"/>
      <c r="T33" s="490"/>
      <c r="U33" s="491"/>
      <c r="V33" s="489"/>
      <c r="W33" s="490"/>
      <c r="X33" s="490"/>
      <c r="Y33" s="490"/>
      <c r="Z33" s="490"/>
      <c r="AA33" s="491"/>
      <c r="AB33" s="472"/>
      <c r="AC33" s="469"/>
      <c r="AD33" s="467"/>
      <c r="AE33" s="467"/>
      <c r="AF33" s="467"/>
      <c r="AG33" s="468"/>
      <c r="AH33" s="480"/>
      <c r="AI33" s="481"/>
      <c r="AJ33" s="481"/>
      <c r="AK33" s="481"/>
      <c r="AL33" s="481"/>
      <c r="AM33" s="482"/>
      <c r="AN33" s="54"/>
      <c r="AO33" s="452"/>
      <c r="AP33" s="453"/>
      <c r="AQ33" s="453"/>
      <c r="AR33" s="453"/>
      <c r="AS33" s="453"/>
      <c r="AT33" s="4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row>
    <row r="34" spans="1:80">
      <c r="A34" s="54"/>
      <c r="B34" s="420"/>
      <c r="C34" s="420"/>
      <c r="D34" s="421"/>
      <c r="E34" s="461"/>
      <c r="F34" s="462"/>
      <c r="G34" s="462"/>
      <c r="H34" s="462"/>
      <c r="I34" s="475"/>
      <c r="J34" s="500" t="str">
        <f>IF(AND('MAPA DE RIESGO'!$I$52="Baja",'MAPA DE RIESGO'!$M$52="Leve"),CONCATENATE("R",'MAPA DE RIESGO'!$B$52),"")</f>
        <v/>
      </c>
      <c r="K34" s="498"/>
      <c r="L34" s="498" t="str">
        <f>IF(AND('MAPA DE RIESGO'!$I$58="Baja",'MAPA DE RIESGO'!$M$58="Leve"),CONCATENATE("R",'MAPA DE RIESGO'!$B$58),"")</f>
        <v/>
      </c>
      <c r="M34" s="498"/>
      <c r="N34" s="498" t="str">
        <f>IF(AND('MAPA DE RIESGO'!$I$76="Baja",'MAPA DE RIESGO'!$M$76="Leve"),CONCATENATE("R",'MAPA DE RIESGO'!$B$76),"")</f>
        <v/>
      </c>
      <c r="O34" s="499"/>
      <c r="P34" s="490" t="str">
        <f>IF(AND('MAPA DE RIESGO'!$I$52="Baja",'MAPA DE RIESGO'!$M$52="Menor"),CONCATENATE("R",'MAPA DE RIESGO'!$B$52),"")</f>
        <v/>
      </c>
      <c r="Q34" s="490"/>
      <c r="R34" s="490" t="str">
        <f>IF(AND('MAPA DE RIESGO'!$I$58="Baja",'MAPA DE RIESGO'!$M$58="Menor"),CONCATENATE("R",'MAPA DE RIESGO'!$B$58),"")</f>
        <v/>
      </c>
      <c r="S34" s="490"/>
      <c r="T34" s="490" t="str">
        <f>IF(AND('MAPA DE RIESGO'!$I$76="Baja",'MAPA DE RIESGO'!$M$76="Menor"),CONCATENATE("R",'MAPA DE RIESGO'!$B$76),"")</f>
        <v/>
      </c>
      <c r="U34" s="491"/>
      <c r="V34" s="489" t="str">
        <f>IF(AND('MAPA DE RIESGO'!$I$52="Baja",'MAPA DE RIESGO'!$M$52="Moderado"),CONCATENATE("R",'MAPA DE RIESGO'!$B$52),"")</f>
        <v/>
      </c>
      <c r="W34" s="490"/>
      <c r="X34" s="490" t="str">
        <f>IF(AND('MAPA DE RIESGO'!$I$58="Baja",'MAPA DE RIESGO'!$M$58="Moderado"),CONCATENATE("R",'MAPA DE RIESGO'!$B$58),"")</f>
        <v>R8</v>
      </c>
      <c r="Y34" s="490"/>
      <c r="Z34" s="490" t="str">
        <f>IF(AND('MAPA DE RIESGO'!$I$76="Baja",'MAPA DE RIESGO'!$M$76="Moderado"),CONCATENATE("R",'MAPA DE RIESGO'!$B$76),"")</f>
        <v/>
      </c>
      <c r="AA34" s="491"/>
      <c r="AB34" s="472" t="str">
        <f>IF(AND('MAPA DE RIESGO'!$I$52="Baja",'MAPA DE RIESGO'!$M$52="Mayor"),CONCATENATE("R",'MAPA DE RIESGO'!$B$52),"")</f>
        <v/>
      </c>
      <c r="AC34" s="469"/>
      <c r="AD34" s="467" t="str">
        <f>IF(AND('MAPA DE RIESGO'!$I$58="Baja",'MAPA DE RIESGO'!$M$58="Mayor"),CONCATENATE("R",'MAPA DE RIESGO'!$B$58),"")</f>
        <v/>
      </c>
      <c r="AE34" s="467"/>
      <c r="AF34" s="467" t="str">
        <f>IF(AND('MAPA DE RIESGO'!$I$76="Baja",'MAPA DE RIESGO'!$M$76="Mayor"),CONCATENATE("R",'MAPA DE RIESGO'!$B$76),"")</f>
        <v/>
      </c>
      <c r="AG34" s="468"/>
      <c r="AH34" s="480" t="str">
        <f>IF(AND('MAPA DE RIESGO'!$I$52="Baja",'MAPA DE RIESGO'!$M$52="Catastrófico"),CONCATENATE("R",'MAPA DE RIESGO'!$B$52),"")</f>
        <v/>
      </c>
      <c r="AI34" s="481"/>
      <c r="AJ34" s="481" t="str">
        <f>IF(AND('MAPA DE RIESGO'!$I$58="Baja",'MAPA DE RIESGO'!$M$58="Catastrófico"),CONCATENATE("R",'MAPA DE RIESGO'!$B$58),"")</f>
        <v/>
      </c>
      <c r="AK34" s="481"/>
      <c r="AL34" s="481" t="str">
        <f>IF(AND('MAPA DE RIESGO'!$I$76="Baja",'MAPA DE RIESGO'!$M$76="Catastrófico"),CONCATENATE("R",'MAPA DE RIESGO'!$B$76),"")</f>
        <v/>
      </c>
      <c r="AM34" s="482"/>
      <c r="AN34" s="54"/>
      <c r="AO34" s="452"/>
      <c r="AP34" s="453"/>
      <c r="AQ34" s="453"/>
      <c r="AR34" s="453"/>
      <c r="AS34" s="453"/>
      <c r="AT34" s="4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row>
    <row r="35" spans="1:80">
      <c r="A35" s="54"/>
      <c r="B35" s="420"/>
      <c r="C35" s="420"/>
      <c r="D35" s="421"/>
      <c r="E35" s="461"/>
      <c r="F35" s="462"/>
      <c r="G35" s="462"/>
      <c r="H35" s="462"/>
      <c r="I35" s="475"/>
      <c r="J35" s="500"/>
      <c r="K35" s="498"/>
      <c r="L35" s="498"/>
      <c r="M35" s="498"/>
      <c r="N35" s="498"/>
      <c r="O35" s="499"/>
      <c r="P35" s="490"/>
      <c r="Q35" s="490"/>
      <c r="R35" s="490"/>
      <c r="S35" s="490"/>
      <c r="T35" s="490"/>
      <c r="U35" s="491"/>
      <c r="V35" s="489"/>
      <c r="W35" s="490"/>
      <c r="X35" s="490"/>
      <c r="Y35" s="490"/>
      <c r="Z35" s="490"/>
      <c r="AA35" s="491"/>
      <c r="AB35" s="472"/>
      <c r="AC35" s="469"/>
      <c r="AD35" s="467"/>
      <c r="AE35" s="467"/>
      <c r="AF35" s="467"/>
      <c r="AG35" s="468"/>
      <c r="AH35" s="480"/>
      <c r="AI35" s="481"/>
      <c r="AJ35" s="481"/>
      <c r="AK35" s="481"/>
      <c r="AL35" s="481"/>
      <c r="AM35" s="482"/>
      <c r="AN35" s="54"/>
      <c r="AO35" s="452"/>
      <c r="AP35" s="453"/>
      <c r="AQ35" s="453"/>
      <c r="AR35" s="453"/>
      <c r="AS35" s="453"/>
      <c r="AT35" s="4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row>
    <row r="36" spans="1:80">
      <c r="A36" s="54"/>
      <c r="B36" s="420"/>
      <c r="C36" s="420"/>
      <c r="D36" s="421"/>
      <c r="E36" s="461"/>
      <c r="F36" s="462"/>
      <c r="G36" s="462"/>
      <c r="H36" s="462"/>
      <c r="I36" s="475"/>
      <c r="J36" s="500" t="str">
        <f>IF(AND('MAPA DE RIESGO'!$I$82="Baja",'MAPA DE RIESGO'!$M$82="Leve"),CONCATENATE("R",'MAPA DE RIESGO'!$B$82),"")</f>
        <v/>
      </c>
      <c r="K36" s="498"/>
      <c r="L36" s="498" t="str">
        <f>IF(AND('MAPA DE RIESGO'!$I$88="Baja",'MAPA DE RIESGO'!$M$88="Leve"),CONCATENATE("R",'MAPA DE RIESGO'!$B$88),"")</f>
        <v/>
      </c>
      <c r="M36" s="498"/>
      <c r="N36" s="498" t="str">
        <f>IF(AND('MAPA DE RIESGO'!$I$94="Baja",'MAPA DE RIESGO'!$M$94="Leve"),CONCATENATE("R",'MAPA DE RIESGO'!$B$94),"")</f>
        <v/>
      </c>
      <c r="O36" s="499"/>
      <c r="P36" s="490" t="str">
        <f>IF(AND('MAPA DE RIESGO'!$I$82="Baja",'MAPA DE RIESGO'!$M$82="Menor"),CONCATENATE("R",'MAPA DE RIESGO'!$B$82),"")</f>
        <v/>
      </c>
      <c r="Q36" s="490"/>
      <c r="R36" s="490" t="str">
        <f>IF(AND('MAPA DE RIESGO'!$I$88="Baja",'MAPA DE RIESGO'!$M$88="Menor"),CONCATENATE("R",'MAPA DE RIESGO'!$B$88),"")</f>
        <v/>
      </c>
      <c r="S36" s="490"/>
      <c r="T36" s="490" t="str">
        <f>IF(AND('MAPA DE RIESGO'!$I$94="Baja",'MAPA DE RIESGO'!$M$94="Menor"),CONCATENATE("R",'MAPA DE RIESGO'!$B$94),"")</f>
        <v/>
      </c>
      <c r="U36" s="491"/>
      <c r="V36" s="489" t="str">
        <f>IF(AND('MAPA DE RIESGO'!$I$82="Baja",'MAPA DE RIESGO'!$M$82="Moderado"),CONCATENATE("R",'MAPA DE RIESGO'!$B$82),"")</f>
        <v/>
      </c>
      <c r="W36" s="490"/>
      <c r="X36" s="490" t="str">
        <f>IF(AND('MAPA DE RIESGO'!$I$88="Baja",'MAPA DE RIESGO'!$M$88="Moderado"),CONCATENATE("R",'MAPA DE RIESGO'!$B$88),"")</f>
        <v/>
      </c>
      <c r="Y36" s="490"/>
      <c r="Z36" s="490" t="str">
        <f>IF(AND('MAPA DE RIESGO'!$I$94="Baja",'MAPA DE RIESGO'!$M$94="Moderado"),CONCATENATE("R",'MAPA DE RIESGO'!$B$94),"")</f>
        <v/>
      </c>
      <c r="AA36" s="491"/>
      <c r="AB36" s="472" t="str">
        <f>IF(AND('MAPA DE RIESGO'!$I$82="Baja",'MAPA DE RIESGO'!$M$82="Mayor"),CONCATENATE("R",'MAPA DE RIESGO'!$B$82),"")</f>
        <v/>
      </c>
      <c r="AC36" s="469"/>
      <c r="AD36" s="467" t="str">
        <f>IF(AND('MAPA DE RIESGO'!$I$88="Baja",'MAPA DE RIESGO'!$M$88="Mayor"),CONCATENATE("R",'MAPA DE RIESGO'!$B$88),"")</f>
        <v/>
      </c>
      <c r="AE36" s="467"/>
      <c r="AF36" s="467" t="str">
        <f>IF(AND('MAPA DE RIESGO'!$I$94="Baja",'MAPA DE RIESGO'!$M$94="Mayor"),CONCATENATE("R",'MAPA DE RIESGO'!$B$94),"")</f>
        <v/>
      </c>
      <c r="AG36" s="468"/>
      <c r="AH36" s="480" t="str">
        <f>IF(AND('MAPA DE RIESGO'!$I$82="Baja",'MAPA DE RIESGO'!$M$82="Catastrófico"),CONCATENATE("R",'MAPA DE RIESGO'!$B$82),"")</f>
        <v/>
      </c>
      <c r="AI36" s="481"/>
      <c r="AJ36" s="481" t="str">
        <f>IF(AND('MAPA DE RIESGO'!$I$88="Baja",'MAPA DE RIESGO'!$M$88="Catastrófico"),CONCATENATE("R",'MAPA DE RIESGO'!$B$88),"")</f>
        <v/>
      </c>
      <c r="AK36" s="481"/>
      <c r="AL36" s="481" t="str">
        <f>IF(AND('MAPA DE RIESGO'!$I$94="Baja",'MAPA DE RIESGO'!$M$94="Catastrófico"),CONCATENATE("R",'MAPA DE RIESGO'!$B$94),"")</f>
        <v/>
      </c>
      <c r="AM36" s="482"/>
      <c r="AN36" s="54"/>
      <c r="AO36" s="452"/>
      <c r="AP36" s="453"/>
      <c r="AQ36" s="453"/>
      <c r="AR36" s="453"/>
      <c r="AS36" s="453"/>
      <c r="AT36" s="4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row>
    <row r="37" spans="1:80" ht="15.75" thickBot="1">
      <c r="A37" s="54"/>
      <c r="B37" s="420"/>
      <c r="C37" s="420"/>
      <c r="D37" s="421"/>
      <c r="E37" s="464"/>
      <c r="F37" s="465"/>
      <c r="G37" s="465"/>
      <c r="H37" s="465"/>
      <c r="I37" s="465"/>
      <c r="J37" s="501"/>
      <c r="K37" s="502"/>
      <c r="L37" s="502"/>
      <c r="M37" s="502"/>
      <c r="N37" s="502"/>
      <c r="O37" s="503"/>
      <c r="P37" s="493"/>
      <c r="Q37" s="493"/>
      <c r="R37" s="493"/>
      <c r="S37" s="493"/>
      <c r="T37" s="493"/>
      <c r="U37" s="494"/>
      <c r="V37" s="492"/>
      <c r="W37" s="493"/>
      <c r="X37" s="493"/>
      <c r="Y37" s="493"/>
      <c r="Z37" s="493"/>
      <c r="AA37" s="494"/>
      <c r="AB37" s="477"/>
      <c r="AC37" s="478"/>
      <c r="AD37" s="478"/>
      <c r="AE37" s="478"/>
      <c r="AF37" s="478"/>
      <c r="AG37" s="479"/>
      <c r="AH37" s="483"/>
      <c r="AI37" s="484"/>
      <c r="AJ37" s="484"/>
      <c r="AK37" s="484"/>
      <c r="AL37" s="484"/>
      <c r="AM37" s="485"/>
      <c r="AN37" s="54"/>
      <c r="AO37" s="455"/>
      <c r="AP37" s="456"/>
      <c r="AQ37" s="456"/>
      <c r="AR37" s="456"/>
      <c r="AS37" s="456"/>
      <c r="AT37" s="457"/>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row>
    <row r="38" spans="1:80">
      <c r="A38" s="54"/>
      <c r="B38" s="420"/>
      <c r="C38" s="420"/>
      <c r="D38" s="421"/>
      <c r="E38" s="458" t="s">
        <v>291</v>
      </c>
      <c r="F38" s="459"/>
      <c r="G38" s="459"/>
      <c r="H38" s="459"/>
      <c r="I38" s="460"/>
      <c r="J38" s="504" t="str">
        <f>IF(AND('MAPA DE RIESGO'!$I$16="Muy Baja",'MAPA DE RIESGO'!$M$16="Leve"),CONCATENATE("R",'MAPA DE RIESGO'!$B$16),"")</f>
        <v/>
      </c>
      <c r="K38" s="505"/>
      <c r="L38" s="505" t="str">
        <f>IF(AND('MAPA DE RIESGO'!$I$22="Muy Baja",'MAPA DE RIESGO'!$M$22="Leve"),CONCATENATE("R",'MAPA DE RIESGO'!$B$22),"")</f>
        <v/>
      </c>
      <c r="M38" s="505"/>
      <c r="N38" s="505" t="str">
        <f>IF(AND('MAPA DE RIESGO'!$I$28="Muy Baja",'MAPA DE RIESGO'!$M$28="Leve"),CONCATENATE("R",'MAPA DE RIESGO'!$B$28),"")</f>
        <v/>
      </c>
      <c r="O38" s="506"/>
      <c r="P38" s="504" t="str">
        <f>IF(AND('MAPA DE RIESGO'!$I$16="Muy Baja",'MAPA DE RIESGO'!$M$16="Menor"),CONCATENATE("R",'MAPA DE RIESGO'!$B$16),"")</f>
        <v/>
      </c>
      <c r="Q38" s="505"/>
      <c r="R38" s="505" t="str">
        <f>IF(AND('MAPA DE RIESGO'!$I$22="Muy Baja",'MAPA DE RIESGO'!$M$22="Menor"),CONCATENATE("R",'MAPA DE RIESGO'!$B$22),"")</f>
        <v/>
      </c>
      <c r="S38" s="505"/>
      <c r="T38" s="505" t="str">
        <f>IF(AND('MAPA DE RIESGO'!$I$28="Muy Baja",'MAPA DE RIESGO'!$M$28="Menor"),CONCATENATE("R",'MAPA DE RIESGO'!$B$28),"")</f>
        <v/>
      </c>
      <c r="U38" s="506"/>
      <c r="V38" s="495" t="str">
        <f>IF(AND('MAPA DE RIESGO'!$I$16="Muy Baja",'MAPA DE RIESGO'!$M$16="Moderado"),CONCATENATE("R",'MAPA DE RIESGO'!$B$16),"")</f>
        <v/>
      </c>
      <c r="W38" s="496"/>
      <c r="X38" s="496" t="str">
        <f>IF(AND('MAPA DE RIESGO'!$I$22="Muy Baja",'MAPA DE RIESGO'!$M$22="Moderado"),CONCATENATE("R",'MAPA DE RIESGO'!$B$22),"")</f>
        <v/>
      </c>
      <c r="Y38" s="496"/>
      <c r="Z38" s="496" t="str">
        <f>IF(AND('MAPA DE RIESGO'!$I$28="Muy Baja",'MAPA DE RIESGO'!$M$28="Moderado"),CONCATENATE("R",'MAPA DE RIESGO'!$B$28),"")</f>
        <v/>
      </c>
      <c r="AA38" s="497"/>
      <c r="AB38" s="470" t="str">
        <f>IF(AND('MAPA DE RIESGO'!$I$16="Muy Baja",'MAPA DE RIESGO'!$M$16="Mayor"),CONCATENATE("R",'MAPA DE RIESGO'!$B$16),"")</f>
        <v/>
      </c>
      <c r="AC38" s="471"/>
      <c r="AD38" s="471" t="str">
        <f>IF(AND('MAPA DE RIESGO'!$I$22="Muy Baja",'MAPA DE RIESGO'!$M$22="Mayor"),CONCATENATE("R",'MAPA DE RIESGO'!$B$22),"")</f>
        <v/>
      </c>
      <c r="AE38" s="471"/>
      <c r="AF38" s="471" t="str">
        <f>IF(AND('MAPA DE RIESGO'!$I$28="Muy Baja",'MAPA DE RIESGO'!$M$28="Mayor"),CONCATENATE("R",'MAPA DE RIESGO'!$B$28),"")</f>
        <v/>
      </c>
      <c r="AG38" s="473"/>
      <c r="AH38" s="486" t="str">
        <f>IF(AND('MAPA DE RIESGO'!$I$16="Muy Baja",'MAPA DE RIESGO'!$M$16="Catastrófico"),CONCATENATE("R",'MAPA DE RIESGO'!$B$16),"")</f>
        <v/>
      </c>
      <c r="AI38" s="487"/>
      <c r="AJ38" s="487" t="str">
        <f>IF(AND('MAPA DE RIESGO'!$I$22="Muy Baja",'MAPA DE RIESGO'!$M$22="Catastrófico"),CONCATENATE("R",'MAPA DE RIESGO'!$B$22),"")</f>
        <v/>
      </c>
      <c r="AK38" s="487"/>
      <c r="AL38" s="487" t="str">
        <f>IF(AND('MAPA DE RIESGO'!$I$28="Muy Baja",'MAPA DE RIESGO'!$M$28="Catastrófico"),CONCATENATE("R",'MAPA DE RIESGO'!$B$28),"")</f>
        <v/>
      </c>
      <c r="AM38" s="488"/>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row>
    <row r="39" spans="1:80">
      <c r="A39" s="54"/>
      <c r="B39" s="420"/>
      <c r="C39" s="420"/>
      <c r="D39" s="421"/>
      <c r="E39" s="461"/>
      <c r="F39" s="462"/>
      <c r="G39" s="462"/>
      <c r="H39" s="462"/>
      <c r="I39" s="463"/>
      <c r="J39" s="500"/>
      <c r="K39" s="498"/>
      <c r="L39" s="498"/>
      <c r="M39" s="498"/>
      <c r="N39" s="498"/>
      <c r="O39" s="499"/>
      <c r="P39" s="500"/>
      <c r="Q39" s="498"/>
      <c r="R39" s="498"/>
      <c r="S39" s="498"/>
      <c r="T39" s="498"/>
      <c r="U39" s="499"/>
      <c r="V39" s="489"/>
      <c r="W39" s="490"/>
      <c r="X39" s="490"/>
      <c r="Y39" s="490"/>
      <c r="Z39" s="490"/>
      <c r="AA39" s="491"/>
      <c r="AB39" s="472"/>
      <c r="AC39" s="469"/>
      <c r="AD39" s="469"/>
      <c r="AE39" s="469"/>
      <c r="AF39" s="469"/>
      <c r="AG39" s="468"/>
      <c r="AH39" s="480"/>
      <c r="AI39" s="481"/>
      <c r="AJ39" s="481"/>
      <c r="AK39" s="481"/>
      <c r="AL39" s="481"/>
      <c r="AM39" s="482"/>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row>
    <row r="40" spans="1:80">
      <c r="A40" s="54"/>
      <c r="B40" s="420"/>
      <c r="C40" s="420"/>
      <c r="D40" s="421"/>
      <c r="E40" s="461"/>
      <c r="F40" s="462"/>
      <c r="G40" s="462"/>
      <c r="H40" s="462"/>
      <c r="I40" s="463"/>
      <c r="J40" s="500" t="str">
        <f>IF(AND('MAPA DE RIESGO'!$I$34="Muy Baja",'MAPA DE RIESGO'!$M$34="Leve"),CONCATENATE("R",'MAPA DE RIESGO'!$B$34),"")</f>
        <v/>
      </c>
      <c r="K40" s="498"/>
      <c r="L40" s="498" t="str">
        <f>IF(AND('MAPA DE RIESGO'!$I$40="Muy Baja",'MAPA DE RIESGO'!$M$40="Leve"),CONCATENATE("R",'MAPA DE RIESGO'!$B$40),"")</f>
        <v/>
      </c>
      <c r="M40" s="498"/>
      <c r="N40" s="498" t="str">
        <f>IF(AND('MAPA DE RIESGO'!$I$46="Muy Baja",'MAPA DE RIESGO'!$M$46="Leve"),CONCATENATE("R",'MAPA DE RIESGO'!$B$46),"")</f>
        <v/>
      </c>
      <c r="O40" s="499"/>
      <c r="P40" s="500" t="str">
        <f>IF(AND('MAPA DE RIESGO'!$I$34="Muy Baja",'MAPA DE RIESGO'!$M$34="Menor"),CONCATENATE("R",'MAPA DE RIESGO'!$B$34),"")</f>
        <v/>
      </c>
      <c r="Q40" s="498"/>
      <c r="R40" s="498" t="str">
        <f>IF(AND('MAPA DE RIESGO'!$I$40="Muy Baja",'MAPA DE RIESGO'!$M$40="Menor"),CONCATENATE("R",'MAPA DE RIESGO'!$B$40),"")</f>
        <v/>
      </c>
      <c r="S40" s="498"/>
      <c r="T40" s="498" t="str">
        <f>IF(AND('MAPA DE RIESGO'!$I$46="Muy Baja",'MAPA DE RIESGO'!$M$46="Menor"),CONCATENATE("R",'MAPA DE RIESGO'!$B$46),"")</f>
        <v/>
      </c>
      <c r="U40" s="499"/>
      <c r="V40" s="489" t="str">
        <f>IF(AND('MAPA DE RIESGO'!$I$34="Muy Baja",'MAPA DE RIESGO'!$M$34="Moderado"),CONCATENATE("R",'MAPA DE RIESGO'!$B$34),"")</f>
        <v/>
      </c>
      <c r="W40" s="490"/>
      <c r="X40" s="490" t="str">
        <f>IF(AND('MAPA DE RIESGO'!$I$40="Muy Baja",'MAPA DE RIESGO'!$M$40="Moderado"),CONCATENATE("R",'MAPA DE RIESGO'!$B$40),"")</f>
        <v/>
      </c>
      <c r="Y40" s="490"/>
      <c r="Z40" s="490" t="str">
        <f>IF(AND('MAPA DE RIESGO'!$I$46="Muy Baja",'MAPA DE RIESGO'!$M$46="Moderado"),CONCATENATE("R",'MAPA DE RIESGO'!$B$46),"")</f>
        <v/>
      </c>
      <c r="AA40" s="491"/>
      <c r="AB40" s="472" t="str">
        <f>IF(AND('MAPA DE RIESGO'!$I$34="Muy Baja",'MAPA DE RIESGO'!$M$34="Mayor"),CONCATENATE("R",'MAPA DE RIESGO'!$B$34),"")</f>
        <v/>
      </c>
      <c r="AC40" s="469"/>
      <c r="AD40" s="467" t="str">
        <f>IF(AND('MAPA DE RIESGO'!$I$40="Muy Baja",'MAPA DE RIESGO'!$M$40="Mayor"),CONCATENATE("R",'MAPA DE RIESGO'!$B$40),"")</f>
        <v/>
      </c>
      <c r="AE40" s="467"/>
      <c r="AF40" s="467" t="str">
        <f>IF(AND('MAPA DE RIESGO'!$I$46="Muy Baja",'MAPA DE RIESGO'!$M$46="Mayor"),CONCATENATE("R",'MAPA DE RIESGO'!$B$46),"")</f>
        <v/>
      </c>
      <c r="AG40" s="468"/>
      <c r="AH40" s="480" t="str">
        <f>IF(AND('MAPA DE RIESGO'!$I$34="Muy Baja",'MAPA DE RIESGO'!$M$34="Catastrófico"),CONCATENATE("R",'MAPA DE RIESGO'!$B$34),"")</f>
        <v/>
      </c>
      <c r="AI40" s="481"/>
      <c r="AJ40" s="481" t="str">
        <f>IF(AND('MAPA DE RIESGO'!$I$40="Muy Baja",'MAPA DE RIESGO'!$M$40="Catastrófico"),CONCATENATE("R",'MAPA DE RIESGO'!$B$40),"")</f>
        <v/>
      </c>
      <c r="AK40" s="481"/>
      <c r="AL40" s="481" t="str">
        <f>IF(AND('MAPA DE RIESGO'!$I$46="Muy Baja",'MAPA DE RIESGO'!$M$46="Catastrófico"),CONCATENATE("R",'MAPA DE RIESGO'!$B$46),"")</f>
        <v/>
      </c>
      <c r="AM40" s="482"/>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row>
    <row r="41" spans="1:80">
      <c r="A41" s="54"/>
      <c r="B41" s="420"/>
      <c r="C41" s="420"/>
      <c r="D41" s="421"/>
      <c r="E41" s="461"/>
      <c r="F41" s="462"/>
      <c r="G41" s="462"/>
      <c r="H41" s="462"/>
      <c r="I41" s="463"/>
      <c r="J41" s="500"/>
      <c r="K41" s="498"/>
      <c r="L41" s="498"/>
      <c r="M41" s="498"/>
      <c r="N41" s="498"/>
      <c r="O41" s="499"/>
      <c r="P41" s="500"/>
      <c r="Q41" s="498"/>
      <c r="R41" s="498"/>
      <c r="S41" s="498"/>
      <c r="T41" s="498"/>
      <c r="U41" s="499"/>
      <c r="V41" s="489"/>
      <c r="W41" s="490"/>
      <c r="X41" s="490"/>
      <c r="Y41" s="490"/>
      <c r="Z41" s="490"/>
      <c r="AA41" s="491"/>
      <c r="AB41" s="472"/>
      <c r="AC41" s="469"/>
      <c r="AD41" s="467"/>
      <c r="AE41" s="467"/>
      <c r="AF41" s="467"/>
      <c r="AG41" s="468"/>
      <c r="AH41" s="480"/>
      <c r="AI41" s="481"/>
      <c r="AJ41" s="481"/>
      <c r="AK41" s="481"/>
      <c r="AL41" s="481"/>
      <c r="AM41" s="482"/>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row>
    <row r="42" spans="1:80">
      <c r="A42" s="54"/>
      <c r="B42" s="420"/>
      <c r="C42" s="420"/>
      <c r="D42" s="421"/>
      <c r="E42" s="461"/>
      <c r="F42" s="462"/>
      <c r="G42" s="462"/>
      <c r="H42" s="462"/>
      <c r="I42" s="463"/>
      <c r="J42" s="500" t="str">
        <f>IF(AND('MAPA DE RIESGO'!$I$52="Muy Baja",'MAPA DE RIESGO'!$M$52="Leve"),CONCATENATE("R",'MAPA DE RIESGO'!$B$52),"")</f>
        <v/>
      </c>
      <c r="K42" s="498"/>
      <c r="L42" s="498" t="str">
        <f>IF(AND('MAPA DE RIESGO'!$I$58="Muy Baja",'MAPA DE RIESGO'!$M$58="Leve"),CONCATENATE("R",'MAPA DE RIESGO'!$B$58),"")</f>
        <v/>
      </c>
      <c r="M42" s="498"/>
      <c r="N42" s="498" t="str">
        <f>IF(AND('MAPA DE RIESGO'!$I$76="Muy Baja",'MAPA DE RIESGO'!$M$76="Leve"),CONCATENATE("R",'MAPA DE RIESGO'!$B$76),"")</f>
        <v/>
      </c>
      <c r="O42" s="499"/>
      <c r="P42" s="500" t="str">
        <f>IF(AND('MAPA DE RIESGO'!$I$52="Muy Baja",'MAPA DE RIESGO'!$M$52="Menor"),CONCATENATE("R",'MAPA DE RIESGO'!$B$52),"")</f>
        <v/>
      </c>
      <c r="Q42" s="498"/>
      <c r="R42" s="498" t="str">
        <f>IF(AND('MAPA DE RIESGO'!$I$58="Muy Baja",'MAPA DE RIESGO'!$M$58="Menor"),CONCATENATE("R",'MAPA DE RIESGO'!$B$58),"")</f>
        <v/>
      </c>
      <c r="S42" s="498"/>
      <c r="T42" s="498" t="str">
        <f>IF(AND('MAPA DE RIESGO'!$I$76="Muy Baja",'MAPA DE RIESGO'!$M$76="Menor"),CONCATENATE("R",'MAPA DE RIESGO'!$B$76),"")</f>
        <v/>
      </c>
      <c r="U42" s="499"/>
      <c r="V42" s="489" t="str">
        <f>IF(AND('MAPA DE RIESGO'!$I$52="Muy Baja",'MAPA DE RIESGO'!$M$52="Moderado"),CONCATENATE("R",'MAPA DE RIESGO'!$B$52),"")</f>
        <v/>
      </c>
      <c r="W42" s="490"/>
      <c r="X42" s="490" t="str">
        <f>IF(AND('MAPA DE RIESGO'!$I$58="Muy Baja",'MAPA DE RIESGO'!$M$58="Moderado"),CONCATENATE("R",'MAPA DE RIESGO'!$B$58),"")</f>
        <v/>
      </c>
      <c r="Y42" s="490"/>
      <c r="Z42" s="490" t="str">
        <f>IF(AND('MAPA DE RIESGO'!$I$76="Muy Baja",'MAPA DE RIESGO'!$M$76="Moderado"),CONCATENATE("R",'MAPA DE RIESGO'!$B$76),"")</f>
        <v/>
      </c>
      <c r="AA42" s="491"/>
      <c r="AB42" s="472" t="str">
        <f>IF(AND('MAPA DE RIESGO'!$I$52="Muy Baja",'MAPA DE RIESGO'!$M$52="Mayor"),CONCATENATE("R",'MAPA DE RIESGO'!$B$52),"")</f>
        <v>R7</v>
      </c>
      <c r="AC42" s="469"/>
      <c r="AD42" s="467" t="str">
        <f>IF(AND('MAPA DE RIESGO'!$I$58="Muy Baja",'MAPA DE RIESGO'!$M$58="Mayor"),CONCATENATE("R",'MAPA DE RIESGO'!$B$58),"")</f>
        <v/>
      </c>
      <c r="AE42" s="467"/>
      <c r="AF42" s="467" t="str">
        <f>IF(AND('MAPA DE RIESGO'!$I$76="Muy Baja",'MAPA DE RIESGO'!$M$76="Mayor"),CONCATENATE("R",'MAPA DE RIESGO'!$B$76),"")</f>
        <v/>
      </c>
      <c r="AG42" s="468"/>
      <c r="AH42" s="480" t="str">
        <f>IF(AND('MAPA DE RIESGO'!$I$52="Muy Baja",'MAPA DE RIESGO'!$M$52="Catastrófico"),CONCATENATE("R",'MAPA DE RIESGO'!$B$52),"")</f>
        <v/>
      </c>
      <c r="AI42" s="481"/>
      <c r="AJ42" s="481" t="str">
        <f>IF(AND('MAPA DE RIESGO'!$I$58="Muy Baja",'MAPA DE RIESGO'!$M$58="Catastrófico"),CONCATENATE("R",'MAPA DE RIESGO'!$B$58),"")</f>
        <v/>
      </c>
      <c r="AK42" s="481"/>
      <c r="AL42" s="481" t="str">
        <f>IF(AND('MAPA DE RIESGO'!$I$76="Muy Baja",'MAPA DE RIESGO'!$M$76="Catastrófico"),CONCATENATE("R",'MAPA DE RIESGO'!$B$76),"")</f>
        <v/>
      </c>
      <c r="AM42" s="482"/>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row>
    <row r="43" spans="1:80">
      <c r="A43" s="54"/>
      <c r="B43" s="420"/>
      <c r="C43" s="420"/>
      <c r="D43" s="421"/>
      <c r="E43" s="461"/>
      <c r="F43" s="462"/>
      <c r="G43" s="462"/>
      <c r="H43" s="462"/>
      <c r="I43" s="463"/>
      <c r="J43" s="500"/>
      <c r="K43" s="498"/>
      <c r="L43" s="498"/>
      <c r="M43" s="498"/>
      <c r="N43" s="498"/>
      <c r="O43" s="499"/>
      <c r="P43" s="500"/>
      <c r="Q43" s="498"/>
      <c r="R43" s="498"/>
      <c r="S43" s="498"/>
      <c r="T43" s="498"/>
      <c r="U43" s="499"/>
      <c r="V43" s="489"/>
      <c r="W43" s="490"/>
      <c r="X43" s="490"/>
      <c r="Y43" s="490"/>
      <c r="Z43" s="490"/>
      <c r="AA43" s="491"/>
      <c r="AB43" s="472"/>
      <c r="AC43" s="469"/>
      <c r="AD43" s="467"/>
      <c r="AE43" s="467"/>
      <c r="AF43" s="467"/>
      <c r="AG43" s="468"/>
      <c r="AH43" s="480"/>
      <c r="AI43" s="481"/>
      <c r="AJ43" s="481"/>
      <c r="AK43" s="481"/>
      <c r="AL43" s="481"/>
      <c r="AM43" s="482"/>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row>
    <row r="44" spans="1:80">
      <c r="A44" s="54"/>
      <c r="B44" s="420"/>
      <c r="C44" s="420"/>
      <c r="D44" s="421"/>
      <c r="E44" s="461"/>
      <c r="F44" s="462"/>
      <c r="G44" s="462"/>
      <c r="H44" s="462"/>
      <c r="I44" s="463"/>
      <c r="J44" s="500" t="str">
        <f>IF(AND('MAPA DE RIESGO'!$I$82="Muy Baja",'MAPA DE RIESGO'!$M$82="Leve"),CONCATENATE("R",'MAPA DE RIESGO'!$B$82),"")</f>
        <v/>
      </c>
      <c r="K44" s="498"/>
      <c r="L44" s="498" t="str">
        <f>IF(AND('MAPA DE RIESGO'!$I$88="Muy Baja",'MAPA DE RIESGO'!$M$88="Leve"),CONCATENATE("R",'MAPA DE RIESGO'!$B$88),"")</f>
        <v/>
      </c>
      <c r="M44" s="498"/>
      <c r="N44" s="498" t="str">
        <f>IF(AND('MAPA DE RIESGO'!$I$94="Muy Baja",'MAPA DE RIESGO'!$M$94="Leve"),CONCATENATE("R",'MAPA DE RIESGO'!$B$94),"")</f>
        <v/>
      </c>
      <c r="O44" s="499"/>
      <c r="P44" s="500" t="str">
        <f>IF(AND('MAPA DE RIESGO'!$I$82="Muy Baja",'MAPA DE RIESGO'!$M$82="Menor"),CONCATENATE("R",'MAPA DE RIESGO'!$B$82),"")</f>
        <v/>
      </c>
      <c r="Q44" s="498"/>
      <c r="R44" s="498" t="str">
        <f>IF(AND('MAPA DE RIESGO'!$I$88="Muy Baja",'MAPA DE RIESGO'!$M$88="Menor"),CONCATENATE("R",'MAPA DE RIESGO'!$B$88),"")</f>
        <v/>
      </c>
      <c r="S44" s="498"/>
      <c r="T44" s="498" t="str">
        <f>IF(AND('MAPA DE RIESGO'!$I$94="Muy Baja",'MAPA DE RIESGO'!$M$94="Menor"),CONCATENATE("R",'MAPA DE RIESGO'!$B$94),"")</f>
        <v/>
      </c>
      <c r="U44" s="499"/>
      <c r="V44" s="489" t="str">
        <f>IF(AND('MAPA DE RIESGO'!$I$82="Muy Baja",'MAPA DE RIESGO'!$M$82="Moderado"),CONCATENATE("R",'MAPA DE RIESGO'!$B$82),"")</f>
        <v/>
      </c>
      <c r="W44" s="490"/>
      <c r="X44" s="490" t="str">
        <f>IF(AND('MAPA DE RIESGO'!$I$88="Muy Baja",'MAPA DE RIESGO'!$M$88="Moderado"),CONCATENATE("R",'MAPA DE RIESGO'!$B$88),"")</f>
        <v/>
      </c>
      <c r="Y44" s="490"/>
      <c r="Z44" s="490" t="str">
        <f>IF(AND('MAPA DE RIESGO'!$I$94="Muy Baja",'MAPA DE RIESGO'!$M$94="Moderado"),CONCATENATE("R",'MAPA DE RIESGO'!$B$94),"")</f>
        <v/>
      </c>
      <c r="AA44" s="491"/>
      <c r="AB44" s="472" t="str">
        <f>IF(AND('MAPA DE RIESGO'!$I$82="Muy Baja",'MAPA DE RIESGO'!$M$82="Mayor"),CONCATENATE("R",'MAPA DE RIESGO'!$B$82),"")</f>
        <v/>
      </c>
      <c r="AC44" s="469"/>
      <c r="AD44" s="467" t="str">
        <f>IF(AND('MAPA DE RIESGO'!$I$88="Muy Baja",'MAPA DE RIESGO'!$M$88="Mayor"),CONCATENATE("R",'MAPA DE RIESGO'!$B$88),"")</f>
        <v/>
      </c>
      <c r="AE44" s="467"/>
      <c r="AF44" s="467" t="str">
        <f>IF(AND('MAPA DE RIESGO'!$I$94="Muy Baja",'MAPA DE RIESGO'!$M$94="Mayor"),CONCATENATE("R",'MAPA DE RIESGO'!$B$94),"")</f>
        <v/>
      </c>
      <c r="AG44" s="468"/>
      <c r="AH44" s="480" t="str">
        <f>IF(AND('MAPA DE RIESGO'!$I$82="Muy Baja",'MAPA DE RIESGO'!$M$82="Catastrófico"),CONCATENATE("R",'MAPA DE RIESGO'!$B$82),"")</f>
        <v/>
      </c>
      <c r="AI44" s="481"/>
      <c r="AJ44" s="481" t="str">
        <f>IF(AND('MAPA DE RIESGO'!$I$88="Muy Baja",'MAPA DE RIESGO'!$M$88="Catastrófico"),CONCATENATE("R",'MAPA DE RIESGO'!$B$88),"")</f>
        <v/>
      </c>
      <c r="AK44" s="481"/>
      <c r="AL44" s="481" t="str">
        <f>IF(AND('MAPA DE RIESGO'!$I$94="Muy Baja",'MAPA DE RIESGO'!$M$94="Catastrófico"),CONCATENATE("R",'MAPA DE RIESGO'!$B$94),"")</f>
        <v/>
      </c>
      <c r="AM44" s="482"/>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row>
    <row r="45" spans="1:80" ht="15.75" thickBot="1">
      <c r="A45" s="54"/>
      <c r="B45" s="420"/>
      <c r="C45" s="420"/>
      <c r="D45" s="421"/>
      <c r="E45" s="464"/>
      <c r="F45" s="465"/>
      <c r="G45" s="465"/>
      <c r="H45" s="465"/>
      <c r="I45" s="466"/>
      <c r="J45" s="501"/>
      <c r="K45" s="502"/>
      <c r="L45" s="502"/>
      <c r="M45" s="502"/>
      <c r="N45" s="502"/>
      <c r="O45" s="503"/>
      <c r="P45" s="501"/>
      <c r="Q45" s="502"/>
      <c r="R45" s="502"/>
      <c r="S45" s="502"/>
      <c r="T45" s="502"/>
      <c r="U45" s="503"/>
      <c r="V45" s="492"/>
      <c r="W45" s="493"/>
      <c r="X45" s="493"/>
      <c r="Y45" s="493"/>
      <c r="Z45" s="493"/>
      <c r="AA45" s="494"/>
      <c r="AB45" s="477"/>
      <c r="AC45" s="478"/>
      <c r="AD45" s="478"/>
      <c r="AE45" s="478"/>
      <c r="AF45" s="478"/>
      <c r="AG45" s="479"/>
      <c r="AH45" s="483"/>
      <c r="AI45" s="484"/>
      <c r="AJ45" s="484"/>
      <c r="AK45" s="484"/>
      <c r="AL45" s="484"/>
      <c r="AM45" s="485"/>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row>
    <row r="46" spans="1:80">
      <c r="A46" s="54"/>
      <c r="B46" s="54"/>
      <c r="C46" s="54"/>
      <c r="D46" s="54"/>
      <c r="E46" s="54"/>
      <c r="F46" s="54"/>
      <c r="G46" s="54"/>
      <c r="H46" s="54"/>
      <c r="I46" s="54"/>
      <c r="J46" s="458" t="s">
        <v>292</v>
      </c>
      <c r="K46" s="459"/>
      <c r="L46" s="459"/>
      <c r="M46" s="459"/>
      <c r="N46" s="459"/>
      <c r="O46" s="460"/>
      <c r="P46" s="458" t="s">
        <v>293</v>
      </c>
      <c r="Q46" s="459"/>
      <c r="R46" s="459"/>
      <c r="S46" s="459"/>
      <c r="T46" s="459"/>
      <c r="U46" s="460"/>
      <c r="V46" s="458" t="s">
        <v>294</v>
      </c>
      <c r="W46" s="459"/>
      <c r="X46" s="459"/>
      <c r="Y46" s="459"/>
      <c r="Z46" s="459"/>
      <c r="AA46" s="460"/>
      <c r="AB46" s="458" t="s">
        <v>295</v>
      </c>
      <c r="AC46" s="476"/>
      <c r="AD46" s="459"/>
      <c r="AE46" s="459"/>
      <c r="AF46" s="459"/>
      <c r="AG46" s="460"/>
      <c r="AH46" s="458" t="s">
        <v>296</v>
      </c>
      <c r="AI46" s="459"/>
      <c r="AJ46" s="459"/>
      <c r="AK46" s="459"/>
      <c r="AL46" s="459"/>
      <c r="AM46" s="460"/>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row>
    <row r="47" spans="1:80">
      <c r="A47" s="54"/>
      <c r="B47" s="54"/>
      <c r="C47" s="54"/>
      <c r="D47" s="54"/>
      <c r="E47" s="54"/>
      <c r="F47" s="54"/>
      <c r="G47" s="54"/>
      <c r="H47" s="54"/>
      <c r="I47" s="54"/>
      <c r="J47" s="461"/>
      <c r="K47" s="462"/>
      <c r="L47" s="462"/>
      <c r="M47" s="462"/>
      <c r="N47" s="462"/>
      <c r="O47" s="463"/>
      <c r="P47" s="461"/>
      <c r="Q47" s="462"/>
      <c r="R47" s="462"/>
      <c r="S47" s="462"/>
      <c r="T47" s="462"/>
      <c r="U47" s="463"/>
      <c r="V47" s="461"/>
      <c r="W47" s="462"/>
      <c r="X47" s="462"/>
      <c r="Y47" s="462"/>
      <c r="Z47" s="462"/>
      <c r="AA47" s="463"/>
      <c r="AB47" s="461"/>
      <c r="AC47" s="462"/>
      <c r="AD47" s="462"/>
      <c r="AE47" s="462"/>
      <c r="AF47" s="462"/>
      <c r="AG47" s="463"/>
      <c r="AH47" s="461"/>
      <c r="AI47" s="462"/>
      <c r="AJ47" s="462"/>
      <c r="AK47" s="462"/>
      <c r="AL47" s="462"/>
      <c r="AM47" s="463"/>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row>
    <row r="48" spans="1:80">
      <c r="A48" s="54"/>
      <c r="B48" s="54"/>
      <c r="C48" s="54"/>
      <c r="D48" s="54"/>
      <c r="E48" s="54"/>
      <c r="F48" s="54"/>
      <c r="G48" s="54"/>
      <c r="H48" s="54"/>
      <c r="I48" s="54"/>
      <c r="J48" s="461"/>
      <c r="K48" s="462"/>
      <c r="L48" s="462"/>
      <c r="M48" s="462"/>
      <c r="N48" s="462"/>
      <c r="O48" s="463"/>
      <c r="P48" s="461"/>
      <c r="Q48" s="462"/>
      <c r="R48" s="462"/>
      <c r="S48" s="462"/>
      <c r="T48" s="462"/>
      <c r="U48" s="463"/>
      <c r="V48" s="461"/>
      <c r="W48" s="462"/>
      <c r="X48" s="462"/>
      <c r="Y48" s="462"/>
      <c r="Z48" s="462"/>
      <c r="AA48" s="463"/>
      <c r="AB48" s="461"/>
      <c r="AC48" s="462"/>
      <c r="AD48" s="462"/>
      <c r="AE48" s="462"/>
      <c r="AF48" s="462"/>
      <c r="AG48" s="463"/>
      <c r="AH48" s="461"/>
      <c r="AI48" s="462"/>
      <c r="AJ48" s="462"/>
      <c r="AK48" s="462"/>
      <c r="AL48" s="462"/>
      <c r="AM48" s="463"/>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row>
    <row r="49" spans="1:80">
      <c r="A49" s="54"/>
      <c r="B49" s="54"/>
      <c r="C49" s="54"/>
      <c r="D49" s="54"/>
      <c r="E49" s="54"/>
      <c r="F49" s="54"/>
      <c r="G49" s="54"/>
      <c r="H49" s="54"/>
      <c r="I49" s="54"/>
      <c r="J49" s="461"/>
      <c r="K49" s="462"/>
      <c r="L49" s="462"/>
      <c r="M49" s="462"/>
      <c r="N49" s="462"/>
      <c r="O49" s="463"/>
      <c r="P49" s="461"/>
      <c r="Q49" s="462"/>
      <c r="R49" s="462"/>
      <c r="S49" s="462"/>
      <c r="T49" s="462"/>
      <c r="U49" s="463"/>
      <c r="V49" s="461"/>
      <c r="W49" s="462"/>
      <c r="X49" s="462"/>
      <c r="Y49" s="462"/>
      <c r="Z49" s="462"/>
      <c r="AA49" s="463"/>
      <c r="AB49" s="461"/>
      <c r="AC49" s="462"/>
      <c r="AD49" s="462"/>
      <c r="AE49" s="462"/>
      <c r="AF49" s="462"/>
      <c r="AG49" s="463"/>
      <c r="AH49" s="461"/>
      <c r="AI49" s="462"/>
      <c r="AJ49" s="462"/>
      <c r="AK49" s="462"/>
      <c r="AL49" s="462"/>
      <c r="AM49" s="463"/>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row>
    <row r="50" spans="1:80">
      <c r="A50" s="54"/>
      <c r="B50" s="54"/>
      <c r="C50" s="54"/>
      <c r="D50" s="54"/>
      <c r="E50" s="54"/>
      <c r="F50" s="54"/>
      <c r="G50" s="54"/>
      <c r="H50" s="54"/>
      <c r="I50" s="54"/>
      <c r="J50" s="461"/>
      <c r="K50" s="462"/>
      <c r="L50" s="462"/>
      <c r="M50" s="462"/>
      <c r="N50" s="462"/>
      <c r="O50" s="463"/>
      <c r="P50" s="461"/>
      <c r="Q50" s="462"/>
      <c r="R50" s="462"/>
      <c r="S50" s="462"/>
      <c r="T50" s="462"/>
      <c r="U50" s="463"/>
      <c r="V50" s="461"/>
      <c r="W50" s="462"/>
      <c r="X50" s="462"/>
      <c r="Y50" s="462"/>
      <c r="Z50" s="462"/>
      <c r="AA50" s="463"/>
      <c r="AB50" s="461"/>
      <c r="AC50" s="462"/>
      <c r="AD50" s="462"/>
      <c r="AE50" s="462"/>
      <c r="AF50" s="462"/>
      <c r="AG50" s="463"/>
      <c r="AH50" s="461"/>
      <c r="AI50" s="462"/>
      <c r="AJ50" s="462"/>
      <c r="AK50" s="462"/>
      <c r="AL50" s="462"/>
      <c r="AM50" s="463"/>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row>
    <row r="51" spans="1:80" ht="15.75" thickBot="1">
      <c r="A51" s="54"/>
      <c r="B51" s="54"/>
      <c r="C51" s="54"/>
      <c r="D51" s="54"/>
      <c r="E51" s="54"/>
      <c r="F51" s="54"/>
      <c r="G51" s="54"/>
      <c r="H51" s="54"/>
      <c r="I51" s="54"/>
      <c r="J51" s="464"/>
      <c r="K51" s="465"/>
      <c r="L51" s="465"/>
      <c r="M51" s="465"/>
      <c r="N51" s="465"/>
      <c r="O51" s="466"/>
      <c r="P51" s="464"/>
      <c r="Q51" s="465"/>
      <c r="R51" s="465"/>
      <c r="S51" s="465"/>
      <c r="T51" s="465"/>
      <c r="U51" s="466"/>
      <c r="V51" s="464"/>
      <c r="W51" s="465"/>
      <c r="X51" s="465"/>
      <c r="Y51" s="465"/>
      <c r="Z51" s="465"/>
      <c r="AA51" s="466"/>
      <c r="AB51" s="464"/>
      <c r="AC51" s="465"/>
      <c r="AD51" s="465"/>
      <c r="AE51" s="465"/>
      <c r="AF51" s="465"/>
      <c r="AG51" s="466"/>
      <c r="AH51" s="464"/>
      <c r="AI51" s="465"/>
      <c r="AJ51" s="465"/>
      <c r="AK51" s="465"/>
      <c r="AL51" s="465"/>
      <c r="AM51" s="466"/>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row>
    <row r="52" spans="1:80">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row>
    <row r="53" spans="1:80" ht="15" customHeight="1">
      <c r="A53" s="54"/>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row>
    <row r="54" spans="1:80" ht="15" customHeight="1">
      <c r="A54" s="54"/>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row>
    <row r="55" spans="1:80">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row>
    <row r="56" spans="1:80">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row>
    <row r="57" spans="1:80">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row>
    <row r="58" spans="1:80">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row>
    <row r="59" spans="1:80">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row>
    <row r="60" spans="1:80">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row>
    <row r="61" spans="1:80">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row>
    <row r="62" spans="1:80">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row>
    <row r="63" spans="1:80">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row>
    <row r="64" spans="1:80">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c r="CA64" s="54"/>
      <c r="CB64" s="54"/>
    </row>
    <row r="65" spans="1:80">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row>
    <row r="66" spans="1:80">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row>
    <row r="67" spans="1:80">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row>
    <row r="68" spans="1:80">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4"/>
    </row>
    <row r="69" spans="1:80">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row>
    <row r="70" spans="1:80">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4"/>
    </row>
    <row r="71" spans="1:80">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c r="CA71" s="54"/>
      <c r="CB71" s="54"/>
    </row>
    <row r="72" spans="1:80">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4"/>
    </row>
    <row r="73" spans="1:80">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4"/>
      <c r="BS73" s="54"/>
      <c r="BT73" s="54"/>
      <c r="BU73" s="54"/>
      <c r="BV73" s="54"/>
      <c r="BW73" s="54"/>
      <c r="BX73" s="54"/>
      <c r="BY73" s="54"/>
      <c r="BZ73" s="54"/>
      <c r="CA73" s="54"/>
      <c r="CB73" s="54"/>
    </row>
    <row r="74" spans="1:80">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4"/>
    </row>
    <row r="75" spans="1:80">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c r="BS75" s="54"/>
      <c r="BT75" s="54"/>
      <c r="BU75" s="54"/>
      <c r="BV75" s="54"/>
      <c r="BW75" s="54"/>
      <c r="BX75" s="54"/>
      <c r="BY75" s="54"/>
      <c r="BZ75" s="54"/>
      <c r="CA75" s="54"/>
      <c r="CB75" s="54"/>
    </row>
    <row r="76" spans="1:80">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4"/>
      <c r="BX76" s="54"/>
      <c r="BY76" s="54"/>
      <c r="BZ76" s="54"/>
      <c r="CA76" s="54"/>
      <c r="CB76" s="54"/>
    </row>
    <row r="77" spans="1:80">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c r="BS77" s="54"/>
      <c r="BT77" s="54"/>
      <c r="BU77" s="54"/>
      <c r="BV77" s="54"/>
      <c r="BW77" s="54"/>
      <c r="BX77" s="54"/>
      <c r="BY77" s="54"/>
      <c r="BZ77" s="54"/>
      <c r="CA77" s="54"/>
      <c r="CB77" s="54"/>
    </row>
    <row r="78" spans="1:80">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54"/>
      <c r="BS78" s="54"/>
      <c r="BT78" s="54"/>
      <c r="BU78" s="54"/>
      <c r="BV78" s="54"/>
      <c r="BW78" s="54"/>
      <c r="BX78" s="54"/>
      <c r="BY78" s="54"/>
      <c r="BZ78" s="54"/>
      <c r="CA78" s="54"/>
      <c r="CB78" s="54"/>
    </row>
    <row r="79" spans="1:80">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row>
    <row r="80" spans="1:80">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row>
    <row r="81" spans="1:63">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c r="BI81" s="54"/>
      <c r="BJ81" s="54"/>
      <c r="BK81" s="54"/>
    </row>
    <row r="82" spans="1:63">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c r="BI82" s="54"/>
      <c r="BJ82" s="54"/>
      <c r="BK82" s="54"/>
    </row>
    <row r="83" spans="1:63">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c r="BI83" s="54"/>
      <c r="BJ83" s="54"/>
      <c r="BK83" s="54"/>
    </row>
    <row r="84" spans="1:63">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c r="BI84" s="54"/>
      <c r="BJ84" s="54"/>
      <c r="BK84" s="54"/>
    </row>
    <row r="85" spans="1:63">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c r="BI85" s="54"/>
      <c r="BJ85" s="54"/>
      <c r="BK85" s="54"/>
    </row>
    <row r="86" spans="1:63">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c r="BI86" s="54"/>
      <c r="BJ86" s="54"/>
      <c r="BK86" s="54"/>
    </row>
    <row r="87" spans="1:63">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c r="BI87" s="54"/>
      <c r="BJ87" s="54"/>
      <c r="BK87" s="54"/>
    </row>
    <row r="88" spans="1:63">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54"/>
      <c r="BJ88" s="54"/>
      <c r="BK88" s="54"/>
    </row>
    <row r="89" spans="1:63">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c r="BI89" s="54"/>
      <c r="BJ89" s="54"/>
      <c r="BK89" s="54"/>
    </row>
    <row r="90" spans="1:63">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row>
    <row r="91" spans="1:63">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row>
    <row r="92" spans="1:63">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row>
    <row r="93" spans="1:63">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row>
    <row r="94" spans="1:63">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row>
    <row r="95" spans="1:63">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row>
    <row r="96" spans="1:63">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c r="BI96" s="54"/>
      <c r="BJ96" s="54"/>
      <c r="BK96" s="54"/>
    </row>
    <row r="97" spans="1:63">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row>
    <row r="98" spans="1:63">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4"/>
      <c r="BK98" s="54"/>
    </row>
    <row r="99" spans="1:63">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row>
    <row r="100" spans="1:63">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row>
    <row r="101" spans="1:63">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row>
    <row r="102" spans="1:63">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row>
    <row r="103" spans="1:63">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row>
    <row r="104" spans="1:63">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row>
    <row r="105" spans="1:63">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row>
    <row r="106" spans="1:63">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row>
    <row r="107" spans="1:63">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row>
    <row r="108" spans="1:63">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row>
    <row r="109" spans="1:63">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row>
    <row r="110" spans="1:63">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row>
    <row r="111" spans="1:63">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row>
    <row r="112" spans="1:63">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row>
    <row r="113" spans="1:63">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c r="BI113" s="54"/>
      <c r="BJ113" s="54"/>
      <c r="BK113" s="54"/>
    </row>
    <row r="114" spans="1:63">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c r="BI114" s="54"/>
      <c r="BJ114" s="54"/>
      <c r="BK114" s="54"/>
    </row>
    <row r="115" spans="1:63">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c r="BI115" s="54"/>
      <c r="BJ115" s="54"/>
      <c r="BK115" s="54"/>
    </row>
    <row r="116" spans="1:63">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row>
    <row r="117" spans="1:63">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c r="BI117" s="54"/>
      <c r="BJ117" s="54"/>
      <c r="BK117" s="54"/>
    </row>
    <row r="118" spans="1:63">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c r="BI118" s="54"/>
      <c r="BJ118" s="54"/>
      <c r="BK118" s="54"/>
    </row>
    <row r="119" spans="1:63">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c r="BI119" s="54"/>
      <c r="BJ119" s="54"/>
      <c r="BK119" s="54"/>
    </row>
    <row r="120" spans="1:63">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c r="BI120" s="54"/>
      <c r="BJ120" s="54"/>
      <c r="BK120" s="54"/>
    </row>
    <row r="121" spans="1:63">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c r="BI121" s="54"/>
      <c r="BJ121" s="54"/>
      <c r="BK121" s="54"/>
    </row>
    <row r="122" spans="1:63">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row>
    <row r="123" spans="1:63">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c r="BI123" s="54"/>
      <c r="BJ123" s="54"/>
      <c r="BK123" s="54"/>
    </row>
    <row r="124" spans="1:63">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c r="BI124" s="54"/>
      <c r="BJ124" s="54"/>
      <c r="BK124" s="54"/>
    </row>
    <row r="125" spans="1:63">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c r="BI125" s="54"/>
      <c r="BJ125" s="54"/>
      <c r="BK125" s="54"/>
    </row>
    <row r="126" spans="1:63">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c r="BI126" s="54"/>
      <c r="BJ126" s="54"/>
      <c r="BK126" s="54"/>
    </row>
    <row r="127" spans="1:63">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row>
    <row r="128" spans="1:63">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row>
    <row r="129" spans="2:63">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row>
    <row r="130" spans="2:63">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row>
    <row r="131" spans="2:63">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row>
    <row r="132" spans="2:63">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row>
    <row r="133" spans="2:63">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row>
    <row r="134" spans="2:63">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c r="BI134" s="54"/>
      <c r="BJ134" s="54"/>
      <c r="BK134" s="54"/>
    </row>
    <row r="135" spans="2:63">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row>
    <row r="136" spans="2:63">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row>
    <row r="137" spans="2:63">
      <c r="B137" s="54"/>
      <c r="C137" s="54"/>
      <c r="D137" s="54"/>
      <c r="E137" s="54"/>
      <c r="F137" s="54"/>
      <c r="G137" s="54"/>
      <c r="H137" s="54"/>
      <c r="I137" s="54"/>
    </row>
    <row r="138" spans="2:63">
      <c r="B138" s="54"/>
      <c r="C138" s="54"/>
      <c r="D138" s="54"/>
      <c r="E138" s="54"/>
      <c r="F138" s="54"/>
      <c r="G138" s="54"/>
      <c r="H138" s="54"/>
      <c r="I138" s="54"/>
    </row>
    <row r="139" spans="2:63">
      <c r="B139" s="54"/>
      <c r="C139" s="54"/>
      <c r="D139" s="54"/>
      <c r="E139" s="54"/>
      <c r="F139" s="54"/>
      <c r="G139" s="54"/>
      <c r="H139" s="54"/>
      <c r="I139" s="54"/>
    </row>
    <row r="140" spans="2:63">
      <c r="B140" s="54"/>
      <c r="C140" s="54"/>
      <c r="D140" s="54"/>
      <c r="E140" s="54"/>
      <c r="F140" s="54"/>
      <c r="G140" s="54"/>
      <c r="H140" s="54"/>
      <c r="I140" s="5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election activeCell="AW31" sqref="AW31"/>
    </sheetView>
  </sheetViews>
  <sheetFormatPr defaultColWidth="11.42578125" defaultRowHeight="1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row>
    <row r="2" spans="1:91" ht="18" customHeight="1">
      <c r="A2" s="54"/>
      <c r="B2" s="507" t="s">
        <v>297</v>
      </c>
      <c r="C2" s="507"/>
      <c r="D2" s="507"/>
      <c r="E2" s="507"/>
      <c r="F2" s="507"/>
      <c r="G2" s="507"/>
      <c r="H2" s="507"/>
      <c r="I2" s="507"/>
      <c r="J2" s="474" t="s">
        <v>23</v>
      </c>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row>
    <row r="3" spans="1:91" ht="18.75" customHeight="1">
      <c r="A3" s="54"/>
      <c r="B3" s="507"/>
      <c r="C3" s="507"/>
      <c r="D3" s="507"/>
      <c r="E3" s="507"/>
      <c r="F3" s="507"/>
      <c r="G3" s="507"/>
      <c r="H3" s="507"/>
      <c r="I3" s="507"/>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row>
    <row r="4" spans="1:91" ht="15" customHeight="1">
      <c r="A4" s="54"/>
      <c r="B4" s="507"/>
      <c r="C4" s="507"/>
      <c r="D4" s="507"/>
      <c r="E4" s="507"/>
      <c r="F4" s="507"/>
      <c r="G4" s="507"/>
      <c r="H4" s="507"/>
      <c r="I4" s="507"/>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row>
    <row r="5" spans="1:91" ht="15.75" thickBo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row>
    <row r="6" spans="1:91" ht="15" customHeight="1">
      <c r="A6" s="54"/>
      <c r="B6" s="420" t="s">
        <v>183</v>
      </c>
      <c r="C6" s="420"/>
      <c r="D6" s="421"/>
      <c r="E6" s="517" t="s">
        <v>283</v>
      </c>
      <c r="F6" s="518"/>
      <c r="G6" s="518"/>
      <c r="H6" s="518"/>
      <c r="I6" s="534"/>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4"/>
      <c r="AO6" s="525" t="s">
        <v>284</v>
      </c>
      <c r="AP6" s="526"/>
      <c r="AQ6" s="526"/>
      <c r="AR6" s="526"/>
      <c r="AS6" s="526"/>
      <c r="AT6" s="527"/>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row>
    <row r="7" spans="1:91" ht="15" customHeight="1">
      <c r="A7" s="54"/>
      <c r="B7" s="420"/>
      <c r="C7" s="420"/>
      <c r="D7" s="421"/>
      <c r="E7" s="521"/>
      <c r="F7" s="522"/>
      <c r="G7" s="522"/>
      <c r="H7" s="522"/>
      <c r="I7" s="535"/>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4"/>
      <c r="AO7" s="528"/>
      <c r="AP7" s="529"/>
      <c r="AQ7" s="529"/>
      <c r="AR7" s="529"/>
      <c r="AS7" s="529"/>
      <c r="AT7" s="530"/>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row>
    <row r="8" spans="1:91" ht="15" customHeight="1">
      <c r="A8" s="54"/>
      <c r="B8" s="420"/>
      <c r="C8" s="420"/>
      <c r="D8" s="421"/>
      <c r="E8" s="521"/>
      <c r="F8" s="522"/>
      <c r="G8" s="522"/>
      <c r="H8" s="522"/>
      <c r="I8" s="535"/>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4"/>
      <c r="AO8" s="528"/>
      <c r="AP8" s="529"/>
      <c r="AQ8" s="529"/>
      <c r="AR8" s="529"/>
      <c r="AS8" s="529"/>
      <c r="AT8" s="530"/>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row>
    <row r="9" spans="1:91" ht="15" customHeight="1">
      <c r="A9" s="54"/>
      <c r="B9" s="420"/>
      <c r="C9" s="420"/>
      <c r="D9" s="421"/>
      <c r="E9" s="521"/>
      <c r="F9" s="522"/>
      <c r="G9" s="522"/>
      <c r="H9" s="522"/>
      <c r="I9" s="535"/>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4"/>
      <c r="AO9" s="528"/>
      <c r="AP9" s="529"/>
      <c r="AQ9" s="529"/>
      <c r="AR9" s="529"/>
      <c r="AS9" s="529"/>
      <c r="AT9" s="530"/>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row>
    <row r="10" spans="1:91" ht="15" customHeight="1">
      <c r="A10" s="54"/>
      <c r="B10" s="420"/>
      <c r="C10" s="420"/>
      <c r="D10" s="421"/>
      <c r="E10" s="521"/>
      <c r="F10" s="522"/>
      <c r="G10" s="522"/>
      <c r="H10" s="522"/>
      <c r="I10" s="535"/>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4"/>
      <c r="AO10" s="528"/>
      <c r="AP10" s="529"/>
      <c r="AQ10" s="529"/>
      <c r="AR10" s="529"/>
      <c r="AS10" s="529"/>
      <c r="AT10" s="530"/>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row>
    <row r="11" spans="1:91" ht="15" customHeight="1">
      <c r="A11" s="54"/>
      <c r="B11" s="420"/>
      <c r="C11" s="420"/>
      <c r="D11" s="421"/>
      <c r="E11" s="521"/>
      <c r="F11" s="522"/>
      <c r="G11" s="522"/>
      <c r="H11" s="522"/>
      <c r="I11" s="535"/>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4"/>
      <c r="AO11" s="528"/>
      <c r="AP11" s="529"/>
      <c r="AQ11" s="529"/>
      <c r="AR11" s="529"/>
      <c r="AS11" s="529"/>
      <c r="AT11" s="530"/>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row>
    <row r="12" spans="1:91" ht="15" customHeight="1">
      <c r="A12" s="54"/>
      <c r="B12" s="420"/>
      <c r="C12" s="420"/>
      <c r="D12" s="421"/>
      <c r="E12" s="521"/>
      <c r="F12" s="522"/>
      <c r="G12" s="522"/>
      <c r="H12" s="522"/>
      <c r="I12" s="535"/>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4"/>
      <c r="AO12" s="528"/>
      <c r="AP12" s="529"/>
      <c r="AQ12" s="529"/>
      <c r="AR12" s="529"/>
      <c r="AS12" s="529"/>
      <c r="AT12" s="530"/>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row>
    <row r="13" spans="1:91" ht="15" customHeight="1">
      <c r="A13" s="54"/>
      <c r="B13" s="420"/>
      <c r="C13" s="420"/>
      <c r="D13" s="421"/>
      <c r="E13" s="521"/>
      <c r="F13" s="522"/>
      <c r="G13" s="522"/>
      <c r="H13" s="522"/>
      <c r="I13" s="535"/>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4"/>
      <c r="AO13" s="528"/>
      <c r="AP13" s="529"/>
      <c r="AQ13" s="529"/>
      <c r="AR13" s="529"/>
      <c r="AS13" s="529"/>
      <c r="AT13" s="530"/>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row>
    <row r="14" spans="1:91" ht="15" customHeight="1">
      <c r="A14" s="54"/>
      <c r="B14" s="420"/>
      <c r="C14" s="420"/>
      <c r="D14" s="421"/>
      <c r="E14" s="521"/>
      <c r="F14" s="522"/>
      <c r="G14" s="522"/>
      <c r="H14" s="522"/>
      <c r="I14" s="535"/>
      <c r="J14" s="23" t="str">
        <f>IF(AND('MAPA DE RIESGO'!$Z$76="Muy Alta",'MAPA DE RIESGO'!$AB$76="Leve"),CONCATENATE("R9C",'MAPA DE RIESGO'!$P$76),"")</f>
        <v/>
      </c>
      <c r="K14" s="24" t="str">
        <f>IF(AND('MAPA DE RIESGO'!$Z$77="Muy Alta",'MAPA DE RIESGO'!$AB$77="Leve"),CONCATENATE("R9C",'MAPA DE RIESGO'!$P$77),"")</f>
        <v/>
      </c>
      <c r="L14" s="29" t="str">
        <f>IF(AND('MAPA DE RIESGO'!$Z$78="Muy Alta",'MAPA DE RIESGO'!$AB$78="Leve"),CONCATENATE("R9C",'MAPA DE RIESGO'!$P$78),"")</f>
        <v/>
      </c>
      <c r="M14" s="29" t="str">
        <f>IF(AND('MAPA DE RIESGO'!$Z$79="Muy Alta",'MAPA DE RIESGO'!$AB$79="Leve"),CONCATENATE("R9C",'MAPA DE RIESGO'!$P$79),"")</f>
        <v/>
      </c>
      <c r="N14" s="29" t="str">
        <f>IF(AND('MAPA DE RIESGO'!$Z$80="Muy Alta",'MAPA DE RIESGO'!$AB$80="Leve"),CONCATENATE("R9C",'MAPA DE RIESGO'!$P$80),"")</f>
        <v/>
      </c>
      <c r="O14" s="25" t="str">
        <f>IF(AND('MAPA DE RIESGO'!$Z$81="Muy Alta",'MAPA DE RIESGO'!$AB$81="Leve"),CONCATENATE("R9C",'MAPA DE RIESGO'!$P$81),"")</f>
        <v/>
      </c>
      <c r="P14" s="23" t="str">
        <f>IF(AND('MAPA DE RIESGO'!$Z$76="Muy Alta",'MAPA DE RIESGO'!$AB$76="Menor"),CONCATENATE("R9C",'MAPA DE RIESGO'!$P$76),"")</f>
        <v/>
      </c>
      <c r="Q14" s="24" t="str">
        <f>IF(AND('MAPA DE RIESGO'!$Z$77="Muy Alta",'MAPA DE RIESGO'!$AB$77="Menor"),CONCATENATE("R9C",'MAPA DE RIESGO'!$P$77),"")</f>
        <v/>
      </c>
      <c r="R14" s="29" t="str">
        <f>IF(AND('MAPA DE RIESGO'!$Z$78="Muy Alta",'MAPA DE RIESGO'!$AB$78="Menor"),CONCATENATE("R9C",'MAPA DE RIESGO'!$P$78),"")</f>
        <v/>
      </c>
      <c r="S14" s="29" t="str">
        <f>IF(AND('MAPA DE RIESGO'!$Z$79="Muy Alta",'MAPA DE RIESGO'!$AB$79="Menor"),CONCATENATE("R9C",'MAPA DE RIESGO'!$P$79),"")</f>
        <v/>
      </c>
      <c r="T14" s="29" t="str">
        <f>IF(AND('MAPA DE RIESGO'!$Z$80="Muy Alta",'MAPA DE RIESGO'!$AB$80="Menor"),CONCATENATE("R9C",'MAPA DE RIESGO'!$P$80),"")</f>
        <v/>
      </c>
      <c r="U14" s="25" t="str">
        <f>IF(AND('MAPA DE RIESGO'!$Z$81="Muy Alta",'MAPA DE RIESGO'!$AB$81="Menor"),CONCATENATE("R9C",'MAPA DE RIESGO'!$P$81),"")</f>
        <v/>
      </c>
      <c r="V14" s="23" t="str">
        <f>IF(AND('MAPA DE RIESGO'!$Z$76="Muy Alta",'MAPA DE RIESGO'!$AB$76="Moderado"),CONCATENATE("R9C",'MAPA DE RIESGO'!$P$76),"")</f>
        <v/>
      </c>
      <c r="W14" s="24" t="str">
        <f>IF(AND('MAPA DE RIESGO'!$Z$77="Muy Alta",'MAPA DE RIESGO'!$AB$77="Moderado"),CONCATENATE("R9C",'MAPA DE RIESGO'!$P$77),"")</f>
        <v/>
      </c>
      <c r="X14" s="29" t="str">
        <f>IF(AND('MAPA DE RIESGO'!$Z$78="Muy Alta",'MAPA DE RIESGO'!$AB$78="Moderado"),CONCATENATE("R9C",'MAPA DE RIESGO'!$P$78),"")</f>
        <v/>
      </c>
      <c r="Y14" s="29" t="str">
        <f>IF(AND('MAPA DE RIESGO'!$Z$79="Muy Alta",'MAPA DE RIESGO'!$AB$79="Moderado"),CONCATENATE("R9C",'MAPA DE RIESGO'!$P$79),"")</f>
        <v/>
      </c>
      <c r="Z14" s="29" t="str">
        <f>IF(AND('MAPA DE RIESGO'!$Z$80="Muy Alta",'MAPA DE RIESGO'!$AB$80="Moderado"),CONCATENATE("R9C",'MAPA DE RIESGO'!$P$80),"")</f>
        <v/>
      </c>
      <c r="AA14" s="25" t="str">
        <f>IF(AND('MAPA DE RIESGO'!$Z$81="Muy Alta",'MAPA DE RIESGO'!$AB$81="Moderado"),CONCATENATE("R9C",'MAPA DE RIESGO'!$P$81),"")</f>
        <v/>
      </c>
      <c r="AB14" s="23" t="str">
        <f>IF(AND('MAPA DE RIESGO'!$Z$76="Muy Alta",'MAPA DE RIESGO'!$AB$76="Mayor"),CONCATENATE("R9C",'MAPA DE RIESGO'!$P$76),"")</f>
        <v/>
      </c>
      <c r="AC14" s="24" t="str">
        <f>IF(AND('MAPA DE RIESGO'!$Z$77="Muy Alta",'MAPA DE RIESGO'!$AB$77="Mayor"),CONCATENATE("R9C",'MAPA DE RIESGO'!$P$77),"")</f>
        <v/>
      </c>
      <c r="AD14" s="29" t="str">
        <f>IF(AND('MAPA DE RIESGO'!$Z$78="Muy Alta",'MAPA DE RIESGO'!$AB$78="Mayor"),CONCATENATE("R9C",'MAPA DE RIESGO'!$P$78),"")</f>
        <v/>
      </c>
      <c r="AE14" s="29" t="str">
        <f>IF(AND('MAPA DE RIESGO'!$Z$79="Muy Alta",'MAPA DE RIESGO'!$AB$79="Mayor"),CONCATENATE("R9C",'MAPA DE RIESGO'!$P$79),"")</f>
        <v/>
      </c>
      <c r="AF14" s="29" t="str">
        <f>IF(AND('MAPA DE RIESGO'!$Z$80="Muy Alta",'MAPA DE RIESGO'!$AB$80="Mayor"),CONCATENATE("R9C",'MAPA DE RIESGO'!$P$80),"")</f>
        <v/>
      </c>
      <c r="AG14" s="25" t="str">
        <f>IF(AND('MAPA DE RIESGO'!$Z$81="Muy Alta",'MAPA DE RIESGO'!$AB$81="Mayor"),CONCATENATE("R9C",'MAPA DE RIESGO'!$P$81),"")</f>
        <v/>
      </c>
      <c r="AH14" s="26" t="str">
        <f>IF(AND('MAPA DE RIESGO'!$Z$76="Muy Alta",'MAPA DE RIESGO'!$AB$76="Catastrófico"),CONCATENATE("R9C",'MAPA DE RIESGO'!$P$76),"")</f>
        <v/>
      </c>
      <c r="AI14" s="27" t="str">
        <f>IF(AND('MAPA DE RIESGO'!$Z$77="Muy Alta",'MAPA DE RIESGO'!$AB$77="Catastrófico"),CONCATENATE("R9C",'MAPA DE RIESGO'!$P$77),"")</f>
        <v/>
      </c>
      <c r="AJ14" s="27" t="str">
        <f>IF(AND('MAPA DE RIESGO'!$Z$78="Muy Alta",'MAPA DE RIESGO'!$AB$78="Catastrófico"),CONCATENATE("R9C",'MAPA DE RIESGO'!$P$78),"")</f>
        <v/>
      </c>
      <c r="AK14" s="27" t="str">
        <f>IF(AND('MAPA DE RIESGO'!$Z$79="Muy Alta",'MAPA DE RIESGO'!$AB$79="Catastrófico"),CONCATENATE("R9C",'MAPA DE RIESGO'!$P$79),"")</f>
        <v/>
      </c>
      <c r="AL14" s="27" t="str">
        <f>IF(AND('MAPA DE RIESGO'!$Z$80="Muy Alta",'MAPA DE RIESGO'!$AB$80="Catastrófico"),CONCATENATE("R9C",'MAPA DE RIESGO'!$P$80),"")</f>
        <v/>
      </c>
      <c r="AM14" s="28" t="str">
        <f>IF(AND('MAPA DE RIESGO'!$Z$81="Muy Alta",'MAPA DE RIESGO'!$AB$81="Catastrófico"),CONCATENATE("R9C",'MAPA DE RIESGO'!$P$81),"")</f>
        <v/>
      </c>
      <c r="AN14" s="54"/>
      <c r="AO14" s="528"/>
      <c r="AP14" s="529"/>
      <c r="AQ14" s="529"/>
      <c r="AR14" s="529"/>
      <c r="AS14" s="529"/>
      <c r="AT14" s="530"/>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row>
    <row r="15" spans="1:91" ht="15.75" customHeight="1" thickBot="1">
      <c r="A15" s="54"/>
      <c r="B15" s="420"/>
      <c r="C15" s="420"/>
      <c r="D15" s="421"/>
      <c r="E15" s="523"/>
      <c r="F15" s="524"/>
      <c r="G15" s="524"/>
      <c r="H15" s="524"/>
      <c r="I15" s="536"/>
      <c r="J15" s="30" t="str">
        <f>IF(AND('MAPA DE RIESGO'!$Z$82="Muy Alta",'MAPA DE RIESGO'!$AB$82="Leve"),CONCATENATE("R10C",'MAPA DE RIESGO'!$P$82),"")</f>
        <v/>
      </c>
      <c r="K15" s="31" t="str">
        <f>IF(AND('MAPA DE RIESGO'!$Z$83="Muy Alta",'MAPA DE RIESGO'!$AB$83="Leve"),CONCATENATE("R10C",'MAPA DE RIESGO'!$P$83),"")</f>
        <v/>
      </c>
      <c r="L15" s="31" t="str">
        <f>IF(AND('MAPA DE RIESGO'!$Z$84="Muy Alta",'MAPA DE RIESGO'!$AB$84="Leve"),CONCATENATE("R10C",'MAPA DE RIESGO'!$P$84),"")</f>
        <v/>
      </c>
      <c r="M15" s="31" t="str">
        <f>IF(AND('MAPA DE RIESGO'!$Z$85="Muy Alta",'MAPA DE RIESGO'!$AB$85="Leve"),CONCATENATE("R10C",'MAPA DE RIESGO'!$P$85),"")</f>
        <v/>
      </c>
      <c r="N15" s="31" t="str">
        <f>IF(AND('MAPA DE RIESGO'!$Z$86="Muy Alta",'MAPA DE RIESGO'!$AB$86="Leve"),CONCATENATE("R10C",'MAPA DE RIESGO'!$P$86),"")</f>
        <v/>
      </c>
      <c r="O15" s="32" t="str">
        <f>IF(AND('MAPA DE RIESGO'!$Z$87="Muy Alta",'MAPA DE RIESGO'!$AB$87="Leve"),CONCATENATE("R10C",'MAPA DE RIESGO'!$P$87),"")</f>
        <v/>
      </c>
      <c r="P15" s="23" t="str">
        <f>IF(AND('MAPA DE RIESGO'!$Z$82="Muy Alta",'MAPA DE RIESGO'!$AB$82="Menor"),CONCATENATE("R10C",'MAPA DE RIESGO'!$P$82),"")</f>
        <v/>
      </c>
      <c r="Q15" s="24" t="str">
        <f>IF(AND('MAPA DE RIESGO'!$Z$83="Muy Alta",'MAPA DE RIESGO'!$AB$83="Menor"),CONCATENATE("R10C",'MAPA DE RIESGO'!$P$83),"")</f>
        <v/>
      </c>
      <c r="R15" s="24" t="str">
        <f>IF(AND('MAPA DE RIESGO'!$Z$84="Muy Alta",'MAPA DE RIESGO'!$AB$84="Menor"),CONCATENATE("R10C",'MAPA DE RIESGO'!$P$84),"")</f>
        <v/>
      </c>
      <c r="S15" s="24" t="str">
        <f>IF(AND('MAPA DE RIESGO'!$Z$85="Muy Alta",'MAPA DE RIESGO'!$AB$85="Menor"),CONCATENATE("R10C",'MAPA DE RIESGO'!$P$85),"")</f>
        <v/>
      </c>
      <c r="T15" s="24" t="str">
        <f>IF(AND('MAPA DE RIESGO'!$Z$86="Muy Alta",'MAPA DE RIESGO'!$AB$86="Menor"),CONCATENATE("R10C",'MAPA DE RIESGO'!$P$86),"")</f>
        <v/>
      </c>
      <c r="U15" s="25" t="str">
        <f>IF(AND('MAPA DE RIESGO'!$Z$87="Muy Alta",'MAPA DE RIESGO'!$AB$87="Menor"),CONCATENATE("R10C",'MAPA DE RIESGO'!$P$87),"")</f>
        <v/>
      </c>
      <c r="V15" s="30" t="str">
        <f>IF(AND('MAPA DE RIESGO'!$Z$82="Muy Alta",'MAPA DE RIESGO'!$AB$82="Moderado"),CONCATENATE("R10C",'MAPA DE RIESGO'!$P$82),"")</f>
        <v/>
      </c>
      <c r="W15" s="31" t="str">
        <f>IF(AND('MAPA DE RIESGO'!$Z$83="Muy Alta",'MAPA DE RIESGO'!$AB$83="Moderado"),CONCATENATE("R10C",'MAPA DE RIESGO'!$P$83),"")</f>
        <v/>
      </c>
      <c r="X15" s="31" t="str">
        <f>IF(AND('MAPA DE RIESGO'!$Z$84="Muy Alta",'MAPA DE RIESGO'!$AB$84="Moderado"),CONCATENATE("R10C",'MAPA DE RIESGO'!$P$84),"")</f>
        <v/>
      </c>
      <c r="Y15" s="31" t="str">
        <f>IF(AND('MAPA DE RIESGO'!$Z$85="Muy Alta",'MAPA DE RIESGO'!$AB$85="Moderado"),CONCATENATE("R10C",'MAPA DE RIESGO'!$P$85),"")</f>
        <v/>
      </c>
      <c r="Z15" s="31" t="str">
        <f>IF(AND('MAPA DE RIESGO'!$Z$86="Muy Alta",'MAPA DE RIESGO'!$AB$86="Moderado"),CONCATENATE("R10C",'MAPA DE RIESGO'!$P$86),"")</f>
        <v/>
      </c>
      <c r="AA15" s="32" t="str">
        <f>IF(AND('MAPA DE RIESGO'!$Z$87="Muy Alta",'MAPA DE RIESGO'!$AB$87="Moderado"),CONCATENATE("R10C",'MAPA DE RIESGO'!$P$87),"")</f>
        <v/>
      </c>
      <c r="AB15" s="23" t="str">
        <f>IF(AND('MAPA DE RIESGO'!$Z$82="Muy Alta",'MAPA DE RIESGO'!$AB$82="Mayor"),CONCATENATE("R10C",'MAPA DE RIESGO'!$P$82),"")</f>
        <v/>
      </c>
      <c r="AC15" s="24" t="str">
        <f>IF(AND('MAPA DE RIESGO'!$Z$83="Muy Alta",'MAPA DE RIESGO'!$AB$83="Mayor"),CONCATENATE("R10C",'MAPA DE RIESGO'!$P$83),"")</f>
        <v/>
      </c>
      <c r="AD15" s="24" t="str">
        <f>IF(AND('MAPA DE RIESGO'!$Z$84="Muy Alta",'MAPA DE RIESGO'!$AB$84="Mayor"),CONCATENATE("R10C",'MAPA DE RIESGO'!$P$84),"")</f>
        <v/>
      </c>
      <c r="AE15" s="24" t="str">
        <f>IF(AND('MAPA DE RIESGO'!$Z$85="Muy Alta",'MAPA DE RIESGO'!$AB$85="Mayor"),CONCATENATE("R10C",'MAPA DE RIESGO'!$P$85),"")</f>
        <v/>
      </c>
      <c r="AF15" s="24" t="str">
        <f>IF(AND('MAPA DE RIESGO'!$Z$86="Muy Alta",'MAPA DE RIESGO'!$AB$86="Mayor"),CONCATENATE("R10C",'MAPA DE RIESGO'!$P$86),"")</f>
        <v/>
      </c>
      <c r="AG15" s="25" t="str">
        <f>IF(AND('MAPA DE RIESGO'!$Z$87="Muy Alta",'MAPA DE RIESGO'!$AB$87="Mayor"),CONCATENATE("R10C",'MAPA DE RIESGO'!$P$87),"")</f>
        <v/>
      </c>
      <c r="AH15" s="33" t="str">
        <f>IF(AND('MAPA DE RIESGO'!$Z$82="Muy Alta",'MAPA DE RIESGO'!$AB$82="Catastrófico"),CONCATENATE("R10C",'MAPA DE RIESGO'!$P$82),"")</f>
        <v/>
      </c>
      <c r="AI15" s="34" t="str">
        <f>IF(AND('MAPA DE RIESGO'!$Z$83="Muy Alta",'MAPA DE RIESGO'!$AB$83="Catastrófico"),CONCATENATE("R10C",'MAPA DE RIESGO'!$P$83),"")</f>
        <v/>
      </c>
      <c r="AJ15" s="34" t="str">
        <f>IF(AND('MAPA DE RIESGO'!$Z$84="Muy Alta",'MAPA DE RIESGO'!$AB$84="Catastrófico"),CONCATENATE("R10C",'MAPA DE RIESGO'!$P$84),"")</f>
        <v/>
      </c>
      <c r="AK15" s="34" t="str">
        <f>IF(AND('MAPA DE RIESGO'!$Z$85="Muy Alta",'MAPA DE RIESGO'!$AB$85="Catastrófico"),CONCATENATE("R10C",'MAPA DE RIESGO'!$P$85),"")</f>
        <v/>
      </c>
      <c r="AL15" s="34" t="str">
        <f>IF(AND('MAPA DE RIESGO'!$Z$86="Muy Alta",'MAPA DE RIESGO'!$AB$86="Catastrófico"),CONCATENATE("R10C",'MAPA DE RIESGO'!$P$86),"")</f>
        <v/>
      </c>
      <c r="AM15" s="35" t="str">
        <f>IF(AND('MAPA DE RIESGO'!$Z$87="Muy Alta",'MAPA DE RIESGO'!$AB$87="Catastrófico"),CONCATENATE("R10C",'MAPA DE RIESGO'!$P$87),"")</f>
        <v/>
      </c>
      <c r="AN15" s="54"/>
      <c r="AO15" s="531"/>
      <c r="AP15" s="532"/>
      <c r="AQ15" s="532"/>
      <c r="AR15" s="532"/>
      <c r="AS15" s="532"/>
      <c r="AT15" s="533"/>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row>
    <row r="16" spans="1:91" ht="15" customHeight="1">
      <c r="A16" s="54"/>
      <c r="B16" s="420"/>
      <c r="C16" s="420"/>
      <c r="D16" s="421"/>
      <c r="E16" s="517" t="s">
        <v>285</v>
      </c>
      <c r="F16" s="518"/>
      <c r="G16" s="518"/>
      <c r="H16" s="518"/>
      <c r="I16" s="518"/>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4"/>
      <c r="AO16" s="508" t="s">
        <v>286</v>
      </c>
      <c r="AP16" s="509"/>
      <c r="AQ16" s="509"/>
      <c r="AR16" s="509"/>
      <c r="AS16" s="509"/>
      <c r="AT16" s="510"/>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row>
    <row r="17" spans="1:76" ht="15" customHeight="1">
      <c r="A17" s="54"/>
      <c r="B17" s="420"/>
      <c r="C17" s="420"/>
      <c r="D17" s="421"/>
      <c r="E17" s="519"/>
      <c r="F17" s="520"/>
      <c r="G17" s="520"/>
      <c r="H17" s="520"/>
      <c r="I17" s="520"/>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4"/>
      <c r="AO17" s="511"/>
      <c r="AP17" s="512"/>
      <c r="AQ17" s="512"/>
      <c r="AR17" s="512"/>
      <c r="AS17" s="512"/>
      <c r="AT17" s="513"/>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row>
    <row r="18" spans="1:76" ht="15" customHeight="1">
      <c r="A18" s="54"/>
      <c r="B18" s="420"/>
      <c r="C18" s="420"/>
      <c r="D18" s="421"/>
      <c r="E18" s="521"/>
      <c r="F18" s="522"/>
      <c r="G18" s="522"/>
      <c r="H18" s="522"/>
      <c r="I18" s="520"/>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4"/>
      <c r="AO18" s="511"/>
      <c r="AP18" s="512"/>
      <c r="AQ18" s="512"/>
      <c r="AR18" s="512"/>
      <c r="AS18" s="512"/>
      <c r="AT18" s="513"/>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row>
    <row r="19" spans="1:76" ht="15" customHeight="1">
      <c r="A19" s="54"/>
      <c r="B19" s="420"/>
      <c r="C19" s="420"/>
      <c r="D19" s="421"/>
      <c r="E19" s="521"/>
      <c r="F19" s="522"/>
      <c r="G19" s="522"/>
      <c r="H19" s="522"/>
      <c r="I19" s="520"/>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4"/>
      <c r="AO19" s="511"/>
      <c r="AP19" s="512"/>
      <c r="AQ19" s="512"/>
      <c r="AR19" s="512"/>
      <c r="AS19" s="512"/>
      <c r="AT19" s="513"/>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row>
    <row r="20" spans="1:76" ht="15" customHeight="1">
      <c r="A20" s="54"/>
      <c r="B20" s="420"/>
      <c r="C20" s="420"/>
      <c r="D20" s="421"/>
      <c r="E20" s="521"/>
      <c r="F20" s="522"/>
      <c r="G20" s="522"/>
      <c r="H20" s="522"/>
      <c r="I20" s="520"/>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4"/>
      <c r="AO20" s="511"/>
      <c r="AP20" s="512"/>
      <c r="AQ20" s="512"/>
      <c r="AR20" s="512"/>
      <c r="AS20" s="512"/>
      <c r="AT20" s="513"/>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row>
    <row r="21" spans="1:76" ht="15" customHeight="1">
      <c r="A21" s="54"/>
      <c r="B21" s="420"/>
      <c r="C21" s="420"/>
      <c r="D21" s="421"/>
      <c r="E21" s="521"/>
      <c r="F21" s="522"/>
      <c r="G21" s="522"/>
      <c r="H21" s="522"/>
      <c r="I21" s="520"/>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4"/>
      <c r="AO21" s="511"/>
      <c r="AP21" s="512"/>
      <c r="AQ21" s="512"/>
      <c r="AR21" s="512"/>
      <c r="AS21" s="512"/>
      <c r="AT21" s="513"/>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row>
    <row r="22" spans="1:76" ht="15" customHeight="1">
      <c r="A22" s="54"/>
      <c r="B22" s="420"/>
      <c r="C22" s="420"/>
      <c r="D22" s="421"/>
      <c r="E22" s="521"/>
      <c r="F22" s="522"/>
      <c r="G22" s="522"/>
      <c r="H22" s="522"/>
      <c r="I22" s="520"/>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4"/>
      <c r="AO22" s="511"/>
      <c r="AP22" s="512"/>
      <c r="AQ22" s="512"/>
      <c r="AR22" s="512"/>
      <c r="AS22" s="512"/>
      <c r="AT22" s="513"/>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row>
    <row r="23" spans="1:76" ht="15" customHeight="1">
      <c r="A23" s="54"/>
      <c r="B23" s="420"/>
      <c r="C23" s="420"/>
      <c r="D23" s="421"/>
      <c r="E23" s="521"/>
      <c r="F23" s="522"/>
      <c r="G23" s="522"/>
      <c r="H23" s="522"/>
      <c r="I23" s="520"/>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4"/>
      <c r="AO23" s="511"/>
      <c r="AP23" s="512"/>
      <c r="AQ23" s="512"/>
      <c r="AR23" s="512"/>
      <c r="AS23" s="512"/>
      <c r="AT23" s="513"/>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row>
    <row r="24" spans="1:76" ht="15" customHeight="1">
      <c r="A24" s="54"/>
      <c r="B24" s="420"/>
      <c r="C24" s="420"/>
      <c r="D24" s="421"/>
      <c r="E24" s="521"/>
      <c r="F24" s="522"/>
      <c r="G24" s="522"/>
      <c r="H24" s="522"/>
      <c r="I24" s="520"/>
      <c r="J24" s="39" t="str">
        <f>IF(AND('MAPA DE RIESGO'!$Z$76="Alta",'MAPA DE RIESGO'!$AB$76="Leve"),CONCATENATE("R9C",'MAPA DE RIESGO'!$P$76),"")</f>
        <v/>
      </c>
      <c r="K24" s="40" t="str">
        <f>IF(AND('MAPA DE RIESGO'!$Z$77="Alta",'MAPA DE RIESGO'!$AB$77="Leve"),CONCATENATE("R9C",'MAPA DE RIESGO'!$P$77),"")</f>
        <v/>
      </c>
      <c r="L24" s="40" t="str">
        <f>IF(AND('MAPA DE RIESGO'!$Z$78="Alta",'MAPA DE RIESGO'!$AB$78="Leve"),CONCATENATE("R9C",'MAPA DE RIESGO'!$P$78),"")</f>
        <v/>
      </c>
      <c r="M24" s="40" t="str">
        <f>IF(AND('MAPA DE RIESGO'!$Z$79="Alta",'MAPA DE RIESGO'!$AB$79="Leve"),CONCATENATE("R9C",'MAPA DE RIESGO'!$P$79),"")</f>
        <v/>
      </c>
      <c r="N24" s="40" t="str">
        <f>IF(AND('MAPA DE RIESGO'!$Z$80="Alta",'MAPA DE RIESGO'!$AB$80="Leve"),CONCATENATE("R9C",'MAPA DE RIESGO'!$P$80),"")</f>
        <v/>
      </c>
      <c r="O24" s="41" t="str">
        <f>IF(AND('MAPA DE RIESGO'!$Z$81="Alta",'MAPA DE RIESGO'!$AB$81="Leve"),CONCATENATE("R9C",'MAPA DE RIESGO'!$P$81),"")</f>
        <v/>
      </c>
      <c r="P24" s="39" t="str">
        <f>IF(AND('MAPA DE RIESGO'!$Z$76="Alta",'MAPA DE RIESGO'!$AB$76="Menor"),CONCATENATE("R9C",'MAPA DE RIESGO'!$P$76),"")</f>
        <v/>
      </c>
      <c r="Q24" s="40" t="str">
        <f>IF(AND('MAPA DE RIESGO'!$Z$77="Alta",'MAPA DE RIESGO'!$AB$77="Menor"),CONCATENATE("R9C",'MAPA DE RIESGO'!$P$77),"")</f>
        <v/>
      </c>
      <c r="R24" s="40" t="str">
        <f>IF(AND('MAPA DE RIESGO'!$Z$78="Alta",'MAPA DE RIESGO'!$AB$78="Menor"),CONCATENATE("R9C",'MAPA DE RIESGO'!$P$78),"")</f>
        <v/>
      </c>
      <c r="S24" s="40" t="str">
        <f>IF(AND('MAPA DE RIESGO'!$Z$79="Alta",'MAPA DE RIESGO'!$AB$79="Menor"),CONCATENATE("R9C",'MAPA DE RIESGO'!$P$79),"")</f>
        <v/>
      </c>
      <c r="T24" s="40" t="str">
        <f>IF(AND('MAPA DE RIESGO'!$Z$80="Alta",'MAPA DE RIESGO'!$AB$80="Menor"),CONCATENATE("R9C",'MAPA DE RIESGO'!$P$80),"")</f>
        <v/>
      </c>
      <c r="U24" s="41" t="str">
        <f>IF(AND('MAPA DE RIESGO'!$Z$81="Alta",'MAPA DE RIESGO'!$AB$81="Menor"),CONCATENATE("R9C",'MAPA DE RIESGO'!$P$81),"")</f>
        <v/>
      </c>
      <c r="V24" s="23" t="str">
        <f>IF(AND('MAPA DE RIESGO'!$Z$76="Alta",'MAPA DE RIESGO'!$AB$76="Moderado"),CONCATENATE("R9C",'MAPA DE RIESGO'!$P$76),"")</f>
        <v/>
      </c>
      <c r="W24" s="24" t="str">
        <f>IF(AND('MAPA DE RIESGO'!$Z$77="Alta",'MAPA DE RIESGO'!$AB$77="Moderado"),CONCATENATE("R9C",'MAPA DE RIESGO'!$P$77),"")</f>
        <v/>
      </c>
      <c r="X24" s="29" t="str">
        <f>IF(AND('MAPA DE RIESGO'!$Z$78="Alta",'MAPA DE RIESGO'!$AB$78="Moderado"),CONCATENATE("R9C",'MAPA DE RIESGO'!$P$78),"")</f>
        <v/>
      </c>
      <c r="Y24" s="29" t="str">
        <f>IF(AND('MAPA DE RIESGO'!$Z$79="Alta",'MAPA DE RIESGO'!$AB$79="Moderado"),CONCATENATE("R9C",'MAPA DE RIESGO'!$P$79),"")</f>
        <v/>
      </c>
      <c r="Z24" s="29" t="str">
        <f>IF(AND('MAPA DE RIESGO'!$Z$80="Alta",'MAPA DE RIESGO'!$AB$80="Moderado"),CONCATENATE("R9C",'MAPA DE RIESGO'!$P$80),"")</f>
        <v/>
      </c>
      <c r="AA24" s="25" t="str">
        <f>IF(AND('MAPA DE RIESGO'!$Z$81="Alta",'MAPA DE RIESGO'!$AB$81="Moderado"),CONCATENATE("R9C",'MAPA DE RIESGO'!$P$81),"")</f>
        <v/>
      </c>
      <c r="AB24" s="23" t="str">
        <f>IF(AND('MAPA DE RIESGO'!$Z$76="Alta",'MAPA DE RIESGO'!$AB$76="Mayor"),CONCATENATE("R9C",'MAPA DE RIESGO'!$P$76),"")</f>
        <v/>
      </c>
      <c r="AC24" s="24" t="str">
        <f>IF(AND('MAPA DE RIESGO'!$Z$77="Alta",'MAPA DE RIESGO'!$AB$77="Mayor"),CONCATENATE("R9C",'MAPA DE RIESGO'!$P$77),"")</f>
        <v/>
      </c>
      <c r="AD24" s="29" t="str">
        <f>IF(AND('MAPA DE RIESGO'!$Z$78="Alta",'MAPA DE RIESGO'!$AB$78="Mayor"),CONCATENATE("R9C",'MAPA DE RIESGO'!$P$78),"")</f>
        <v/>
      </c>
      <c r="AE24" s="29" t="str">
        <f>IF(AND('MAPA DE RIESGO'!$Z$79="Alta",'MAPA DE RIESGO'!$AB$79="Mayor"),CONCATENATE("R9C",'MAPA DE RIESGO'!$P$79),"")</f>
        <v/>
      </c>
      <c r="AF24" s="29" t="str">
        <f>IF(AND('MAPA DE RIESGO'!$Z$80="Alta",'MAPA DE RIESGO'!$AB$80="Mayor"),CONCATENATE("R9C",'MAPA DE RIESGO'!$P$80),"")</f>
        <v/>
      </c>
      <c r="AG24" s="25" t="str">
        <f>IF(AND('MAPA DE RIESGO'!$Z$81="Alta",'MAPA DE RIESGO'!$AB$81="Mayor"),CONCATENATE("R9C",'MAPA DE RIESGO'!$P$81),"")</f>
        <v/>
      </c>
      <c r="AH24" s="26" t="str">
        <f>IF(AND('MAPA DE RIESGO'!$Z$76="Alta",'MAPA DE RIESGO'!$AB$76="Catastrófico"),CONCATENATE("R9C",'MAPA DE RIESGO'!$P$76),"")</f>
        <v/>
      </c>
      <c r="AI24" s="27" t="str">
        <f>IF(AND('MAPA DE RIESGO'!$Z$77="Alta",'MAPA DE RIESGO'!$AB$77="Catastrófico"),CONCATENATE("R9C",'MAPA DE RIESGO'!$P$77),"")</f>
        <v/>
      </c>
      <c r="AJ24" s="27" t="str">
        <f>IF(AND('MAPA DE RIESGO'!$Z$78="Alta",'MAPA DE RIESGO'!$AB$78="Catastrófico"),CONCATENATE("R9C",'MAPA DE RIESGO'!$P$78),"")</f>
        <v/>
      </c>
      <c r="AK24" s="27" t="str">
        <f>IF(AND('MAPA DE RIESGO'!$Z$79="Alta",'MAPA DE RIESGO'!$AB$79="Catastrófico"),CONCATENATE("R9C",'MAPA DE RIESGO'!$P$79),"")</f>
        <v/>
      </c>
      <c r="AL24" s="27" t="str">
        <f>IF(AND('MAPA DE RIESGO'!$Z$80="Alta",'MAPA DE RIESGO'!$AB$80="Catastrófico"),CONCATENATE("R9C",'MAPA DE RIESGO'!$P$80),"")</f>
        <v/>
      </c>
      <c r="AM24" s="28" t="str">
        <f>IF(AND('MAPA DE RIESGO'!$Z$81="Alta",'MAPA DE RIESGO'!$AB$81="Catastrófico"),CONCATENATE("R9C",'MAPA DE RIESGO'!$P$81),"")</f>
        <v/>
      </c>
      <c r="AN24" s="54"/>
      <c r="AO24" s="511"/>
      <c r="AP24" s="512"/>
      <c r="AQ24" s="512"/>
      <c r="AR24" s="512"/>
      <c r="AS24" s="512"/>
      <c r="AT24" s="513"/>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row>
    <row r="25" spans="1:76" ht="15.75" customHeight="1" thickBot="1">
      <c r="A25" s="54"/>
      <c r="B25" s="420"/>
      <c r="C25" s="420"/>
      <c r="D25" s="421"/>
      <c r="E25" s="523"/>
      <c r="F25" s="524"/>
      <c r="G25" s="524"/>
      <c r="H25" s="524"/>
      <c r="I25" s="524"/>
      <c r="J25" s="42" t="str">
        <f>IF(AND('MAPA DE RIESGO'!$Z$82="Alta",'MAPA DE RIESGO'!$AB$82="Leve"),CONCATENATE("R10C",'MAPA DE RIESGO'!$P$82),"")</f>
        <v/>
      </c>
      <c r="K25" s="43" t="str">
        <f>IF(AND('MAPA DE RIESGO'!$Z$83="Alta",'MAPA DE RIESGO'!$AB$83="Leve"),CONCATENATE("R10C",'MAPA DE RIESGO'!$P$83),"")</f>
        <v/>
      </c>
      <c r="L25" s="43" t="str">
        <f>IF(AND('MAPA DE RIESGO'!$Z$84="Alta",'MAPA DE RIESGO'!$AB$84="Leve"),CONCATENATE("R10C",'MAPA DE RIESGO'!$P$84),"")</f>
        <v/>
      </c>
      <c r="M25" s="43" t="str">
        <f>IF(AND('MAPA DE RIESGO'!$Z$85="Alta",'MAPA DE RIESGO'!$AB$85="Leve"),CONCATENATE("R10C",'MAPA DE RIESGO'!$P$85),"")</f>
        <v/>
      </c>
      <c r="N25" s="43" t="str">
        <f>IF(AND('MAPA DE RIESGO'!$Z$86="Alta",'MAPA DE RIESGO'!$AB$86="Leve"),CONCATENATE("R10C",'MAPA DE RIESGO'!$P$86),"")</f>
        <v/>
      </c>
      <c r="O25" s="44" t="str">
        <f>IF(AND('MAPA DE RIESGO'!$Z$87="Alta",'MAPA DE RIESGO'!$AB$87="Leve"),CONCATENATE("R10C",'MAPA DE RIESGO'!$P$87),"")</f>
        <v/>
      </c>
      <c r="P25" s="42" t="str">
        <f>IF(AND('MAPA DE RIESGO'!$Z$82="Alta",'MAPA DE RIESGO'!$AB$82="Menor"),CONCATENATE("R10C",'MAPA DE RIESGO'!$P$82),"")</f>
        <v/>
      </c>
      <c r="Q25" s="43" t="str">
        <f>IF(AND('MAPA DE RIESGO'!$Z$83="Alta",'MAPA DE RIESGO'!$AB$83="Menor"),CONCATENATE("R10C",'MAPA DE RIESGO'!$P$83),"")</f>
        <v/>
      </c>
      <c r="R25" s="43" t="str">
        <f>IF(AND('MAPA DE RIESGO'!$Z$84="Alta",'MAPA DE RIESGO'!$AB$84="Menor"),CONCATENATE("R10C",'MAPA DE RIESGO'!$P$84),"")</f>
        <v/>
      </c>
      <c r="S25" s="43" t="str">
        <f>IF(AND('MAPA DE RIESGO'!$Z$85="Alta",'MAPA DE RIESGO'!$AB$85="Menor"),CONCATENATE("R10C",'MAPA DE RIESGO'!$P$85),"")</f>
        <v/>
      </c>
      <c r="T25" s="43" t="str">
        <f>IF(AND('MAPA DE RIESGO'!$Z$86="Alta",'MAPA DE RIESGO'!$AB$86="Menor"),CONCATENATE("R10C",'MAPA DE RIESGO'!$P$86),"")</f>
        <v/>
      </c>
      <c r="U25" s="44" t="str">
        <f>IF(AND('MAPA DE RIESGO'!$Z$87="Alta",'MAPA DE RIESGO'!$AB$87="Menor"),CONCATENATE("R10C",'MAPA DE RIESGO'!$P$87),"")</f>
        <v/>
      </c>
      <c r="V25" s="30" t="str">
        <f>IF(AND('MAPA DE RIESGO'!$Z$82="Alta",'MAPA DE RIESGO'!$AB$82="Moderado"),CONCATENATE("R10C",'MAPA DE RIESGO'!$P$82),"")</f>
        <v/>
      </c>
      <c r="W25" s="31" t="str">
        <f>IF(AND('MAPA DE RIESGO'!$Z$83="Alta",'MAPA DE RIESGO'!$AB$83="Moderado"),CONCATENATE("R10C",'MAPA DE RIESGO'!$P$83),"")</f>
        <v/>
      </c>
      <c r="X25" s="31" t="str">
        <f>IF(AND('MAPA DE RIESGO'!$Z$84="Alta",'MAPA DE RIESGO'!$AB$84="Moderado"),CONCATENATE("R10C",'MAPA DE RIESGO'!$P$84),"")</f>
        <v/>
      </c>
      <c r="Y25" s="31" t="str">
        <f>IF(AND('MAPA DE RIESGO'!$Z$85="Alta",'MAPA DE RIESGO'!$AB$85="Moderado"),CONCATENATE("R10C",'MAPA DE RIESGO'!$P$85),"")</f>
        <v/>
      </c>
      <c r="Z25" s="31" t="str">
        <f>IF(AND('MAPA DE RIESGO'!$Z$86="Alta",'MAPA DE RIESGO'!$AB$86="Moderado"),CONCATENATE("R10C",'MAPA DE RIESGO'!$P$86),"")</f>
        <v/>
      </c>
      <c r="AA25" s="32" t="str">
        <f>IF(AND('MAPA DE RIESGO'!$Z$87="Alta",'MAPA DE RIESGO'!$AB$87="Moderado"),CONCATENATE("R10C",'MAPA DE RIESGO'!$P$87),"")</f>
        <v/>
      </c>
      <c r="AB25" s="30" t="str">
        <f>IF(AND('MAPA DE RIESGO'!$Z$82="Alta",'MAPA DE RIESGO'!$AB$82="Mayor"),CONCATENATE("R10C",'MAPA DE RIESGO'!$P$82),"")</f>
        <v/>
      </c>
      <c r="AC25" s="31" t="str">
        <f>IF(AND('MAPA DE RIESGO'!$Z$83="Alta",'MAPA DE RIESGO'!$AB$83="Mayor"),CONCATENATE("R10C",'MAPA DE RIESGO'!$P$83),"")</f>
        <v/>
      </c>
      <c r="AD25" s="31" t="str">
        <f>IF(AND('MAPA DE RIESGO'!$Z$84="Alta",'MAPA DE RIESGO'!$AB$84="Mayor"),CONCATENATE("R10C",'MAPA DE RIESGO'!$P$84),"")</f>
        <v/>
      </c>
      <c r="AE25" s="31" t="str">
        <f>IF(AND('MAPA DE RIESGO'!$Z$85="Alta",'MAPA DE RIESGO'!$AB$85="Mayor"),CONCATENATE("R10C",'MAPA DE RIESGO'!$P$85),"")</f>
        <v/>
      </c>
      <c r="AF25" s="31" t="str">
        <f>IF(AND('MAPA DE RIESGO'!$Z$86="Alta",'MAPA DE RIESGO'!$AB$86="Mayor"),CONCATENATE("R10C",'MAPA DE RIESGO'!$P$86),"")</f>
        <v/>
      </c>
      <c r="AG25" s="32" t="str">
        <f>IF(AND('MAPA DE RIESGO'!$Z$87="Alta",'MAPA DE RIESGO'!$AB$87="Mayor"),CONCATENATE("R10C",'MAPA DE RIESGO'!$P$87),"")</f>
        <v/>
      </c>
      <c r="AH25" s="33" t="str">
        <f>IF(AND('MAPA DE RIESGO'!$Z$82="Alta",'MAPA DE RIESGO'!$AB$82="Catastrófico"),CONCATENATE("R10C",'MAPA DE RIESGO'!$P$82),"")</f>
        <v/>
      </c>
      <c r="AI25" s="34" t="str">
        <f>IF(AND('MAPA DE RIESGO'!$Z$83="Alta",'MAPA DE RIESGO'!$AB$83="Catastrófico"),CONCATENATE("R10C",'MAPA DE RIESGO'!$P$83),"")</f>
        <v/>
      </c>
      <c r="AJ25" s="34" t="str">
        <f>IF(AND('MAPA DE RIESGO'!$Z$84="Alta",'MAPA DE RIESGO'!$AB$84="Catastrófico"),CONCATENATE("R10C",'MAPA DE RIESGO'!$P$84),"")</f>
        <v/>
      </c>
      <c r="AK25" s="34" t="str">
        <f>IF(AND('MAPA DE RIESGO'!$Z$85="Alta",'MAPA DE RIESGO'!$AB$85="Catastrófico"),CONCATENATE("R10C",'MAPA DE RIESGO'!$P$85),"")</f>
        <v/>
      </c>
      <c r="AL25" s="34" t="str">
        <f>IF(AND('MAPA DE RIESGO'!$Z$86="Alta",'MAPA DE RIESGO'!$AB$86="Catastrófico"),CONCATENATE("R10C",'MAPA DE RIESGO'!$P$86),"")</f>
        <v/>
      </c>
      <c r="AM25" s="35" t="str">
        <f>IF(AND('MAPA DE RIESGO'!$Z$87="Alta",'MAPA DE RIESGO'!$AB$87="Catastrófico"),CONCATENATE("R10C",'MAPA DE RIESGO'!$P$87),"")</f>
        <v/>
      </c>
      <c r="AN25" s="54"/>
      <c r="AO25" s="514"/>
      <c r="AP25" s="515"/>
      <c r="AQ25" s="515"/>
      <c r="AR25" s="515"/>
      <c r="AS25" s="515"/>
      <c r="AT25" s="516"/>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row>
    <row r="26" spans="1:76" ht="15" customHeight="1">
      <c r="A26" s="54"/>
      <c r="B26" s="420"/>
      <c r="C26" s="420"/>
      <c r="D26" s="421"/>
      <c r="E26" s="517" t="s">
        <v>287</v>
      </c>
      <c r="F26" s="518"/>
      <c r="G26" s="518"/>
      <c r="H26" s="518"/>
      <c r="I26" s="534"/>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4"/>
      <c r="AO26" s="546" t="s">
        <v>288</v>
      </c>
      <c r="AP26" s="547"/>
      <c r="AQ26" s="547"/>
      <c r="AR26" s="547"/>
      <c r="AS26" s="547"/>
      <c r="AT26" s="548"/>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row>
    <row r="27" spans="1:76" ht="15" customHeight="1">
      <c r="A27" s="54"/>
      <c r="B27" s="420"/>
      <c r="C27" s="420"/>
      <c r="D27" s="421"/>
      <c r="E27" s="519"/>
      <c r="F27" s="520"/>
      <c r="G27" s="520"/>
      <c r="H27" s="520"/>
      <c r="I27" s="535"/>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4"/>
      <c r="AO27" s="549"/>
      <c r="AP27" s="550"/>
      <c r="AQ27" s="550"/>
      <c r="AR27" s="550"/>
      <c r="AS27" s="550"/>
      <c r="AT27" s="551"/>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row>
    <row r="28" spans="1:76" ht="15" customHeight="1">
      <c r="A28" s="54"/>
      <c r="B28" s="420"/>
      <c r="C28" s="420"/>
      <c r="D28" s="421"/>
      <c r="E28" s="521"/>
      <c r="F28" s="522"/>
      <c r="G28" s="522"/>
      <c r="H28" s="522"/>
      <c r="I28" s="535"/>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4"/>
      <c r="AO28" s="549"/>
      <c r="AP28" s="550"/>
      <c r="AQ28" s="550"/>
      <c r="AR28" s="550"/>
      <c r="AS28" s="550"/>
      <c r="AT28" s="551"/>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row>
    <row r="29" spans="1:76" ht="15" customHeight="1">
      <c r="A29" s="54"/>
      <c r="B29" s="420"/>
      <c r="C29" s="420"/>
      <c r="D29" s="421"/>
      <c r="E29" s="521"/>
      <c r="F29" s="522"/>
      <c r="G29" s="522"/>
      <c r="H29" s="522"/>
      <c r="I29" s="535"/>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4"/>
      <c r="AO29" s="549"/>
      <c r="AP29" s="550"/>
      <c r="AQ29" s="550"/>
      <c r="AR29" s="550"/>
      <c r="AS29" s="550"/>
      <c r="AT29" s="551"/>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row>
    <row r="30" spans="1:76" ht="15" customHeight="1">
      <c r="A30" s="54"/>
      <c r="B30" s="420"/>
      <c r="C30" s="420"/>
      <c r="D30" s="421"/>
      <c r="E30" s="521"/>
      <c r="F30" s="522"/>
      <c r="G30" s="522"/>
      <c r="H30" s="522"/>
      <c r="I30" s="535"/>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R5C1</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4"/>
      <c r="AO30" s="549"/>
      <c r="AP30" s="550"/>
      <c r="AQ30" s="550"/>
      <c r="AR30" s="550"/>
      <c r="AS30" s="550"/>
      <c r="AT30" s="551"/>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row>
    <row r="31" spans="1:76" ht="15" customHeight="1">
      <c r="A31" s="54"/>
      <c r="B31" s="420"/>
      <c r="C31" s="420"/>
      <c r="D31" s="421"/>
      <c r="E31" s="521"/>
      <c r="F31" s="522"/>
      <c r="G31" s="522"/>
      <c r="H31" s="522"/>
      <c r="I31" s="535"/>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4"/>
      <c r="AO31" s="549"/>
      <c r="AP31" s="550"/>
      <c r="AQ31" s="550"/>
      <c r="AR31" s="550"/>
      <c r="AS31" s="550"/>
      <c r="AT31" s="551"/>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row>
    <row r="32" spans="1:76" ht="15" customHeight="1">
      <c r="A32" s="54"/>
      <c r="B32" s="420"/>
      <c r="C32" s="420"/>
      <c r="D32" s="421"/>
      <c r="E32" s="521"/>
      <c r="F32" s="522"/>
      <c r="G32" s="522"/>
      <c r="H32" s="522"/>
      <c r="I32" s="535"/>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4"/>
      <c r="AO32" s="549"/>
      <c r="AP32" s="550"/>
      <c r="AQ32" s="550"/>
      <c r="AR32" s="550"/>
      <c r="AS32" s="550"/>
      <c r="AT32" s="551"/>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row>
    <row r="33" spans="1:80" ht="15" customHeight="1">
      <c r="A33" s="54"/>
      <c r="B33" s="420"/>
      <c r="C33" s="420"/>
      <c r="D33" s="421"/>
      <c r="E33" s="521"/>
      <c r="F33" s="522"/>
      <c r="G33" s="522"/>
      <c r="H33" s="522"/>
      <c r="I33" s="535"/>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4"/>
      <c r="AO33" s="549"/>
      <c r="AP33" s="550"/>
      <c r="AQ33" s="550"/>
      <c r="AR33" s="550"/>
      <c r="AS33" s="550"/>
      <c r="AT33" s="551"/>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row>
    <row r="34" spans="1:80" ht="15" customHeight="1">
      <c r="A34" s="54"/>
      <c r="B34" s="420"/>
      <c r="C34" s="420"/>
      <c r="D34" s="421"/>
      <c r="E34" s="521"/>
      <c r="F34" s="522"/>
      <c r="G34" s="522"/>
      <c r="H34" s="522"/>
      <c r="I34" s="535"/>
      <c r="J34" s="39" t="str">
        <f>IF(AND('MAPA DE RIESGO'!$Z$76="Media",'MAPA DE RIESGO'!$AB$76="Leve"),CONCATENATE("R9C",'MAPA DE RIESGO'!$P$76),"")</f>
        <v/>
      </c>
      <c r="K34" s="40" t="str">
        <f>IF(AND('MAPA DE RIESGO'!$Z$77="Media",'MAPA DE RIESGO'!$AB$77="Leve"),CONCATENATE("R9C",'MAPA DE RIESGO'!$P$77),"")</f>
        <v/>
      </c>
      <c r="L34" s="40" t="str">
        <f>IF(AND('MAPA DE RIESGO'!$Z$78="Media",'MAPA DE RIESGO'!$AB$78="Leve"),CONCATENATE("R9C",'MAPA DE RIESGO'!$P$78),"")</f>
        <v/>
      </c>
      <c r="M34" s="40" t="str">
        <f>IF(AND('MAPA DE RIESGO'!$Z$79="Media",'MAPA DE RIESGO'!$AB$79="Leve"),CONCATENATE("R9C",'MAPA DE RIESGO'!$P$79),"")</f>
        <v/>
      </c>
      <c r="N34" s="40" t="str">
        <f>IF(AND('MAPA DE RIESGO'!$Z$80="Media",'MAPA DE RIESGO'!$AB$80="Leve"),CONCATENATE("R9C",'MAPA DE RIESGO'!$P$80),"")</f>
        <v/>
      </c>
      <c r="O34" s="41" t="str">
        <f>IF(AND('MAPA DE RIESGO'!$Z$81="Media",'MAPA DE RIESGO'!$AB$81="Leve"),CONCATENATE("R9C",'MAPA DE RIESGO'!$P$81),"")</f>
        <v/>
      </c>
      <c r="P34" s="39" t="str">
        <f>IF(AND('MAPA DE RIESGO'!$Z$76="Media",'MAPA DE RIESGO'!$AB$76="Menor"),CONCATENATE("R9C",'MAPA DE RIESGO'!$P$76),"")</f>
        <v/>
      </c>
      <c r="Q34" s="40" t="str">
        <f>IF(AND('MAPA DE RIESGO'!$Z$77="Media",'MAPA DE RIESGO'!$AB$77="Menor"),CONCATENATE("R9C",'MAPA DE RIESGO'!$P$77),"")</f>
        <v/>
      </c>
      <c r="R34" s="40" t="str">
        <f>IF(AND('MAPA DE RIESGO'!$Z$78="Media",'MAPA DE RIESGO'!$AB$78="Menor"),CONCATENATE("R9C",'MAPA DE RIESGO'!$P$78),"")</f>
        <v/>
      </c>
      <c r="S34" s="40" t="str">
        <f>IF(AND('MAPA DE RIESGO'!$Z$79="Media",'MAPA DE RIESGO'!$AB$79="Menor"),CONCATENATE("R9C",'MAPA DE RIESGO'!$P$79),"")</f>
        <v/>
      </c>
      <c r="T34" s="40" t="str">
        <f>IF(AND('MAPA DE RIESGO'!$Z$80="Media",'MAPA DE RIESGO'!$AB$80="Menor"),CONCATENATE("R9C",'MAPA DE RIESGO'!$P$80),"")</f>
        <v/>
      </c>
      <c r="U34" s="41" t="str">
        <f>IF(AND('MAPA DE RIESGO'!$Z$81="Media",'MAPA DE RIESGO'!$AB$81="Menor"),CONCATENATE("R9C",'MAPA DE RIESGO'!$P$81),"")</f>
        <v/>
      </c>
      <c r="V34" s="39" t="str">
        <f>IF(AND('MAPA DE RIESGO'!$Z$76="Media",'MAPA DE RIESGO'!$AB$76="Moderado"),CONCATENATE("R9C",'MAPA DE RIESGO'!$P$76),"")</f>
        <v/>
      </c>
      <c r="W34" s="40" t="str">
        <f>IF(AND('MAPA DE RIESGO'!$Z$77="Media",'MAPA DE RIESGO'!$AB$77="Moderado"),CONCATENATE("R9C",'MAPA DE RIESGO'!$P$77),"")</f>
        <v/>
      </c>
      <c r="X34" s="40" t="str">
        <f>IF(AND('MAPA DE RIESGO'!$Z$78="Media",'MAPA DE RIESGO'!$AB$78="Moderado"),CONCATENATE("R9C",'MAPA DE RIESGO'!$P$78),"")</f>
        <v/>
      </c>
      <c r="Y34" s="40" t="str">
        <f>IF(AND('MAPA DE RIESGO'!$Z$79="Media",'MAPA DE RIESGO'!$AB$79="Moderado"),CONCATENATE("R9C",'MAPA DE RIESGO'!$P$79),"")</f>
        <v/>
      </c>
      <c r="Z34" s="40" t="str">
        <f>IF(AND('MAPA DE RIESGO'!$Z$80="Media",'MAPA DE RIESGO'!$AB$80="Moderado"),CONCATENATE("R9C",'MAPA DE RIESGO'!$P$80),"")</f>
        <v/>
      </c>
      <c r="AA34" s="41" t="str">
        <f>IF(AND('MAPA DE RIESGO'!$Z$81="Media",'MAPA DE RIESGO'!$AB$81="Moderado"),CONCATENATE("R9C",'MAPA DE RIESGO'!$P$81),"")</f>
        <v/>
      </c>
      <c r="AB34" s="23" t="str">
        <f>IF(AND('MAPA DE RIESGO'!$Z$76="Media",'MAPA DE RIESGO'!$AB$76="Mayor"),CONCATENATE("R9C",'MAPA DE RIESGO'!$P$76),"")</f>
        <v/>
      </c>
      <c r="AC34" s="24" t="str">
        <f>IF(AND('MAPA DE RIESGO'!$Z$77="Media",'MAPA DE RIESGO'!$AB$77="Mayor"),CONCATENATE("R9C",'MAPA DE RIESGO'!$P$77),"")</f>
        <v/>
      </c>
      <c r="AD34" s="29" t="str">
        <f>IF(AND('MAPA DE RIESGO'!$Z$78="Media",'MAPA DE RIESGO'!$AB$78="Mayor"),CONCATENATE("R9C",'MAPA DE RIESGO'!$P$78),"")</f>
        <v/>
      </c>
      <c r="AE34" s="29" t="str">
        <f>IF(AND('MAPA DE RIESGO'!$Z$79="Media",'MAPA DE RIESGO'!$AB$79="Mayor"),CONCATENATE("R9C",'MAPA DE RIESGO'!$P$79),"")</f>
        <v/>
      </c>
      <c r="AF34" s="29" t="str">
        <f>IF(AND('MAPA DE RIESGO'!$Z$80="Media",'MAPA DE RIESGO'!$AB$80="Mayor"),CONCATENATE("R9C",'MAPA DE RIESGO'!$P$80),"")</f>
        <v/>
      </c>
      <c r="AG34" s="25" t="str">
        <f>IF(AND('MAPA DE RIESGO'!$Z$81="Media",'MAPA DE RIESGO'!$AB$81="Mayor"),CONCATENATE("R9C",'MAPA DE RIESGO'!$P$81),"")</f>
        <v/>
      </c>
      <c r="AH34" s="26" t="str">
        <f>IF(AND('MAPA DE RIESGO'!$Z$76="Media",'MAPA DE RIESGO'!$AB$76="Catastrófico"),CONCATENATE("R9C",'MAPA DE RIESGO'!$P$76),"")</f>
        <v/>
      </c>
      <c r="AI34" s="27" t="str">
        <f>IF(AND('MAPA DE RIESGO'!$Z$77="Media",'MAPA DE RIESGO'!$AB$77="Catastrófico"),CONCATENATE("R9C",'MAPA DE RIESGO'!$P$77),"")</f>
        <v/>
      </c>
      <c r="AJ34" s="27" t="str">
        <f>IF(AND('MAPA DE RIESGO'!$Z$78="Media",'MAPA DE RIESGO'!$AB$78="Catastrófico"),CONCATENATE("R9C",'MAPA DE RIESGO'!$P$78),"")</f>
        <v/>
      </c>
      <c r="AK34" s="27" t="str">
        <f>IF(AND('MAPA DE RIESGO'!$Z$79="Media",'MAPA DE RIESGO'!$AB$79="Catastrófico"),CONCATENATE("R9C",'MAPA DE RIESGO'!$P$79),"")</f>
        <v/>
      </c>
      <c r="AL34" s="27" t="str">
        <f>IF(AND('MAPA DE RIESGO'!$Z$80="Media",'MAPA DE RIESGO'!$AB$80="Catastrófico"),CONCATENATE("R9C",'MAPA DE RIESGO'!$P$80),"")</f>
        <v/>
      </c>
      <c r="AM34" s="28" t="str">
        <f>IF(AND('MAPA DE RIESGO'!$Z$81="Media",'MAPA DE RIESGO'!$AB$81="Catastrófico"),CONCATENATE("R9C",'MAPA DE RIESGO'!$P$81),"")</f>
        <v/>
      </c>
      <c r="AN34" s="54"/>
      <c r="AO34" s="549"/>
      <c r="AP34" s="550"/>
      <c r="AQ34" s="550"/>
      <c r="AR34" s="550"/>
      <c r="AS34" s="550"/>
      <c r="AT34" s="551"/>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row>
    <row r="35" spans="1:80" ht="15.75" customHeight="1" thickBot="1">
      <c r="A35" s="54"/>
      <c r="B35" s="420"/>
      <c r="C35" s="420"/>
      <c r="D35" s="421"/>
      <c r="E35" s="523"/>
      <c r="F35" s="524"/>
      <c r="G35" s="524"/>
      <c r="H35" s="524"/>
      <c r="I35" s="536"/>
      <c r="J35" s="39" t="str">
        <f>IF(AND('MAPA DE RIESGO'!$Z$82="Media",'MAPA DE RIESGO'!$AB$82="Leve"),CONCATENATE("R10C",'MAPA DE RIESGO'!$P$82),"")</f>
        <v/>
      </c>
      <c r="K35" s="40" t="str">
        <f>IF(AND('MAPA DE RIESGO'!$Z$83="Media",'MAPA DE RIESGO'!$AB$83="Leve"),CONCATENATE("R10C",'MAPA DE RIESGO'!$P$83),"")</f>
        <v/>
      </c>
      <c r="L35" s="40" t="str">
        <f>IF(AND('MAPA DE RIESGO'!$Z$84="Media",'MAPA DE RIESGO'!$AB$84="Leve"),CONCATENATE("R10C",'MAPA DE RIESGO'!$P$84),"")</f>
        <v/>
      </c>
      <c r="M35" s="40" t="str">
        <f>IF(AND('MAPA DE RIESGO'!$Z$85="Media",'MAPA DE RIESGO'!$AB$85="Leve"),CONCATENATE("R10C",'MAPA DE RIESGO'!$P$85),"")</f>
        <v/>
      </c>
      <c r="N35" s="40" t="str">
        <f>IF(AND('MAPA DE RIESGO'!$Z$86="Media",'MAPA DE RIESGO'!$AB$86="Leve"),CONCATENATE("R10C",'MAPA DE RIESGO'!$P$86),"")</f>
        <v/>
      </c>
      <c r="O35" s="41" t="str">
        <f>IF(AND('MAPA DE RIESGO'!$Z$87="Media",'MAPA DE RIESGO'!$AB$87="Leve"),CONCATENATE("R10C",'MAPA DE RIESGO'!$P$87),"")</f>
        <v/>
      </c>
      <c r="P35" s="39" t="str">
        <f>IF(AND('MAPA DE RIESGO'!$Z$82="Media",'MAPA DE RIESGO'!$AB$82="Menor"),CONCATENATE("R10C",'MAPA DE RIESGO'!$P$82),"")</f>
        <v/>
      </c>
      <c r="Q35" s="40" t="str">
        <f>IF(AND('MAPA DE RIESGO'!$Z$83="Media",'MAPA DE RIESGO'!$AB$83="Menor"),CONCATENATE("R10C",'MAPA DE RIESGO'!$P$83),"")</f>
        <v/>
      </c>
      <c r="R35" s="40" t="str">
        <f>IF(AND('MAPA DE RIESGO'!$Z$84="Media",'MAPA DE RIESGO'!$AB$84="Menor"),CONCATENATE("R10C",'MAPA DE RIESGO'!$P$84),"")</f>
        <v/>
      </c>
      <c r="S35" s="40" t="str">
        <f>IF(AND('MAPA DE RIESGO'!$Z$85="Media",'MAPA DE RIESGO'!$AB$85="Menor"),CONCATENATE("R10C",'MAPA DE RIESGO'!$P$85),"")</f>
        <v/>
      </c>
      <c r="T35" s="40" t="str">
        <f>IF(AND('MAPA DE RIESGO'!$Z$86="Media",'MAPA DE RIESGO'!$AB$86="Menor"),CONCATENATE("R10C",'MAPA DE RIESGO'!$P$86),"")</f>
        <v/>
      </c>
      <c r="U35" s="41" t="str">
        <f>IF(AND('MAPA DE RIESGO'!$Z$87="Media",'MAPA DE RIESGO'!$AB$87="Menor"),CONCATENATE("R10C",'MAPA DE RIESGO'!$P$87),"")</f>
        <v/>
      </c>
      <c r="V35" s="39" t="str">
        <f>IF(AND('MAPA DE RIESGO'!$Z$82="Media",'MAPA DE RIESGO'!$AB$82="Moderado"),CONCATENATE("R10C",'MAPA DE RIESGO'!$P$82),"")</f>
        <v/>
      </c>
      <c r="W35" s="40" t="str">
        <f>IF(AND('MAPA DE RIESGO'!$Z$83="Media",'MAPA DE RIESGO'!$AB$83="Moderado"),CONCATENATE("R10C",'MAPA DE RIESGO'!$P$83),"")</f>
        <v/>
      </c>
      <c r="X35" s="40" t="str">
        <f>IF(AND('MAPA DE RIESGO'!$Z$84="Media",'MAPA DE RIESGO'!$AB$84="Moderado"),CONCATENATE("R10C",'MAPA DE RIESGO'!$P$84),"")</f>
        <v/>
      </c>
      <c r="Y35" s="40" t="str">
        <f>IF(AND('MAPA DE RIESGO'!$Z$85="Media",'MAPA DE RIESGO'!$AB$85="Moderado"),CONCATENATE("R10C",'MAPA DE RIESGO'!$P$85),"")</f>
        <v/>
      </c>
      <c r="Z35" s="40" t="str">
        <f>IF(AND('MAPA DE RIESGO'!$Z$86="Media",'MAPA DE RIESGO'!$AB$86="Moderado"),CONCATENATE("R10C",'MAPA DE RIESGO'!$P$86),"")</f>
        <v/>
      </c>
      <c r="AA35" s="41" t="str">
        <f>IF(AND('MAPA DE RIESGO'!$Z$87="Media",'MAPA DE RIESGO'!$AB$87="Moderado"),CONCATENATE("R10C",'MAPA DE RIESGO'!$P$87),"")</f>
        <v/>
      </c>
      <c r="AB35" s="30" t="str">
        <f>IF(AND('MAPA DE RIESGO'!$Z$82="Media",'MAPA DE RIESGO'!$AB$82="Mayor"),CONCATENATE("R10C",'MAPA DE RIESGO'!$P$82),"")</f>
        <v/>
      </c>
      <c r="AC35" s="31" t="str">
        <f>IF(AND('MAPA DE RIESGO'!$Z$83="Media",'MAPA DE RIESGO'!$AB$83="Mayor"),CONCATENATE("R10C",'MAPA DE RIESGO'!$P$83),"")</f>
        <v/>
      </c>
      <c r="AD35" s="31" t="str">
        <f>IF(AND('MAPA DE RIESGO'!$Z$84="Media",'MAPA DE RIESGO'!$AB$84="Mayor"),CONCATENATE("R10C",'MAPA DE RIESGO'!$P$84),"")</f>
        <v/>
      </c>
      <c r="AE35" s="31" t="str">
        <f>IF(AND('MAPA DE RIESGO'!$Z$85="Media",'MAPA DE RIESGO'!$AB$85="Mayor"),CONCATENATE("R10C",'MAPA DE RIESGO'!$P$85),"")</f>
        <v/>
      </c>
      <c r="AF35" s="31" t="str">
        <f>IF(AND('MAPA DE RIESGO'!$Z$86="Media",'MAPA DE RIESGO'!$AB$86="Mayor"),CONCATENATE("R10C",'MAPA DE RIESGO'!$P$86),"")</f>
        <v/>
      </c>
      <c r="AG35" s="32" t="str">
        <f>IF(AND('MAPA DE RIESGO'!$Z$87="Media",'MAPA DE RIESGO'!$AB$87="Mayor"),CONCATENATE("R10C",'MAPA DE RIESGO'!$P$87),"")</f>
        <v/>
      </c>
      <c r="AH35" s="33" t="str">
        <f>IF(AND('MAPA DE RIESGO'!$Z$82="Media",'MAPA DE RIESGO'!$AB$82="Catastrófico"),CONCATENATE("R10C",'MAPA DE RIESGO'!$P$82),"")</f>
        <v/>
      </c>
      <c r="AI35" s="34" t="str">
        <f>IF(AND('MAPA DE RIESGO'!$Z$83="Media",'MAPA DE RIESGO'!$AB$83="Catastrófico"),CONCATENATE("R10C",'MAPA DE RIESGO'!$P$83),"")</f>
        <v/>
      </c>
      <c r="AJ35" s="34" t="str">
        <f>IF(AND('MAPA DE RIESGO'!$Z$84="Media",'MAPA DE RIESGO'!$AB$84="Catastrófico"),CONCATENATE("R10C",'MAPA DE RIESGO'!$P$84),"")</f>
        <v/>
      </c>
      <c r="AK35" s="34" t="str">
        <f>IF(AND('MAPA DE RIESGO'!$Z$85="Media",'MAPA DE RIESGO'!$AB$85="Catastrófico"),CONCATENATE("R10C",'MAPA DE RIESGO'!$P$85),"")</f>
        <v/>
      </c>
      <c r="AL35" s="34" t="str">
        <f>IF(AND('MAPA DE RIESGO'!$Z$86="Media",'MAPA DE RIESGO'!$AB$86="Catastrófico"),CONCATENATE("R10C",'MAPA DE RIESGO'!$P$86),"")</f>
        <v/>
      </c>
      <c r="AM35" s="35" t="str">
        <f>IF(AND('MAPA DE RIESGO'!$Z$87="Media",'MAPA DE RIESGO'!$AB$87="Catastrófico"),CONCATENATE("R10C",'MAPA DE RIESGO'!$P$87),"")</f>
        <v/>
      </c>
      <c r="AN35" s="54"/>
      <c r="AO35" s="552"/>
      <c r="AP35" s="553"/>
      <c r="AQ35" s="553"/>
      <c r="AR35" s="553"/>
      <c r="AS35" s="553"/>
      <c r="AT35" s="5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row>
    <row r="36" spans="1:80" ht="15" customHeight="1">
      <c r="A36" s="54"/>
      <c r="B36" s="420"/>
      <c r="C36" s="420"/>
      <c r="D36" s="421"/>
      <c r="E36" s="517" t="s">
        <v>289</v>
      </c>
      <c r="F36" s="518"/>
      <c r="G36" s="518"/>
      <c r="H36" s="518"/>
      <c r="I36" s="518"/>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7" t="str">
        <f>IF(AND('MAPA DE RIESGO'!$Z$16="Baja",'MAPA DE RIESGO'!$AB$16="Mayor"),CONCATENATE("R1C",'MAPA DE RIESGO'!$P$16),"")</f>
        <v>R1C1</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4"/>
      <c r="AO36" s="537" t="s">
        <v>290</v>
      </c>
      <c r="AP36" s="538"/>
      <c r="AQ36" s="538"/>
      <c r="AR36" s="538"/>
      <c r="AS36" s="538"/>
      <c r="AT36" s="539"/>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row>
    <row r="37" spans="1:80" ht="15" customHeight="1">
      <c r="A37" s="54"/>
      <c r="B37" s="420"/>
      <c r="C37" s="420"/>
      <c r="D37" s="421"/>
      <c r="E37" s="519"/>
      <c r="F37" s="520"/>
      <c r="G37" s="520"/>
      <c r="H37" s="520"/>
      <c r="I37" s="520"/>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R2C1</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R2C2</v>
      </c>
      <c r="AD37" s="24" t="str">
        <f>IF(AND('MAPA DE RIESGO'!$Z$24="Baja",'MAPA DE RIESGO'!$AB$24="Mayor"),CONCATENATE("R2C",'MAPA DE RIESGO'!$P$24),"")</f>
        <v>R2C3</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4"/>
      <c r="AO37" s="540"/>
      <c r="AP37" s="541"/>
      <c r="AQ37" s="541"/>
      <c r="AR37" s="541"/>
      <c r="AS37" s="541"/>
      <c r="AT37" s="542"/>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row>
    <row r="38" spans="1:80" ht="15" customHeight="1">
      <c r="A38" s="54"/>
      <c r="B38" s="420"/>
      <c r="C38" s="420"/>
      <c r="D38" s="421"/>
      <c r="E38" s="521"/>
      <c r="F38" s="522"/>
      <c r="G38" s="522"/>
      <c r="H38" s="522"/>
      <c r="I38" s="520"/>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R3C1</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R3C2</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4"/>
      <c r="AO38" s="540"/>
      <c r="AP38" s="541"/>
      <c r="AQ38" s="541"/>
      <c r="AR38" s="541"/>
      <c r="AS38" s="541"/>
      <c r="AT38" s="542"/>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row>
    <row r="39" spans="1:80" ht="15" customHeight="1">
      <c r="A39" s="54"/>
      <c r="B39" s="420"/>
      <c r="C39" s="420"/>
      <c r="D39" s="421"/>
      <c r="E39" s="521"/>
      <c r="F39" s="522"/>
      <c r="G39" s="522"/>
      <c r="H39" s="522"/>
      <c r="I39" s="520"/>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R4C1</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4"/>
      <c r="AO39" s="540"/>
      <c r="AP39" s="541"/>
      <c r="AQ39" s="541"/>
      <c r="AR39" s="541"/>
      <c r="AS39" s="541"/>
      <c r="AT39" s="542"/>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row>
    <row r="40" spans="1:80" ht="15" customHeight="1">
      <c r="A40" s="54"/>
      <c r="B40" s="420"/>
      <c r="C40" s="420"/>
      <c r="D40" s="421"/>
      <c r="E40" s="521"/>
      <c r="F40" s="522"/>
      <c r="G40" s="522"/>
      <c r="H40" s="522"/>
      <c r="I40" s="520"/>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4"/>
      <c r="AO40" s="540"/>
      <c r="AP40" s="541"/>
      <c r="AQ40" s="541"/>
      <c r="AR40" s="541"/>
      <c r="AS40" s="541"/>
      <c r="AT40" s="542"/>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row>
    <row r="41" spans="1:80" ht="15" customHeight="1">
      <c r="A41" s="54"/>
      <c r="B41" s="420"/>
      <c r="C41" s="420"/>
      <c r="D41" s="421"/>
      <c r="E41" s="521"/>
      <c r="F41" s="522"/>
      <c r="G41" s="522"/>
      <c r="H41" s="522"/>
      <c r="I41" s="520"/>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R6C1</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4"/>
      <c r="AO41" s="540"/>
      <c r="AP41" s="541"/>
      <c r="AQ41" s="541"/>
      <c r="AR41" s="541"/>
      <c r="AS41" s="541"/>
      <c r="AT41" s="542"/>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row>
    <row r="42" spans="1:80" ht="15" customHeight="1">
      <c r="A42" s="54"/>
      <c r="B42" s="420"/>
      <c r="C42" s="420"/>
      <c r="D42" s="421"/>
      <c r="E42" s="521"/>
      <c r="F42" s="522"/>
      <c r="G42" s="522"/>
      <c r="H42" s="522"/>
      <c r="I42" s="520"/>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4"/>
      <c r="AO42" s="540"/>
      <c r="AP42" s="541"/>
      <c r="AQ42" s="541"/>
      <c r="AR42" s="541"/>
      <c r="AS42" s="541"/>
      <c r="AT42" s="542"/>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row>
    <row r="43" spans="1:80" ht="15" customHeight="1">
      <c r="A43" s="54"/>
      <c r="B43" s="420"/>
      <c r="C43" s="420"/>
      <c r="D43" s="421"/>
      <c r="E43" s="521"/>
      <c r="F43" s="522"/>
      <c r="G43" s="522"/>
      <c r="H43" s="522"/>
      <c r="I43" s="520"/>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R8C1</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4"/>
      <c r="AO43" s="540"/>
      <c r="AP43" s="541"/>
      <c r="AQ43" s="541"/>
      <c r="AR43" s="541"/>
      <c r="AS43" s="541"/>
      <c r="AT43" s="542"/>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row>
    <row r="44" spans="1:80" ht="15" customHeight="1">
      <c r="A44" s="54"/>
      <c r="B44" s="420"/>
      <c r="C44" s="420"/>
      <c r="D44" s="421"/>
      <c r="E44" s="521"/>
      <c r="F44" s="522"/>
      <c r="G44" s="522"/>
      <c r="H44" s="522"/>
      <c r="I44" s="520"/>
      <c r="J44" s="48" t="str">
        <f>IF(AND('MAPA DE RIESGO'!$Z$76="Baja",'MAPA DE RIESGO'!$AB$76="Leve"),CONCATENATE("R9C",'MAPA DE RIESGO'!$P$76),"")</f>
        <v/>
      </c>
      <c r="K44" s="49" t="str">
        <f>IF(AND('MAPA DE RIESGO'!$Z$77="Baja",'MAPA DE RIESGO'!$AB$77="Leve"),CONCATENATE("R9C",'MAPA DE RIESGO'!$P$77),"")</f>
        <v/>
      </c>
      <c r="L44" s="49" t="str">
        <f>IF(AND('MAPA DE RIESGO'!$Z$78="Baja",'MAPA DE RIESGO'!$AB$78="Leve"),CONCATENATE("R9C",'MAPA DE RIESGO'!$P$78),"")</f>
        <v/>
      </c>
      <c r="M44" s="49" t="str">
        <f>IF(AND('MAPA DE RIESGO'!$Z$79="Baja",'MAPA DE RIESGO'!$AB$79="Leve"),CONCATENATE("R9C",'MAPA DE RIESGO'!$P$79),"")</f>
        <v/>
      </c>
      <c r="N44" s="49" t="str">
        <f>IF(AND('MAPA DE RIESGO'!$Z$80="Baja",'MAPA DE RIESGO'!$AB$80="Leve"),CONCATENATE("R9C",'MAPA DE RIESGO'!$P$80),"")</f>
        <v/>
      </c>
      <c r="O44" s="50" t="str">
        <f>IF(AND('MAPA DE RIESGO'!$Z$81="Baja",'MAPA DE RIESGO'!$AB$81="Leve"),CONCATENATE("R9C",'MAPA DE RIESGO'!$P$81),"")</f>
        <v/>
      </c>
      <c r="P44" s="39" t="str">
        <f>IF(AND('MAPA DE RIESGO'!$Z$76="Baja",'MAPA DE RIESGO'!$AB$76="Menor"),CONCATENATE("R9C",'MAPA DE RIESGO'!$P$76),"")</f>
        <v/>
      </c>
      <c r="Q44" s="40" t="str">
        <f>IF(AND('MAPA DE RIESGO'!$Z$77="Baja",'MAPA DE RIESGO'!$AB$77="Menor"),CONCATENATE("R9C",'MAPA DE RIESGO'!$P$77),"")</f>
        <v/>
      </c>
      <c r="R44" s="40" t="str">
        <f>IF(AND('MAPA DE RIESGO'!$Z$78="Baja",'MAPA DE RIESGO'!$AB$78="Menor"),CONCATENATE("R9C",'MAPA DE RIESGO'!$P$78),"")</f>
        <v/>
      </c>
      <c r="S44" s="40" t="str">
        <f>IF(AND('MAPA DE RIESGO'!$Z$79="Baja",'MAPA DE RIESGO'!$AB$79="Menor"),CONCATENATE("R9C",'MAPA DE RIESGO'!$P$79),"")</f>
        <v/>
      </c>
      <c r="T44" s="40" t="str">
        <f>IF(AND('MAPA DE RIESGO'!$Z$80="Baja",'MAPA DE RIESGO'!$AB$80="Menor"),CONCATENATE("R9C",'MAPA DE RIESGO'!$P$80),"")</f>
        <v/>
      </c>
      <c r="U44" s="41" t="str">
        <f>IF(AND('MAPA DE RIESGO'!$Z$81="Baja",'MAPA DE RIESGO'!$AB$81="Menor"),CONCATENATE("R9C",'MAPA DE RIESGO'!$P$81),"")</f>
        <v/>
      </c>
      <c r="V44" s="39" t="str">
        <f>IF(AND('MAPA DE RIESGO'!$Z$76="Baja",'MAPA DE RIESGO'!$AB$76="Moderado"),CONCATENATE("R9C",'MAPA DE RIESGO'!$P$76),"")</f>
        <v>R9C1</v>
      </c>
      <c r="W44" s="40" t="str">
        <f>IF(AND('MAPA DE RIESGO'!$Z$77="Baja",'MAPA DE RIESGO'!$AB$77="Moderado"),CONCATENATE("R9C",'MAPA DE RIESGO'!$P$77),"")</f>
        <v>R9C2</v>
      </c>
      <c r="X44" s="40" t="str">
        <f>IF(AND('MAPA DE RIESGO'!$Z$78="Baja",'MAPA DE RIESGO'!$AB$78="Moderado"),CONCATENATE("R9C",'MAPA DE RIESGO'!$P$78),"")</f>
        <v/>
      </c>
      <c r="Y44" s="40" t="str">
        <f>IF(AND('MAPA DE RIESGO'!$Z$79="Baja",'MAPA DE RIESGO'!$AB$79="Moderado"),CONCATENATE("R9C",'MAPA DE RIESGO'!$P$79),"")</f>
        <v/>
      </c>
      <c r="Z44" s="40" t="str">
        <f>IF(AND('MAPA DE RIESGO'!$Z$80="Baja",'MAPA DE RIESGO'!$AB$80="Moderado"),CONCATENATE("R9C",'MAPA DE RIESGO'!$P$80),"")</f>
        <v/>
      </c>
      <c r="AA44" s="41" t="str">
        <f>IF(AND('MAPA DE RIESGO'!$Z$81="Baja",'MAPA DE RIESGO'!$AB$81="Moderado"),CONCATENATE("R9C",'MAPA DE RIESGO'!$P$81),"")</f>
        <v/>
      </c>
      <c r="AB44" s="23" t="str">
        <f>IF(AND('MAPA DE RIESGO'!$Z$76="Baja",'MAPA DE RIESGO'!$AB$76="Mayor"),CONCATENATE("R9C",'MAPA DE RIESGO'!$P$76),"")</f>
        <v/>
      </c>
      <c r="AC44" s="24" t="str">
        <f>IF(AND('MAPA DE RIESGO'!$Z$77="Baja",'MAPA DE RIESGO'!$AB$77="Mayor"),CONCATENATE("R9C",'MAPA DE RIESGO'!$P$77),"")</f>
        <v/>
      </c>
      <c r="AD44" s="29" t="str">
        <f>IF(AND('MAPA DE RIESGO'!$Z$78="Baja",'MAPA DE RIESGO'!$AB$78="Mayor"),CONCATENATE("R9C",'MAPA DE RIESGO'!$P$78),"")</f>
        <v/>
      </c>
      <c r="AE44" s="29" t="str">
        <f>IF(AND('MAPA DE RIESGO'!$Z$79="Baja",'MAPA DE RIESGO'!$AB$79="Mayor"),CONCATENATE("R9C",'MAPA DE RIESGO'!$P$79),"")</f>
        <v/>
      </c>
      <c r="AF44" s="29" t="str">
        <f>IF(AND('MAPA DE RIESGO'!$Z$80="Baja",'MAPA DE RIESGO'!$AB$80="Mayor"),CONCATENATE("R9C",'MAPA DE RIESGO'!$P$80),"")</f>
        <v/>
      </c>
      <c r="AG44" s="25" t="str">
        <f>IF(AND('MAPA DE RIESGO'!$Z$81="Baja",'MAPA DE RIESGO'!$AB$81="Mayor"),CONCATENATE("R9C",'MAPA DE RIESGO'!$P$81),"")</f>
        <v/>
      </c>
      <c r="AH44" s="26" t="str">
        <f>IF(AND('MAPA DE RIESGO'!$Z$76="Baja",'MAPA DE RIESGO'!$AB$76="Catastrófico"),CONCATENATE("R9C",'MAPA DE RIESGO'!$P$76),"")</f>
        <v/>
      </c>
      <c r="AI44" s="27" t="str">
        <f>IF(AND('MAPA DE RIESGO'!$Z$77="Baja",'MAPA DE RIESGO'!$AB$77="Catastrófico"),CONCATENATE("R9C",'MAPA DE RIESGO'!$P$77),"")</f>
        <v/>
      </c>
      <c r="AJ44" s="27" t="str">
        <f>IF(AND('MAPA DE RIESGO'!$Z$78="Baja",'MAPA DE RIESGO'!$AB$78="Catastrófico"),CONCATENATE("R9C",'MAPA DE RIESGO'!$P$78),"")</f>
        <v/>
      </c>
      <c r="AK44" s="27" t="str">
        <f>IF(AND('MAPA DE RIESGO'!$Z$79="Baja",'MAPA DE RIESGO'!$AB$79="Catastrófico"),CONCATENATE("R9C",'MAPA DE RIESGO'!$P$79),"")</f>
        <v/>
      </c>
      <c r="AL44" s="27" t="str">
        <f>IF(AND('MAPA DE RIESGO'!$Z$80="Baja",'MAPA DE RIESGO'!$AB$80="Catastrófico"),CONCATENATE("R9C",'MAPA DE RIESGO'!$P$80),"")</f>
        <v/>
      </c>
      <c r="AM44" s="28" t="str">
        <f>IF(AND('MAPA DE RIESGO'!$Z$81="Baja",'MAPA DE RIESGO'!$AB$81="Catastrófico"),CONCATENATE("R9C",'MAPA DE RIESGO'!$P$81),"")</f>
        <v/>
      </c>
      <c r="AN44" s="54"/>
      <c r="AO44" s="540"/>
      <c r="AP44" s="541"/>
      <c r="AQ44" s="541"/>
      <c r="AR44" s="541"/>
      <c r="AS44" s="541"/>
      <c r="AT44" s="542"/>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row>
    <row r="45" spans="1:80" ht="15.75" customHeight="1" thickBot="1">
      <c r="A45" s="54"/>
      <c r="B45" s="420"/>
      <c r="C45" s="420"/>
      <c r="D45" s="421"/>
      <c r="E45" s="523"/>
      <c r="F45" s="524"/>
      <c r="G45" s="524"/>
      <c r="H45" s="524"/>
      <c r="I45" s="524"/>
      <c r="J45" s="51" t="str">
        <f>IF(AND('MAPA DE RIESGO'!$Z$82="Baja",'MAPA DE RIESGO'!$AB$82="Leve"),CONCATENATE("R10C",'MAPA DE RIESGO'!$P$82),"")</f>
        <v/>
      </c>
      <c r="K45" s="52" t="str">
        <f>IF(AND('MAPA DE RIESGO'!$Z$83="Baja",'MAPA DE RIESGO'!$AB$83="Leve"),CONCATENATE("R10C",'MAPA DE RIESGO'!$P$83),"")</f>
        <v/>
      </c>
      <c r="L45" s="52" t="str">
        <f>IF(AND('MAPA DE RIESGO'!$Z$84="Baja",'MAPA DE RIESGO'!$AB$84="Leve"),CONCATENATE("R10C",'MAPA DE RIESGO'!$P$84),"")</f>
        <v/>
      </c>
      <c r="M45" s="52" t="str">
        <f>IF(AND('MAPA DE RIESGO'!$Z$85="Baja",'MAPA DE RIESGO'!$AB$85="Leve"),CONCATENATE("R10C",'MAPA DE RIESGO'!$P$85),"")</f>
        <v/>
      </c>
      <c r="N45" s="52" t="str">
        <f>IF(AND('MAPA DE RIESGO'!$Z$86="Baja",'MAPA DE RIESGO'!$AB$86="Leve"),CONCATENATE("R10C",'MAPA DE RIESGO'!$P$86),"")</f>
        <v/>
      </c>
      <c r="O45" s="53" t="str">
        <f>IF(AND('MAPA DE RIESGO'!$Z$87="Baja",'MAPA DE RIESGO'!$AB$87="Leve"),CONCATENATE("R10C",'MAPA DE RIESGO'!$P$87),"")</f>
        <v/>
      </c>
      <c r="P45" s="39" t="str">
        <f>IF(AND('MAPA DE RIESGO'!$Z$82="Baja",'MAPA DE RIESGO'!$AB$82="Menor"),CONCATENATE("R10C",'MAPA DE RIESGO'!$P$82),"")</f>
        <v/>
      </c>
      <c r="Q45" s="40" t="str">
        <f>IF(AND('MAPA DE RIESGO'!$Z$83="Baja",'MAPA DE RIESGO'!$AB$83="Menor"),CONCATENATE("R10C",'MAPA DE RIESGO'!$P$83),"")</f>
        <v/>
      </c>
      <c r="R45" s="40" t="str">
        <f>IF(AND('MAPA DE RIESGO'!$Z$84="Baja",'MAPA DE RIESGO'!$AB$84="Menor"),CONCATENATE("R10C",'MAPA DE RIESGO'!$P$84),"")</f>
        <v/>
      </c>
      <c r="S45" s="40" t="str">
        <f>IF(AND('MAPA DE RIESGO'!$Z$85="Baja",'MAPA DE RIESGO'!$AB$85="Menor"),CONCATENATE("R10C",'MAPA DE RIESGO'!$P$85),"")</f>
        <v/>
      </c>
      <c r="T45" s="40" t="str">
        <f>IF(AND('MAPA DE RIESGO'!$Z$86="Baja",'MAPA DE RIESGO'!$AB$86="Menor"),CONCATENATE("R10C",'MAPA DE RIESGO'!$P$86),"")</f>
        <v/>
      </c>
      <c r="U45" s="41" t="str">
        <f>IF(AND('MAPA DE RIESGO'!$Z$87="Baja",'MAPA DE RIESGO'!$AB$87="Menor"),CONCATENATE("R10C",'MAPA DE RIESGO'!$P$87),"")</f>
        <v/>
      </c>
      <c r="V45" s="42" t="str">
        <f>IF(AND('MAPA DE RIESGO'!$Z$82="Baja",'MAPA DE RIESGO'!$AB$82="Moderado"),CONCATENATE("R10C",'MAPA DE RIESGO'!$P$82),"")</f>
        <v>R10C1</v>
      </c>
      <c r="W45" s="43" t="str">
        <f>IF(AND('MAPA DE RIESGO'!$Z$83="Baja",'MAPA DE RIESGO'!$AB$83="Moderado"),CONCATENATE("R10C",'MAPA DE RIESGO'!$P$83),"")</f>
        <v>R10C2</v>
      </c>
      <c r="X45" s="43" t="str">
        <f>IF(AND('MAPA DE RIESGO'!$Z$84="Baja",'MAPA DE RIESGO'!$AB$84="Moderado"),CONCATENATE("R10C",'MAPA DE RIESGO'!$P$84),"")</f>
        <v/>
      </c>
      <c r="Y45" s="43" t="str">
        <f>IF(AND('MAPA DE RIESGO'!$Z$85="Baja",'MAPA DE RIESGO'!$AB$85="Moderado"),CONCATENATE("R10C",'MAPA DE RIESGO'!$P$85),"")</f>
        <v/>
      </c>
      <c r="Z45" s="43" t="str">
        <f>IF(AND('MAPA DE RIESGO'!$Z$86="Baja",'MAPA DE RIESGO'!$AB$86="Moderado"),CONCATENATE("R10C",'MAPA DE RIESGO'!$P$86),"")</f>
        <v/>
      </c>
      <c r="AA45" s="44" t="str">
        <f>IF(AND('MAPA DE RIESGO'!$Z$87="Baja",'MAPA DE RIESGO'!$AB$87="Moderado"),CONCATENATE("R10C",'MAPA DE RIESGO'!$P$87),"")</f>
        <v/>
      </c>
      <c r="AB45" s="30" t="str">
        <f>IF(AND('MAPA DE RIESGO'!$Z$82="Baja",'MAPA DE RIESGO'!$AB$82="Mayor"),CONCATENATE("R10C",'MAPA DE RIESGO'!$P$82),"")</f>
        <v/>
      </c>
      <c r="AC45" s="31" t="str">
        <f>IF(AND('MAPA DE RIESGO'!$Z$83="Baja",'MAPA DE RIESGO'!$AB$83="Mayor"),CONCATENATE("R10C",'MAPA DE RIESGO'!$P$83),"")</f>
        <v/>
      </c>
      <c r="AD45" s="31" t="str">
        <f>IF(AND('MAPA DE RIESGO'!$Z$84="Baja",'MAPA DE RIESGO'!$AB$84="Mayor"),CONCATENATE("R10C",'MAPA DE RIESGO'!$P$84),"")</f>
        <v/>
      </c>
      <c r="AE45" s="31" t="str">
        <f>IF(AND('MAPA DE RIESGO'!$Z$85="Baja",'MAPA DE RIESGO'!$AB$85="Mayor"),CONCATENATE("R10C",'MAPA DE RIESGO'!$P$85),"")</f>
        <v/>
      </c>
      <c r="AF45" s="31" t="str">
        <f>IF(AND('MAPA DE RIESGO'!$Z$86="Baja",'MAPA DE RIESGO'!$AB$86="Mayor"),CONCATENATE("R10C",'MAPA DE RIESGO'!$P$86),"")</f>
        <v/>
      </c>
      <c r="AG45" s="32" t="str">
        <f>IF(AND('MAPA DE RIESGO'!$Z$87="Baja",'MAPA DE RIESGO'!$AB$87="Mayor"),CONCATENATE("R10C",'MAPA DE RIESGO'!$P$87),"")</f>
        <v/>
      </c>
      <c r="AH45" s="33" t="str">
        <f>IF(AND('MAPA DE RIESGO'!$Z$82="Baja",'MAPA DE RIESGO'!$AB$82="Catastrófico"),CONCATENATE("R10C",'MAPA DE RIESGO'!$P$82),"")</f>
        <v/>
      </c>
      <c r="AI45" s="34" t="str">
        <f>IF(AND('MAPA DE RIESGO'!$Z$83="Baja",'MAPA DE RIESGO'!$AB$83="Catastrófico"),CONCATENATE("R10C",'MAPA DE RIESGO'!$P$83),"")</f>
        <v/>
      </c>
      <c r="AJ45" s="34" t="str">
        <f>IF(AND('MAPA DE RIESGO'!$Z$84="Baja",'MAPA DE RIESGO'!$AB$84="Catastrófico"),CONCATENATE("R10C",'MAPA DE RIESGO'!$P$84),"")</f>
        <v/>
      </c>
      <c r="AK45" s="34" t="str">
        <f>IF(AND('MAPA DE RIESGO'!$Z$85="Baja",'MAPA DE RIESGO'!$AB$85="Catastrófico"),CONCATENATE("R10C",'MAPA DE RIESGO'!$P$85),"")</f>
        <v/>
      </c>
      <c r="AL45" s="34" t="str">
        <f>IF(AND('MAPA DE RIESGO'!$Z$86="Baja",'MAPA DE RIESGO'!$AB$86="Catastrófico"),CONCATENATE("R10C",'MAPA DE RIESGO'!$P$86),"")</f>
        <v/>
      </c>
      <c r="AM45" s="35" t="str">
        <f>IF(AND('MAPA DE RIESGO'!$Z$87="Baja",'MAPA DE RIESGO'!$AB$87="Catastrófico"),CONCATENATE("R10C",'MAPA DE RIESGO'!$P$87),"")</f>
        <v/>
      </c>
      <c r="AN45" s="54"/>
      <c r="AO45" s="543"/>
      <c r="AP45" s="544"/>
      <c r="AQ45" s="544"/>
      <c r="AR45" s="544"/>
      <c r="AS45" s="544"/>
      <c r="AT45" s="545"/>
    </row>
    <row r="46" spans="1:80" ht="46.5" customHeight="1">
      <c r="A46" s="54"/>
      <c r="B46" s="420"/>
      <c r="C46" s="420"/>
      <c r="D46" s="421"/>
      <c r="E46" s="517" t="s">
        <v>291</v>
      </c>
      <c r="F46" s="518"/>
      <c r="G46" s="518"/>
      <c r="H46" s="518"/>
      <c r="I46" s="534"/>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37"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R1C2</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row>
    <row r="47" spans="1:80" ht="46.5" customHeight="1">
      <c r="A47" s="54"/>
      <c r="B47" s="420"/>
      <c r="C47" s="420"/>
      <c r="D47" s="421"/>
      <c r="E47" s="519"/>
      <c r="F47" s="520"/>
      <c r="G47" s="520"/>
      <c r="H47" s="520"/>
      <c r="I47" s="535"/>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row>
    <row r="48" spans="1:80" ht="15" customHeight="1">
      <c r="A48" s="54"/>
      <c r="B48" s="420"/>
      <c r="C48" s="420"/>
      <c r="D48" s="421"/>
      <c r="E48" s="519"/>
      <c r="F48" s="520"/>
      <c r="G48" s="520"/>
      <c r="H48" s="520"/>
      <c r="I48" s="535"/>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row>
    <row r="49" spans="1:80" ht="15" customHeight="1">
      <c r="A49" s="54"/>
      <c r="B49" s="420"/>
      <c r="C49" s="420"/>
      <c r="D49" s="421"/>
      <c r="E49" s="521"/>
      <c r="F49" s="522"/>
      <c r="G49" s="522"/>
      <c r="H49" s="522"/>
      <c r="I49" s="535"/>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row>
    <row r="50" spans="1:80" ht="15" customHeight="1">
      <c r="A50" s="54"/>
      <c r="B50" s="420"/>
      <c r="C50" s="420"/>
      <c r="D50" s="421"/>
      <c r="E50" s="521"/>
      <c r="F50" s="522"/>
      <c r="G50" s="522"/>
      <c r="H50" s="522"/>
      <c r="I50" s="535"/>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row>
    <row r="51" spans="1:80" ht="15" customHeight="1">
      <c r="A51" s="54"/>
      <c r="B51" s="420"/>
      <c r="C51" s="420"/>
      <c r="D51" s="421"/>
      <c r="E51" s="521"/>
      <c r="F51" s="522"/>
      <c r="G51" s="522"/>
      <c r="H51" s="522"/>
      <c r="I51" s="535"/>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row>
    <row r="52" spans="1:80" ht="15" customHeight="1">
      <c r="A52" s="54"/>
      <c r="B52" s="420"/>
      <c r="C52" s="420"/>
      <c r="D52" s="421"/>
      <c r="E52" s="521"/>
      <c r="F52" s="522"/>
      <c r="G52" s="522"/>
      <c r="H52" s="522"/>
      <c r="I52" s="535"/>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R7C2</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R7C1</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row>
    <row r="53" spans="1:80" ht="15" customHeight="1">
      <c r="A53" s="54"/>
      <c r="B53" s="420"/>
      <c r="C53" s="420"/>
      <c r="D53" s="421"/>
      <c r="E53" s="521"/>
      <c r="F53" s="522"/>
      <c r="G53" s="522"/>
      <c r="H53" s="522"/>
      <c r="I53" s="535"/>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row>
    <row r="54" spans="1:80" ht="15" customHeight="1">
      <c r="A54" s="54"/>
      <c r="B54" s="420"/>
      <c r="C54" s="420"/>
      <c r="D54" s="421"/>
      <c r="E54" s="521"/>
      <c r="F54" s="522"/>
      <c r="G54" s="522"/>
      <c r="H54" s="522"/>
      <c r="I54" s="535"/>
      <c r="J54" s="48" t="str">
        <f>IF(AND('MAPA DE RIESGO'!$Z$76="Muy Baja",'MAPA DE RIESGO'!$AB$76="Leve"),CONCATENATE("R9C",'MAPA DE RIESGO'!$P$76),"")</f>
        <v/>
      </c>
      <c r="K54" s="49" t="str">
        <f>IF(AND('MAPA DE RIESGO'!$Z$77="Muy Baja",'MAPA DE RIESGO'!$AB$77="Leve"),CONCATENATE("R9C",'MAPA DE RIESGO'!$P$77),"")</f>
        <v/>
      </c>
      <c r="L54" s="49" t="str">
        <f>IF(AND('MAPA DE RIESGO'!$Z$78="Muy Baja",'MAPA DE RIESGO'!$AB$78="Leve"),CONCATENATE("R9C",'MAPA DE RIESGO'!$P$78),"")</f>
        <v/>
      </c>
      <c r="M54" s="49" t="str">
        <f>IF(AND('MAPA DE RIESGO'!$Z$79="Muy Baja",'MAPA DE RIESGO'!$AB$79="Leve"),CONCATENATE("R9C",'MAPA DE RIESGO'!$P$79),"")</f>
        <v/>
      </c>
      <c r="N54" s="49" t="str">
        <f>IF(AND('MAPA DE RIESGO'!$Z$80="Muy Baja",'MAPA DE RIESGO'!$AB$80="Leve"),CONCATENATE("R9C",'MAPA DE RIESGO'!$P$80),"")</f>
        <v/>
      </c>
      <c r="O54" s="50" t="str">
        <f>IF(AND('MAPA DE RIESGO'!$Z$81="Muy Baja",'MAPA DE RIESGO'!$AB$81="Leve"),CONCATENATE("R9C",'MAPA DE RIESGO'!$P$81),"")</f>
        <v/>
      </c>
      <c r="P54" s="48" t="str">
        <f>IF(AND('MAPA DE RIESGO'!$Z$76="Muy Baja",'MAPA DE RIESGO'!$AB$76="Menor"),CONCATENATE("R9C",'MAPA DE RIESGO'!$P$76),"")</f>
        <v/>
      </c>
      <c r="Q54" s="49" t="str">
        <f>IF(AND('MAPA DE RIESGO'!$Z$77="Muy Baja",'MAPA DE RIESGO'!$AB$77="Menor"),CONCATENATE("R9C",'MAPA DE RIESGO'!$P$77),"")</f>
        <v/>
      </c>
      <c r="R54" s="49" t="str">
        <f>IF(AND('MAPA DE RIESGO'!$Z$78="Muy Baja",'MAPA DE RIESGO'!$AB$78="Menor"),CONCATENATE("R9C",'MAPA DE RIESGO'!$P$78),"")</f>
        <v/>
      </c>
      <c r="S54" s="49" t="str">
        <f>IF(AND('MAPA DE RIESGO'!$Z$79="Muy Baja",'MAPA DE RIESGO'!$AB$79="Menor"),CONCATENATE("R9C",'MAPA DE RIESGO'!$P$79),"")</f>
        <v/>
      </c>
      <c r="T54" s="49" t="str">
        <f>IF(AND('MAPA DE RIESGO'!$Z$80="Muy Baja",'MAPA DE RIESGO'!$AB$80="Menor"),CONCATENATE("R9C",'MAPA DE RIESGO'!$P$80),"")</f>
        <v/>
      </c>
      <c r="U54" s="50" t="str">
        <f>IF(AND('MAPA DE RIESGO'!$Z$81="Muy Baja",'MAPA DE RIESGO'!$AB$81="Menor"),CONCATENATE("R9C",'MAPA DE RIESGO'!$P$81),"")</f>
        <v/>
      </c>
      <c r="V54" s="39" t="str">
        <f>IF(AND('MAPA DE RIESGO'!$Z$76="Muy Baja",'MAPA DE RIESGO'!$AB$76="Moderado"),CONCATENATE("R9C",'MAPA DE RIESGO'!$P$76),"")</f>
        <v/>
      </c>
      <c r="W54" s="40" t="str">
        <f>IF(AND('MAPA DE RIESGO'!$Z$77="Muy Baja",'MAPA DE RIESGO'!$AB$77="Moderado"),CONCATENATE("R9C",'MAPA DE RIESGO'!$P$77),"")</f>
        <v/>
      </c>
      <c r="X54" s="40" t="str">
        <f>IF(AND('MAPA DE RIESGO'!$Z$78="Muy Baja",'MAPA DE RIESGO'!$AB$78="Moderado"),CONCATENATE("R9C",'MAPA DE RIESGO'!$P$78),"")</f>
        <v>R9C3</v>
      </c>
      <c r="Y54" s="40" t="str">
        <f>IF(AND('MAPA DE RIESGO'!$Z$79="Muy Baja",'MAPA DE RIESGO'!$AB$79="Moderado"),CONCATENATE("R9C",'MAPA DE RIESGO'!$P$79),"")</f>
        <v/>
      </c>
      <c r="Z54" s="40" t="str">
        <f>IF(AND('MAPA DE RIESGO'!$Z$80="Muy Baja",'MAPA DE RIESGO'!$AB$80="Moderado"),CONCATENATE("R9C",'MAPA DE RIESGO'!$P$80),"")</f>
        <v/>
      </c>
      <c r="AA54" s="41" t="str">
        <f>IF(AND('MAPA DE RIESGO'!$Z$81="Muy Baja",'MAPA DE RIESGO'!$AB$81="Moderado"),CONCATENATE("R9C",'MAPA DE RIESGO'!$P$81),"")</f>
        <v/>
      </c>
      <c r="AB54" s="23" t="str">
        <f>IF(AND('MAPA DE RIESGO'!$Z$76="Muy Baja",'MAPA DE RIESGO'!$AB$76="Mayor"),CONCATENATE("R9C",'MAPA DE RIESGO'!$P$76),"")</f>
        <v/>
      </c>
      <c r="AC54" s="24" t="str">
        <f>IF(AND('MAPA DE RIESGO'!$Z$77="Muy Baja",'MAPA DE RIESGO'!$AB$77="Mayor"),CONCATENATE("R9C",'MAPA DE RIESGO'!$P$77),"")</f>
        <v/>
      </c>
      <c r="AD54" s="29" t="str">
        <f>IF(AND('MAPA DE RIESGO'!$Z$78="Muy Baja",'MAPA DE RIESGO'!$AB$78="Mayor"),CONCATENATE("R9C",'MAPA DE RIESGO'!$P$78),"")</f>
        <v/>
      </c>
      <c r="AE54" s="29" t="str">
        <f>IF(AND('MAPA DE RIESGO'!$Z$79="Muy Baja",'MAPA DE RIESGO'!$AB$79="Mayor"),CONCATENATE("R9C",'MAPA DE RIESGO'!$P$79),"")</f>
        <v/>
      </c>
      <c r="AF54" s="29" t="str">
        <f>IF(AND('MAPA DE RIESGO'!$Z$80="Muy Baja",'MAPA DE RIESGO'!$AB$80="Mayor"),CONCATENATE("R9C",'MAPA DE RIESGO'!$P$80),"")</f>
        <v/>
      </c>
      <c r="AG54" s="25" t="str">
        <f>IF(AND('MAPA DE RIESGO'!$Z$81="Muy Baja",'MAPA DE RIESGO'!$AB$81="Mayor"),CONCATENATE("R9C",'MAPA DE RIESGO'!$P$81),"")</f>
        <v/>
      </c>
      <c r="AH54" s="26" t="str">
        <f>IF(AND('MAPA DE RIESGO'!$Z$76="Muy Baja",'MAPA DE RIESGO'!$AB$76="Catastrófico"),CONCATENATE("R9C",'MAPA DE RIESGO'!$P$76),"")</f>
        <v/>
      </c>
      <c r="AI54" s="27" t="str">
        <f>IF(AND('MAPA DE RIESGO'!$Z$77="Muy Baja",'MAPA DE RIESGO'!$AB$77="Catastrófico"),CONCATENATE("R9C",'MAPA DE RIESGO'!$P$77),"")</f>
        <v/>
      </c>
      <c r="AJ54" s="27" t="str">
        <f>IF(AND('MAPA DE RIESGO'!$Z$78="Muy Baja",'MAPA DE RIESGO'!$AB$78="Catastrófico"),CONCATENATE("R9C",'MAPA DE RIESGO'!$P$78),"")</f>
        <v/>
      </c>
      <c r="AK54" s="27" t="str">
        <f>IF(AND('MAPA DE RIESGO'!$Z$79="Muy Baja",'MAPA DE RIESGO'!$AB$79="Catastrófico"),CONCATENATE("R9C",'MAPA DE RIESGO'!$P$79),"")</f>
        <v/>
      </c>
      <c r="AL54" s="27" t="str">
        <f>IF(AND('MAPA DE RIESGO'!$Z$80="Muy Baja",'MAPA DE RIESGO'!$AB$80="Catastrófico"),CONCATENATE("R9C",'MAPA DE RIESGO'!$P$80),"")</f>
        <v/>
      </c>
      <c r="AM54" s="28" t="str">
        <f>IF(AND('MAPA DE RIESGO'!$Z$81="Muy Baja",'MAPA DE RIESGO'!$AB$81="Catastrófico"),CONCATENATE("R9C",'MAPA DE RIESGO'!$P$81),"")</f>
        <v/>
      </c>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row>
    <row r="55" spans="1:80" ht="15.75" customHeight="1" thickBot="1">
      <c r="A55" s="54"/>
      <c r="B55" s="420"/>
      <c r="C55" s="420"/>
      <c r="D55" s="421"/>
      <c r="E55" s="523"/>
      <c r="F55" s="524"/>
      <c r="G55" s="524"/>
      <c r="H55" s="524"/>
      <c r="I55" s="536"/>
      <c r="J55" s="51" t="str">
        <f>IF(AND('MAPA DE RIESGO'!$Z$82="Muy Baja",'MAPA DE RIESGO'!$AB$82="Leve"),CONCATENATE("R10C",'MAPA DE RIESGO'!$P$82),"")</f>
        <v/>
      </c>
      <c r="K55" s="52" t="str">
        <f>IF(AND('MAPA DE RIESGO'!$Z$83="Muy Baja",'MAPA DE RIESGO'!$AB$83="Leve"),CONCATENATE("R10C",'MAPA DE RIESGO'!$P$83),"")</f>
        <v/>
      </c>
      <c r="L55" s="52" t="str">
        <f>IF(AND('MAPA DE RIESGO'!$Z$84="Muy Baja",'MAPA DE RIESGO'!$AB$84="Leve"),CONCATENATE("R10C",'MAPA DE RIESGO'!$P$84),"")</f>
        <v/>
      </c>
      <c r="M55" s="52" t="str">
        <f>IF(AND('MAPA DE RIESGO'!$Z$85="Muy Baja",'MAPA DE RIESGO'!$AB$85="Leve"),CONCATENATE("R10C",'MAPA DE RIESGO'!$P$85),"")</f>
        <v/>
      </c>
      <c r="N55" s="52" t="str">
        <f>IF(AND('MAPA DE RIESGO'!$Z$86="Muy Baja",'MAPA DE RIESGO'!$AB$86="Leve"),CONCATENATE("R10C",'MAPA DE RIESGO'!$P$86),"")</f>
        <v/>
      </c>
      <c r="O55" s="53" t="str">
        <f>IF(AND('MAPA DE RIESGO'!$Z$87="Muy Baja",'MAPA DE RIESGO'!$AB$87="Leve"),CONCATENATE("R10C",'MAPA DE RIESGO'!$P$87),"")</f>
        <v/>
      </c>
      <c r="P55" s="51" t="str">
        <f>IF(AND('MAPA DE RIESGO'!$Z$82="Muy Baja",'MAPA DE RIESGO'!$AB$82="Menor"),CONCATENATE("R10C",'MAPA DE RIESGO'!$P$82),"")</f>
        <v/>
      </c>
      <c r="Q55" s="52" t="str">
        <f>IF(AND('MAPA DE RIESGO'!$Z$83="Muy Baja",'MAPA DE RIESGO'!$AB$83="Menor"),CONCATENATE("R10C",'MAPA DE RIESGO'!$P$83),"")</f>
        <v/>
      </c>
      <c r="R55" s="52" t="str">
        <f>IF(AND('MAPA DE RIESGO'!$Z$84="Muy Baja",'MAPA DE RIESGO'!$AB$84="Menor"),CONCATENATE("R10C",'MAPA DE RIESGO'!$P$84),"")</f>
        <v/>
      </c>
      <c r="S55" s="52" t="str">
        <f>IF(AND('MAPA DE RIESGO'!$Z$85="Muy Baja",'MAPA DE RIESGO'!$AB$85="Menor"),CONCATENATE("R10C",'MAPA DE RIESGO'!$P$85),"")</f>
        <v/>
      </c>
      <c r="T55" s="52" t="str">
        <f>IF(AND('MAPA DE RIESGO'!$Z$86="Muy Baja",'MAPA DE RIESGO'!$AB$86="Menor"),CONCATENATE("R10C",'MAPA DE RIESGO'!$P$86),"")</f>
        <v/>
      </c>
      <c r="U55" s="53" t="str">
        <f>IF(AND('MAPA DE RIESGO'!$Z$87="Muy Baja",'MAPA DE RIESGO'!$AB$87="Menor"),CONCATENATE("R10C",'MAPA DE RIESGO'!$P$87),"")</f>
        <v/>
      </c>
      <c r="V55" s="42" t="str">
        <f>IF(AND('MAPA DE RIESGO'!$Z$82="Muy Baja",'MAPA DE RIESGO'!$AB$82="Moderado"),CONCATENATE("R10C",'MAPA DE RIESGO'!$P$82),"")</f>
        <v/>
      </c>
      <c r="W55" s="43" t="str">
        <f>IF(AND('MAPA DE RIESGO'!$Z$83="Muy Baja",'MAPA DE RIESGO'!$AB$83="Moderado"),CONCATENATE("R10C",'MAPA DE RIESGO'!$P$83),"")</f>
        <v/>
      </c>
      <c r="X55" s="43" t="str">
        <f>IF(AND('MAPA DE RIESGO'!$Z$84="Muy Baja",'MAPA DE RIESGO'!$AB$84="Moderado"),CONCATENATE("R10C",'MAPA DE RIESGO'!$P$84),"")</f>
        <v/>
      </c>
      <c r="Y55" s="43" t="str">
        <f>IF(AND('MAPA DE RIESGO'!$Z$85="Muy Baja",'MAPA DE RIESGO'!$AB$85="Moderado"),CONCATENATE("R10C",'MAPA DE RIESGO'!$P$85),"")</f>
        <v/>
      </c>
      <c r="Z55" s="43" t="str">
        <f>IF(AND('MAPA DE RIESGO'!$Z$86="Muy Baja",'MAPA DE RIESGO'!$AB$86="Moderado"),CONCATENATE("R10C",'MAPA DE RIESGO'!$P$86),"")</f>
        <v/>
      </c>
      <c r="AA55" s="44" t="str">
        <f>IF(AND('MAPA DE RIESGO'!$Z$87="Muy Baja",'MAPA DE RIESGO'!$AB$87="Moderado"),CONCATENATE("R10C",'MAPA DE RIESGO'!$P$87),"")</f>
        <v/>
      </c>
      <c r="AB55" s="30" t="str">
        <f>IF(AND('MAPA DE RIESGO'!$Z$82="Muy Baja",'MAPA DE RIESGO'!$AB$82="Mayor"),CONCATENATE("R10C",'MAPA DE RIESGO'!$P$82),"")</f>
        <v/>
      </c>
      <c r="AC55" s="31" t="str">
        <f>IF(AND('MAPA DE RIESGO'!$Z$83="Muy Baja",'MAPA DE RIESGO'!$AB$83="Mayor"),CONCATENATE("R10C",'MAPA DE RIESGO'!$P$83),"")</f>
        <v/>
      </c>
      <c r="AD55" s="31" t="str">
        <f>IF(AND('MAPA DE RIESGO'!$Z$84="Muy Baja",'MAPA DE RIESGO'!$AB$84="Mayor"),CONCATENATE("R10C",'MAPA DE RIESGO'!$P$84),"")</f>
        <v/>
      </c>
      <c r="AE55" s="31" t="str">
        <f>IF(AND('MAPA DE RIESGO'!$Z$85="Muy Baja",'MAPA DE RIESGO'!$AB$85="Mayor"),CONCATENATE("R10C",'MAPA DE RIESGO'!$P$85),"")</f>
        <v/>
      </c>
      <c r="AF55" s="31" t="str">
        <f>IF(AND('MAPA DE RIESGO'!$Z$86="Muy Baja",'MAPA DE RIESGO'!$AB$86="Mayor"),CONCATENATE("R10C",'MAPA DE RIESGO'!$P$86),"")</f>
        <v/>
      </c>
      <c r="AG55" s="32" t="str">
        <f>IF(AND('MAPA DE RIESGO'!$Z$87="Muy Baja",'MAPA DE RIESGO'!$AB$87="Mayor"),CONCATENATE("R10C",'MAPA DE RIESGO'!$P$87),"")</f>
        <v/>
      </c>
      <c r="AH55" s="33" t="str">
        <f>IF(AND('MAPA DE RIESGO'!$Z$82="Muy Baja",'MAPA DE RIESGO'!$AB$82="Catastrófico"),CONCATENATE("R10C",'MAPA DE RIESGO'!$P$82),"")</f>
        <v/>
      </c>
      <c r="AI55" s="34" t="str">
        <f>IF(AND('MAPA DE RIESGO'!$Z$83="Muy Baja",'MAPA DE RIESGO'!$AB$83="Catastrófico"),CONCATENATE("R10C",'MAPA DE RIESGO'!$P$83),"")</f>
        <v/>
      </c>
      <c r="AJ55" s="34" t="str">
        <f>IF(AND('MAPA DE RIESGO'!$Z$84="Muy Baja",'MAPA DE RIESGO'!$AB$84="Catastrófico"),CONCATENATE("R10C",'MAPA DE RIESGO'!$P$84),"")</f>
        <v/>
      </c>
      <c r="AK55" s="34" t="str">
        <f>IF(AND('MAPA DE RIESGO'!$Z$85="Muy Baja",'MAPA DE RIESGO'!$AB$85="Catastrófico"),CONCATENATE("R10C",'MAPA DE RIESGO'!$P$85),"")</f>
        <v/>
      </c>
      <c r="AL55" s="34" t="str">
        <f>IF(AND('MAPA DE RIESGO'!$Z$86="Muy Baja",'MAPA DE RIESGO'!$AB$86="Catastrófico"),CONCATENATE("R10C",'MAPA DE RIESGO'!$P$86),"")</f>
        <v/>
      </c>
      <c r="AM55" s="35" t="str">
        <f>IF(AND('MAPA DE RIESGO'!$Z$87="Muy Baja",'MAPA DE RIESGO'!$AB$87="Catastrófico"),CONCATENATE("R10C",'MAPA DE RIESGO'!$P$87),"")</f>
        <v/>
      </c>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row>
    <row r="56" spans="1:80">
      <c r="A56" s="54"/>
      <c r="B56" s="54"/>
      <c r="C56" s="54"/>
      <c r="D56" s="54"/>
      <c r="E56" s="54"/>
      <c r="F56" s="54"/>
      <c r="G56" s="54"/>
      <c r="H56" s="54"/>
      <c r="I56" s="54"/>
      <c r="J56" s="517" t="s">
        <v>292</v>
      </c>
      <c r="K56" s="518"/>
      <c r="L56" s="518"/>
      <c r="M56" s="518"/>
      <c r="N56" s="518"/>
      <c r="O56" s="534"/>
      <c r="P56" s="517" t="s">
        <v>293</v>
      </c>
      <c r="Q56" s="518"/>
      <c r="R56" s="518"/>
      <c r="S56" s="518"/>
      <c r="T56" s="518"/>
      <c r="U56" s="534"/>
      <c r="V56" s="517" t="s">
        <v>294</v>
      </c>
      <c r="W56" s="518"/>
      <c r="X56" s="518"/>
      <c r="Y56" s="518"/>
      <c r="Z56" s="518"/>
      <c r="AA56" s="534"/>
      <c r="AB56" s="517" t="s">
        <v>295</v>
      </c>
      <c r="AC56" s="555"/>
      <c r="AD56" s="518"/>
      <c r="AE56" s="518"/>
      <c r="AF56" s="518"/>
      <c r="AG56" s="534"/>
      <c r="AH56" s="517" t="s">
        <v>296</v>
      </c>
      <c r="AI56" s="518"/>
      <c r="AJ56" s="518"/>
      <c r="AK56" s="518"/>
      <c r="AL56" s="518"/>
      <c r="AM56" s="53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row>
    <row r="57" spans="1:80">
      <c r="A57" s="54"/>
      <c r="B57" s="54"/>
      <c r="C57" s="54"/>
      <c r="D57" s="54"/>
      <c r="E57" s="54"/>
      <c r="F57" s="54"/>
      <c r="G57" s="54"/>
      <c r="H57" s="54"/>
      <c r="I57" s="54"/>
      <c r="J57" s="521"/>
      <c r="K57" s="522"/>
      <c r="L57" s="522"/>
      <c r="M57" s="522"/>
      <c r="N57" s="522"/>
      <c r="O57" s="535"/>
      <c r="P57" s="521"/>
      <c r="Q57" s="522"/>
      <c r="R57" s="522"/>
      <c r="S57" s="522"/>
      <c r="T57" s="522"/>
      <c r="U57" s="535"/>
      <c r="V57" s="521"/>
      <c r="W57" s="522"/>
      <c r="X57" s="522"/>
      <c r="Y57" s="522"/>
      <c r="Z57" s="522"/>
      <c r="AA57" s="535"/>
      <c r="AB57" s="521"/>
      <c r="AC57" s="522"/>
      <c r="AD57" s="522"/>
      <c r="AE57" s="522"/>
      <c r="AF57" s="522"/>
      <c r="AG57" s="535"/>
      <c r="AH57" s="521"/>
      <c r="AI57" s="522"/>
      <c r="AJ57" s="522"/>
      <c r="AK57" s="522"/>
      <c r="AL57" s="522"/>
      <c r="AM57" s="535"/>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row>
    <row r="58" spans="1:80">
      <c r="A58" s="54"/>
      <c r="B58" s="54"/>
      <c r="C58" s="54"/>
      <c r="D58" s="54"/>
      <c r="E58" s="54"/>
      <c r="F58" s="54"/>
      <c r="G58" s="54"/>
      <c r="H58" s="54"/>
      <c r="I58" s="54"/>
      <c r="J58" s="521"/>
      <c r="K58" s="522"/>
      <c r="L58" s="522"/>
      <c r="M58" s="522"/>
      <c r="N58" s="522"/>
      <c r="O58" s="535"/>
      <c r="P58" s="521"/>
      <c r="Q58" s="522"/>
      <c r="R58" s="522"/>
      <c r="S58" s="522"/>
      <c r="T58" s="522"/>
      <c r="U58" s="535"/>
      <c r="V58" s="521"/>
      <c r="W58" s="522"/>
      <c r="X58" s="522"/>
      <c r="Y58" s="522"/>
      <c r="Z58" s="522"/>
      <c r="AA58" s="535"/>
      <c r="AB58" s="521"/>
      <c r="AC58" s="522"/>
      <c r="AD58" s="522"/>
      <c r="AE58" s="522"/>
      <c r="AF58" s="522"/>
      <c r="AG58" s="535"/>
      <c r="AH58" s="521"/>
      <c r="AI58" s="522"/>
      <c r="AJ58" s="522"/>
      <c r="AK58" s="522"/>
      <c r="AL58" s="522"/>
      <c r="AM58" s="535"/>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row>
    <row r="59" spans="1:80">
      <c r="A59" s="54"/>
      <c r="B59" s="54"/>
      <c r="C59" s="54"/>
      <c r="D59" s="54"/>
      <c r="E59" s="54"/>
      <c r="F59" s="54"/>
      <c r="G59" s="54"/>
      <c r="H59" s="54"/>
      <c r="I59" s="54"/>
      <c r="J59" s="521"/>
      <c r="K59" s="522"/>
      <c r="L59" s="522"/>
      <c r="M59" s="522"/>
      <c r="N59" s="522"/>
      <c r="O59" s="535"/>
      <c r="P59" s="521"/>
      <c r="Q59" s="522"/>
      <c r="R59" s="522"/>
      <c r="S59" s="522"/>
      <c r="T59" s="522"/>
      <c r="U59" s="535"/>
      <c r="V59" s="521"/>
      <c r="W59" s="522"/>
      <c r="X59" s="522"/>
      <c r="Y59" s="522"/>
      <c r="Z59" s="522"/>
      <c r="AA59" s="535"/>
      <c r="AB59" s="521"/>
      <c r="AC59" s="522"/>
      <c r="AD59" s="522"/>
      <c r="AE59" s="522"/>
      <c r="AF59" s="522"/>
      <c r="AG59" s="535"/>
      <c r="AH59" s="521"/>
      <c r="AI59" s="522"/>
      <c r="AJ59" s="522"/>
      <c r="AK59" s="522"/>
      <c r="AL59" s="522"/>
      <c r="AM59" s="535"/>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row>
    <row r="60" spans="1:80">
      <c r="A60" s="54"/>
      <c r="B60" s="54"/>
      <c r="C60" s="54"/>
      <c r="D60" s="54"/>
      <c r="E60" s="54"/>
      <c r="F60" s="54"/>
      <c r="G60" s="54"/>
      <c r="H60" s="54"/>
      <c r="I60" s="54"/>
      <c r="J60" s="521"/>
      <c r="K60" s="522"/>
      <c r="L60" s="522"/>
      <c r="M60" s="522"/>
      <c r="N60" s="522"/>
      <c r="O60" s="535"/>
      <c r="P60" s="521"/>
      <c r="Q60" s="522"/>
      <c r="R60" s="522"/>
      <c r="S60" s="522"/>
      <c r="T60" s="522"/>
      <c r="U60" s="535"/>
      <c r="V60" s="521"/>
      <c r="W60" s="522"/>
      <c r="X60" s="522"/>
      <c r="Y60" s="522"/>
      <c r="Z60" s="522"/>
      <c r="AA60" s="535"/>
      <c r="AB60" s="521"/>
      <c r="AC60" s="522"/>
      <c r="AD60" s="522"/>
      <c r="AE60" s="522"/>
      <c r="AF60" s="522"/>
      <c r="AG60" s="535"/>
      <c r="AH60" s="521"/>
      <c r="AI60" s="522"/>
      <c r="AJ60" s="522"/>
      <c r="AK60" s="522"/>
      <c r="AL60" s="522"/>
      <c r="AM60" s="535"/>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row>
    <row r="61" spans="1:80" ht="15.75" thickBot="1">
      <c r="A61" s="54"/>
      <c r="B61" s="54"/>
      <c r="C61" s="54"/>
      <c r="D61" s="54"/>
      <c r="E61" s="54"/>
      <c r="F61" s="54"/>
      <c r="G61" s="54"/>
      <c r="H61" s="54"/>
      <c r="I61" s="54"/>
      <c r="J61" s="523"/>
      <c r="K61" s="524"/>
      <c r="L61" s="524"/>
      <c r="M61" s="524"/>
      <c r="N61" s="524"/>
      <c r="O61" s="536"/>
      <c r="P61" s="523"/>
      <c r="Q61" s="524"/>
      <c r="R61" s="524"/>
      <c r="S61" s="524"/>
      <c r="T61" s="524"/>
      <c r="U61" s="536"/>
      <c r="V61" s="523"/>
      <c r="W61" s="524"/>
      <c r="X61" s="524"/>
      <c r="Y61" s="524"/>
      <c r="Z61" s="524"/>
      <c r="AA61" s="536"/>
      <c r="AB61" s="523"/>
      <c r="AC61" s="524"/>
      <c r="AD61" s="524"/>
      <c r="AE61" s="524"/>
      <c r="AF61" s="524"/>
      <c r="AG61" s="536"/>
      <c r="AH61" s="523"/>
      <c r="AI61" s="524"/>
      <c r="AJ61" s="524"/>
      <c r="AK61" s="524"/>
      <c r="AL61" s="524"/>
      <c r="AM61" s="536"/>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row>
    <row r="62" spans="1:80">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80" ht="15" customHeight="1">
      <c r="A63" s="54"/>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4"/>
      <c r="AV63" s="54"/>
      <c r="AW63" s="54"/>
      <c r="AX63" s="54"/>
      <c r="AY63" s="54"/>
      <c r="AZ63" s="54"/>
      <c r="BA63" s="54"/>
      <c r="BB63" s="54"/>
      <c r="BC63" s="54"/>
      <c r="BD63" s="54"/>
      <c r="BE63" s="54"/>
      <c r="BF63" s="54"/>
      <c r="BG63" s="54"/>
      <c r="BH63" s="54"/>
    </row>
    <row r="64" spans="1:80" ht="15" customHeight="1">
      <c r="A64" s="54"/>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4"/>
      <c r="AV64" s="54"/>
      <c r="AW64" s="54"/>
      <c r="AX64" s="54"/>
      <c r="AY64" s="54"/>
      <c r="AZ64" s="54"/>
      <c r="BA64" s="54"/>
      <c r="BB64" s="54"/>
      <c r="BC64" s="54"/>
      <c r="BD64" s="54"/>
      <c r="BE64" s="54"/>
      <c r="BF64" s="54"/>
      <c r="BG64" s="54"/>
      <c r="BH64" s="54"/>
    </row>
    <row r="65" spans="1:60">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row>
    <row r="75" spans="1:60">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row>
    <row r="76" spans="1:60">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row>
    <row r="77" spans="1:60">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row>
    <row r="78" spans="1:60">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row>
    <row r="79" spans="1:60">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row>
    <row r="80" spans="1:60">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row>
    <row r="81" spans="1:60">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row>
    <row r="82" spans="1:60">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row>
    <row r="83" spans="1:60">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row>
    <row r="88" spans="1:60">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row>
    <row r="89" spans="1:60">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row>
    <row r="90" spans="1:60">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row>
    <row r="91" spans="1:60">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row>
    <row r="92" spans="1:60">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row>
    <row r="93" spans="1:60">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row>
    <row r="94" spans="1:60">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row>
    <row r="95" spans="1:60">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row>
    <row r="96" spans="1:60">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row>
    <row r="97" spans="1:60">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row>
    <row r="98" spans="1:60">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row>
    <row r="99" spans="1:60">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row>
    <row r="100" spans="1:60">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row>
    <row r="101" spans="1:60">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row>
    <row r="102" spans="1:60">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row>
    <row r="103" spans="1:60">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row>
    <row r="104" spans="1:60">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row>
    <row r="105" spans="1:60">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row>
    <row r="106" spans="1:60">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row>
    <row r="107" spans="1:60">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row>
    <row r="108" spans="1:60">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row>
    <row r="109" spans="1:60">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row>
    <row r="110" spans="1:60">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row>
    <row r="111" spans="1:60">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row>
    <row r="112" spans="1:60">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row>
    <row r="113" spans="1:60">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row>
    <row r="114" spans="1:60">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row>
    <row r="115" spans="1:60">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row>
    <row r="116" spans="1:60">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row>
    <row r="117" spans="1:60">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row>
    <row r="118" spans="1:60">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row>
    <row r="119" spans="1:60">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row>
    <row r="120" spans="1:60">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row>
    <row r="121" spans="1:60">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row>
    <row r="122" spans="1:60">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row>
    <row r="123" spans="1:60">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row>
    <row r="124" spans="1:60">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row>
    <row r="125" spans="1:60">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row>
    <row r="126" spans="1:60">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row>
    <row r="127" spans="1:60">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row>
    <row r="128" spans="1:60">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row>
    <row r="129" spans="1:60">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row>
    <row r="130" spans="1:60">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row>
    <row r="131" spans="1:60">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row>
    <row r="132" spans="1:60">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row>
    <row r="133" spans="1:60">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row>
    <row r="134" spans="1:60">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row>
    <row r="135" spans="1:60">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row>
    <row r="136" spans="1:60">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row>
    <row r="137" spans="1:60">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4"/>
      <c r="BA137" s="54"/>
      <c r="BB137" s="54"/>
      <c r="BC137" s="54"/>
      <c r="BD137" s="54"/>
      <c r="BE137" s="54"/>
      <c r="BF137" s="54"/>
      <c r="BG137" s="54"/>
      <c r="BH137" s="54"/>
    </row>
    <row r="138" spans="1:60">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c r="BH138" s="54"/>
    </row>
    <row r="139" spans="1:60">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54"/>
      <c r="AR139" s="54"/>
      <c r="AS139" s="54"/>
      <c r="AT139" s="54"/>
      <c r="AU139" s="54"/>
      <c r="AV139" s="54"/>
      <c r="AW139" s="54"/>
      <c r="AX139" s="54"/>
      <c r="AY139" s="54"/>
      <c r="AZ139" s="54"/>
      <c r="BA139" s="54"/>
      <c r="BB139" s="54"/>
      <c r="BC139" s="54"/>
      <c r="BD139" s="54"/>
      <c r="BE139" s="54"/>
      <c r="BF139" s="54"/>
      <c r="BG139" s="54"/>
      <c r="BH139" s="54"/>
    </row>
    <row r="140" spans="1:60">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54"/>
      <c r="AW140" s="54"/>
      <c r="AX140" s="54"/>
      <c r="AY140" s="54"/>
      <c r="AZ140" s="54"/>
      <c r="BA140" s="54"/>
      <c r="BB140" s="54"/>
      <c r="BC140" s="54"/>
      <c r="BD140" s="54"/>
      <c r="BE140" s="54"/>
      <c r="BF140" s="54"/>
      <c r="BG140" s="54"/>
      <c r="BH140" s="54"/>
    </row>
    <row r="141" spans="1:60">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row>
    <row r="142" spans="1:60">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row>
    <row r="143" spans="1:60">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c r="BA143" s="54"/>
      <c r="BB143" s="54"/>
      <c r="BC143" s="54"/>
      <c r="BD143" s="54"/>
      <c r="BE143" s="54"/>
      <c r="BF143" s="54"/>
      <c r="BG143" s="54"/>
      <c r="BH143" s="54"/>
    </row>
    <row r="144" spans="1:60">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54"/>
      <c r="AW144" s="54"/>
      <c r="AX144" s="54"/>
      <c r="AY144" s="54"/>
      <c r="AZ144" s="54"/>
      <c r="BA144" s="54"/>
      <c r="BB144" s="54"/>
      <c r="BC144" s="54"/>
      <c r="BD144" s="54"/>
      <c r="BE144" s="54"/>
      <c r="BF144" s="54"/>
      <c r="BG144" s="54"/>
      <c r="BH144" s="54"/>
    </row>
    <row r="145" spans="1:60">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4"/>
      <c r="AW145" s="54"/>
      <c r="AX145" s="54"/>
      <c r="AY145" s="54"/>
      <c r="AZ145" s="54"/>
      <c r="BA145" s="54"/>
      <c r="BB145" s="54"/>
      <c r="BC145" s="54"/>
      <c r="BD145" s="54"/>
      <c r="BE145" s="54"/>
      <c r="BF145" s="54"/>
      <c r="BG145" s="54"/>
      <c r="BH145" s="54"/>
    </row>
    <row r="146" spans="1:60">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54"/>
      <c r="AR146" s="54"/>
      <c r="AS146" s="54"/>
      <c r="AT146" s="54"/>
      <c r="AU146" s="54"/>
      <c r="AV146" s="54"/>
      <c r="AW146" s="54"/>
      <c r="AX146" s="54"/>
      <c r="AY146" s="54"/>
      <c r="AZ146" s="54"/>
      <c r="BA146" s="54"/>
      <c r="BB146" s="54"/>
      <c r="BC146" s="54"/>
      <c r="BD146" s="54"/>
      <c r="BE146" s="54"/>
      <c r="BF146" s="54"/>
      <c r="BG146" s="54"/>
      <c r="BH146" s="54"/>
    </row>
    <row r="147" spans="1:60">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row>
    <row r="148" spans="1:60">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row>
    <row r="149" spans="1:60">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row>
    <row r="150" spans="1:60">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row>
    <row r="151" spans="1:60">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row>
    <row r="152" spans="1:60">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row>
    <row r="153" spans="1:60">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row>
    <row r="154" spans="1:60">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row>
    <row r="155" spans="1:60">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row>
    <row r="156" spans="1:60">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row>
    <row r="157" spans="1:60">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54"/>
      <c r="AW157" s="54"/>
      <c r="AX157" s="54"/>
      <c r="AY157" s="54"/>
      <c r="AZ157" s="54"/>
      <c r="BA157" s="54"/>
      <c r="BB157" s="54"/>
      <c r="BC157" s="54"/>
      <c r="BD157" s="54"/>
      <c r="BE157" s="54"/>
      <c r="BF157" s="54"/>
      <c r="BG157" s="54"/>
      <c r="BH157" s="54"/>
    </row>
    <row r="158" spans="1:60">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row>
    <row r="159" spans="1:60">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54"/>
      <c r="AW159" s="54"/>
      <c r="AX159" s="54"/>
      <c r="AY159" s="54"/>
      <c r="AZ159" s="54"/>
      <c r="BA159" s="54"/>
      <c r="BB159" s="54"/>
      <c r="BC159" s="54"/>
      <c r="BD159" s="54"/>
      <c r="BE159" s="54"/>
      <c r="BF159" s="54"/>
      <c r="BG159" s="54"/>
      <c r="BH159" s="54"/>
    </row>
    <row r="160" spans="1:60">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4"/>
      <c r="AW160" s="54"/>
      <c r="AX160" s="54"/>
      <c r="AY160" s="54"/>
      <c r="AZ160" s="54"/>
      <c r="BA160" s="54"/>
      <c r="BB160" s="54"/>
      <c r="BC160" s="54"/>
      <c r="BD160" s="54"/>
      <c r="BE160" s="54"/>
      <c r="BF160" s="54"/>
      <c r="BG160" s="54"/>
      <c r="BH160" s="54"/>
    </row>
    <row r="161" spans="1:60">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54"/>
      <c r="AW161" s="54"/>
      <c r="AX161" s="54"/>
      <c r="AY161" s="54"/>
      <c r="AZ161" s="54"/>
      <c r="BA161" s="54"/>
      <c r="BB161" s="54"/>
      <c r="BC161" s="54"/>
      <c r="BD161" s="54"/>
      <c r="BE161" s="54"/>
      <c r="BF161" s="54"/>
      <c r="BG161" s="54"/>
      <c r="BH161" s="54"/>
    </row>
    <row r="162" spans="1:60">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4"/>
      <c r="AR162" s="54"/>
      <c r="AS162" s="54"/>
      <c r="AT162" s="54"/>
      <c r="AU162" s="54"/>
      <c r="AV162" s="54"/>
      <c r="AW162" s="54"/>
      <c r="AX162" s="54"/>
      <c r="AY162" s="54"/>
      <c r="AZ162" s="54"/>
      <c r="BA162" s="54"/>
      <c r="BB162" s="54"/>
      <c r="BC162" s="54"/>
      <c r="BD162" s="54"/>
      <c r="BE162" s="54"/>
      <c r="BF162" s="54"/>
      <c r="BG162" s="54"/>
      <c r="BH162" s="54"/>
    </row>
    <row r="163" spans="1:60">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c r="AK163" s="54"/>
      <c r="AL163" s="54"/>
      <c r="AM163" s="54"/>
      <c r="AN163" s="54"/>
      <c r="AO163" s="54"/>
      <c r="AP163" s="54"/>
      <c r="AQ163" s="54"/>
      <c r="AR163" s="54"/>
      <c r="AS163" s="54"/>
      <c r="AT163" s="54"/>
      <c r="AU163" s="54"/>
      <c r="AV163" s="54"/>
      <c r="AW163" s="54"/>
      <c r="AX163" s="54"/>
      <c r="AY163" s="54"/>
      <c r="AZ163" s="54"/>
      <c r="BA163" s="54"/>
      <c r="BB163" s="54"/>
      <c r="BC163" s="54"/>
      <c r="BD163" s="54"/>
      <c r="BE163" s="54"/>
      <c r="BF163" s="54"/>
      <c r="BG163" s="54"/>
      <c r="BH163" s="54"/>
    </row>
    <row r="164" spans="1:60">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4"/>
      <c r="AS164" s="54"/>
      <c r="AT164" s="54"/>
      <c r="AU164" s="54"/>
      <c r="AV164" s="54"/>
      <c r="AW164" s="54"/>
      <c r="AX164" s="54"/>
      <c r="AY164" s="54"/>
      <c r="AZ164" s="54"/>
      <c r="BA164" s="54"/>
      <c r="BB164" s="54"/>
      <c r="BC164" s="54"/>
      <c r="BD164" s="54"/>
      <c r="BE164" s="54"/>
      <c r="BF164" s="54"/>
      <c r="BG164" s="54"/>
      <c r="BH164" s="54"/>
    </row>
    <row r="165" spans="1:60">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c r="AR165" s="54"/>
      <c r="AS165" s="54"/>
      <c r="AT165" s="54"/>
      <c r="AU165" s="54"/>
      <c r="AV165" s="54"/>
      <c r="AW165" s="54"/>
      <c r="AX165" s="54"/>
      <c r="AY165" s="54"/>
      <c r="AZ165" s="54"/>
      <c r="BA165" s="54"/>
      <c r="BB165" s="54"/>
      <c r="BC165" s="54"/>
      <c r="BD165" s="54"/>
      <c r="BE165" s="54"/>
      <c r="BF165" s="54"/>
      <c r="BG165" s="54"/>
      <c r="BH165" s="54"/>
    </row>
    <row r="166" spans="1:60">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c r="AR166" s="54"/>
      <c r="AS166" s="54"/>
      <c r="AT166" s="54"/>
      <c r="AU166" s="54"/>
      <c r="AV166" s="54"/>
      <c r="AW166" s="54"/>
      <c r="AX166" s="54"/>
      <c r="AY166" s="54"/>
      <c r="AZ166" s="54"/>
      <c r="BA166" s="54"/>
      <c r="BB166" s="54"/>
      <c r="BC166" s="54"/>
      <c r="BD166" s="54"/>
      <c r="BE166" s="54"/>
      <c r="BF166" s="54"/>
      <c r="BG166" s="54"/>
      <c r="BH166" s="54"/>
    </row>
    <row r="167" spans="1:60">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54"/>
      <c r="AS167" s="54"/>
      <c r="AT167" s="54"/>
      <c r="AU167" s="54"/>
      <c r="AV167" s="54"/>
      <c r="AW167" s="54"/>
      <c r="AX167" s="54"/>
      <c r="AY167" s="54"/>
      <c r="AZ167" s="54"/>
      <c r="BA167" s="54"/>
      <c r="BB167" s="54"/>
      <c r="BC167" s="54"/>
      <c r="BD167" s="54"/>
      <c r="BE167" s="54"/>
      <c r="BF167" s="54"/>
      <c r="BG167" s="54"/>
      <c r="BH167" s="54"/>
    </row>
    <row r="168" spans="1:60">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54"/>
      <c r="AQ168" s="54"/>
      <c r="AR168" s="54"/>
      <c r="AS168" s="54"/>
      <c r="AT168" s="54"/>
      <c r="AU168" s="54"/>
      <c r="AV168" s="54"/>
      <c r="AW168" s="54"/>
      <c r="AX168" s="54"/>
      <c r="AY168" s="54"/>
      <c r="AZ168" s="54"/>
      <c r="BA168" s="54"/>
      <c r="BB168" s="54"/>
      <c r="BC168" s="54"/>
      <c r="BD168" s="54"/>
      <c r="BE168" s="54"/>
      <c r="BF168" s="54"/>
      <c r="BG168" s="54"/>
      <c r="BH168" s="54"/>
    </row>
    <row r="169" spans="1:60">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54"/>
      <c r="AL169" s="54"/>
      <c r="AM169" s="54"/>
      <c r="AN169" s="54"/>
      <c r="AO169" s="54"/>
      <c r="AP169" s="54"/>
      <c r="AQ169" s="54"/>
      <c r="AR169" s="54"/>
      <c r="AS169" s="54"/>
      <c r="AT169" s="54"/>
      <c r="AU169" s="54"/>
      <c r="AV169" s="54"/>
      <c r="AW169" s="54"/>
      <c r="AX169" s="54"/>
      <c r="AY169" s="54"/>
      <c r="AZ169" s="54"/>
      <c r="BA169" s="54"/>
      <c r="BB169" s="54"/>
      <c r="BC169" s="54"/>
      <c r="BD169" s="54"/>
      <c r="BE169" s="54"/>
      <c r="BF169" s="54"/>
      <c r="BG169" s="54"/>
      <c r="BH169" s="54"/>
    </row>
    <row r="170" spans="1:60">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54"/>
      <c r="AW170" s="54"/>
      <c r="AX170" s="54"/>
      <c r="AY170" s="54"/>
      <c r="AZ170" s="54"/>
      <c r="BA170" s="54"/>
      <c r="BB170" s="54"/>
      <c r="BC170" s="54"/>
      <c r="BD170" s="54"/>
      <c r="BE170" s="54"/>
      <c r="BF170" s="54"/>
      <c r="BG170" s="54"/>
      <c r="BH170" s="54"/>
    </row>
    <row r="171" spans="1:60">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4"/>
      <c r="AR171" s="54"/>
      <c r="AS171" s="54"/>
      <c r="AT171" s="54"/>
      <c r="AU171" s="54"/>
      <c r="AV171" s="54"/>
      <c r="AW171" s="54"/>
      <c r="AX171" s="54"/>
      <c r="AY171" s="54"/>
      <c r="AZ171" s="54"/>
      <c r="BA171" s="54"/>
      <c r="BB171" s="54"/>
      <c r="BC171" s="54"/>
      <c r="BD171" s="54"/>
      <c r="BE171" s="54"/>
      <c r="BF171" s="54"/>
      <c r="BG171" s="54"/>
      <c r="BH171" s="54"/>
    </row>
    <row r="172" spans="1:60">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4"/>
      <c r="AY172" s="54"/>
      <c r="AZ172" s="54"/>
      <c r="BA172" s="54"/>
      <c r="BB172" s="54"/>
      <c r="BC172" s="54"/>
      <c r="BD172" s="54"/>
      <c r="BE172" s="54"/>
      <c r="BF172" s="54"/>
      <c r="BG172" s="54"/>
      <c r="BH172" s="54"/>
    </row>
    <row r="173" spans="1:60">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54"/>
      <c r="AW173" s="54"/>
      <c r="AX173" s="54"/>
      <c r="AY173" s="54"/>
      <c r="AZ173" s="54"/>
      <c r="BA173" s="54"/>
      <c r="BB173" s="54"/>
      <c r="BC173" s="54"/>
      <c r="BD173" s="54"/>
      <c r="BE173" s="54"/>
      <c r="BF173" s="54"/>
      <c r="BG173" s="54"/>
      <c r="BH173" s="54"/>
    </row>
    <row r="174" spans="1:60">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4"/>
      <c r="AR174" s="54"/>
      <c r="AS174" s="54"/>
      <c r="AT174" s="54"/>
      <c r="AU174" s="54"/>
      <c r="AV174" s="54"/>
      <c r="AW174" s="54"/>
      <c r="AX174" s="54"/>
      <c r="AY174" s="54"/>
      <c r="AZ174" s="54"/>
      <c r="BA174" s="54"/>
      <c r="BB174" s="54"/>
      <c r="BC174" s="54"/>
      <c r="BD174" s="54"/>
      <c r="BE174" s="54"/>
      <c r="BF174" s="54"/>
      <c r="BG174" s="54"/>
      <c r="BH174" s="54"/>
    </row>
    <row r="175" spans="1:60">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4"/>
      <c r="AW175" s="54"/>
      <c r="AX175" s="54"/>
      <c r="AY175" s="54"/>
      <c r="AZ175" s="54"/>
      <c r="BA175" s="54"/>
      <c r="BB175" s="54"/>
      <c r="BC175" s="54"/>
      <c r="BD175" s="54"/>
      <c r="BE175" s="54"/>
      <c r="BF175" s="54"/>
      <c r="BG175" s="54"/>
      <c r="BH175" s="54"/>
    </row>
    <row r="176" spans="1:60">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c r="AN176" s="54"/>
      <c r="AO176" s="54"/>
      <c r="AP176" s="54"/>
      <c r="AQ176" s="54"/>
      <c r="AR176" s="54"/>
      <c r="AS176" s="54"/>
      <c r="AT176" s="54"/>
      <c r="AU176" s="54"/>
      <c r="AV176" s="54"/>
      <c r="AW176" s="54"/>
      <c r="AX176" s="54"/>
      <c r="AY176" s="54"/>
      <c r="AZ176" s="54"/>
      <c r="BA176" s="54"/>
      <c r="BB176" s="54"/>
      <c r="BC176" s="54"/>
      <c r="BD176" s="54"/>
      <c r="BE176" s="54"/>
      <c r="BF176" s="54"/>
      <c r="BG176" s="54"/>
      <c r="BH176" s="54"/>
    </row>
    <row r="177" spans="1:60">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c r="AN177" s="54"/>
      <c r="AO177" s="54"/>
      <c r="AP177" s="54"/>
      <c r="AQ177" s="54"/>
      <c r="AR177" s="54"/>
      <c r="AS177" s="54"/>
      <c r="AT177" s="54"/>
      <c r="AU177" s="54"/>
      <c r="AV177" s="54"/>
      <c r="AW177" s="54"/>
      <c r="AX177" s="54"/>
      <c r="AY177" s="54"/>
      <c r="AZ177" s="54"/>
      <c r="BA177" s="54"/>
      <c r="BB177" s="54"/>
      <c r="BC177" s="54"/>
      <c r="BD177" s="54"/>
      <c r="BE177" s="54"/>
      <c r="BF177" s="54"/>
      <c r="BG177" s="54"/>
      <c r="BH177" s="54"/>
    </row>
    <row r="178" spans="1:60">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c r="AN178" s="54"/>
      <c r="AO178" s="54"/>
      <c r="AP178" s="54"/>
      <c r="AQ178" s="54"/>
      <c r="AR178" s="54"/>
      <c r="AS178" s="54"/>
      <c r="AT178" s="54"/>
      <c r="AU178" s="54"/>
      <c r="AV178" s="54"/>
      <c r="AW178" s="54"/>
      <c r="AX178" s="54"/>
      <c r="AY178" s="54"/>
      <c r="AZ178" s="54"/>
      <c r="BA178" s="54"/>
      <c r="BB178" s="54"/>
      <c r="BC178" s="54"/>
      <c r="BD178" s="54"/>
      <c r="BE178" s="54"/>
      <c r="BF178" s="54"/>
      <c r="BG178" s="54"/>
      <c r="BH178" s="54"/>
    </row>
    <row r="179" spans="1:60">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c r="AD179" s="54"/>
      <c r="AE179" s="54"/>
      <c r="AF179" s="54"/>
      <c r="AG179" s="54"/>
      <c r="AH179" s="54"/>
      <c r="AI179" s="54"/>
      <c r="AJ179" s="54"/>
      <c r="AK179" s="54"/>
      <c r="AL179" s="54"/>
      <c r="AM179" s="54"/>
      <c r="AN179" s="54"/>
      <c r="AO179" s="54"/>
      <c r="AP179" s="54"/>
      <c r="AQ179" s="54"/>
      <c r="AR179" s="54"/>
      <c r="AS179" s="54"/>
      <c r="AT179" s="54"/>
      <c r="AU179" s="54"/>
      <c r="AV179" s="54"/>
      <c r="AW179" s="54"/>
      <c r="AX179" s="54"/>
      <c r="AY179" s="54"/>
      <c r="AZ179" s="54"/>
      <c r="BA179" s="54"/>
      <c r="BB179" s="54"/>
      <c r="BC179" s="54"/>
      <c r="BD179" s="54"/>
      <c r="BE179" s="54"/>
      <c r="BF179" s="54"/>
      <c r="BG179" s="54"/>
      <c r="BH179" s="54"/>
    </row>
    <row r="180" spans="1:60">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54"/>
      <c r="AP180" s="54"/>
      <c r="AQ180" s="54"/>
      <c r="AR180" s="54"/>
      <c r="AS180" s="54"/>
      <c r="AT180" s="54"/>
      <c r="AU180" s="54"/>
      <c r="AV180" s="54"/>
      <c r="AW180" s="54"/>
      <c r="AX180" s="54"/>
      <c r="AY180" s="54"/>
      <c r="AZ180" s="54"/>
      <c r="BA180" s="54"/>
      <c r="BB180" s="54"/>
      <c r="BC180" s="54"/>
      <c r="BD180" s="54"/>
      <c r="BE180" s="54"/>
      <c r="BF180" s="54"/>
      <c r="BG180" s="54"/>
      <c r="BH180" s="54"/>
    </row>
    <row r="181" spans="1:60">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c r="AN181" s="54"/>
      <c r="AO181" s="54"/>
      <c r="AP181" s="54"/>
      <c r="AQ181" s="54"/>
      <c r="AR181" s="54"/>
      <c r="AS181" s="54"/>
      <c r="AT181" s="54"/>
      <c r="AU181" s="54"/>
      <c r="AV181" s="54"/>
      <c r="AW181" s="54"/>
      <c r="AX181" s="54"/>
      <c r="AY181" s="54"/>
      <c r="AZ181" s="54"/>
      <c r="BA181" s="54"/>
      <c r="BB181" s="54"/>
      <c r="BC181" s="54"/>
      <c r="BD181" s="54"/>
      <c r="BE181" s="54"/>
      <c r="BF181" s="54"/>
      <c r="BG181" s="54"/>
      <c r="BH181" s="54"/>
    </row>
    <row r="182" spans="1:60">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54"/>
      <c r="AR182" s="54"/>
      <c r="AS182" s="54"/>
      <c r="AT182" s="54"/>
      <c r="AU182" s="54"/>
      <c r="AV182" s="54"/>
      <c r="AW182" s="54"/>
      <c r="AX182" s="54"/>
      <c r="AY182" s="54"/>
      <c r="AZ182" s="54"/>
      <c r="BA182" s="54"/>
      <c r="BB182" s="54"/>
      <c r="BC182" s="54"/>
      <c r="BD182" s="54"/>
      <c r="BE182" s="54"/>
      <c r="BF182" s="54"/>
      <c r="BG182" s="54"/>
      <c r="BH182" s="54"/>
    </row>
    <row r="183" spans="1:60">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c r="AR183" s="54"/>
      <c r="AS183" s="54"/>
      <c r="AT183" s="54"/>
      <c r="AU183" s="54"/>
      <c r="AV183" s="54"/>
      <c r="AW183" s="54"/>
      <c r="AX183" s="54"/>
      <c r="AY183" s="54"/>
      <c r="AZ183" s="54"/>
      <c r="BA183" s="54"/>
      <c r="BB183" s="54"/>
      <c r="BC183" s="54"/>
      <c r="BD183" s="54"/>
      <c r="BE183" s="54"/>
      <c r="BF183" s="54"/>
      <c r="BG183" s="54"/>
      <c r="BH183" s="54"/>
    </row>
    <row r="184" spans="1:60">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c r="AK184" s="54"/>
      <c r="AL184" s="54"/>
      <c r="AM184" s="54"/>
      <c r="AN184" s="54"/>
      <c r="AO184" s="54"/>
      <c r="AP184" s="54"/>
      <c r="AQ184" s="54"/>
      <c r="AR184" s="54"/>
      <c r="AS184" s="54"/>
      <c r="AT184" s="54"/>
      <c r="AU184" s="54"/>
      <c r="AV184" s="54"/>
      <c r="AW184" s="54"/>
      <c r="AX184" s="54"/>
      <c r="AY184" s="54"/>
      <c r="AZ184" s="54"/>
      <c r="BA184" s="54"/>
      <c r="BB184" s="54"/>
      <c r="BC184" s="54"/>
      <c r="BD184" s="54"/>
      <c r="BE184" s="54"/>
      <c r="BF184" s="54"/>
      <c r="BG184" s="54"/>
      <c r="BH184" s="54"/>
    </row>
    <row r="185" spans="1:60">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c r="AN185" s="54"/>
      <c r="AO185" s="54"/>
      <c r="AP185" s="54"/>
      <c r="AQ185" s="54"/>
      <c r="AR185" s="54"/>
      <c r="AS185" s="54"/>
      <c r="AT185" s="54"/>
      <c r="AU185" s="54"/>
      <c r="AV185" s="54"/>
      <c r="AW185" s="54"/>
      <c r="AX185" s="54"/>
      <c r="AY185" s="54"/>
      <c r="AZ185" s="54"/>
      <c r="BA185" s="54"/>
      <c r="BB185" s="54"/>
      <c r="BC185" s="54"/>
      <c r="BD185" s="54"/>
      <c r="BE185" s="54"/>
      <c r="BF185" s="54"/>
      <c r="BG185" s="54"/>
      <c r="BH185" s="54"/>
    </row>
    <row r="186" spans="1:60">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c r="AN186" s="54"/>
      <c r="AO186" s="54"/>
      <c r="AP186" s="54"/>
      <c r="AQ186" s="54"/>
      <c r="AR186" s="54"/>
      <c r="AS186" s="54"/>
      <c r="AT186" s="54"/>
      <c r="AU186" s="54"/>
      <c r="AV186" s="54"/>
      <c r="AW186" s="54"/>
      <c r="AX186" s="54"/>
      <c r="AY186" s="54"/>
      <c r="AZ186" s="54"/>
      <c r="BA186" s="54"/>
      <c r="BB186" s="54"/>
      <c r="BC186" s="54"/>
      <c r="BD186" s="54"/>
      <c r="BE186" s="54"/>
      <c r="BF186" s="54"/>
      <c r="BG186" s="54"/>
      <c r="BH186" s="54"/>
    </row>
    <row r="187" spans="1:60">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c r="AN187" s="54"/>
      <c r="AO187" s="54"/>
      <c r="AP187" s="54"/>
      <c r="AQ187" s="54"/>
      <c r="AR187" s="54"/>
      <c r="AS187" s="54"/>
      <c r="AT187" s="54"/>
      <c r="AU187" s="54"/>
      <c r="AV187" s="54"/>
      <c r="AW187" s="54"/>
      <c r="AX187" s="54"/>
      <c r="AY187" s="54"/>
      <c r="AZ187" s="54"/>
      <c r="BA187" s="54"/>
      <c r="BB187" s="54"/>
      <c r="BC187" s="54"/>
      <c r="BD187" s="54"/>
      <c r="BE187" s="54"/>
      <c r="BF187" s="54"/>
      <c r="BG187" s="54"/>
      <c r="BH187" s="54"/>
    </row>
    <row r="188" spans="1:60">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54"/>
      <c r="AR188" s="54"/>
      <c r="AS188" s="54"/>
      <c r="AT188" s="54"/>
      <c r="AU188" s="54"/>
      <c r="AV188" s="54"/>
      <c r="AW188" s="54"/>
      <c r="AX188" s="54"/>
      <c r="AY188" s="54"/>
      <c r="AZ188" s="54"/>
      <c r="BA188" s="54"/>
      <c r="BB188" s="54"/>
      <c r="BC188" s="54"/>
      <c r="BD188" s="54"/>
      <c r="BE188" s="54"/>
      <c r="BF188" s="54"/>
      <c r="BG188" s="54"/>
      <c r="BH188" s="54"/>
    </row>
    <row r="189" spans="1:60">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54"/>
      <c r="AP189" s="54"/>
      <c r="AQ189" s="54"/>
      <c r="AR189" s="54"/>
      <c r="AS189" s="54"/>
      <c r="AT189" s="54"/>
      <c r="AU189" s="54"/>
      <c r="AV189" s="54"/>
      <c r="AW189" s="54"/>
      <c r="AX189" s="54"/>
      <c r="AY189" s="54"/>
      <c r="AZ189" s="54"/>
      <c r="BA189" s="54"/>
      <c r="BB189" s="54"/>
      <c r="BC189" s="54"/>
      <c r="BD189" s="54"/>
      <c r="BE189" s="54"/>
      <c r="BF189" s="54"/>
      <c r="BG189" s="54"/>
      <c r="BH189" s="54"/>
    </row>
    <row r="190" spans="1:60">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54"/>
      <c r="AR190" s="54"/>
      <c r="AS190" s="54"/>
      <c r="AT190" s="54"/>
      <c r="AU190" s="54"/>
      <c r="AV190" s="54"/>
      <c r="AW190" s="54"/>
      <c r="AX190" s="54"/>
      <c r="AY190" s="54"/>
      <c r="AZ190" s="54"/>
      <c r="BA190" s="54"/>
      <c r="BB190" s="54"/>
      <c r="BC190" s="54"/>
      <c r="BD190" s="54"/>
      <c r="BE190" s="54"/>
      <c r="BF190" s="54"/>
      <c r="BG190" s="54"/>
      <c r="BH190" s="54"/>
    </row>
    <row r="191" spans="1:60">
      <c r="A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c r="AK191" s="54"/>
      <c r="AL191" s="54"/>
      <c r="AM191" s="54"/>
      <c r="AN191" s="54"/>
      <c r="AO191" s="54"/>
      <c r="AP191" s="54"/>
      <c r="AQ191" s="54"/>
      <c r="AR191" s="54"/>
      <c r="AS191" s="54"/>
      <c r="AT191" s="54"/>
      <c r="AU191" s="54"/>
      <c r="AV191" s="54"/>
      <c r="AW191" s="54"/>
      <c r="AX191" s="54"/>
      <c r="AY191" s="54"/>
      <c r="AZ191" s="54"/>
      <c r="BA191" s="54"/>
      <c r="BB191" s="54"/>
      <c r="BC191" s="54"/>
      <c r="BD191" s="54"/>
      <c r="BE191" s="54"/>
      <c r="BF191" s="54"/>
      <c r="BG191" s="54"/>
      <c r="BH191" s="54"/>
    </row>
    <row r="192" spans="1:60">
      <c r="A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c r="AR192" s="54"/>
      <c r="AS192" s="54"/>
      <c r="AT192" s="54"/>
      <c r="AU192" s="54"/>
      <c r="AV192" s="54"/>
      <c r="AW192" s="54"/>
      <c r="AX192" s="54"/>
      <c r="AY192" s="54"/>
      <c r="AZ192" s="54"/>
      <c r="BA192" s="54"/>
      <c r="BB192" s="54"/>
      <c r="BC192" s="54"/>
      <c r="BD192" s="54"/>
      <c r="BE192" s="54"/>
      <c r="BF192" s="54"/>
      <c r="BG192" s="54"/>
      <c r="BH192" s="54"/>
    </row>
    <row r="193" spans="1:60">
      <c r="A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c r="AM193" s="54"/>
      <c r="AN193" s="54"/>
      <c r="AO193" s="54"/>
      <c r="AP193" s="54"/>
      <c r="AQ193" s="54"/>
      <c r="AR193" s="54"/>
      <c r="AS193" s="54"/>
      <c r="AT193" s="54"/>
      <c r="AU193" s="54"/>
      <c r="AV193" s="54"/>
      <c r="AW193" s="54"/>
      <c r="AX193" s="54"/>
      <c r="AY193" s="54"/>
      <c r="AZ193" s="54"/>
      <c r="BA193" s="54"/>
      <c r="BB193" s="54"/>
      <c r="BC193" s="54"/>
      <c r="BD193" s="54"/>
      <c r="BE193" s="54"/>
      <c r="BF193" s="54"/>
      <c r="BG193" s="54"/>
      <c r="BH193" s="54"/>
    </row>
    <row r="194" spans="1:60">
      <c r="A194" s="54"/>
      <c r="J194" s="54"/>
      <c r="K194" s="54"/>
      <c r="L194" s="54"/>
      <c r="M194" s="54"/>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c r="AK194" s="54"/>
      <c r="AL194" s="54"/>
      <c r="AM194" s="54"/>
      <c r="AN194" s="54"/>
      <c r="AO194" s="54"/>
      <c r="AP194" s="54"/>
      <c r="AQ194" s="54"/>
      <c r="AR194" s="54"/>
      <c r="AS194" s="54"/>
      <c r="AT194" s="54"/>
      <c r="AU194" s="54"/>
      <c r="AV194" s="54"/>
      <c r="AW194" s="54"/>
      <c r="AX194" s="54"/>
      <c r="AY194" s="54"/>
      <c r="AZ194" s="54"/>
      <c r="BA194" s="54"/>
      <c r="BB194" s="54"/>
      <c r="BC194" s="54"/>
      <c r="BD194" s="54"/>
      <c r="BE194" s="54"/>
      <c r="BF194" s="54"/>
      <c r="BG194" s="54"/>
      <c r="BH194" s="54"/>
    </row>
    <row r="195" spans="1:60">
      <c r="A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c r="AM195" s="54"/>
      <c r="AN195" s="54"/>
      <c r="AO195" s="54"/>
      <c r="AP195" s="54"/>
      <c r="AQ195" s="54"/>
      <c r="AR195" s="54"/>
      <c r="AS195" s="54"/>
      <c r="AT195" s="54"/>
      <c r="AU195" s="54"/>
      <c r="AV195" s="54"/>
      <c r="AW195" s="54"/>
      <c r="AX195" s="54"/>
      <c r="AY195" s="54"/>
      <c r="AZ195" s="54"/>
      <c r="BA195" s="54"/>
      <c r="BB195" s="54"/>
      <c r="BC195" s="54"/>
      <c r="BD195" s="54"/>
      <c r="BE195" s="54"/>
      <c r="BF195" s="54"/>
      <c r="BG195" s="54"/>
      <c r="BH195" s="54"/>
    </row>
    <row r="196" spans="1:60">
      <c r="A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c r="AK196" s="54"/>
      <c r="AL196" s="54"/>
      <c r="AM196" s="54"/>
      <c r="AN196" s="54"/>
      <c r="AO196" s="54"/>
      <c r="AP196" s="54"/>
      <c r="AQ196" s="54"/>
      <c r="AR196" s="54"/>
      <c r="AS196" s="54"/>
      <c r="AT196" s="54"/>
      <c r="AU196" s="54"/>
      <c r="AV196" s="54"/>
      <c r="AW196" s="54"/>
      <c r="AX196" s="54"/>
      <c r="AY196" s="54"/>
      <c r="AZ196" s="54"/>
      <c r="BA196" s="54"/>
      <c r="BB196" s="54"/>
      <c r="BC196" s="54"/>
      <c r="BD196" s="54"/>
      <c r="BE196" s="54"/>
      <c r="BF196" s="54"/>
      <c r="BG196" s="54"/>
      <c r="BH196" s="54"/>
    </row>
    <row r="197" spans="1:60">
      <c r="A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c r="AK197" s="54"/>
      <c r="AL197" s="54"/>
      <c r="AM197" s="54"/>
      <c r="AN197" s="54"/>
      <c r="AO197" s="54"/>
      <c r="AP197" s="54"/>
      <c r="AQ197" s="54"/>
      <c r="AR197" s="54"/>
      <c r="AS197" s="54"/>
      <c r="AT197" s="54"/>
      <c r="AU197" s="54"/>
      <c r="AV197" s="54"/>
      <c r="AW197" s="54"/>
      <c r="AX197" s="54"/>
      <c r="AY197" s="54"/>
      <c r="AZ197" s="54"/>
      <c r="BA197" s="54"/>
      <c r="BB197" s="54"/>
      <c r="BC197" s="54"/>
      <c r="BD197" s="54"/>
      <c r="BE197" s="54"/>
      <c r="BF197" s="54"/>
      <c r="BG197" s="54"/>
      <c r="BH197" s="54"/>
    </row>
    <row r="198" spans="1:60">
      <c r="A198" s="54"/>
      <c r="J198" s="54"/>
      <c r="K198" s="54"/>
      <c r="L198" s="54"/>
      <c r="M198" s="54"/>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c r="AK198" s="54"/>
      <c r="AL198" s="54"/>
      <c r="AM198" s="54"/>
      <c r="AN198" s="54"/>
      <c r="AO198" s="54"/>
      <c r="AP198" s="54"/>
      <c r="AQ198" s="54"/>
      <c r="AR198" s="54"/>
      <c r="AS198" s="54"/>
      <c r="AT198" s="54"/>
      <c r="AU198" s="54"/>
      <c r="AV198" s="54"/>
      <c r="AW198" s="54"/>
      <c r="AX198" s="54"/>
      <c r="AY198" s="54"/>
      <c r="AZ198" s="54"/>
      <c r="BA198" s="54"/>
      <c r="BB198" s="54"/>
      <c r="BC198" s="54"/>
      <c r="BD198" s="54"/>
      <c r="BE198" s="54"/>
      <c r="BF198" s="54"/>
      <c r="BG198" s="54"/>
      <c r="BH198" s="54"/>
    </row>
    <row r="199" spans="1:60">
      <c r="A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c r="AK199" s="54"/>
      <c r="AL199" s="54"/>
      <c r="AM199" s="54"/>
      <c r="AN199" s="54"/>
      <c r="AO199" s="54"/>
      <c r="AP199" s="54"/>
      <c r="AQ199" s="54"/>
      <c r="AR199" s="54"/>
      <c r="AS199" s="54"/>
      <c r="AT199" s="54"/>
      <c r="AU199" s="54"/>
      <c r="AV199" s="54"/>
      <c r="AW199" s="54"/>
      <c r="AX199" s="54"/>
      <c r="AY199" s="54"/>
      <c r="AZ199" s="54"/>
      <c r="BA199" s="54"/>
      <c r="BB199" s="54"/>
      <c r="BC199" s="54"/>
      <c r="BD199" s="54"/>
      <c r="BE199" s="54"/>
      <c r="BF199" s="54"/>
      <c r="BG199" s="54"/>
      <c r="BH199" s="54"/>
    </row>
    <row r="200" spans="1:60">
      <c r="A200" s="54"/>
      <c r="J200" s="54"/>
      <c r="K200" s="54"/>
      <c r="L200" s="54"/>
      <c r="M200" s="54"/>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c r="AK200" s="54"/>
      <c r="AL200" s="54"/>
      <c r="AM200" s="54"/>
      <c r="AN200" s="54"/>
      <c r="AO200" s="54"/>
      <c r="AP200" s="54"/>
      <c r="AQ200" s="54"/>
      <c r="AR200" s="54"/>
      <c r="AS200" s="54"/>
      <c r="AT200" s="54"/>
      <c r="AU200" s="54"/>
      <c r="AV200" s="54"/>
      <c r="AW200" s="54"/>
      <c r="AX200" s="54"/>
      <c r="AY200" s="54"/>
      <c r="AZ200" s="54"/>
      <c r="BA200" s="54"/>
      <c r="BB200" s="54"/>
      <c r="BC200" s="54"/>
      <c r="BD200" s="54"/>
      <c r="BE200" s="54"/>
      <c r="BF200" s="54"/>
      <c r="BG200" s="54"/>
      <c r="BH200" s="54"/>
    </row>
    <row r="201" spans="1:60">
      <c r="A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c r="AK201" s="54"/>
      <c r="AL201" s="54"/>
      <c r="AM201" s="54"/>
      <c r="AN201" s="54"/>
      <c r="AO201" s="54"/>
      <c r="AP201" s="54"/>
      <c r="AQ201" s="54"/>
      <c r="AR201" s="54"/>
      <c r="AS201" s="54"/>
      <c r="AT201" s="54"/>
      <c r="AU201" s="54"/>
      <c r="AV201" s="54"/>
      <c r="AW201" s="54"/>
      <c r="AX201" s="54"/>
      <c r="AY201" s="54"/>
      <c r="AZ201" s="54"/>
      <c r="BA201" s="54"/>
      <c r="BB201" s="54"/>
      <c r="BC201" s="54"/>
      <c r="BD201" s="54"/>
      <c r="BE201" s="54"/>
      <c r="BF201" s="54"/>
      <c r="BG201" s="54"/>
      <c r="BH201" s="54"/>
    </row>
    <row r="202" spans="1:60">
      <c r="A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c r="AK202" s="54"/>
      <c r="AL202" s="54"/>
      <c r="AM202" s="54"/>
      <c r="AN202" s="54"/>
      <c r="AO202" s="54"/>
      <c r="AP202" s="54"/>
      <c r="AQ202" s="54"/>
      <c r="AR202" s="54"/>
      <c r="AS202" s="54"/>
      <c r="AT202" s="54"/>
      <c r="AU202" s="54"/>
      <c r="AV202" s="54"/>
      <c r="AW202" s="54"/>
      <c r="AX202" s="54"/>
      <c r="AY202" s="54"/>
      <c r="AZ202" s="54"/>
      <c r="BA202" s="54"/>
      <c r="BB202" s="54"/>
      <c r="BC202" s="54"/>
      <c r="BD202" s="54"/>
      <c r="BE202" s="54"/>
      <c r="BF202" s="54"/>
      <c r="BG202" s="54"/>
      <c r="BH202" s="54"/>
    </row>
    <row r="203" spans="1:60">
      <c r="A203" s="54"/>
      <c r="J203" s="54"/>
      <c r="K203" s="54"/>
      <c r="L203" s="54"/>
      <c r="M203" s="54"/>
      <c r="N203" s="54"/>
      <c r="O203" s="54"/>
      <c r="P203" s="54"/>
      <c r="Q203" s="54"/>
      <c r="R203" s="54"/>
      <c r="S203" s="54"/>
      <c r="T203" s="54"/>
      <c r="U203" s="54"/>
      <c r="V203" s="54"/>
      <c r="W203" s="54"/>
      <c r="X203" s="54"/>
      <c r="Y203" s="54"/>
      <c r="Z203" s="54"/>
      <c r="AA203" s="54"/>
      <c r="AB203" s="54"/>
      <c r="AC203" s="54"/>
      <c r="AD203" s="54"/>
      <c r="AE203" s="54"/>
      <c r="AF203" s="54"/>
      <c r="AG203" s="54"/>
      <c r="AH203" s="54"/>
      <c r="AI203" s="54"/>
      <c r="AJ203" s="54"/>
      <c r="AK203" s="54"/>
      <c r="AL203" s="54"/>
      <c r="AM203" s="54"/>
      <c r="AN203" s="54"/>
      <c r="AO203" s="54"/>
      <c r="AP203" s="54"/>
      <c r="AQ203" s="54"/>
      <c r="AR203" s="54"/>
      <c r="AS203" s="54"/>
      <c r="AT203" s="54"/>
      <c r="AU203" s="54"/>
      <c r="AV203" s="54"/>
      <c r="AW203" s="54"/>
      <c r="AX203" s="54"/>
      <c r="AY203" s="54"/>
      <c r="AZ203" s="54"/>
      <c r="BA203" s="54"/>
      <c r="BB203" s="54"/>
      <c r="BC203" s="54"/>
      <c r="BD203" s="54"/>
      <c r="BE203" s="54"/>
      <c r="BF203" s="54"/>
      <c r="BG203" s="54"/>
      <c r="BH203" s="54"/>
    </row>
    <row r="204" spans="1:60">
      <c r="A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c r="AK204" s="54"/>
      <c r="AL204" s="54"/>
      <c r="AM204" s="54"/>
      <c r="AN204" s="54"/>
      <c r="AO204" s="54"/>
      <c r="AP204" s="54"/>
      <c r="AQ204" s="54"/>
      <c r="AR204" s="54"/>
      <c r="AS204" s="54"/>
      <c r="AT204" s="54"/>
      <c r="AU204" s="54"/>
      <c r="AV204" s="54"/>
      <c r="AW204" s="54"/>
      <c r="AX204" s="54"/>
      <c r="AY204" s="54"/>
      <c r="AZ204" s="54"/>
      <c r="BA204" s="54"/>
      <c r="BB204" s="54"/>
      <c r="BC204" s="54"/>
      <c r="BD204" s="54"/>
      <c r="BE204" s="54"/>
      <c r="BF204" s="54"/>
      <c r="BG204" s="54"/>
      <c r="BH204" s="54"/>
    </row>
    <row r="205" spans="1:60">
      <c r="A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c r="AH205" s="54"/>
      <c r="AI205" s="54"/>
      <c r="AJ205" s="54"/>
      <c r="AK205" s="54"/>
      <c r="AL205" s="54"/>
      <c r="AM205" s="54"/>
      <c r="AN205" s="54"/>
      <c r="AO205" s="54"/>
      <c r="AP205" s="54"/>
      <c r="AQ205" s="54"/>
      <c r="AR205" s="54"/>
      <c r="AS205" s="54"/>
      <c r="AT205" s="54"/>
      <c r="AU205" s="54"/>
      <c r="AV205" s="54"/>
      <c r="AW205" s="54"/>
      <c r="AX205" s="54"/>
      <c r="AY205" s="54"/>
      <c r="AZ205" s="54"/>
      <c r="BA205" s="54"/>
      <c r="BB205" s="54"/>
      <c r="BC205" s="54"/>
      <c r="BD205" s="54"/>
      <c r="BE205" s="54"/>
      <c r="BF205" s="54"/>
      <c r="BG205" s="54"/>
      <c r="BH205" s="54"/>
    </row>
    <row r="206" spans="1:60">
      <c r="A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c r="AK206" s="54"/>
      <c r="AL206" s="54"/>
      <c r="AM206" s="54"/>
      <c r="AN206" s="54"/>
      <c r="AO206" s="54"/>
      <c r="AP206" s="54"/>
      <c r="AQ206" s="54"/>
      <c r="AR206" s="54"/>
      <c r="AS206" s="54"/>
      <c r="AT206" s="54"/>
      <c r="AU206" s="54"/>
      <c r="AV206" s="54"/>
      <c r="AW206" s="54"/>
      <c r="AX206" s="54"/>
      <c r="AY206" s="54"/>
      <c r="AZ206" s="54"/>
      <c r="BA206" s="54"/>
      <c r="BB206" s="54"/>
      <c r="BC206" s="54"/>
      <c r="BD206" s="54"/>
      <c r="BE206" s="54"/>
      <c r="BF206" s="54"/>
      <c r="BG206" s="54"/>
      <c r="BH206" s="54"/>
    </row>
    <row r="207" spans="1:60">
      <c r="A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c r="AN207" s="54"/>
      <c r="AO207" s="54"/>
      <c r="AP207" s="54"/>
      <c r="AQ207" s="54"/>
      <c r="AR207" s="54"/>
      <c r="AS207" s="54"/>
      <c r="AT207" s="54"/>
      <c r="AU207" s="54"/>
      <c r="AV207" s="54"/>
      <c r="AW207" s="54"/>
      <c r="AX207" s="54"/>
      <c r="AY207" s="54"/>
      <c r="AZ207" s="54"/>
      <c r="BA207" s="54"/>
      <c r="BB207" s="54"/>
      <c r="BC207" s="54"/>
      <c r="BD207" s="54"/>
      <c r="BE207" s="54"/>
      <c r="BF207" s="54"/>
      <c r="BG207" s="54"/>
      <c r="BH207" s="54"/>
    </row>
    <row r="208" spans="1:60">
      <c r="A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c r="AM208" s="54"/>
      <c r="AN208" s="54"/>
      <c r="AO208" s="54"/>
      <c r="AP208" s="54"/>
      <c r="AQ208" s="54"/>
      <c r="AR208" s="54"/>
      <c r="AS208" s="54"/>
      <c r="AT208" s="54"/>
      <c r="AU208" s="54"/>
      <c r="AV208" s="54"/>
      <c r="AW208" s="54"/>
      <c r="AX208" s="54"/>
      <c r="AY208" s="54"/>
      <c r="AZ208" s="54"/>
      <c r="BA208" s="54"/>
      <c r="BB208" s="54"/>
      <c r="BC208" s="54"/>
      <c r="BD208" s="54"/>
      <c r="BE208" s="54"/>
      <c r="BF208" s="54"/>
      <c r="BG208" s="54"/>
      <c r="BH208" s="54"/>
    </row>
    <row r="209" spans="1:60">
      <c r="A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c r="AK209" s="54"/>
      <c r="AL209" s="54"/>
      <c r="AM209" s="54"/>
      <c r="AN209" s="54"/>
      <c r="AO209" s="54"/>
      <c r="AP209" s="54"/>
      <c r="AQ209" s="54"/>
      <c r="AR209" s="54"/>
      <c r="AS209" s="54"/>
      <c r="AT209" s="54"/>
      <c r="AU209" s="54"/>
      <c r="AV209" s="54"/>
      <c r="AW209" s="54"/>
      <c r="AX209" s="54"/>
      <c r="AY209" s="54"/>
      <c r="AZ209" s="54"/>
      <c r="BA209" s="54"/>
      <c r="BB209" s="54"/>
      <c r="BC209" s="54"/>
      <c r="BD209" s="54"/>
      <c r="BE209" s="54"/>
      <c r="BF209" s="54"/>
      <c r="BG209" s="54"/>
      <c r="BH209" s="54"/>
    </row>
    <row r="210" spans="1:60">
      <c r="A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4"/>
      <c r="BA210" s="54"/>
      <c r="BB210" s="54"/>
      <c r="BC210" s="54"/>
      <c r="BD210" s="54"/>
      <c r="BE210" s="54"/>
      <c r="BF210" s="54"/>
      <c r="BG210" s="54"/>
      <c r="BH210" s="54"/>
    </row>
    <row r="211" spans="1:60">
      <c r="A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c r="AN211" s="54"/>
      <c r="AO211" s="54"/>
      <c r="AP211" s="54"/>
      <c r="AQ211" s="54"/>
      <c r="AR211" s="54"/>
      <c r="AS211" s="54"/>
      <c r="AT211" s="54"/>
      <c r="AU211" s="54"/>
      <c r="AV211" s="54"/>
      <c r="AW211" s="54"/>
      <c r="AX211" s="54"/>
      <c r="AY211" s="54"/>
      <c r="AZ211" s="54"/>
      <c r="BA211" s="54"/>
      <c r="BB211" s="54"/>
      <c r="BC211" s="54"/>
      <c r="BD211" s="54"/>
      <c r="BE211" s="54"/>
      <c r="BF211" s="54"/>
      <c r="BG211" s="54"/>
      <c r="BH211" s="54"/>
    </row>
    <row r="212" spans="1:60">
      <c r="A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c r="AK212" s="54"/>
      <c r="AL212" s="54"/>
      <c r="AM212" s="54"/>
      <c r="AN212" s="54"/>
      <c r="AO212" s="54"/>
      <c r="AP212" s="54"/>
      <c r="AQ212" s="54"/>
      <c r="AR212" s="54"/>
      <c r="AS212" s="54"/>
      <c r="AT212" s="54"/>
      <c r="AU212" s="54"/>
      <c r="AV212" s="54"/>
      <c r="AW212" s="54"/>
      <c r="AX212" s="54"/>
      <c r="AY212" s="54"/>
      <c r="AZ212" s="54"/>
      <c r="BA212" s="54"/>
      <c r="BB212" s="54"/>
      <c r="BC212" s="54"/>
      <c r="BD212" s="54"/>
      <c r="BE212" s="54"/>
      <c r="BF212" s="54"/>
      <c r="BG212" s="54"/>
      <c r="BH212" s="54"/>
    </row>
    <row r="213" spans="1:60">
      <c r="A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c r="AK213" s="54"/>
      <c r="AL213" s="54"/>
      <c r="AM213" s="54"/>
      <c r="AN213" s="54"/>
      <c r="AO213" s="54"/>
      <c r="AP213" s="54"/>
      <c r="AQ213" s="54"/>
      <c r="AR213" s="54"/>
      <c r="AS213" s="54"/>
      <c r="AT213" s="54"/>
      <c r="AU213" s="54"/>
      <c r="AV213" s="54"/>
      <c r="AW213" s="54"/>
      <c r="AX213" s="54"/>
      <c r="AY213" s="54"/>
      <c r="AZ213" s="54"/>
      <c r="BA213" s="54"/>
      <c r="BB213" s="54"/>
      <c r="BC213" s="54"/>
      <c r="BD213" s="54"/>
      <c r="BE213" s="54"/>
      <c r="BF213" s="54"/>
      <c r="BG213" s="54"/>
      <c r="BH213" s="54"/>
    </row>
    <row r="214" spans="1:60">
      <c r="A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c r="AK214" s="54"/>
      <c r="AL214" s="54"/>
      <c r="AM214" s="54"/>
      <c r="AN214" s="54"/>
      <c r="AO214" s="54"/>
      <c r="AP214" s="54"/>
      <c r="AQ214" s="54"/>
      <c r="AR214" s="54"/>
      <c r="AS214" s="54"/>
      <c r="AT214" s="54"/>
      <c r="AU214" s="54"/>
      <c r="AV214" s="54"/>
      <c r="AW214" s="54"/>
      <c r="AX214" s="54"/>
      <c r="AY214" s="54"/>
      <c r="AZ214" s="54"/>
      <c r="BA214" s="54"/>
      <c r="BB214" s="54"/>
      <c r="BC214" s="54"/>
      <c r="BD214" s="54"/>
      <c r="BE214" s="54"/>
      <c r="BF214" s="54"/>
      <c r="BG214" s="54"/>
      <c r="BH214" s="54"/>
    </row>
    <row r="215" spans="1:60">
      <c r="A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c r="BD215" s="54"/>
      <c r="BE215" s="54"/>
      <c r="BF215" s="54"/>
      <c r="BG215" s="54"/>
      <c r="BH215" s="54"/>
    </row>
    <row r="216" spans="1:60">
      <c r="A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c r="AN216" s="54"/>
      <c r="AO216" s="54"/>
      <c r="AP216" s="54"/>
      <c r="AQ216" s="54"/>
      <c r="AR216" s="54"/>
      <c r="AS216" s="54"/>
      <c r="AT216" s="54"/>
      <c r="AU216" s="54"/>
      <c r="AV216" s="54"/>
      <c r="AW216" s="54"/>
      <c r="AX216" s="54"/>
      <c r="AY216" s="54"/>
      <c r="AZ216" s="54"/>
      <c r="BA216" s="54"/>
      <c r="BB216" s="54"/>
      <c r="BC216" s="54"/>
      <c r="BD216" s="54"/>
      <c r="BE216" s="54"/>
      <c r="BF216" s="54"/>
      <c r="BG216" s="54"/>
      <c r="BH216" s="54"/>
    </row>
    <row r="217" spans="1:60">
      <c r="A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c r="AH217" s="54"/>
      <c r="AI217" s="54"/>
      <c r="AJ217" s="54"/>
      <c r="AK217" s="54"/>
      <c r="AL217" s="54"/>
      <c r="AM217" s="54"/>
      <c r="AN217" s="54"/>
      <c r="AO217" s="54"/>
      <c r="AP217" s="54"/>
      <c r="AQ217" s="54"/>
      <c r="AR217" s="54"/>
      <c r="AS217" s="54"/>
      <c r="AT217" s="54"/>
      <c r="AU217" s="54"/>
      <c r="AV217" s="54"/>
      <c r="AW217" s="54"/>
      <c r="AX217" s="54"/>
      <c r="AY217" s="54"/>
      <c r="AZ217" s="54"/>
      <c r="BA217" s="54"/>
      <c r="BB217" s="54"/>
      <c r="BC217" s="54"/>
      <c r="BD217" s="54"/>
      <c r="BE217" s="54"/>
      <c r="BF217" s="54"/>
      <c r="BG217" s="54"/>
      <c r="BH217" s="54"/>
    </row>
    <row r="218" spans="1:60">
      <c r="A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c r="AH218" s="54"/>
      <c r="AI218" s="54"/>
      <c r="AJ218" s="54"/>
      <c r="AK218" s="54"/>
      <c r="AL218" s="54"/>
      <c r="AM218" s="54"/>
      <c r="AN218" s="54"/>
      <c r="AO218" s="54"/>
      <c r="AP218" s="54"/>
      <c r="AQ218" s="54"/>
      <c r="AR218" s="54"/>
      <c r="AS218" s="54"/>
      <c r="AT218" s="54"/>
      <c r="AU218" s="54"/>
      <c r="AV218" s="54"/>
      <c r="AW218" s="54"/>
      <c r="AX218" s="54"/>
      <c r="AY218" s="54"/>
      <c r="AZ218" s="54"/>
      <c r="BA218" s="54"/>
      <c r="BB218" s="54"/>
      <c r="BC218" s="54"/>
      <c r="BD218" s="54"/>
      <c r="BE218" s="54"/>
      <c r="BF218" s="54"/>
      <c r="BG218" s="54"/>
      <c r="BH218" s="54"/>
    </row>
    <row r="219" spans="1:60">
      <c r="A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c r="AK219" s="54"/>
      <c r="AL219" s="54"/>
      <c r="AM219" s="54"/>
      <c r="AN219" s="54"/>
      <c r="AO219" s="54"/>
      <c r="AP219" s="54"/>
      <c r="AQ219" s="54"/>
      <c r="AR219" s="54"/>
      <c r="AS219" s="54"/>
      <c r="AT219" s="54"/>
      <c r="AU219" s="54"/>
      <c r="AV219" s="54"/>
      <c r="AW219" s="54"/>
      <c r="AX219" s="54"/>
      <c r="AY219" s="54"/>
      <c r="AZ219" s="54"/>
      <c r="BA219" s="54"/>
      <c r="BB219" s="54"/>
      <c r="BC219" s="54"/>
      <c r="BD219" s="54"/>
      <c r="BE219" s="54"/>
      <c r="BF219" s="54"/>
      <c r="BG219" s="54"/>
      <c r="BH219" s="54"/>
    </row>
    <row r="220" spans="1:60">
      <c r="A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c r="AK220" s="54"/>
      <c r="AL220" s="54"/>
      <c r="AM220" s="54"/>
      <c r="AN220" s="54"/>
      <c r="AO220" s="54"/>
      <c r="AP220" s="54"/>
      <c r="AQ220" s="54"/>
      <c r="AR220" s="54"/>
      <c r="AS220" s="54"/>
      <c r="AT220" s="54"/>
      <c r="AU220" s="54"/>
      <c r="AV220" s="54"/>
      <c r="AW220" s="54"/>
      <c r="AX220" s="54"/>
      <c r="AY220" s="54"/>
      <c r="AZ220" s="54"/>
      <c r="BA220" s="54"/>
      <c r="BB220" s="54"/>
      <c r="BC220" s="54"/>
      <c r="BD220" s="54"/>
      <c r="BE220" s="54"/>
      <c r="BF220" s="54"/>
      <c r="BG220" s="54"/>
      <c r="BH220" s="54"/>
    </row>
    <row r="221" spans="1:60">
      <c r="A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c r="AK221" s="54"/>
      <c r="AL221" s="54"/>
      <c r="AM221" s="54"/>
      <c r="AN221" s="54"/>
      <c r="AO221" s="54"/>
      <c r="AP221" s="54"/>
      <c r="AQ221" s="54"/>
      <c r="AR221" s="54"/>
      <c r="AS221" s="54"/>
      <c r="AT221" s="54"/>
      <c r="AU221" s="54"/>
      <c r="AV221" s="54"/>
      <c r="AW221" s="54"/>
      <c r="AX221" s="54"/>
      <c r="AY221" s="54"/>
      <c r="AZ221" s="54"/>
      <c r="BA221" s="54"/>
      <c r="BB221" s="54"/>
      <c r="BC221" s="54"/>
      <c r="BD221" s="54"/>
      <c r="BE221" s="54"/>
      <c r="BF221" s="54"/>
      <c r="BG221" s="54"/>
      <c r="BH221" s="54"/>
    </row>
    <row r="222" spans="1:60">
      <c r="A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c r="AK222" s="54"/>
      <c r="AL222" s="54"/>
      <c r="AM222" s="54"/>
      <c r="AN222" s="54"/>
      <c r="AO222" s="54"/>
      <c r="AP222" s="54"/>
      <c r="AQ222" s="54"/>
      <c r="AR222" s="54"/>
      <c r="AS222" s="54"/>
      <c r="AT222" s="54"/>
      <c r="AU222" s="54"/>
      <c r="AV222" s="54"/>
      <c r="AW222" s="54"/>
      <c r="AX222" s="54"/>
      <c r="AY222" s="54"/>
      <c r="AZ222" s="54"/>
      <c r="BA222" s="54"/>
      <c r="BB222" s="54"/>
      <c r="BC222" s="54"/>
      <c r="BD222" s="54"/>
      <c r="BE222" s="54"/>
      <c r="BF222" s="54"/>
      <c r="BG222" s="54"/>
      <c r="BH222" s="54"/>
    </row>
    <row r="223" spans="1:60">
      <c r="A223" s="54"/>
      <c r="J223" s="54"/>
      <c r="K223" s="54"/>
      <c r="L223" s="54"/>
      <c r="M223" s="54"/>
      <c r="N223" s="54"/>
      <c r="O223" s="54"/>
      <c r="P223" s="54"/>
      <c r="Q223" s="54"/>
      <c r="R223" s="54"/>
      <c r="S223" s="54"/>
      <c r="T223" s="54"/>
      <c r="U223" s="54"/>
      <c r="V223" s="54"/>
      <c r="W223" s="54"/>
      <c r="X223" s="54"/>
      <c r="Y223" s="54"/>
      <c r="Z223" s="54"/>
      <c r="AA223" s="54"/>
      <c r="AB223" s="54"/>
      <c r="AC223" s="54"/>
      <c r="AD223" s="54"/>
      <c r="AE223" s="54"/>
      <c r="AF223" s="54"/>
      <c r="AG223" s="54"/>
      <c r="AH223" s="54"/>
      <c r="AI223" s="54"/>
      <c r="AJ223" s="54"/>
      <c r="AK223" s="54"/>
      <c r="AL223" s="54"/>
      <c r="AM223" s="54"/>
      <c r="AN223" s="54"/>
      <c r="AO223" s="54"/>
      <c r="AP223" s="54"/>
      <c r="AQ223" s="54"/>
      <c r="AR223" s="54"/>
      <c r="AS223" s="54"/>
      <c r="AT223" s="54"/>
      <c r="AU223" s="54"/>
      <c r="AV223" s="54"/>
      <c r="AW223" s="54"/>
      <c r="AX223" s="54"/>
      <c r="AY223" s="54"/>
      <c r="AZ223" s="54"/>
      <c r="BA223" s="54"/>
      <c r="BB223" s="54"/>
      <c r="BC223" s="54"/>
      <c r="BD223" s="54"/>
      <c r="BE223" s="54"/>
      <c r="BF223" s="54"/>
      <c r="BG223" s="54"/>
      <c r="BH223" s="54"/>
    </row>
    <row r="224" spans="1:60">
      <c r="A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c r="AK224" s="54"/>
      <c r="AL224" s="54"/>
      <c r="AM224" s="54"/>
      <c r="AN224" s="54"/>
      <c r="AO224" s="54"/>
      <c r="AP224" s="54"/>
      <c r="AQ224" s="54"/>
      <c r="AR224" s="54"/>
      <c r="AS224" s="54"/>
      <c r="AT224" s="54"/>
      <c r="AU224" s="54"/>
      <c r="AV224" s="54"/>
      <c r="AW224" s="54"/>
      <c r="AX224" s="54"/>
      <c r="AY224" s="54"/>
      <c r="AZ224" s="54"/>
      <c r="BA224" s="54"/>
      <c r="BB224" s="54"/>
      <c r="BC224" s="54"/>
      <c r="BD224" s="54"/>
      <c r="BE224" s="54"/>
      <c r="BF224" s="54"/>
      <c r="BG224" s="54"/>
      <c r="BH224" s="54"/>
    </row>
    <row r="225" spans="1:60">
      <c r="A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c r="AN225" s="54"/>
      <c r="AO225" s="54"/>
      <c r="AP225" s="54"/>
      <c r="AQ225" s="54"/>
      <c r="AR225" s="54"/>
      <c r="AS225" s="54"/>
      <c r="AT225" s="54"/>
      <c r="AU225" s="54"/>
      <c r="AV225" s="54"/>
      <c r="AW225" s="54"/>
      <c r="AX225" s="54"/>
      <c r="AY225" s="54"/>
      <c r="AZ225" s="54"/>
      <c r="BA225" s="54"/>
      <c r="BB225" s="54"/>
      <c r="BC225" s="54"/>
      <c r="BD225" s="54"/>
      <c r="BE225" s="54"/>
      <c r="BF225" s="54"/>
      <c r="BG225" s="54"/>
      <c r="BH225" s="54"/>
    </row>
    <row r="226" spans="1:60">
      <c r="A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c r="AK226" s="54"/>
      <c r="AL226" s="54"/>
      <c r="AM226" s="54"/>
      <c r="AN226" s="54"/>
      <c r="AO226" s="54"/>
      <c r="AP226" s="54"/>
      <c r="AQ226" s="54"/>
      <c r="AR226" s="54"/>
      <c r="AS226" s="54"/>
      <c r="AT226" s="54"/>
      <c r="AU226" s="54"/>
      <c r="AV226" s="54"/>
      <c r="AW226" s="54"/>
      <c r="AX226" s="54"/>
      <c r="AY226" s="54"/>
      <c r="AZ226" s="54"/>
      <c r="BA226" s="54"/>
      <c r="BB226" s="54"/>
      <c r="BC226" s="54"/>
      <c r="BD226" s="54"/>
      <c r="BE226" s="54"/>
      <c r="BF226" s="54"/>
      <c r="BG226" s="54"/>
      <c r="BH226" s="54"/>
    </row>
    <row r="227" spans="1:60">
      <c r="A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c r="AM227" s="54"/>
      <c r="AN227" s="54"/>
      <c r="AO227" s="54"/>
      <c r="AP227" s="54"/>
      <c r="AQ227" s="54"/>
      <c r="AR227" s="54"/>
      <c r="AS227" s="54"/>
      <c r="AT227" s="54"/>
      <c r="AU227" s="54"/>
      <c r="AV227" s="54"/>
      <c r="AW227" s="54"/>
      <c r="AX227" s="54"/>
      <c r="AY227" s="54"/>
      <c r="AZ227" s="54"/>
      <c r="BA227" s="54"/>
      <c r="BB227" s="54"/>
      <c r="BC227" s="54"/>
      <c r="BD227" s="54"/>
      <c r="BE227" s="54"/>
      <c r="BF227" s="54"/>
      <c r="BG227" s="54"/>
      <c r="BH227" s="54"/>
    </row>
    <row r="228" spans="1:60">
      <c r="A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c r="AK228" s="54"/>
      <c r="AL228" s="54"/>
      <c r="AM228" s="54"/>
      <c r="AN228" s="54"/>
      <c r="AO228" s="54"/>
      <c r="AP228" s="54"/>
      <c r="AQ228" s="54"/>
      <c r="AR228" s="54"/>
      <c r="AS228" s="54"/>
      <c r="AT228" s="54"/>
      <c r="AU228" s="54"/>
      <c r="AV228" s="54"/>
      <c r="AW228" s="54"/>
      <c r="AX228" s="54"/>
      <c r="AY228" s="54"/>
      <c r="AZ228" s="54"/>
      <c r="BA228" s="54"/>
      <c r="BB228" s="54"/>
      <c r="BC228" s="54"/>
      <c r="BD228" s="54"/>
      <c r="BE228" s="54"/>
      <c r="BF228" s="54"/>
      <c r="BG228" s="54"/>
      <c r="BH228" s="54"/>
    </row>
    <row r="229" spans="1:60">
      <c r="A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c r="AK229" s="54"/>
      <c r="AL229" s="54"/>
      <c r="AM229" s="54"/>
      <c r="AN229" s="54"/>
      <c r="AO229" s="54"/>
      <c r="AP229" s="54"/>
      <c r="AQ229" s="54"/>
      <c r="AR229" s="54"/>
      <c r="AS229" s="54"/>
      <c r="AT229" s="54"/>
      <c r="AU229" s="54"/>
      <c r="AV229" s="54"/>
      <c r="AW229" s="54"/>
      <c r="AX229" s="54"/>
      <c r="AY229" s="54"/>
      <c r="AZ229" s="54"/>
      <c r="BA229" s="54"/>
      <c r="BB229" s="54"/>
      <c r="BC229" s="54"/>
      <c r="BD229" s="54"/>
      <c r="BE229" s="54"/>
      <c r="BF229" s="54"/>
      <c r="BG229" s="54"/>
      <c r="BH229" s="54"/>
    </row>
    <row r="230" spans="1:60">
      <c r="A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c r="AK230" s="54"/>
      <c r="AL230" s="54"/>
      <c r="AM230" s="54"/>
      <c r="AN230" s="54"/>
      <c r="AO230" s="54"/>
      <c r="AP230" s="54"/>
      <c r="AQ230" s="54"/>
      <c r="AR230" s="54"/>
      <c r="AS230" s="54"/>
      <c r="AT230" s="54"/>
      <c r="AU230" s="54"/>
      <c r="AV230" s="54"/>
      <c r="AW230" s="54"/>
      <c r="AX230" s="54"/>
      <c r="AY230" s="54"/>
      <c r="AZ230" s="54"/>
      <c r="BA230" s="54"/>
      <c r="BB230" s="54"/>
      <c r="BC230" s="54"/>
      <c r="BD230" s="54"/>
      <c r="BE230" s="54"/>
      <c r="BF230" s="54"/>
      <c r="BG230" s="54"/>
      <c r="BH230" s="54"/>
    </row>
    <row r="231" spans="1:60">
      <c r="A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54"/>
      <c r="AS231" s="54"/>
      <c r="AT231" s="54"/>
      <c r="AU231" s="54"/>
      <c r="AV231" s="54"/>
      <c r="AW231" s="54"/>
      <c r="AX231" s="54"/>
      <c r="AY231" s="54"/>
      <c r="AZ231" s="54"/>
      <c r="BA231" s="54"/>
      <c r="BB231" s="54"/>
      <c r="BC231" s="54"/>
      <c r="BD231" s="54"/>
      <c r="BE231" s="54"/>
      <c r="BF231" s="54"/>
      <c r="BG231" s="54"/>
      <c r="BH231" s="54"/>
    </row>
    <row r="232" spans="1:60">
      <c r="A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4"/>
      <c r="AW232" s="54"/>
      <c r="AX232" s="54"/>
      <c r="AY232" s="54"/>
      <c r="AZ232" s="54"/>
      <c r="BA232" s="54"/>
      <c r="BB232" s="54"/>
      <c r="BC232" s="54"/>
      <c r="BD232" s="54"/>
      <c r="BE232" s="54"/>
      <c r="BF232" s="54"/>
      <c r="BG232" s="54"/>
      <c r="BH232" s="54"/>
    </row>
    <row r="233" spans="1:60">
      <c r="A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row>
    <row r="234" spans="1:60">
      <c r="A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54"/>
      <c r="AS234" s="54"/>
      <c r="AT234" s="54"/>
      <c r="AU234" s="54"/>
      <c r="AV234" s="54"/>
      <c r="AW234" s="54"/>
      <c r="AX234" s="54"/>
      <c r="AY234" s="54"/>
      <c r="AZ234" s="54"/>
      <c r="BA234" s="54"/>
      <c r="BB234" s="54"/>
      <c r="BC234" s="54"/>
      <c r="BD234" s="54"/>
      <c r="BE234" s="54"/>
      <c r="BF234" s="54"/>
      <c r="BG234" s="54"/>
      <c r="BH234" s="54"/>
    </row>
    <row r="235" spans="1:60">
      <c r="A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c r="AR235" s="54"/>
      <c r="AS235" s="54"/>
      <c r="AT235" s="54"/>
      <c r="AU235" s="54"/>
      <c r="AV235" s="54"/>
      <c r="AW235" s="54"/>
      <c r="AX235" s="54"/>
      <c r="AY235" s="54"/>
      <c r="AZ235" s="54"/>
      <c r="BA235" s="54"/>
      <c r="BB235" s="54"/>
      <c r="BC235" s="54"/>
      <c r="BD235" s="54"/>
      <c r="BE235" s="54"/>
      <c r="BF235" s="54"/>
      <c r="BG235" s="54"/>
      <c r="BH235" s="54"/>
    </row>
    <row r="236" spans="1:60">
      <c r="A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row>
    <row r="237" spans="1:60">
      <c r="A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c r="AN237" s="54"/>
      <c r="AO237" s="54"/>
      <c r="AP237" s="54"/>
      <c r="AQ237" s="54"/>
      <c r="AR237" s="54"/>
      <c r="AS237" s="54"/>
      <c r="AT237" s="54"/>
      <c r="AU237" s="54"/>
      <c r="AV237" s="54"/>
      <c r="AW237" s="54"/>
      <c r="AX237" s="54"/>
      <c r="AY237" s="54"/>
      <c r="AZ237" s="54"/>
      <c r="BA237" s="54"/>
      <c r="BB237" s="54"/>
      <c r="BC237" s="54"/>
      <c r="BD237" s="54"/>
      <c r="BE237" s="54"/>
      <c r="BF237" s="54"/>
      <c r="BG237" s="54"/>
      <c r="BH237" s="54"/>
    </row>
    <row r="238" spans="1:60">
      <c r="A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c r="AK238" s="54"/>
      <c r="AL238" s="54"/>
      <c r="AM238" s="54"/>
      <c r="AN238" s="54"/>
      <c r="AO238" s="54"/>
      <c r="AP238" s="54"/>
      <c r="AQ238" s="54"/>
      <c r="AR238" s="54"/>
      <c r="AS238" s="54"/>
      <c r="AT238" s="54"/>
      <c r="AU238" s="54"/>
      <c r="AV238" s="54"/>
      <c r="AW238" s="54"/>
      <c r="AX238" s="54"/>
      <c r="AY238" s="54"/>
      <c r="AZ238" s="54"/>
      <c r="BA238" s="54"/>
      <c r="BB238" s="54"/>
      <c r="BC238" s="54"/>
      <c r="BD238" s="54"/>
      <c r="BE238" s="54"/>
      <c r="BF238" s="54"/>
      <c r="BG238" s="54"/>
      <c r="BH238" s="54"/>
    </row>
    <row r="239" spans="1:60">
      <c r="A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4"/>
      <c r="AI239" s="54"/>
      <c r="AJ239" s="54"/>
      <c r="AK239" s="54"/>
      <c r="AL239" s="54"/>
      <c r="AM239" s="54"/>
      <c r="AN239" s="54"/>
      <c r="AO239" s="54"/>
      <c r="AP239" s="54"/>
      <c r="AQ239" s="54"/>
      <c r="AR239" s="54"/>
      <c r="AS239" s="54"/>
      <c r="AT239" s="54"/>
      <c r="AU239" s="54"/>
      <c r="AV239" s="54"/>
      <c r="AW239" s="54"/>
      <c r="AX239" s="54"/>
      <c r="AY239" s="54"/>
      <c r="AZ239" s="54"/>
      <c r="BA239" s="54"/>
      <c r="BB239" s="54"/>
      <c r="BC239" s="54"/>
      <c r="BD239" s="54"/>
      <c r="BE239" s="54"/>
      <c r="BF239" s="54"/>
      <c r="BG239" s="54"/>
      <c r="BH239" s="54"/>
    </row>
    <row r="240" spans="1:60">
      <c r="A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c r="AK240" s="54"/>
      <c r="AL240" s="54"/>
      <c r="AM240" s="54"/>
      <c r="AN240" s="54"/>
      <c r="AO240" s="54"/>
      <c r="AP240" s="54"/>
      <c r="AQ240" s="54"/>
      <c r="AR240" s="54"/>
      <c r="AS240" s="54"/>
      <c r="AT240" s="54"/>
      <c r="AU240" s="54"/>
      <c r="AV240" s="54"/>
      <c r="AW240" s="54"/>
      <c r="AX240" s="54"/>
      <c r="AY240" s="54"/>
      <c r="AZ240" s="54"/>
      <c r="BA240" s="54"/>
      <c r="BB240" s="54"/>
      <c r="BC240" s="54"/>
      <c r="BD240" s="54"/>
      <c r="BE240" s="54"/>
      <c r="BF240" s="54"/>
      <c r="BG240" s="54"/>
      <c r="BH240" s="54"/>
    </row>
    <row r="241" spans="1:60">
      <c r="A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c r="AH241" s="54"/>
      <c r="AI241" s="54"/>
      <c r="AJ241" s="54"/>
      <c r="AK241" s="54"/>
      <c r="AL241" s="54"/>
      <c r="AM241" s="54"/>
      <c r="AN241" s="54"/>
      <c r="AO241" s="54"/>
      <c r="AP241" s="54"/>
      <c r="AQ241" s="54"/>
      <c r="AR241" s="54"/>
      <c r="AS241" s="54"/>
      <c r="AT241" s="54"/>
      <c r="AU241" s="54"/>
      <c r="AV241" s="54"/>
      <c r="AW241" s="54"/>
      <c r="AX241" s="54"/>
      <c r="AY241" s="54"/>
      <c r="AZ241" s="54"/>
      <c r="BA241" s="54"/>
      <c r="BB241" s="54"/>
      <c r="BC241" s="54"/>
      <c r="BD241" s="54"/>
      <c r="BE241" s="54"/>
      <c r="BF241" s="54"/>
      <c r="BG241" s="54"/>
      <c r="BH241" s="54"/>
    </row>
    <row r="242" spans="1:60">
      <c r="A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c r="AK242" s="54"/>
      <c r="AL242" s="54"/>
      <c r="AM242" s="54"/>
      <c r="AN242" s="54"/>
      <c r="AO242" s="54"/>
      <c r="AP242" s="54"/>
      <c r="AQ242" s="54"/>
      <c r="AR242" s="54"/>
      <c r="AS242" s="54"/>
      <c r="AT242" s="54"/>
      <c r="AU242" s="54"/>
      <c r="AV242" s="54"/>
      <c r="AW242" s="54"/>
      <c r="AX242" s="54"/>
      <c r="AY242" s="54"/>
      <c r="AZ242" s="54"/>
      <c r="BA242" s="54"/>
      <c r="BB242" s="54"/>
      <c r="BC242" s="54"/>
      <c r="BD242" s="54"/>
      <c r="BE242" s="54"/>
      <c r="BF242" s="54"/>
      <c r="BG242" s="54"/>
      <c r="BH242" s="54"/>
    </row>
    <row r="243" spans="1:60">
      <c r="A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c r="AK243" s="54"/>
      <c r="AL243" s="54"/>
      <c r="AM243" s="54"/>
      <c r="AN243" s="54"/>
      <c r="AO243" s="54"/>
      <c r="AP243" s="54"/>
      <c r="AQ243" s="54"/>
      <c r="AR243" s="54"/>
      <c r="AS243" s="54"/>
      <c r="AT243" s="54"/>
      <c r="AU243" s="54"/>
      <c r="AV243" s="54"/>
      <c r="AW243" s="54"/>
      <c r="AX243" s="54"/>
      <c r="AY243" s="54"/>
      <c r="AZ243" s="54"/>
      <c r="BA243" s="54"/>
      <c r="BB243" s="54"/>
      <c r="BC243" s="54"/>
      <c r="BD243" s="54"/>
      <c r="BE243" s="54"/>
      <c r="BF243" s="54"/>
      <c r="BG243" s="54"/>
      <c r="BH243" s="54"/>
    </row>
    <row r="244" spans="1:60">
      <c r="A244" s="54"/>
      <c r="J244" s="54"/>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c r="AK244" s="54"/>
      <c r="AL244" s="54"/>
      <c r="AM244" s="54"/>
      <c r="AN244" s="54"/>
      <c r="AO244" s="54"/>
      <c r="AP244" s="54"/>
      <c r="AQ244" s="54"/>
      <c r="AR244" s="54"/>
      <c r="AS244" s="54"/>
      <c r="AT244" s="54"/>
      <c r="AU244" s="54"/>
      <c r="AV244" s="54"/>
      <c r="AW244" s="54"/>
      <c r="AX244" s="54"/>
      <c r="AY244" s="54"/>
      <c r="AZ244" s="54"/>
      <c r="BA244" s="54"/>
      <c r="BB244" s="54"/>
      <c r="BC244" s="54"/>
      <c r="BD244" s="54"/>
      <c r="BE244" s="54"/>
      <c r="BF244" s="54"/>
      <c r="BG244" s="54"/>
      <c r="BH244" s="54"/>
    </row>
    <row r="245" spans="1:60">
      <c r="A245" s="54"/>
    </row>
    <row r="246" spans="1:60">
      <c r="A246" s="54"/>
    </row>
    <row r="247" spans="1:60">
      <c r="A247" s="54"/>
    </row>
    <row r="248" spans="1:60">
      <c r="A248" s="5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AK56"/>
  <sheetViews>
    <sheetView showRowColHeaders="0" zoomScale="90" zoomScaleNormal="90" workbookViewId="0">
      <selection activeCell="C6" sqref="C6"/>
    </sheetView>
  </sheetViews>
  <sheetFormatPr defaultColWidth="10.85546875" defaultRowHeight="16.5"/>
  <cols>
    <col min="1" max="1" width="10.85546875" style="91"/>
    <col min="2" max="2" width="24.28515625" style="91" customWidth="1" collapsed="1"/>
    <col min="3" max="3" width="70.28515625" style="91" customWidth="1" collapsed="1"/>
    <col min="4" max="4" width="29.7109375" style="91" customWidth="1" collapsed="1"/>
    <col min="5" max="16384" width="10.85546875" style="91"/>
  </cols>
  <sheetData>
    <row r="1" spans="1:37" ht="17.25" thickBot="1">
      <c r="A1" s="6"/>
      <c r="B1" s="6"/>
      <c r="C1" s="6"/>
    </row>
    <row r="2" spans="1:37" ht="18.399999999999999" customHeight="1" thickBot="1">
      <c r="A2" s="6"/>
      <c r="B2" s="556" t="s">
        <v>298</v>
      </c>
      <c r="C2" s="557"/>
      <c r="D2" s="558"/>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c r="A4" s="6"/>
      <c r="B4" s="130"/>
      <c r="C4" s="131" t="s">
        <v>299</v>
      </c>
      <c r="D4" s="132" t="s">
        <v>183</v>
      </c>
      <c r="E4" s="6"/>
      <c r="F4" s="6"/>
      <c r="G4" s="6"/>
      <c r="H4" s="6"/>
      <c r="I4" s="6"/>
      <c r="J4" s="6"/>
      <c r="K4" s="6"/>
      <c r="L4" s="6"/>
      <c r="M4" s="6"/>
      <c r="N4" s="6"/>
      <c r="O4" s="6"/>
      <c r="P4" s="6"/>
      <c r="Q4" s="6"/>
      <c r="R4" s="6"/>
      <c r="S4" s="6"/>
      <c r="T4" s="6"/>
      <c r="U4" s="6"/>
      <c r="V4" s="6"/>
      <c r="W4" s="6"/>
      <c r="X4" s="6"/>
      <c r="Y4" s="6"/>
      <c r="Z4" s="6"/>
      <c r="AA4" s="6"/>
      <c r="AB4" s="6"/>
      <c r="AC4" s="6"/>
      <c r="AD4" s="6"/>
      <c r="AE4" s="6"/>
    </row>
    <row r="5" spans="1:37" ht="40.5">
      <c r="A5" s="6"/>
      <c r="B5" s="133" t="s">
        <v>300</v>
      </c>
      <c r="C5" s="134" t="s">
        <v>301</v>
      </c>
      <c r="D5" s="135">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c r="A6" s="6"/>
      <c r="B6" s="136" t="s">
        <v>302</v>
      </c>
      <c r="C6" s="137" t="s">
        <v>303</v>
      </c>
      <c r="D6" s="138">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c r="A7" s="6"/>
      <c r="B7" s="139" t="s">
        <v>304</v>
      </c>
      <c r="C7" s="137" t="s">
        <v>305</v>
      </c>
      <c r="D7" s="138">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c r="A8" s="6"/>
      <c r="B8" s="140" t="s">
        <v>306</v>
      </c>
      <c r="C8" s="137" t="s">
        <v>307</v>
      </c>
      <c r="D8" s="138">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c r="A9" s="6"/>
      <c r="B9" s="141" t="s">
        <v>308</v>
      </c>
      <c r="C9" s="142" t="s">
        <v>309</v>
      </c>
      <c r="D9" s="143">
        <v>1</v>
      </c>
      <c r="E9" s="6"/>
      <c r="F9" s="6"/>
      <c r="G9" s="6"/>
      <c r="H9" s="6"/>
      <c r="I9" s="6"/>
      <c r="J9" s="6"/>
      <c r="K9" s="6"/>
      <c r="L9" s="6"/>
      <c r="M9" s="6"/>
      <c r="N9" s="6"/>
      <c r="O9" s="6"/>
      <c r="P9" s="6"/>
      <c r="Q9" s="6"/>
      <c r="R9" s="6"/>
      <c r="S9" s="6"/>
      <c r="T9" s="6"/>
      <c r="U9" s="6"/>
      <c r="V9" s="6"/>
      <c r="W9" s="6"/>
      <c r="X9" s="6"/>
      <c r="Y9" s="6"/>
      <c r="Z9" s="6"/>
      <c r="AA9" s="6"/>
      <c r="AB9" s="6"/>
      <c r="AC9" s="6"/>
      <c r="AD9" s="6"/>
      <c r="AE9" s="6"/>
    </row>
    <row r="10" spans="1:37">
      <c r="A10" s="6"/>
      <c r="B10" s="120"/>
      <c r="C10" s="120"/>
      <c r="D10" s="120"/>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6"/>
      <c r="B11" s="70"/>
      <c r="C11" s="120"/>
      <c r="D11" s="120"/>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6"/>
      <c r="B12" s="120"/>
      <c r="C12" s="120"/>
      <c r="D12" s="120"/>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6"/>
      <c r="B13" s="120"/>
      <c r="C13" s="120"/>
      <c r="D13" s="120"/>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6"/>
      <c r="B14" s="120"/>
      <c r="C14" s="120"/>
      <c r="D14" s="120"/>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6"/>
      <c r="B15" s="120"/>
      <c r="C15" s="120"/>
      <c r="D15" s="120"/>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c r="A16" s="6"/>
      <c r="B16" s="120"/>
      <c r="C16" s="120"/>
      <c r="D16" s="120"/>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6"/>
      <c r="B17" s="120"/>
      <c r="C17" s="120"/>
      <c r="D17" s="120"/>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6"/>
      <c r="B18" s="120"/>
      <c r="C18" s="120"/>
      <c r="D18" s="120"/>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6"/>
      <c r="B19" s="120"/>
      <c r="C19" s="120"/>
      <c r="D19" s="120"/>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c r="A36" s="6"/>
    </row>
    <row r="37" spans="1:37">
      <c r="A37" s="6"/>
    </row>
    <row r="38" spans="1:37">
      <c r="A38" s="6"/>
    </row>
    <row r="39" spans="1:37">
      <c r="A39" s="6"/>
    </row>
    <row r="40" spans="1:37">
      <c r="A40" s="6"/>
    </row>
    <row r="41" spans="1:37">
      <c r="A41" s="6"/>
    </row>
    <row r="42" spans="1:37">
      <c r="A42" s="6"/>
    </row>
    <row r="43" spans="1:37">
      <c r="A43" s="6"/>
    </row>
    <row r="44" spans="1:37">
      <c r="A44" s="6"/>
    </row>
    <row r="45" spans="1:37">
      <c r="A45" s="6"/>
    </row>
    <row r="46" spans="1:37">
      <c r="A46" s="6"/>
    </row>
    <row r="47" spans="1:37">
      <c r="A47" s="6"/>
    </row>
    <row r="48" spans="1:37">
      <c r="A48" s="6"/>
    </row>
    <row r="49" spans="1:1">
      <c r="A49" s="6"/>
    </row>
    <row r="50" spans="1:1">
      <c r="A50" s="6"/>
    </row>
    <row r="51" spans="1:1">
      <c r="A51" s="6"/>
    </row>
    <row r="52" spans="1:1">
      <c r="A52" s="6"/>
    </row>
    <row r="53" spans="1:1">
      <c r="A53" s="6"/>
    </row>
    <row r="54" spans="1:1">
      <c r="A54" s="6"/>
    </row>
    <row r="55" spans="1:1">
      <c r="A55" s="6"/>
    </row>
    <row r="56" spans="1:1">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U233"/>
  <sheetViews>
    <sheetView showRowColHeaders="0" zoomScale="60" zoomScaleNormal="60" workbookViewId="0">
      <selection activeCell="D8" sqref="D8"/>
    </sheetView>
  </sheetViews>
  <sheetFormatPr defaultColWidth="10.85546875" defaultRowHeight="16.5"/>
  <cols>
    <col min="1" max="1" width="10.85546875" style="91"/>
    <col min="2" max="2" width="40.42578125" style="91" customWidth="1" collapsed="1"/>
    <col min="3" max="3" width="74.7109375" style="91" customWidth="1" collapsed="1"/>
    <col min="4" max="4" width="135" style="91" bestFit="1" customWidth="1" collapsed="1"/>
    <col min="5" max="5" width="144.7109375" style="91" bestFit="1" customWidth="1" collapsed="1"/>
    <col min="6" max="16384" width="10.85546875" style="91"/>
  </cols>
  <sheetData>
    <row r="1" spans="1:21" ht="17.25" thickBot="1"/>
    <row r="2" spans="1:21" ht="30.75" thickBot="1">
      <c r="A2" s="6"/>
      <c r="B2" s="559" t="s">
        <v>310</v>
      </c>
      <c r="C2" s="560"/>
      <c r="D2" s="560"/>
      <c r="E2" s="6"/>
      <c r="F2" s="6"/>
      <c r="G2" s="6"/>
      <c r="H2" s="6"/>
      <c r="I2" s="6"/>
      <c r="J2" s="6"/>
      <c r="K2" s="6"/>
      <c r="L2" s="6"/>
      <c r="M2" s="6"/>
      <c r="N2" s="6"/>
      <c r="O2" s="6"/>
      <c r="P2" s="6"/>
      <c r="Q2" s="6"/>
      <c r="R2" s="6"/>
      <c r="S2" s="6"/>
      <c r="T2" s="6"/>
      <c r="U2" s="6"/>
    </row>
    <row r="3" spans="1:21" ht="24.4" customHeight="1" thickBot="1">
      <c r="A3" s="6"/>
      <c r="B3" s="6"/>
      <c r="C3" s="6"/>
      <c r="D3" s="6"/>
      <c r="E3" s="6"/>
      <c r="F3" s="6"/>
      <c r="G3" s="6"/>
      <c r="H3" s="6"/>
      <c r="I3" s="6"/>
      <c r="J3" s="6"/>
      <c r="K3" s="6"/>
      <c r="L3" s="6"/>
      <c r="M3" s="6"/>
      <c r="N3" s="6"/>
      <c r="O3" s="6"/>
      <c r="P3" s="6"/>
      <c r="Q3" s="6"/>
      <c r="R3" s="6"/>
      <c r="S3" s="6"/>
      <c r="T3" s="6"/>
      <c r="U3" s="6"/>
    </row>
    <row r="4" spans="1:21" ht="27.75" thickBot="1">
      <c r="A4" s="6"/>
      <c r="B4" s="144"/>
      <c r="C4" s="145" t="s">
        <v>311</v>
      </c>
      <c r="D4" s="146" t="s">
        <v>312</v>
      </c>
      <c r="E4" s="6"/>
      <c r="F4" s="6"/>
      <c r="G4" s="6"/>
      <c r="H4" s="6"/>
      <c r="I4" s="6"/>
      <c r="J4" s="6"/>
      <c r="K4" s="6"/>
      <c r="L4" s="6"/>
      <c r="M4" s="6"/>
      <c r="N4" s="6"/>
      <c r="O4" s="6"/>
      <c r="P4" s="6"/>
      <c r="Q4" s="6"/>
      <c r="R4" s="6"/>
      <c r="S4" s="6"/>
      <c r="T4" s="6"/>
      <c r="U4" s="6"/>
    </row>
    <row r="5" spans="1:21" ht="27">
      <c r="A5" s="121" t="s">
        <v>313</v>
      </c>
      <c r="B5" s="147" t="s">
        <v>314</v>
      </c>
      <c r="C5" s="148" t="s">
        <v>315</v>
      </c>
      <c r="D5" s="149" t="s">
        <v>316</v>
      </c>
      <c r="E5" s="6"/>
      <c r="F5" s="6"/>
      <c r="G5" s="6"/>
      <c r="H5" s="6"/>
      <c r="I5" s="6"/>
      <c r="J5" s="6"/>
      <c r="K5" s="6"/>
      <c r="L5" s="6"/>
      <c r="M5" s="6"/>
      <c r="N5" s="6"/>
      <c r="O5" s="6"/>
      <c r="P5" s="6"/>
      <c r="Q5" s="6"/>
      <c r="R5" s="6"/>
      <c r="S5" s="6"/>
      <c r="T5" s="6"/>
      <c r="U5" s="6"/>
    </row>
    <row r="6" spans="1:21" ht="54">
      <c r="A6" s="121" t="s">
        <v>317</v>
      </c>
      <c r="B6" s="150" t="s">
        <v>318</v>
      </c>
      <c r="C6" s="151" t="s">
        <v>319</v>
      </c>
      <c r="D6" s="152" t="s">
        <v>320</v>
      </c>
      <c r="E6" s="6"/>
      <c r="F6" s="6"/>
      <c r="G6" s="6"/>
      <c r="H6" s="6"/>
      <c r="I6" s="6"/>
      <c r="J6" s="6"/>
      <c r="K6" s="6"/>
      <c r="L6" s="6"/>
      <c r="M6" s="6"/>
      <c r="N6" s="6"/>
      <c r="O6" s="6"/>
      <c r="P6" s="6"/>
      <c r="Q6" s="6"/>
      <c r="R6" s="6"/>
      <c r="S6" s="6"/>
      <c r="T6" s="6"/>
      <c r="U6" s="6"/>
    </row>
    <row r="7" spans="1:21" ht="54">
      <c r="A7" s="121" t="s">
        <v>288</v>
      </c>
      <c r="B7" s="153" t="s">
        <v>321</v>
      </c>
      <c r="C7" s="151" t="s">
        <v>322</v>
      </c>
      <c r="D7" s="152" t="s">
        <v>323</v>
      </c>
      <c r="E7" s="6"/>
      <c r="F7" s="6"/>
      <c r="G7" s="6"/>
      <c r="H7" s="6"/>
      <c r="I7" s="6"/>
      <c r="J7" s="6"/>
      <c r="K7" s="6"/>
      <c r="L7" s="6"/>
      <c r="M7" s="6"/>
      <c r="N7" s="6"/>
      <c r="O7" s="6"/>
      <c r="P7" s="6"/>
      <c r="Q7" s="6"/>
      <c r="R7" s="6"/>
      <c r="S7" s="6"/>
      <c r="T7" s="6"/>
      <c r="U7" s="6"/>
    </row>
    <row r="8" spans="1:21" ht="54">
      <c r="A8" s="121" t="s">
        <v>324</v>
      </c>
      <c r="B8" s="154" t="s">
        <v>325</v>
      </c>
      <c r="C8" s="151" t="s">
        <v>326</v>
      </c>
      <c r="D8" s="152" t="s">
        <v>327</v>
      </c>
      <c r="E8" s="6"/>
      <c r="F8" s="6"/>
      <c r="G8" s="6"/>
      <c r="H8" s="6"/>
      <c r="I8" s="6"/>
      <c r="J8" s="6"/>
      <c r="K8" s="6"/>
      <c r="L8" s="6"/>
      <c r="M8" s="6"/>
      <c r="N8" s="6"/>
      <c r="O8" s="6"/>
      <c r="P8" s="6"/>
      <c r="Q8" s="6"/>
      <c r="R8" s="6"/>
      <c r="S8" s="6"/>
      <c r="T8" s="6"/>
      <c r="U8" s="6"/>
    </row>
    <row r="9" spans="1:21" ht="54.75" thickBot="1">
      <c r="A9" s="121" t="s">
        <v>328</v>
      </c>
      <c r="B9" s="155" t="s">
        <v>329</v>
      </c>
      <c r="C9" s="156" t="s">
        <v>330</v>
      </c>
      <c r="D9" s="157" t="s">
        <v>331</v>
      </c>
      <c r="E9" s="6"/>
      <c r="F9" s="6"/>
      <c r="G9" s="6"/>
      <c r="H9" s="6"/>
      <c r="I9" s="6"/>
      <c r="J9" s="6"/>
      <c r="K9" s="6"/>
      <c r="L9" s="6"/>
      <c r="M9" s="6"/>
      <c r="N9" s="6"/>
      <c r="O9" s="6"/>
      <c r="P9" s="6"/>
      <c r="Q9" s="6"/>
      <c r="R9" s="6"/>
      <c r="S9" s="6"/>
      <c r="T9" s="6"/>
      <c r="U9" s="6"/>
    </row>
    <row r="10" spans="1:21" ht="20.25">
      <c r="A10" s="121"/>
      <c r="B10" s="121"/>
      <c r="C10" s="86"/>
      <c r="D10" s="68"/>
      <c r="E10" s="6"/>
      <c r="F10" s="6"/>
      <c r="G10" s="6"/>
      <c r="H10" s="6"/>
      <c r="I10" s="6"/>
      <c r="J10" s="6"/>
      <c r="K10" s="6"/>
      <c r="L10" s="6"/>
      <c r="M10" s="6"/>
      <c r="N10" s="6"/>
      <c r="O10" s="6"/>
      <c r="P10" s="6"/>
      <c r="Q10" s="6"/>
      <c r="R10" s="6"/>
      <c r="S10" s="6"/>
      <c r="T10" s="6"/>
      <c r="U10" s="6"/>
    </row>
    <row r="11" spans="1:21">
      <c r="A11" s="121"/>
      <c r="B11" s="69"/>
      <c r="C11" s="69"/>
      <c r="D11" s="69"/>
      <c r="E11" s="6"/>
      <c r="F11" s="6"/>
      <c r="G11" s="6"/>
      <c r="H11" s="6"/>
      <c r="I11" s="6"/>
      <c r="J11" s="6"/>
      <c r="K11" s="6"/>
      <c r="L11" s="6"/>
      <c r="M11" s="6"/>
      <c r="N11" s="6"/>
      <c r="O11" s="6"/>
      <c r="P11" s="6"/>
      <c r="Q11" s="6"/>
      <c r="R11" s="6"/>
      <c r="S11" s="6"/>
      <c r="T11" s="6"/>
      <c r="U11" s="6"/>
    </row>
    <row r="12" spans="1:21">
      <c r="A12" s="121"/>
      <c r="B12" s="121" t="s">
        <v>332</v>
      </c>
      <c r="C12" s="121" t="s">
        <v>333</v>
      </c>
      <c r="D12" s="121" t="s">
        <v>334</v>
      </c>
      <c r="E12" s="6"/>
      <c r="F12" s="6"/>
      <c r="G12" s="6"/>
      <c r="H12" s="6"/>
      <c r="I12" s="6"/>
      <c r="J12" s="6"/>
      <c r="K12" s="6"/>
      <c r="L12" s="6"/>
      <c r="M12" s="6"/>
      <c r="N12" s="6"/>
      <c r="O12" s="6"/>
      <c r="P12" s="6"/>
      <c r="Q12" s="6"/>
      <c r="R12" s="6"/>
      <c r="S12" s="6"/>
      <c r="T12" s="6"/>
      <c r="U12" s="6"/>
    </row>
    <row r="13" spans="1:21">
      <c r="A13" s="121"/>
      <c r="B13" s="121" t="s">
        <v>335</v>
      </c>
      <c r="C13" s="121" t="s">
        <v>214</v>
      </c>
      <c r="D13" s="121" t="s">
        <v>336</v>
      </c>
      <c r="E13" s="6"/>
      <c r="F13" s="6"/>
      <c r="G13" s="6"/>
      <c r="H13" s="6"/>
      <c r="I13" s="6"/>
      <c r="J13" s="6"/>
      <c r="K13" s="6"/>
      <c r="L13" s="6"/>
      <c r="M13" s="6"/>
      <c r="N13" s="6"/>
      <c r="O13" s="6"/>
      <c r="P13" s="6"/>
      <c r="Q13" s="6"/>
      <c r="R13" s="6"/>
      <c r="S13" s="6"/>
      <c r="T13" s="6"/>
      <c r="U13" s="6"/>
    </row>
    <row r="14" spans="1:21">
      <c r="A14" s="121"/>
      <c r="B14" s="121"/>
      <c r="C14" s="121" t="s">
        <v>337</v>
      </c>
      <c r="D14" s="121" t="s">
        <v>200</v>
      </c>
      <c r="E14" s="6"/>
      <c r="F14" s="6"/>
      <c r="G14" s="6"/>
      <c r="H14" s="6"/>
      <c r="I14" s="6"/>
      <c r="J14" s="6"/>
      <c r="K14" s="6"/>
      <c r="L14" s="6"/>
      <c r="M14" s="6"/>
      <c r="N14" s="6"/>
      <c r="O14" s="6"/>
      <c r="P14" s="6"/>
      <c r="Q14" s="6"/>
      <c r="R14" s="6"/>
      <c r="S14" s="6"/>
      <c r="T14" s="6"/>
      <c r="U14" s="6"/>
    </row>
    <row r="15" spans="1:21">
      <c r="A15" s="121"/>
      <c r="B15" s="121"/>
      <c r="C15" s="121" t="s">
        <v>338</v>
      </c>
      <c r="D15" s="121" t="s">
        <v>181</v>
      </c>
      <c r="E15" s="6"/>
      <c r="F15" s="6"/>
      <c r="G15" s="6"/>
      <c r="H15" s="6"/>
      <c r="I15" s="6"/>
      <c r="J15" s="6"/>
      <c r="K15" s="6"/>
      <c r="L15" s="6"/>
      <c r="M15" s="6"/>
      <c r="N15" s="6"/>
      <c r="O15" s="6"/>
      <c r="P15" s="6"/>
      <c r="Q15" s="6"/>
      <c r="R15" s="6"/>
      <c r="S15" s="6"/>
      <c r="T15" s="6"/>
      <c r="U15" s="6"/>
    </row>
    <row r="16" spans="1:21">
      <c r="A16" s="121"/>
      <c r="B16" s="121"/>
      <c r="C16" s="121" t="s">
        <v>339</v>
      </c>
      <c r="D16" s="121" t="s">
        <v>340</v>
      </c>
      <c r="E16" s="6"/>
      <c r="F16" s="6"/>
      <c r="G16" s="6"/>
      <c r="H16" s="6"/>
      <c r="I16" s="6"/>
      <c r="J16" s="6"/>
      <c r="K16" s="6"/>
      <c r="L16" s="6"/>
      <c r="M16" s="6"/>
      <c r="N16" s="6"/>
      <c r="O16" s="6"/>
      <c r="P16" s="6"/>
      <c r="Q16" s="6"/>
      <c r="R16" s="6"/>
      <c r="S16" s="6"/>
      <c r="T16" s="6"/>
      <c r="U16" s="6"/>
    </row>
    <row r="17" spans="1:15">
      <c r="A17" s="121"/>
      <c r="B17" s="121"/>
      <c r="C17" s="6"/>
      <c r="D17" s="121"/>
      <c r="E17" s="6"/>
      <c r="F17" s="6"/>
      <c r="G17" s="6"/>
      <c r="H17" s="6"/>
      <c r="I17" s="6"/>
      <c r="J17" s="6"/>
      <c r="K17" s="6"/>
      <c r="L17" s="6"/>
      <c r="M17" s="6"/>
      <c r="N17" s="6"/>
      <c r="O17" s="6"/>
    </row>
    <row r="18" spans="1:15">
      <c r="A18" s="121"/>
      <c r="B18" s="121"/>
      <c r="C18" s="6"/>
      <c r="D18" s="121"/>
      <c r="E18" s="6"/>
      <c r="F18" s="6"/>
      <c r="G18" s="6"/>
      <c r="H18" s="6"/>
      <c r="I18" s="6"/>
      <c r="J18" s="6"/>
      <c r="K18" s="6"/>
      <c r="L18" s="6"/>
      <c r="M18" s="6"/>
      <c r="N18" s="6"/>
      <c r="O18" s="6"/>
    </row>
    <row r="19" spans="1:15">
      <c r="A19" s="121"/>
      <c r="B19" s="120"/>
      <c r="C19" s="6"/>
      <c r="D19" s="120"/>
      <c r="E19" s="6"/>
      <c r="F19" s="6"/>
      <c r="G19" s="6"/>
      <c r="H19" s="6"/>
      <c r="I19" s="6"/>
      <c r="J19" s="6"/>
      <c r="K19" s="6"/>
      <c r="L19" s="6"/>
      <c r="M19" s="6"/>
      <c r="N19" s="6"/>
      <c r="O19" s="6"/>
    </row>
    <row r="20" spans="1:15">
      <c r="A20" s="121"/>
      <c r="B20" s="120"/>
      <c r="C20" s="6"/>
      <c r="D20" s="120"/>
      <c r="E20" s="6"/>
      <c r="F20" s="6"/>
      <c r="G20" s="6"/>
      <c r="H20" s="6"/>
      <c r="I20" s="6"/>
      <c r="J20" s="6"/>
      <c r="K20" s="6"/>
      <c r="L20" s="6"/>
      <c r="M20" s="6"/>
      <c r="N20" s="6"/>
      <c r="O20" s="6"/>
    </row>
    <row r="21" spans="1:15">
      <c r="A21" s="121"/>
      <c r="B21" s="120"/>
      <c r="C21" s="6"/>
      <c r="D21" s="120"/>
      <c r="E21" s="6"/>
      <c r="F21" s="6"/>
      <c r="G21" s="6"/>
      <c r="H21" s="6"/>
      <c r="I21" s="6"/>
      <c r="J21" s="6"/>
      <c r="K21" s="6"/>
      <c r="L21" s="6"/>
      <c r="M21" s="6"/>
      <c r="N21" s="6"/>
      <c r="O21" s="6"/>
    </row>
    <row r="22" spans="1:15">
      <c r="A22" s="121"/>
      <c r="B22" s="120"/>
      <c r="C22" s="6"/>
      <c r="D22" s="120"/>
      <c r="E22" s="6"/>
      <c r="F22" s="6"/>
      <c r="G22" s="6"/>
      <c r="H22" s="6"/>
      <c r="I22" s="6"/>
      <c r="J22" s="6"/>
      <c r="K22" s="6"/>
      <c r="L22" s="6"/>
      <c r="M22" s="6"/>
      <c r="N22" s="6"/>
      <c r="O22" s="6"/>
    </row>
    <row r="23" spans="1:15" ht="20.25">
      <c r="A23" s="121"/>
      <c r="B23" s="121"/>
      <c r="C23" s="86"/>
      <c r="D23" s="68"/>
      <c r="E23" s="6"/>
      <c r="F23" s="6"/>
      <c r="G23" s="6"/>
      <c r="H23" s="6"/>
      <c r="I23" s="6"/>
      <c r="J23" s="6"/>
      <c r="K23" s="6"/>
      <c r="L23" s="6"/>
      <c r="M23" s="6"/>
      <c r="N23" s="6"/>
      <c r="O23" s="6"/>
    </row>
    <row r="24" spans="1:15" ht="20.25">
      <c r="A24" s="121"/>
      <c r="B24" s="121"/>
      <c r="C24" s="86"/>
      <c r="D24" s="68"/>
      <c r="E24" s="6"/>
      <c r="F24" s="6"/>
      <c r="G24" s="6"/>
      <c r="H24" s="6"/>
      <c r="I24" s="6"/>
      <c r="J24" s="6"/>
      <c r="K24" s="6"/>
      <c r="L24" s="6"/>
      <c r="M24" s="6"/>
      <c r="N24" s="6"/>
      <c r="O24" s="6"/>
    </row>
    <row r="25" spans="1:15" ht="20.25">
      <c r="A25" s="121"/>
      <c r="B25" s="121"/>
      <c r="C25" s="86"/>
      <c r="D25" s="68"/>
      <c r="E25" s="6"/>
      <c r="F25" s="6"/>
      <c r="G25" s="6"/>
      <c r="H25" s="6"/>
      <c r="I25" s="6"/>
      <c r="J25" s="6"/>
      <c r="K25" s="6"/>
      <c r="L25" s="6"/>
      <c r="M25" s="6"/>
      <c r="N25" s="6"/>
      <c r="O25" s="6"/>
    </row>
    <row r="26" spans="1:15" ht="20.25">
      <c r="A26" s="121"/>
      <c r="B26" s="121"/>
      <c r="C26" s="86"/>
      <c r="D26" s="68"/>
      <c r="E26" s="6"/>
      <c r="F26" s="6"/>
      <c r="G26" s="6"/>
      <c r="H26" s="6"/>
      <c r="I26" s="6"/>
      <c r="J26" s="6"/>
      <c r="K26" s="6"/>
      <c r="L26" s="6"/>
      <c r="M26" s="6"/>
      <c r="N26" s="6"/>
      <c r="O26" s="6"/>
    </row>
    <row r="27" spans="1:15" ht="20.25">
      <c r="A27" s="121"/>
      <c r="B27" s="121"/>
      <c r="C27" s="86"/>
      <c r="D27" s="68"/>
      <c r="E27" s="6"/>
      <c r="F27" s="6"/>
      <c r="G27" s="6"/>
      <c r="H27" s="6"/>
      <c r="I27" s="6"/>
      <c r="J27" s="6"/>
      <c r="K27" s="6"/>
      <c r="L27" s="6"/>
      <c r="M27" s="6"/>
      <c r="N27" s="6"/>
      <c r="O27" s="6"/>
    </row>
    <row r="28" spans="1:15" ht="20.25">
      <c r="A28" s="121"/>
      <c r="B28" s="121"/>
      <c r="C28" s="86"/>
      <c r="D28" s="68"/>
      <c r="E28" s="6"/>
      <c r="F28" s="6"/>
      <c r="G28" s="6"/>
      <c r="H28" s="6"/>
      <c r="I28" s="6"/>
      <c r="J28" s="6"/>
      <c r="K28" s="6"/>
      <c r="L28" s="6"/>
      <c r="M28" s="6"/>
      <c r="N28" s="6"/>
      <c r="O28" s="6"/>
    </row>
    <row r="29" spans="1:15" ht="20.25">
      <c r="A29" s="121"/>
      <c r="B29" s="121"/>
      <c r="C29" s="86"/>
      <c r="D29" s="68"/>
      <c r="E29" s="6"/>
      <c r="F29" s="6"/>
      <c r="G29" s="6"/>
      <c r="H29" s="6"/>
      <c r="I29" s="6"/>
      <c r="J29" s="6"/>
      <c r="K29" s="6"/>
      <c r="L29" s="6"/>
      <c r="M29" s="6"/>
      <c r="N29" s="6"/>
      <c r="O29" s="6"/>
    </row>
    <row r="30" spans="1:15" ht="20.25">
      <c r="A30" s="121"/>
      <c r="B30" s="121"/>
      <c r="C30" s="86"/>
      <c r="D30" s="68"/>
      <c r="E30" s="6"/>
      <c r="F30" s="6"/>
      <c r="G30" s="6"/>
      <c r="H30" s="6"/>
      <c r="I30" s="6"/>
      <c r="J30" s="6"/>
      <c r="K30" s="6"/>
      <c r="L30" s="6"/>
      <c r="M30" s="6"/>
      <c r="N30" s="6"/>
      <c r="O30" s="6"/>
    </row>
    <row r="31" spans="1:15" ht="20.25">
      <c r="A31" s="121"/>
      <c r="B31" s="121"/>
      <c r="C31" s="86"/>
      <c r="D31" s="68"/>
      <c r="E31" s="6"/>
      <c r="F31" s="6"/>
      <c r="G31" s="6"/>
      <c r="H31" s="6"/>
      <c r="I31" s="6"/>
      <c r="J31" s="6"/>
      <c r="K31" s="6"/>
      <c r="L31" s="6"/>
      <c r="M31" s="6"/>
      <c r="N31" s="6"/>
      <c r="O31" s="6"/>
    </row>
    <row r="32" spans="1:15" ht="20.25">
      <c r="A32" s="121"/>
      <c r="B32" s="121"/>
      <c r="C32" s="86"/>
      <c r="D32" s="68"/>
      <c r="E32" s="6"/>
      <c r="F32" s="6"/>
      <c r="G32" s="6"/>
      <c r="H32" s="6"/>
      <c r="I32" s="6"/>
      <c r="J32" s="6"/>
      <c r="K32" s="6"/>
      <c r="L32" s="6"/>
      <c r="M32" s="6"/>
      <c r="N32" s="6"/>
      <c r="O32" s="6"/>
    </row>
    <row r="33" spans="1:15" ht="20.25">
      <c r="A33" s="121"/>
      <c r="B33" s="121"/>
      <c r="C33" s="86"/>
      <c r="D33" s="68"/>
      <c r="E33" s="6"/>
      <c r="F33" s="6"/>
      <c r="G33" s="6"/>
      <c r="H33" s="6"/>
      <c r="I33" s="6"/>
      <c r="J33" s="6"/>
      <c r="K33" s="6"/>
      <c r="L33" s="6"/>
      <c r="M33" s="6"/>
      <c r="N33" s="6"/>
      <c r="O33" s="6"/>
    </row>
    <row r="34" spans="1:15" ht="20.25">
      <c r="A34" s="121"/>
      <c r="B34" s="121"/>
      <c r="C34" s="86"/>
      <c r="D34" s="68"/>
      <c r="E34" s="6"/>
      <c r="F34" s="6"/>
      <c r="G34" s="6"/>
      <c r="H34" s="6"/>
      <c r="I34" s="6"/>
      <c r="J34" s="6"/>
      <c r="K34" s="6"/>
      <c r="L34" s="6"/>
      <c r="M34" s="6"/>
      <c r="N34" s="6"/>
      <c r="O34" s="6"/>
    </row>
    <row r="35" spans="1:15" ht="20.25">
      <c r="A35" s="121"/>
      <c r="B35" s="121"/>
      <c r="C35" s="86"/>
      <c r="D35" s="68"/>
      <c r="E35" s="6"/>
      <c r="F35" s="6"/>
      <c r="G35" s="6"/>
      <c r="H35" s="6"/>
      <c r="I35" s="6"/>
      <c r="J35" s="6"/>
      <c r="K35" s="6"/>
      <c r="L35" s="6"/>
      <c r="M35" s="6"/>
      <c r="N35" s="6"/>
      <c r="O35" s="6"/>
    </row>
    <row r="36" spans="1:15" ht="20.25">
      <c r="A36" s="121"/>
      <c r="B36" s="121"/>
      <c r="C36" s="86"/>
      <c r="D36" s="68"/>
      <c r="E36" s="6"/>
      <c r="F36" s="6"/>
      <c r="G36" s="6"/>
      <c r="H36" s="6"/>
      <c r="I36" s="6"/>
      <c r="J36" s="6"/>
      <c r="K36" s="6"/>
      <c r="L36" s="6"/>
      <c r="M36" s="6"/>
      <c r="N36" s="6"/>
      <c r="O36" s="6"/>
    </row>
    <row r="37" spans="1:15" ht="20.25">
      <c r="A37" s="121"/>
      <c r="B37" s="121"/>
      <c r="C37" s="86"/>
      <c r="D37" s="68"/>
      <c r="E37" s="6"/>
      <c r="F37" s="6"/>
      <c r="G37" s="6"/>
      <c r="H37" s="6"/>
      <c r="I37" s="6"/>
      <c r="J37" s="6"/>
      <c r="K37" s="6"/>
      <c r="L37" s="6"/>
      <c r="M37" s="6"/>
      <c r="N37" s="6"/>
      <c r="O37" s="6"/>
    </row>
    <row r="38" spans="1:15" ht="20.25">
      <c r="A38" s="121"/>
      <c r="B38" s="121"/>
      <c r="C38" s="86"/>
      <c r="D38" s="68"/>
      <c r="E38" s="6"/>
      <c r="F38" s="6"/>
      <c r="G38" s="6"/>
      <c r="H38" s="6"/>
      <c r="I38" s="6"/>
      <c r="J38" s="6"/>
      <c r="K38" s="6"/>
      <c r="L38" s="6"/>
      <c r="M38" s="6"/>
      <c r="N38" s="6"/>
      <c r="O38" s="6"/>
    </row>
    <row r="39" spans="1:15" ht="20.25">
      <c r="A39" s="121"/>
      <c r="B39" s="121"/>
      <c r="C39" s="86"/>
      <c r="D39" s="68"/>
      <c r="E39" s="6"/>
      <c r="F39" s="6"/>
      <c r="G39" s="6"/>
      <c r="H39" s="6"/>
      <c r="I39" s="6"/>
      <c r="J39" s="6"/>
      <c r="K39" s="6"/>
      <c r="L39" s="6"/>
      <c r="M39" s="6"/>
      <c r="N39" s="6"/>
      <c r="O39" s="6"/>
    </row>
    <row r="40" spans="1:15" ht="20.25">
      <c r="A40" s="121"/>
      <c r="B40" s="121"/>
      <c r="C40" s="86"/>
      <c r="D40" s="68"/>
      <c r="E40" s="6"/>
      <c r="F40" s="6"/>
      <c r="G40" s="6"/>
      <c r="H40" s="6"/>
      <c r="I40" s="6"/>
      <c r="J40" s="6"/>
      <c r="K40" s="6"/>
      <c r="L40" s="6"/>
      <c r="M40" s="6"/>
      <c r="N40" s="6"/>
      <c r="O40" s="6"/>
    </row>
    <row r="41" spans="1:15" ht="20.25">
      <c r="A41" s="121"/>
      <c r="B41" s="121"/>
      <c r="C41" s="86"/>
      <c r="D41" s="68"/>
      <c r="E41" s="6"/>
      <c r="F41" s="6"/>
      <c r="G41" s="6"/>
      <c r="H41" s="6"/>
      <c r="I41" s="6"/>
      <c r="J41" s="6"/>
      <c r="K41" s="6"/>
      <c r="L41" s="6"/>
      <c r="M41" s="6"/>
      <c r="N41" s="6"/>
      <c r="O41" s="6"/>
    </row>
    <row r="42" spans="1:15" ht="20.25">
      <c r="A42" s="121"/>
      <c r="B42" s="121"/>
      <c r="C42" s="86"/>
      <c r="D42" s="68"/>
      <c r="E42" s="6"/>
      <c r="F42" s="6"/>
      <c r="G42" s="6"/>
      <c r="H42" s="6"/>
      <c r="I42" s="6"/>
      <c r="J42" s="6"/>
      <c r="K42" s="6"/>
      <c r="L42" s="6"/>
      <c r="M42" s="6"/>
      <c r="N42" s="6"/>
      <c r="O42" s="6"/>
    </row>
    <row r="43" spans="1:15" ht="20.25">
      <c r="A43" s="121"/>
      <c r="B43" s="121"/>
      <c r="C43" s="86"/>
      <c r="D43" s="68"/>
      <c r="E43" s="6"/>
      <c r="F43" s="6"/>
      <c r="G43" s="6"/>
      <c r="H43" s="6"/>
      <c r="I43" s="6"/>
      <c r="J43" s="6"/>
      <c r="K43" s="6"/>
      <c r="L43" s="6"/>
      <c r="M43" s="6"/>
      <c r="N43" s="6"/>
      <c r="O43" s="6"/>
    </row>
    <row r="44" spans="1:15" ht="20.25">
      <c r="A44" s="121"/>
      <c r="B44" s="121"/>
      <c r="C44" s="86"/>
      <c r="D44" s="68"/>
      <c r="E44" s="6"/>
      <c r="F44" s="6"/>
      <c r="G44" s="6"/>
      <c r="H44" s="6"/>
      <c r="I44" s="6"/>
      <c r="J44" s="6"/>
      <c r="K44" s="6"/>
      <c r="L44" s="6"/>
      <c r="M44" s="6"/>
      <c r="N44" s="6"/>
      <c r="O44" s="6"/>
    </row>
    <row r="45" spans="1:15" ht="20.25">
      <c r="A45" s="121"/>
      <c r="B45" s="121"/>
      <c r="C45" s="86"/>
      <c r="D45" s="68"/>
      <c r="E45" s="6"/>
      <c r="F45" s="6"/>
      <c r="G45" s="6"/>
      <c r="H45" s="6"/>
      <c r="I45" s="6"/>
      <c r="J45" s="6"/>
      <c r="K45" s="6"/>
      <c r="L45" s="6"/>
      <c r="M45" s="6"/>
      <c r="N45" s="6"/>
      <c r="O45" s="6"/>
    </row>
    <row r="46" spans="1:15" ht="20.25">
      <c r="A46" s="121"/>
      <c r="B46" s="121"/>
      <c r="C46" s="86"/>
      <c r="D46" s="68"/>
      <c r="E46" s="6"/>
      <c r="F46" s="6"/>
      <c r="G46" s="6"/>
      <c r="H46" s="6"/>
      <c r="I46" s="6"/>
      <c r="J46" s="6"/>
      <c r="K46" s="6"/>
      <c r="L46" s="6"/>
      <c r="M46" s="6"/>
      <c r="N46" s="6"/>
      <c r="O46" s="6"/>
    </row>
    <row r="47" spans="1:15" ht="20.25">
      <c r="A47" s="121"/>
      <c r="B47" s="121"/>
      <c r="C47" s="86"/>
      <c r="D47" s="68"/>
      <c r="E47" s="6"/>
      <c r="F47" s="6"/>
      <c r="G47" s="6"/>
      <c r="H47" s="6"/>
      <c r="I47" s="6"/>
      <c r="J47" s="6"/>
      <c r="K47" s="6"/>
      <c r="L47" s="6"/>
      <c r="M47" s="6"/>
      <c r="N47" s="6"/>
      <c r="O47" s="6"/>
    </row>
    <row r="48" spans="1:15" ht="20.25">
      <c r="A48" s="121"/>
      <c r="B48" s="121"/>
      <c r="C48" s="86"/>
      <c r="D48" s="68"/>
      <c r="E48" s="6"/>
      <c r="F48" s="6"/>
      <c r="G48" s="6"/>
      <c r="H48" s="6"/>
      <c r="I48" s="6"/>
      <c r="J48" s="6"/>
      <c r="K48" s="6"/>
      <c r="L48" s="6"/>
      <c r="M48" s="6"/>
      <c r="N48" s="6"/>
      <c r="O48" s="6"/>
    </row>
    <row r="49" spans="1:15" ht="20.25">
      <c r="A49" s="121"/>
      <c r="B49" s="121"/>
      <c r="C49" s="86"/>
      <c r="D49" s="68"/>
      <c r="E49" s="6"/>
      <c r="F49" s="6"/>
      <c r="G49" s="6"/>
      <c r="H49" s="6"/>
      <c r="I49" s="6"/>
      <c r="J49" s="6"/>
      <c r="K49" s="6"/>
      <c r="L49" s="6"/>
      <c r="M49" s="6"/>
      <c r="N49" s="6"/>
      <c r="O49" s="6"/>
    </row>
    <row r="50" spans="1:15" ht="20.25">
      <c r="A50" s="121"/>
      <c r="B50" s="121"/>
      <c r="C50" s="86"/>
      <c r="D50" s="68"/>
      <c r="E50" s="6"/>
      <c r="F50" s="6"/>
      <c r="G50" s="6"/>
      <c r="H50" s="6"/>
      <c r="I50" s="6"/>
      <c r="J50" s="6"/>
      <c r="K50" s="6"/>
      <c r="L50" s="6"/>
      <c r="M50" s="6"/>
      <c r="N50" s="6"/>
      <c r="O50" s="6"/>
    </row>
    <row r="51" spans="1:15" ht="20.25">
      <c r="A51" s="121"/>
      <c r="B51" s="121"/>
      <c r="C51" s="86"/>
      <c r="D51" s="68"/>
      <c r="E51" s="6"/>
      <c r="F51" s="6"/>
      <c r="G51" s="6"/>
      <c r="H51" s="6"/>
      <c r="I51" s="6"/>
      <c r="J51" s="6"/>
      <c r="K51" s="6"/>
      <c r="L51" s="6"/>
      <c r="M51" s="6"/>
      <c r="N51" s="6"/>
      <c r="O51" s="6"/>
    </row>
    <row r="52" spans="1:15" ht="20.25">
      <c r="A52" s="121"/>
      <c r="B52" s="121"/>
      <c r="C52" s="86"/>
      <c r="D52" s="68"/>
      <c r="E52" s="6"/>
      <c r="F52" s="6"/>
      <c r="G52" s="6"/>
      <c r="H52" s="6"/>
      <c r="I52" s="6"/>
      <c r="J52" s="6"/>
      <c r="K52" s="6"/>
      <c r="L52" s="6"/>
      <c r="M52" s="6"/>
      <c r="N52" s="6"/>
      <c r="O52" s="6"/>
    </row>
    <row r="53" spans="1:15" ht="20.25">
      <c r="A53" s="121"/>
      <c r="B53" s="122"/>
      <c r="C53" s="87"/>
      <c r="D53" s="16"/>
    </row>
    <row r="54" spans="1:15" ht="20.25">
      <c r="A54" s="121"/>
      <c r="B54" s="122"/>
      <c r="C54" s="87"/>
      <c r="D54" s="16"/>
    </row>
    <row r="55" spans="1:15" ht="20.25">
      <c r="A55" s="121"/>
      <c r="B55" s="122"/>
      <c r="C55" s="87"/>
      <c r="D55" s="16"/>
    </row>
    <row r="56" spans="1:15" ht="20.25">
      <c r="A56" s="121"/>
      <c r="B56" s="122"/>
      <c r="C56" s="87"/>
      <c r="D56" s="16"/>
    </row>
    <row r="57" spans="1:15" ht="20.25">
      <c r="A57" s="121"/>
      <c r="B57" s="122"/>
      <c r="C57" s="87"/>
      <c r="D57" s="16"/>
    </row>
    <row r="58" spans="1:15" ht="20.25">
      <c r="A58" s="121"/>
      <c r="B58" s="122"/>
      <c r="C58" s="87"/>
      <c r="D58" s="16"/>
    </row>
    <row r="59" spans="1:15" ht="20.25">
      <c r="A59" s="121"/>
      <c r="B59" s="122"/>
      <c r="C59" s="87"/>
      <c r="D59" s="16"/>
    </row>
    <row r="60" spans="1:15" ht="20.25">
      <c r="A60" s="121"/>
      <c r="B60" s="122"/>
      <c r="C60" s="87"/>
      <c r="D60" s="16"/>
    </row>
    <row r="61" spans="1:15" ht="20.25">
      <c r="A61" s="121"/>
      <c r="B61" s="122"/>
      <c r="C61" s="87"/>
      <c r="D61" s="16"/>
    </row>
    <row r="62" spans="1:15" ht="20.25">
      <c r="A62" s="121"/>
      <c r="B62" s="122"/>
      <c r="C62" s="87"/>
      <c r="D62" s="16"/>
    </row>
    <row r="63" spans="1:15" ht="20.25">
      <c r="A63" s="121"/>
      <c r="B63" s="122"/>
      <c r="C63" s="87"/>
      <c r="D63" s="16"/>
    </row>
    <row r="64" spans="1:15" ht="20.25">
      <c r="A64" s="121"/>
      <c r="B64" s="122"/>
      <c r="C64" s="87"/>
      <c r="D64" s="16"/>
    </row>
    <row r="65" spans="1:4" ht="20.25">
      <c r="A65" s="121"/>
      <c r="B65" s="122"/>
      <c r="C65" s="87"/>
      <c r="D65" s="16"/>
    </row>
    <row r="66" spans="1:4" ht="20.25">
      <c r="A66" s="121"/>
      <c r="B66" s="122"/>
      <c r="C66" s="87"/>
      <c r="D66" s="16"/>
    </row>
    <row r="67" spans="1:4" ht="20.25">
      <c r="A67" s="121"/>
      <c r="B67" s="122"/>
      <c r="C67" s="87"/>
      <c r="D67" s="16"/>
    </row>
    <row r="68" spans="1:4" ht="20.25">
      <c r="A68" s="121"/>
      <c r="B68" s="122"/>
      <c r="C68" s="87"/>
      <c r="D68" s="16"/>
    </row>
    <row r="69" spans="1:4" ht="20.25">
      <c r="A69" s="121"/>
      <c r="B69" s="122"/>
      <c r="C69" s="87"/>
      <c r="D69" s="16"/>
    </row>
    <row r="70" spans="1:4" ht="20.25">
      <c r="A70" s="121"/>
      <c r="B70" s="122"/>
      <c r="C70" s="87"/>
      <c r="D70" s="16"/>
    </row>
    <row r="71" spans="1:4" ht="20.25">
      <c r="A71" s="121"/>
      <c r="B71" s="122"/>
      <c r="C71" s="87"/>
      <c r="D71" s="16"/>
    </row>
    <row r="72" spans="1:4" ht="20.25">
      <c r="A72" s="121"/>
      <c r="B72" s="122"/>
      <c r="C72" s="87"/>
      <c r="D72" s="16"/>
    </row>
    <row r="73" spans="1:4" ht="20.25">
      <c r="A73" s="121"/>
      <c r="B73" s="122"/>
      <c r="C73" s="87"/>
      <c r="D73" s="16"/>
    </row>
    <row r="74" spans="1:4" ht="20.25">
      <c r="A74" s="121"/>
      <c r="B74" s="122"/>
      <c r="C74" s="87"/>
      <c r="D74" s="16"/>
    </row>
    <row r="75" spans="1:4" ht="20.25">
      <c r="A75" s="121"/>
      <c r="B75" s="122"/>
      <c r="C75" s="87"/>
      <c r="D75" s="16"/>
    </row>
    <row r="76" spans="1:4" ht="20.25">
      <c r="A76" s="121"/>
      <c r="B76" s="122"/>
      <c r="C76" s="87"/>
      <c r="D76" s="16"/>
    </row>
    <row r="77" spans="1:4" ht="20.25">
      <c r="A77" s="121"/>
      <c r="B77" s="122"/>
      <c r="C77" s="87"/>
      <c r="D77" s="16"/>
    </row>
    <row r="78" spans="1:4" ht="20.25">
      <c r="A78" s="121"/>
      <c r="B78" s="122"/>
      <c r="C78" s="87"/>
      <c r="D78" s="16"/>
    </row>
    <row r="79" spans="1:4" ht="20.25">
      <c r="A79" s="121"/>
      <c r="B79" s="122"/>
      <c r="C79" s="87"/>
      <c r="D79" s="16"/>
    </row>
    <row r="80" spans="1:4" ht="20.25">
      <c r="A80" s="121"/>
      <c r="B80" s="122"/>
      <c r="C80" s="87"/>
      <c r="D80" s="16"/>
    </row>
    <row r="81" spans="1:4" ht="20.25">
      <c r="A81" s="121"/>
      <c r="B81" s="122"/>
      <c r="C81" s="87"/>
      <c r="D81" s="16"/>
    </row>
    <row r="82" spans="1:4" ht="20.25">
      <c r="A82" s="121"/>
      <c r="B82" s="122"/>
      <c r="C82" s="87"/>
      <c r="D82" s="16"/>
    </row>
    <row r="83" spans="1:4" ht="20.25">
      <c r="A83" s="121"/>
      <c r="B83" s="122"/>
      <c r="C83" s="87"/>
      <c r="D83" s="16"/>
    </row>
    <row r="84" spans="1:4" ht="20.25">
      <c r="A84" s="121"/>
      <c r="B84" s="122"/>
      <c r="C84" s="87"/>
      <c r="D84" s="16"/>
    </row>
    <row r="85" spans="1:4" ht="20.25">
      <c r="A85" s="121"/>
      <c r="B85" s="122"/>
      <c r="C85" s="87"/>
      <c r="D85" s="16"/>
    </row>
    <row r="86" spans="1:4" ht="20.25">
      <c r="A86" s="121"/>
      <c r="B86" s="122"/>
      <c r="C86" s="87"/>
      <c r="D86" s="16"/>
    </row>
    <row r="87" spans="1:4" ht="20.25">
      <c r="A87" s="121"/>
      <c r="B87" s="122"/>
      <c r="C87" s="87"/>
      <c r="D87" s="16"/>
    </row>
    <row r="88" spans="1:4" ht="20.25">
      <c r="A88" s="121"/>
      <c r="B88" s="122"/>
      <c r="C88" s="87"/>
      <c r="D88" s="16"/>
    </row>
    <row r="89" spans="1:4" ht="20.25">
      <c r="A89" s="121"/>
      <c r="B89" s="122"/>
      <c r="C89" s="87"/>
      <c r="D89" s="16"/>
    </row>
    <row r="90" spans="1:4" ht="20.25">
      <c r="A90" s="121"/>
      <c r="B90" s="122"/>
      <c r="C90" s="87"/>
      <c r="D90" s="16"/>
    </row>
    <row r="91" spans="1:4" ht="20.25">
      <c r="A91" s="121"/>
      <c r="B91" s="122"/>
      <c r="C91" s="87"/>
      <c r="D91" s="16"/>
    </row>
    <row r="92" spans="1:4" ht="20.25">
      <c r="A92" s="121"/>
      <c r="B92" s="122"/>
      <c r="C92" s="87"/>
      <c r="D92" s="16"/>
    </row>
    <row r="93" spans="1:4" ht="20.25">
      <c r="A93" s="121"/>
      <c r="B93" s="122"/>
      <c r="C93" s="87"/>
      <c r="D93" s="16"/>
    </row>
    <row r="94" spans="1:4" ht="20.25">
      <c r="A94" s="121"/>
      <c r="B94" s="122"/>
      <c r="C94" s="87"/>
      <c r="D94" s="16"/>
    </row>
    <row r="95" spans="1:4" ht="20.25">
      <c r="A95" s="121"/>
      <c r="B95" s="122"/>
      <c r="C95" s="87"/>
      <c r="D95" s="16"/>
    </row>
    <row r="96" spans="1:4" ht="20.25">
      <c r="A96" s="121"/>
      <c r="B96" s="122"/>
      <c r="C96" s="87"/>
      <c r="D96" s="16"/>
    </row>
    <row r="97" spans="1:4" ht="20.25">
      <c r="A97" s="121"/>
      <c r="B97" s="122"/>
      <c r="C97" s="87"/>
      <c r="D97" s="16"/>
    </row>
    <row r="98" spans="1:4" ht="20.25">
      <c r="A98" s="121"/>
      <c r="B98" s="122"/>
      <c r="C98" s="87"/>
      <c r="D98" s="16"/>
    </row>
    <row r="99" spans="1:4" ht="20.25">
      <c r="A99" s="121"/>
      <c r="B99" s="122"/>
      <c r="C99" s="87"/>
      <c r="D99" s="16"/>
    </row>
    <row r="100" spans="1:4" ht="20.25">
      <c r="A100" s="121"/>
      <c r="B100" s="122"/>
      <c r="C100" s="87"/>
      <c r="D100" s="16"/>
    </row>
    <row r="101" spans="1:4" ht="20.25">
      <c r="A101" s="121"/>
      <c r="B101" s="122"/>
      <c r="C101" s="87"/>
      <c r="D101" s="16"/>
    </row>
    <row r="102" spans="1:4" ht="20.25">
      <c r="A102" s="121"/>
      <c r="B102" s="122"/>
      <c r="C102" s="87"/>
      <c r="D102" s="16"/>
    </row>
    <row r="103" spans="1:4" ht="20.25">
      <c r="A103" s="121"/>
      <c r="B103" s="122"/>
      <c r="C103" s="87"/>
      <c r="D103" s="16"/>
    </row>
    <row r="104" spans="1:4" ht="20.25">
      <c r="A104" s="121"/>
      <c r="B104" s="122"/>
      <c r="C104" s="87"/>
      <c r="D104" s="16"/>
    </row>
    <row r="105" spans="1:4" ht="20.25">
      <c r="A105" s="121"/>
      <c r="B105" s="122"/>
      <c r="C105" s="87"/>
      <c r="D105" s="16"/>
    </row>
    <row r="106" spans="1:4" ht="20.25">
      <c r="A106" s="121"/>
      <c r="B106" s="122"/>
      <c r="C106" s="87"/>
      <c r="D106" s="16"/>
    </row>
    <row r="107" spans="1:4" ht="20.25">
      <c r="A107" s="121"/>
      <c r="B107" s="122"/>
      <c r="C107" s="87"/>
      <c r="D107" s="16"/>
    </row>
    <row r="108" spans="1:4" ht="20.25">
      <c r="A108" s="121"/>
      <c r="B108" s="122"/>
      <c r="C108" s="87"/>
      <c r="D108" s="16"/>
    </row>
    <row r="109" spans="1:4" ht="20.25">
      <c r="A109" s="121"/>
      <c r="B109" s="122"/>
      <c r="C109" s="87"/>
      <c r="D109" s="16"/>
    </row>
    <row r="110" spans="1:4" ht="20.25">
      <c r="A110" s="121"/>
      <c r="B110" s="122"/>
      <c r="C110" s="87"/>
      <c r="D110" s="16"/>
    </row>
    <row r="111" spans="1:4" ht="20.25">
      <c r="A111" s="121"/>
      <c r="B111" s="122"/>
      <c r="C111" s="87"/>
      <c r="D111" s="16"/>
    </row>
    <row r="112" spans="1:4" ht="20.25">
      <c r="A112" s="121"/>
      <c r="B112" s="122"/>
      <c r="C112" s="87"/>
      <c r="D112" s="16"/>
    </row>
    <row r="113" spans="1:4" ht="20.25">
      <c r="A113" s="121"/>
      <c r="B113" s="122"/>
      <c r="C113" s="87"/>
      <c r="D113" s="16"/>
    </row>
    <row r="114" spans="1:4" ht="20.25">
      <c r="A114" s="121"/>
      <c r="B114" s="122"/>
      <c r="C114" s="87"/>
      <c r="D114" s="16"/>
    </row>
    <row r="115" spans="1:4" ht="20.25">
      <c r="A115" s="121"/>
      <c r="B115" s="122"/>
      <c r="C115" s="87"/>
      <c r="D115" s="16"/>
    </row>
    <row r="116" spans="1:4" ht="20.25">
      <c r="A116" s="121"/>
      <c r="B116" s="122"/>
      <c r="C116" s="87"/>
      <c r="D116" s="16"/>
    </row>
    <row r="117" spans="1:4" ht="20.25">
      <c r="A117" s="121"/>
      <c r="B117" s="122"/>
      <c r="C117" s="87"/>
      <c r="D117" s="16"/>
    </row>
    <row r="118" spans="1:4" ht="20.25">
      <c r="A118" s="121"/>
      <c r="B118" s="122"/>
      <c r="C118" s="87"/>
      <c r="D118" s="16"/>
    </row>
    <row r="119" spans="1:4" ht="20.25">
      <c r="A119" s="121"/>
      <c r="B119" s="122"/>
      <c r="C119" s="87"/>
      <c r="D119" s="16"/>
    </row>
    <row r="120" spans="1:4" ht="20.25">
      <c r="A120" s="121"/>
      <c r="B120" s="122"/>
      <c r="C120" s="87"/>
      <c r="D120" s="16"/>
    </row>
    <row r="121" spans="1:4" ht="20.25">
      <c r="A121" s="121"/>
      <c r="B121" s="122"/>
      <c r="C121" s="87"/>
      <c r="D121" s="16"/>
    </row>
    <row r="122" spans="1:4" ht="20.25">
      <c r="A122" s="121"/>
      <c r="B122" s="122"/>
      <c r="C122" s="87"/>
      <c r="D122" s="16"/>
    </row>
    <row r="123" spans="1:4" ht="20.25">
      <c r="A123" s="121"/>
      <c r="B123" s="122"/>
      <c r="C123" s="16"/>
      <c r="D123" s="16"/>
    </row>
    <row r="124" spans="1:4" ht="20.25">
      <c r="A124" s="121"/>
      <c r="B124" s="122"/>
      <c r="C124" s="16"/>
      <c r="D124" s="16"/>
    </row>
    <row r="125" spans="1:4" ht="20.25">
      <c r="A125" s="121"/>
      <c r="B125" s="122"/>
      <c r="C125" s="16"/>
      <c r="D125" s="16"/>
    </row>
    <row r="126" spans="1:4" ht="20.25">
      <c r="A126" s="121"/>
      <c r="B126" s="122"/>
      <c r="C126" s="16"/>
      <c r="D126" s="16"/>
    </row>
    <row r="127" spans="1:4" ht="20.25">
      <c r="A127" s="121"/>
      <c r="B127" s="122"/>
      <c r="C127" s="16"/>
      <c r="D127" s="16"/>
    </row>
    <row r="128" spans="1:4" ht="20.25">
      <c r="A128" s="121"/>
      <c r="B128" s="122"/>
      <c r="C128" s="16"/>
      <c r="D128" s="16"/>
    </row>
    <row r="129" spans="1:4" ht="20.25">
      <c r="A129" s="121"/>
      <c r="B129" s="122"/>
      <c r="C129" s="16"/>
      <c r="D129" s="16"/>
    </row>
    <row r="130" spans="1:4" ht="20.25">
      <c r="A130" s="121"/>
      <c r="B130" s="122"/>
      <c r="C130" s="16"/>
      <c r="D130" s="16"/>
    </row>
    <row r="131" spans="1:4" ht="20.25">
      <c r="A131" s="121"/>
      <c r="B131" s="122"/>
      <c r="C131" s="16"/>
      <c r="D131" s="16"/>
    </row>
    <row r="132" spans="1:4" ht="20.25">
      <c r="A132" s="121"/>
      <c r="B132" s="122"/>
      <c r="C132" s="16"/>
      <c r="D132" s="16"/>
    </row>
    <row r="133" spans="1:4" ht="20.25">
      <c r="A133" s="121"/>
      <c r="B133" s="122"/>
      <c r="C133" s="16"/>
      <c r="D133" s="16"/>
    </row>
    <row r="134" spans="1:4" ht="20.25">
      <c r="A134" s="121"/>
      <c r="B134" s="122"/>
      <c r="C134" s="16"/>
      <c r="D134" s="16"/>
    </row>
    <row r="135" spans="1:4" ht="20.25">
      <c r="A135" s="121"/>
      <c r="B135" s="122"/>
      <c r="C135" s="16"/>
      <c r="D135" s="16"/>
    </row>
    <row r="136" spans="1:4" ht="20.25">
      <c r="A136" s="121"/>
      <c r="B136" s="122"/>
      <c r="C136" s="16"/>
      <c r="D136" s="16"/>
    </row>
    <row r="137" spans="1:4" ht="20.25">
      <c r="A137" s="121"/>
      <c r="B137" s="122"/>
      <c r="C137" s="16"/>
      <c r="D137" s="16"/>
    </row>
    <row r="138" spans="1:4" ht="20.25">
      <c r="A138" s="121"/>
      <c r="B138" s="122"/>
      <c r="C138" s="16"/>
      <c r="D138" s="16"/>
    </row>
    <row r="139" spans="1:4" ht="20.25">
      <c r="A139" s="121"/>
      <c r="B139" s="122"/>
      <c r="C139" s="16"/>
      <c r="D139" s="16"/>
    </row>
    <row r="140" spans="1:4" ht="20.25">
      <c r="A140" s="121"/>
      <c r="B140" s="122"/>
      <c r="C140" s="16"/>
      <c r="D140" s="16"/>
    </row>
    <row r="141" spans="1:4" ht="20.25">
      <c r="A141" s="121"/>
      <c r="B141" s="122"/>
      <c r="C141" s="16"/>
      <c r="D141" s="16"/>
    </row>
    <row r="142" spans="1:4" ht="20.25">
      <c r="A142" s="121"/>
      <c r="B142" s="122"/>
      <c r="C142" s="16"/>
      <c r="D142" s="16"/>
    </row>
    <row r="143" spans="1:4" ht="20.25">
      <c r="A143" s="121"/>
      <c r="B143" s="122"/>
      <c r="C143" s="16"/>
      <c r="D143" s="16"/>
    </row>
    <row r="144" spans="1:4" ht="20.25">
      <c r="A144" s="121"/>
      <c r="B144" s="122"/>
      <c r="C144" s="16"/>
      <c r="D144" s="16"/>
    </row>
    <row r="145" spans="1:4" ht="20.25">
      <c r="A145" s="121"/>
      <c r="B145" s="122"/>
      <c r="C145" s="16"/>
      <c r="D145" s="16"/>
    </row>
    <row r="146" spans="1:4" ht="20.25">
      <c r="A146" s="121"/>
      <c r="B146" s="122"/>
      <c r="C146" s="16"/>
      <c r="D146" s="16"/>
    </row>
    <row r="147" spans="1:4" ht="20.25">
      <c r="A147" s="121"/>
      <c r="B147" s="122"/>
      <c r="C147" s="16"/>
      <c r="D147" s="16"/>
    </row>
    <row r="148" spans="1:4" ht="20.25">
      <c r="A148" s="121"/>
      <c r="B148" s="122"/>
      <c r="C148" s="16"/>
      <c r="D148" s="16"/>
    </row>
    <row r="149" spans="1:4" ht="20.25">
      <c r="A149" s="121"/>
      <c r="B149" s="122"/>
      <c r="C149" s="16"/>
      <c r="D149" s="16"/>
    </row>
    <row r="150" spans="1:4" ht="20.25">
      <c r="A150" s="121"/>
      <c r="B150" s="122"/>
      <c r="C150" s="16"/>
      <c r="D150" s="16"/>
    </row>
    <row r="151" spans="1:4" ht="20.25">
      <c r="A151" s="121"/>
      <c r="B151" s="122"/>
      <c r="C151" s="16"/>
      <c r="D151" s="16"/>
    </row>
    <row r="152" spans="1:4" ht="20.25">
      <c r="A152" s="121"/>
      <c r="B152" s="122"/>
      <c r="C152" s="16"/>
      <c r="D152" s="16"/>
    </row>
    <row r="153" spans="1:4" ht="20.25">
      <c r="A153" s="121"/>
      <c r="B153" s="122"/>
      <c r="C153" s="16"/>
      <c r="D153" s="16"/>
    </row>
    <row r="154" spans="1:4" ht="20.25">
      <c r="A154" s="121"/>
      <c r="B154" s="122"/>
      <c r="C154" s="16"/>
      <c r="D154" s="16"/>
    </row>
    <row r="155" spans="1:4" ht="20.25">
      <c r="A155" s="121"/>
      <c r="B155" s="122"/>
      <c r="C155" s="16"/>
      <c r="D155" s="16"/>
    </row>
    <row r="156" spans="1:4" ht="20.25">
      <c r="A156" s="121"/>
      <c r="B156" s="122"/>
      <c r="C156" s="16"/>
      <c r="D156" s="16"/>
    </row>
    <row r="157" spans="1:4" ht="20.25">
      <c r="A157" s="121"/>
      <c r="B157" s="122"/>
      <c r="C157" s="16"/>
      <c r="D157" s="16"/>
    </row>
    <row r="158" spans="1:4" ht="20.25">
      <c r="A158" s="121"/>
      <c r="B158" s="122"/>
      <c r="C158" s="16"/>
      <c r="D158" s="16"/>
    </row>
    <row r="159" spans="1:4" ht="20.25">
      <c r="A159" s="121"/>
      <c r="B159" s="122"/>
      <c r="C159" s="16"/>
      <c r="D159" s="16"/>
    </row>
    <row r="160" spans="1:4" ht="20.25">
      <c r="A160" s="121"/>
      <c r="B160" s="122"/>
      <c r="C160" s="16"/>
      <c r="D160" s="16"/>
    </row>
    <row r="161" spans="1:4" ht="20.25">
      <c r="A161" s="121"/>
      <c r="B161" s="122"/>
      <c r="C161" s="16"/>
      <c r="D161" s="16"/>
    </row>
    <row r="162" spans="1:4" ht="20.25">
      <c r="A162" s="121"/>
      <c r="B162" s="122"/>
      <c r="C162" s="16"/>
      <c r="D162" s="16"/>
    </row>
    <row r="163" spans="1:4" ht="20.25">
      <c r="A163" s="121"/>
      <c r="B163" s="122"/>
      <c r="C163" s="16"/>
      <c r="D163" s="16"/>
    </row>
    <row r="164" spans="1:4" ht="20.25">
      <c r="A164" s="121"/>
      <c r="B164" s="122"/>
      <c r="C164" s="16"/>
      <c r="D164" s="16"/>
    </row>
    <row r="165" spans="1:4" ht="20.25">
      <c r="A165" s="121"/>
      <c r="B165" s="122"/>
      <c r="C165" s="16"/>
      <c r="D165" s="16"/>
    </row>
    <row r="166" spans="1:4" ht="20.25">
      <c r="A166" s="121"/>
      <c r="B166" s="122"/>
      <c r="C166" s="16"/>
      <c r="D166" s="16"/>
    </row>
    <row r="167" spans="1:4" ht="20.25">
      <c r="A167" s="121"/>
      <c r="B167" s="122"/>
      <c r="C167" s="16"/>
      <c r="D167" s="16"/>
    </row>
    <row r="168" spans="1:4" ht="20.25">
      <c r="A168" s="121"/>
      <c r="B168" s="122"/>
      <c r="C168" s="16"/>
      <c r="D168" s="16"/>
    </row>
    <row r="169" spans="1:4" ht="20.25">
      <c r="A169" s="121"/>
      <c r="B169" s="122"/>
      <c r="C169" s="16"/>
      <c r="D169" s="16"/>
    </row>
    <row r="170" spans="1:4" ht="20.25">
      <c r="A170" s="121"/>
      <c r="B170" s="122"/>
      <c r="C170" s="16"/>
      <c r="D170" s="16"/>
    </row>
    <row r="171" spans="1:4" ht="20.25">
      <c r="A171" s="121"/>
      <c r="B171" s="122"/>
      <c r="C171" s="16"/>
      <c r="D171" s="16"/>
    </row>
    <row r="172" spans="1:4" ht="20.25">
      <c r="A172" s="121"/>
      <c r="B172" s="122"/>
      <c r="C172" s="16"/>
      <c r="D172" s="16"/>
    </row>
    <row r="173" spans="1:4" ht="20.25">
      <c r="A173" s="121"/>
      <c r="B173" s="122"/>
      <c r="C173" s="16"/>
      <c r="D173" s="16"/>
    </row>
    <row r="174" spans="1:4" ht="20.25">
      <c r="A174" s="121"/>
      <c r="B174" s="122"/>
      <c r="C174" s="16"/>
      <c r="D174" s="16"/>
    </row>
    <row r="175" spans="1:4" ht="20.25">
      <c r="A175" s="121"/>
      <c r="B175" s="122"/>
      <c r="C175" s="16"/>
      <c r="D175" s="16"/>
    </row>
    <row r="176" spans="1:4" ht="20.25">
      <c r="A176" s="121"/>
      <c r="B176" s="122"/>
      <c r="C176" s="16"/>
      <c r="D176" s="16"/>
    </row>
    <row r="177" spans="1:4" ht="20.25">
      <c r="A177" s="121"/>
      <c r="B177" s="122"/>
      <c r="C177" s="16"/>
      <c r="D177" s="16"/>
    </row>
    <row r="178" spans="1:4" ht="20.25">
      <c r="A178" s="121"/>
      <c r="B178" s="122"/>
      <c r="C178" s="16"/>
      <c r="D178" s="16"/>
    </row>
    <row r="179" spans="1:4" ht="20.25">
      <c r="A179" s="121"/>
      <c r="B179" s="122"/>
      <c r="C179" s="16"/>
      <c r="D179" s="16"/>
    </row>
    <row r="180" spans="1:4" ht="20.25">
      <c r="A180" s="121"/>
      <c r="B180" s="122"/>
      <c r="C180" s="16"/>
      <c r="D180" s="16"/>
    </row>
    <row r="181" spans="1:4" ht="20.25">
      <c r="A181" s="121"/>
      <c r="B181" s="122"/>
      <c r="C181" s="16"/>
      <c r="D181" s="16"/>
    </row>
    <row r="182" spans="1:4" ht="20.25">
      <c r="A182" s="121"/>
      <c r="B182" s="122"/>
      <c r="C182" s="16"/>
      <c r="D182" s="16"/>
    </row>
    <row r="183" spans="1:4" ht="20.25">
      <c r="A183" s="121"/>
      <c r="B183" s="122"/>
      <c r="C183" s="16"/>
      <c r="D183" s="16"/>
    </row>
    <row r="184" spans="1:4" ht="20.25">
      <c r="A184" s="121"/>
      <c r="B184" s="122"/>
      <c r="C184" s="16"/>
      <c r="D184" s="16"/>
    </row>
    <row r="185" spans="1:4" ht="20.25">
      <c r="A185" s="121"/>
      <c r="B185" s="122"/>
      <c r="C185" s="16"/>
      <c r="D185" s="16"/>
    </row>
    <row r="186" spans="1:4" ht="20.25">
      <c r="A186" s="121"/>
      <c r="B186" s="122"/>
      <c r="C186" s="16"/>
      <c r="D186" s="16"/>
    </row>
    <row r="187" spans="1:4" ht="20.25">
      <c r="A187" s="121"/>
      <c r="B187" s="122"/>
      <c r="C187" s="16"/>
      <c r="D187" s="16"/>
    </row>
    <row r="188" spans="1:4" ht="20.25">
      <c r="A188" s="121"/>
      <c r="B188" s="122"/>
      <c r="C188" s="16"/>
      <c r="D188" s="16"/>
    </row>
    <row r="189" spans="1:4" ht="20.25">
      <c r="A189" s="121"/>
      <c r="B189" s="122"/>
      <c r="C189" s="16"/>
      <c r="D189" s="16"/>
    </row>
    <row r="190" spans="1:4" ht="20.25">
      <c r="A190" s="121"/>
      <c r="B190" s="122"/>
      <c r="C190" s="16"/>
      <c r="D190" s="16"/>
    </row>
    <row r="191" spans="1:4" ht="20.25">
      <c r="A191" s="121"/>
      <c r="B191" s="122"/>
      <c r="C191" s="16"/>
      <c r="D191" s="16"/>
    </row>
    <row r="192" spans="1:4" ht="20.25">
      <c r="A192" s="121"/>
      <c r="B192" s="122"/>
      <c r="C192" s="16"/>
      <c r="D192" s="16"/>
    </row>
    <row r="193" spans="1:4" ht="20.25">
      <c r="A193" s="121"/>
      <c r="B193" s="122"/>
      <c r="C193" s="16"/>
      <c r="D193" s="16"/>
    </row>
    <row r="194" spans="1:4" ht="20.25">
      <c r="A194" s="121"/>
      <c r="B194" s="122"/>
      <c r="C194" s="16"/>
      <c r="D194" s="16"/>
    </row>
    <row r="195" spans="1:4" ht="20.25">
      <c r="A195" s="121"/>
      <c r="B195" s="122"/>
      <c r="C195" s="16"/>
      <c r="D195" s="16"/>
    </row>
    <row r="196" spans="1:4" ht="20.25">
      <c r="A196" s="121"/>
      <c r="B196" s="122"/>
      <c r="C196" s="16"/>
      <c r="D196" s="16"/>
    </row>
    <row r="197" spans="1:4" ht="20.25">
      <c r="A197" s="121"/>
      <c r="B197" s="122"/>
      <c r="C197" s="16"/>
      <c r="D197" s="16"/>
    </row>
    <row r="198" spans="1:4" ht="20.25">
      <c r="A198" s="121"/>
      <c r="B198" s="122"/>
      <c r="C198" s="16"/>
      <c r="D198" s="16"/>
    </row>
    <row r="199" spans="1:4" ht="20.25">
      <c r="A199" s="121"/>
      <c r="B199" s="122"/>
      <c r="C199" s="16"/>
      <c r="D199" s="16"/>
    </row>
    <row r="200" spans="1:4" ht="20.25">
      <c r="A200" s="121"/>
      <c r="B200" s="122"/>
      <c r="C200" s="16"/>
      <c r="D200" s="16"/>
    </row>
    <row r="201" spans="1:4" ht="20.25">
      <c r="A201" s="121"/>
      <c r="B201" s="122"/>
      <c r="C201" s="16"/>
      <c r="D201" s="16"/>
    </row>
    <row r="202" spans="1:4" ht="20.25">
      <c r="A202" s="121"/>
      <c r="B202" s="122"/>
      <c r="C202" s="16"/>
      <c r="D202" s="16"/>
    </row>
    <row r="203" spans="1:4" ht="20.25">
      <c r="A203" s="121"/>
      <c r="B203" s="122"/>
      <c r="C203" s="16"/>
      <c r="D203" s="16"/>
    </row>
    <row r="204" spans="1:4" ht="20.25">
      <c r="A204" s="121"/>
      <c r="B204" s="122"/>
      <c r="C204" s="16"/>
      <c r="D204" s="16"/>
    </row>
    <row r="205" spans="1:4" ht="20.25">
      <c r="A205" s="121"/>
      <c r="B205" s="122"/>
      <c r="C205" s="16"/>
      <c r="D205" s="16"/>
    </row>
    <row r="206" spans="1:4" ht="20.25">
      <c r="A206" s="121"/>
      <c r="B206" s="122"/>
      <c r="C206" s="16"/>
      <c r="D206" s="16"/>
    </row>
    <row r="207" spans="1:4" ht="20.25">
      <c r="A207" s="121"/>
      <c r="B207" s="122"/>
      <c r="C207" s="16"/>
      <c r="D207" s="16"/>
    </row>
    <row r="208" spans="1:4" ht="20.25">
      <c r="A208" s="121"/>
      <c r="B208" s="122"/>
      <c r="C208" s="16"/>
      <c r="D208" s="16"/>
    </row>
    <row r="209" spans="1:8">
      <c r="A209" s="6"/>
      <c r="B209" s="122"/>
      <c r="C209" s="122"/>
      <c r="D209" s="122"/>
    </row>
    <row r="210" spans="1:8" ht="20.25">
      <c r="A210" s="6"/>
      <c r="B210" s="15" t="s">
        <v>341</v>
      </c>
      <c r="C210" s="15" t="s">
        <v>342</v>
      </c>
      <c r="D210" s="123" t="s">
        <v>341</v>
      </c>
      <c r="E210" s="123" t="s">
        <v>342</v>
      </c>
    </row>
    <row r="211" spans="1:8" ht="20.25">
      <c r="A211" s="6"/>
      <c r="B211" s="124" t="s">
        <v>343</v>
      </c>
      <c r="C211" s="124" t="s">
        <v>344</v>
      </c>
      <c r="D211" s="91" t="s">
        <v>343</v>
      </c>
      <c r="F211" s="91" t="str">
        <f>IF(NOT(ISBLANK(D211)),D211,IF(NOT(ISBLANK(E211)),"     "&amp;E211,FALSE))</f>
        <v>Afectación Económica o presupuestal</v>
      </c>
      <c r="G211" s="91" t="s">
        <v>343</v>
      </c>
      <c r="H211" s="91" t="str">
        <f>IF(NOT(ISERROR(MATCH(G211,_xlfn.ANCHORARRAY(B222),0))),F224&amp;"Por favor no seleccionar los criterios de impacto",G211)</f>
        <v>❌Por favor no seleccionar los criterios de impacto</v>
      </c>
    </row>
    <row r="212" spans="1:8" ht="20.25">
      <c r="A212" s="6"/>
      <c r="B212" s="124" t="s">
        <v>343</v>
      </c>
      <c r="C212" s="124" t="s">
        <v>319</v>
      </c>
      <c r="E212" s="91" t="s">
        <v>344</v>
      </c>
      <c r="F212" s="91" t="str">
        <f t="shared" ref="F212:F222" si="0">IF(NOT(ISBLANK(D212)),D212,IF(NOT(ISBLANK(E212)),"     "&amp;E212,FALSE))</f>
        <v xml:space="preserve">     Afectación menor a 10 SMLMV .</v>
      </c>
    </row>
    <row r="213" spans="1:8" ht="20.25">
      <c r="A213" s="6"/>
      <c r="B213" s="124" t="s">
        <v>343</v>
      </c>
      <c r="C213" s="124" t="s">
        <v>322</v>
      </c>
      <c r="E213" s="91" t="s">
        <v>319</v>
      </c>
      <c r="F213" s="91" t="str">
        <f t="shared" si="0"/>
        <v xml:space="preserve">     Entre 10 y 50 SMLMV </v>
      </c>
    </row>
    <row r="214" spans="1:8" ht="20.25">
      <c r="A214" s="6"/>
      <c r="B214" s="124" t="s">
        <v>343</v>
      </c>
      <c r="C214" s="124" t="s">
        <v>326</v>
      </c>
      <c r="E214" s="91" t="s">
        <v>322</v>
      </c>
      <c r="F214" s="91" t="str">
        <f t="shared" si="0"/>
        <v xml:space="preserve">     Entre 50 y 100 SMLMV </v>
      </c>
    </row>
    <row r="215" spans="1:8" ht="20.25">
      <c r="A215" s="6"/>
      <c r="B215" s="124" t="s">
        <v>343</v>
      </c>
      <c r="C215" s="124" t="s">
        <v>330</v>
      </c>
      <c r="E215" s="91" t="s">
        <v>326</v>
      </c>
      <c r="F215" s="91" t="str">
        <f t="shared" si="0"/>
        <v xml:space="preserve">     Entre 100 y 500 SMLMV </v>
      </c>
    </row>
    <row r="216" spans="1:8" ht="20.25">
      <c r="A216" s="6"/>
      <c r="B216" s="124" t="s">
        <v>312</v>
      </c>
      <c r="C216" s="124" t="s">
        <v>316</v>
      </c>
      <c r="E216" s="91" t="s">
        <v>330</v>
      </c>
      <c r="F216" s="91" t="str">
        <f t="shared" si="0"/>
        <v xml:space="preserve">     Mayor a 500 SMLMV </v>
      </c>
    </row>
    <row r="217" spans="1:8" ht="20.25">
      <c r="A217" s="6"/>
      <c r="B217" s="124" t="s">
        <v>312</v>
      </c>
      <c r="C217" s="124" t="s">
        <v>320</v>
      </c>
      <c r="D217" s="91" t="s">
        <v>312</v>
      </c>
      <c r="F217" s="91" t="str">
        <f t="shared" si="0"/>
        <v>Pérdida Reputacional</v>
      </c>
    </row>
    <row r="218" spans="1:8" ht="20.25">
      <c r="A218" s="6"/>
      <c r="B218" s="124" t="s">
        <v>312</v>
      </c>
      <c r="C218" s="124" t="s">
        <v>323</v>
      </c>
      <c r="E218" s="91" t="s">
        <v>316</v>
      </c>
      <c r="F218" s="91" t="str">
        <f t="shared" si="0"/>
        <v xml:space="preserve">     El riesgo afecta la imagen de alguna área de la organización</v>
      </c>
    </row>
    <row r="219" spans="1:8" ht="20.25">
      <c r="A219" s="6"/>
      <c r="B219" s="124" t="s">
        <v>312</v>
      </c>
      <c r="C219" s="124" t="s">
        <v>327</v>
      </c>
      <c r="E219" s="91" t="s">
        <v>320</v>
      </c>
      <c r="F219" s="91" t="str">
        <f t="shared" si="0"/>
        <v xml:space="preserve">     El riesgo afecta la imagen de la entidad internamente, de conocimiento general, nivel interno, de junta dircetiva y accionistas y/o de provedores</v>
      </c>
    </row>
    <row r="220" spans="1:8" ht="20.25">
      <c r="A220" s="6"/>
      <c r="B220" s="124" t="s">
        <v>312</v>
      </c>
      <c r="C220" s="124" t="s">
        <v>331</v>
      </c>
      <c r="E220" s="91" t="s">
        <v>323</v>
      </c>
      <c r="F220" s="91" t="str">
        <f t="shared" si="0"/>
        <v xml:space="preserve">     El riesgo afecta la imagen de la entidad con algunos usuarios de relevancia frente al logro de los objetivos</v>
      </c>
    </row>
    <row r="221" spans="1:8">
      <c r="A221" s="6"/>
      <c r="B221" s="125"/>
      <c r="C221" s="125"/>
      <c r="E221" s="91" t="s">
        <v>327</v>
      </c>
      <c r="F221" s="91" t="str">
        <f t="shared" si="0"/>
        <v xml:space="preserve">     El riesgo afecta la imagen de de la entidad con efecto publicitario sostenido a nivel de sector administrativo, nivel departamental o municipal</v>
      </c>
    </row>
    <row r="222" spans="1:8">
      <c r="A222" s="6"/>
      <c r="B222" s="125" t="str" cm="1">
        <f t="array" ref="B222:B224">_xlfn.UNIQUE(Tabla1[[#All],[Criterios]])</f>
        <v>Criterios</v>
      </c>
      <c r="C222" s="125"/>
      <c r="E222" s="91" t="s">
        <v>331</v>
      </c>
      <c r="F222" s="91" t="str">
        <f t="shared" si="0"/>
        <v xml:space="preserve">     El riesgo afecta la imagen de la entidad a nivel nacional, con efecto publicitarios sostenible a nivel país</v>
      </c>
    </row>
    <row r="223" spans="1:8">
      <c r="A223" s="6"/>
      <c r="B223" s="125" t="str">
        <v>Afectación Económica o presupuestal</v>
      </c>
      <c r="C223" s="125"/>
    </row>
    <row r="224" spans="1:8">
      <c r="B224" s="125" t="str">
        <v>Pérdida Reputacional</v>
      </c>
      <c r="C224" s="125"/>
      <c r="F224" s="126" t="s">
        <v>345</v>
      </c>
    </row>
    <row r="225" spans="2:6">
      <c r="B225" s="127"/>
      <c r="C225" s="127"/>
      <c r="F225" s="126" t="s">
        <v>346</v>
      </c>
    </row>
    <row r="226" spans="2:6">
      <c r="B226" s="127"/>
      <c r="C226" s="127"/>
    </row>
    <row r="227" spans="2:6">
      <c r="B227" s="127"/>
      <c r="C227" s="127"/>
    </row>
    <row r="228" spans="2:6">
      <c r="B228" s="127"/>
      <c r="C228" s="127"/>
      <c r="D228" s="127"/>
    </row>
    <row r="229" spans="2:6">
      <c r="B229" s="127"/>
      <c r="C229" s="127"/>
      <c r="D229" s="127"/>
    </row>
    <row r="230" spans="2:6">
      <c r="B230" s="127"/>
      <c r="C230" s="127"/>
      <c r="D230" s="127"/>
    </row>
    <row r="231" spans="2:6">
      <c r="B231" s="127"/>
      <c r="C231" s="127"/>
      <c r="D231" s="127"/>
    </row>
    <row r="232" spans="2:6">
      <c r="B232" s="127"/>
      <c r="C232" s="127"/>
      <c r="D232" s="127"/>
    </row>
    <row r="233" spans="2:6">
      <c r="B233" s="127"/>
      <c r="C233" s="127"/>
      <c r="D233" s="127"/>
    </row>
  </sheetData>
  <mergeCells count="1">
    <mergeCell ref="B2:D2"/>
  </mergeCells>
  <dataValidations disablePrompts="1" count="1">
    <dataValidation type="list" allowBlank="1" showInputMessage="1" showErrorMessage="1" sqref="G211" xr:uid="{00000000-0002-0000-05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G17"/>
  <sheetViews>
    <sheetView showRowColHeaders="0" topLeftCell="A9" workbookViewId="0"/>
  </sheetViews>
  <sheetFormatPr defaultColWidth="14.28515625" defaultRowHeight="12.75"/>
  <cols>
    <col min="1" max="2" width="14.28515625" style="59" collapsed="1"/>
    <col min="3" max="3" width="17" style="59" customWidth="1" collapsed="1"/>
    <col min="4" max="4" width="14.28515625" style="59" collapsed="1"/>
    <col min="5" max="5" width="46" style="59" customWidth="1" collapsed="1"/>
    <col min="6" max="16384" width="14.28515625" style="59" collapsed="1"/>
  </cols>
  <sheetData>
    <row r="1" spans="1:7" ht="13.5" thickBot="1"/>
    <row r="2" spans="1:7" ht="24" customHeight="1" thickBot="1">
      <c r="A2" s="128"/>
      <c r="B2" s="556" t="s">
        <v>347</v>
      </c>
      <c r="C2" s="557"/>
      <c r="D2" s="557"/>
      <c r="E2" s="557"/>
      <c r="F2" s="558"/>
      <c r="G2" s="128"/>
    </row>
    <row r="3" spans="1:7" ht="16.5" thickBot="1">
      <c r="A3" s="128"/>
      <c r="B3" s="129"/>
      <c r="C3" s="129"/>
      <c r="D3" s="129"/>
      <c r="E3" s="129"/>
      <c r="F3" s="129"/>
      <c r="G3" s="128"/>
    </row>
    <row r="4" spans="1:7" ht="16.5" thickBot="1">
      <c r="A4" s="128"/>
      <c r="B4" s="562" t="s">
        <v>348</v>
      </c>
      <c r="C4" s="563"/>
      <c r="D4" s="563"/>
      <c r="E4" s="202" t="s">
        <v>349</v>
      </c>
      <c r="F4" s="119" t="s">
        <v>350</v>
      </c>
      <c r="G4" s="128"/>
    </row>
    <row r="5" spans="1:7" ht="31.5">
      <c r="A5" s="128"/>
      <c r="B5" s="564" t="s">
        <v>351</v>
      </c>
      <c r="C5" s="566" t="s">
        <v>170</v>
      </c>
      <c r="D5" s="203" t="s">
        <v>184</v>
      </c>
      <c r="E5" s="60" t="s">
        <v>352</v>
      </c>
      <c r="F5" s="61">
        <v>0.25</v>
      </c>
      <c r="G5" s="128"/>
    </row>
    <row r="6" spans="1:7" ht="47.25">
      <c r="A6" s="128"/>
      <c r="B6" s="565"/>
      <c r="C6" s="567"/>
      <c r="D6" s="204" t="s">
        <v>193</v>
      </c>
      <c r="E6" s="62" t="s">
        <v>353</v>
      </c>
      <c r="F6" s="63">
        <v>0.15</v>
      </c>
      <c r="G6" s="128"/>
    </row>
    <row r="7" spans="1:7" ht="47.25">
      <c r="A7" s="128"/>
      <c r="B7" s="565"/>
      <c r="C7" s="567"/>
      <c r="D7" s="204" t="s">
        <v>354</v>
      </c>
      <c r="E7" s="62" t="s">
        <v>355</v>
      </c>
      <c r="F7" s="63">
        <v>0.1</v>
      </c>
      <c r="G7" s="128"/>
    </row>
    <row r="8" spans="1:7" ht="63">
      <c r="A8" s="128"/>
      <c r="B8" s="565"/>
      <c r="C8" s="567" t="s">
        <v>171</v>
      </c>
      <c r="D8" s="204" t="s">
        <v>356</v>
      </c>
      <c r="E8" s="62" t="s">
        <v>357</v>
      </c>
      <c r="F8" s="63">
        <v>0.25</v>
      </c>
      <c r="G8" s="128"/>
    </row>
    <row r="9" spans="1:7" ht="31.5">
      <c r="A9" s="128"/>
      <c r="B9" s="565"/>
      <c r="C9" s="567"/>
      <c r="D9" s="204" t="s">
        <v>185</v>
      </c>
      <c r="E9" s="62" t="s">
        <v>358</v>
      </c>
      <c r="F9" s="63">
        <v>0.15</v>
      </c>
      <c r="G9" s="128"/>
    </row>
    <row r="10" spans="1:7" ht="47.25">
      <c r="A10" s="128"/>
      <c r="B10" s="565" t="s">
        <v>359</v>
      </c>
      <c r="C10" s="567" t="s">
        <v>173</v>
      </c>
      <c r="D10" s="204" t="s">
        <v>186</v>
      </c>
      <c r="E10" s="62" t="s">
        <v>360</v>
      </c>
      <c r="F10" s="64" t="s">
        <v>361</v>
      </c>
      <c r="G10" s="128"/>
    </row>
    <row r="11" spans="1:7" ht="63">
      <c r="A11" s="128"/>
      <c r="B11" s="565"/>
      <c r="C11" s="567"/>
      <c r="D11" s="204" t="s">
        <v>362</v>
      </c>
      <c r="E11" s="62" t="s">
        <v>363</v>
      </c>
      <c r="F11" s="64" t="s">
        <v>361</v>
      </c>
      <c r="G11" s="128"/>
    </row>
    <row r="12" spans="1:7" ht="47.25">
      <c r="A12" s="128"/>
      <c r="B12" s="565"/>
      <c r="C12" s="567" t="s">
        <v>174</v>
      </c>
      <c r="D12" s="204" t="s">
        <v>187</v>
      </c>
      <c r="E12" s="62" t="s">
        <v>364</v>
      </c>
      <c r="F12" s="64" t="s">
        <v>361</v>
      </c>
      <c r="G12" s="128"/>
    </row>
    <row r="13" spans="1:7" ht="47.25">
      <c r="A13" s="128"/>
      <c r="B13" s="565"/>
      <c r="C13" s="567"/>
      <c r="D13" s="204" t="s">
        <v>365</v>
      </c>
      <c r="E13" s="62" t="s">
        <v>366</v>
      </c>
      <c r="F13" s="64" t="s">
        <v>361</v>
      </c>
      <c r="G13" s="128"/>
    </row>
    <row r="14" spans="1:7" ht="31.5">
      <c r="A14" s="128"/>
      <c r="B14" s="565"/>
      <c r="C14" s="567" t="s">
        <v>175</v>
      </c>
      <c r="D14" s="204" t="s">
        <v>188</v>
      </c>
      <c r="E14" s="62" t="s">
        <v>367</v>
      </c>
      <c r="F14" s="64" t="s">
        <v>361</v>
      </c>
      <c r="G14" s="128"/>
    </row>
    <row r="15" spans="1:7" ht="32.25" thickBot="1">
      <c r="A15" s="128"/>
      <c r="B15" s="568"/>
      <c r="C15" s="569"/>
      <c r="D15" s="205" t="s">
        <v>368</v>
      </c>
      <c r="E15" s="65" t="s">
        <v>369</v>
      </c>
      <c r="F15" s="66" t="s">
        <v>361</v>
      </c>
      <c r="G15" s="128"/>
    </row>
    <row r="16" spans="1:7" ht="49.5" customHeight="1">
      <c r="A16" s="128"/>
      <c r="B16" s="561" t="s">
        <v>370</v>
      </c>
      <c r="C16" s="561"/>
      <c r="D16" s="561"/>
      <c r="E16" s="561"/>
      <c r="F16" s="561"/>
      <c r="G16" s="128"/>
    </row>
    <row r="17" spans="2:2" ht="27" customHeight="1">
      <c r="B17" s="67"/>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15" sqref="E15"/>
    </sheetView>
  </sheetViews>
  <sheetFormatPr defaultColWidth="11.42578125" defaultRowHeight="15"/>
  <sheetData>
    <row r="2" spans="2:5">
      <c r="B2" t="s">
        <v>371</v>
      </c>
      <c r="E2" t="s">
        <v>210</v>
      </c>
    </row>
    <row r="3" spans="2:5">
      <c r="B3" t="s">
        <v>372</v>
      </c>
      <c r="E3" t="s">
        <v>176</v>
      </c>
    </row>
    <row r="4" spans="2:5">
      <c r="B4" t="s">
        <v>373</v>
      </c>
      <c r="E4" t="s">
        <v>197</v>
      </c>
    </row>
    <row r="5" spans="2:5">
      <c r="B5" t="s">
        <v>189</v>
      </c>
    </row>
    <row r="8" spans="2:5">
      <c r="B8" t="s">
        <v>374</v>
      </c>
    </row>
    <row r="9" spans="2:5">
      <c r="B9" t="s">
        <v>375</v>
      </c>
    </row>
    <row r="10" spans="2:5">
      <c r="B10" t="s">
        <v>376</v>
      </c>
    </row>
    <row r="13" spans="2:5">
      <c r="B13" t="s">
        <v>377</v>
      </c>
    </row>
    <row r="14" spans="2:5">
      <c r="B14" t="s">
        <v>180</v>
      </c>
    </row>
    <row r="15" spans="2:5">
      <c r="B15" t="s">
        <v>378</v>
      </c>
    </row>
    <row r="16" spans="2:5">
      <c r="B16" t="s">
        <v>379</v>
      </c>
    </row>
    <row r="17" spans="2:2">
      <c r="B17" t="s">
        <v>380</v>
      </c>
    </row>
    <row r="18" spans="2:2">
      <c r="B18" t="s">
        <v>381</v>
      </c>
    </row>
    <row r="19" spans="2:2">
      <c r="B19" t="s">
        <v>382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2021-07-09T15:26:20Z</dcterms:modified>
  <cp:category/>
  <cp:contentStatus/>
</cp:coreProperties>
</file>