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17" i="11"/>
  <c r="W17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4" i="11"/>
  <c r="U12" i="11"/>
  <c r="L10" i="12"/>
  <c r="L9" i="12"/>
  <c r="L12" i="12"/>
  <c r="L11" i="12"/>
  <c r="L8" i="12"/>
  <c r="M10" i="12"/>
  <c r="M9" i="12"/>
  <c r="M12" i="12"/>
  <c r="M11" i="12"/>
  <c r="M8" i="12"/>
  <c r="L15" i="12"/>
  <c r="L16" i="12"/>
  <c r="L14" i="12"/>
  <c r="L13" i="12"/>
  <c r="M15" i="12"/>
  <c r="M16" i="12"/>
  <c r="M14" i="12"/>
  <c r="M13" i="12"/>
  <c r="K16" i="12"/>
  <c r="K15" i="12"/>
  <c r="K12" i="12"/>
  <c r="K10" i="12"/>
  <c r="I16" i="12"/>
  <c r="I15" i="12"/>
  <c r="I14" i="12"/>
  <c r="I13" i="12"/>
  <c r="I12" i="12"/>
  <c r="I11" i="12"/>
  <c r="I10" i="12"/>
  <c r="I9" i="12"/>
  <c r="I8" i="12"/>
  <c r="S34" i="11"/>
  <c r="I17" i="12"/>
  <c r="H12" i="11"/>
  <c r="H14" i="11"/>
  <c r="L12" i="8"/>
  <c r="N12" i="8"/>
  <c r="P12" i="11"/>
  <c r="N14" i="8"/>
  <c r="P14" i="11"/>
  <c r="F8" i="12"/>
  <c r="I12" i="11"/>
  <c r="I14" i="11"/>
  <c r="L12" i="9"/>
  <c r="N12" i="9"/>
  <c r="Q12" i="11"/>
  <c r="N14" i="9"/>
  <c r="Q14" i="11"/>
  <c r="G8" i="12"/>
  <c r="J12" i="11"/>
  <c r="J14" i="11"/>
  <c r="L12" i="10"/>
  <c r="N12" i="10"/>
  <c r="R12" i="11"/>
  <c r="N14" i="10"/>
  <c r="R1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F13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G13" i="12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H13" i="12"/>
  <c r="F14" i="12"/>
  <c r="G14" i="12"/>
  <c r="H14" i="12"/>
  <c r="F15" i="12"/>
  <c r="G15" i="12"/>
  <c r="H15" i="12"/>
  <c r="F16" i="12"/>
  <c r="G16" i="12"/>
  <c r="H16" i="12"/>
  <c r="P34" i="11"/>
  <c r="F17" i="12"/>
  <c r="Q34" i="11"/>
  <c r="G17" i="12"/>
  <c r="R34" i="11"/>
  <c r="H17" i="12"/>
  <c r="L12" i="7"/>
  <c r="N12" i="7"/>
  <c r="O12" i="11"/>
  <c r="L14" i="7"/>
  <c r="N14" i="7"/>
  <c r="O14" i="11"/>
  <c r="L16" i="7"/>
  <c r="N16" i="7"/>
  <c r="O16" i="11"/>
  <c r="N17" i="7"/>
  <c r="O17" i="11"/>
  <c r="L19" i="7"/>
  <c r="N19" i="7"/>
  <c r="O18" i="11"/>
  <c r="L20" i="7"/>
  <c r="N20" i="7"/>
  <c r="O19" i="11"/>
  <c r="L21" i="7"/>
  <c r="N21" i="7"/>
  <c r="O20" i="11"/>
  <c r="L22" i="7"/>
  <c r="N22" i="7"/>
  <c r="O21" i="11"/>
  <c r="L23" i="7"/>
  <c r="N23" i="7"/>
  <c r="O22" i="11"/>
  <c r="L24" i="7"/>
  <c r="N24" i="7"/>
  <c r="O23" i="11"/>
  <c r="L25" i="7"/>
  <c r="N25" i="7"/>
  <c r="O24" i="11"/>
  <c r="L26" i="7"/>
  <c r="N26" i="7"/>
  <c r="O25" i="11"/>
  <c r="L27" i="7"/>
  <c r="N27" i="7"/>
  <c r="O26" i="11"/>
  <c r="L28" i="7"/>
  <c r="N28" i="7"/>
  <c r="O27" i="11"/>
  <c r="L29" i="7"/>
  <c r="N29" i="7"/>
  <c r="O28" i="11"/>
  <c r="N30" i="7"/>
  <c r="O29" i="11"/>
  <c r="L31" i="7"/>
  <c r="N31" i="7"/>
  <c r="O30" i="11"/>
  <c r="L32" i="7"/>
  <c r="N32" i="7"/>
  <c r="O31" i="11"/>
  <c r="L33" i="7"/>
  <c r="N33" i="7"/>
  <c r="O32" i="11"/>
  <c r="L34" i="7"/>
  <c r="N34" i="7"/>
  <c r="O33" i="11"/>
  <c r="O34" i="11"/>
  <c r="E17" i="12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E16" i="12"/>
  <c r="G16" i="11"/>
  <c r="G17" i="11"/>
  <c r="G18" i="11"/>
  <c r="E15" i="12"/>
  <c r="E14" i="12"/>
  <c r="E13" i="12"/>
  <c r="G14" i="11"/>
  <c r="E12" i="12"/>
  <c r="E11" i="12"/>
  <c r="G12" i="11"/>
  <c r="E10" i="12"/>
  <c r="E9" i="12"/>
  <c r="E8" i="12"/>
  <c r="C19" i="12"/>
  <c r="C20" i="12"/>
  <c r="M17" i="12"/>
  <c r="L17" i="12"/>
  <c r="O17" i="12"/>
  <c r="K9" i="12"/>
  <c r="K11" i="12"/>
  <c r="K8" i="12"/>
  <c r="K14" i="12"/>
  <c r="K13" i="12"/>
  <c r="K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M12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L12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2" i="11"/>
  <c r="K14" i="11"/>
  <c r="K16" i="11"/>
  <c r="K17" i="11"/>
  <c r="W34" i="11"/>
  <c r="V34" i="11"/>
  <c r="Y34" i="11"/>
  <c r="U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2" i="11"/>
  <c r="X12" i="11"/>
  <c r="I20" i="10"/>
  <c r="I20" i="9"/>
  <c r="I20" i="8"/>
  <c r="I33" i="10"/>
  <c r="I23" i="10"/>
  <c r="I22" i="10"/>
  <c r="I17" i="10"/>
  <c r="I16" i="10"/>
  <c r="I12" i="10"/>
  <c r="I33" i="9"/>
  <c r="I23" i="9"/>
  <c r="I22" i="9"/>
  <c r="I17" i="9"/>
  <c r="I16" i="9"/>
  <c r="I12" i="9"/>
  <c r="I33" i="8"/>
  <c r="I23" i="8"/>
  <c r="I22" i="8"/>
  <c r="I17" i="8"/>
  <c r="I16" i="8"/>
  <c r="I12" i="8"/>
  <c r="I18" i="8"/>
  <c r="I18" i="9"/>
  <c r="I18" i="10"/>
  <c r="I19" i="8"/>
  <c r="I19" i="9"/>
  <c r="I19" i="10"/>
  <c r="I21" i="8"/>
  <c r="I21" i="9"/>
  <c r="I21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14" i="8"/>
  <c r="I14" i="9"/>
  <c r="I14" i="10"/>
  <c r="R34" i="10"/>
  <c r="Q34" i="10"/>
  <c r="T34" i="10"/>
  <c r="P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  <c r="R34" i="9"/>
  <c r="T34" i="9"/>
  <c r="P34" i="9"/>
  <c r="Q34" i="9"/>
  <c r="S34" i="9"/>
  <c r="L14" i="9"/>
  <c r="N34" i="9"/>
  <c r="M12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2" i="9"/>
  <c r="S12" i="9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  <c r="R35" i="7"/>
  <c r="Q35" i="7"/>
  <c r="P35" i="7"/>
  <c r="L18" i="7"/>
  <c r="N18" i="7"/>
  <c r="N35" i="7"/>
  <c r="M12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T35" i="7"/>
  <c r="S35" i="7"/>
  <c r="L17" i="7"/>
  <c r="L30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T12" i="7"/>
  <c r="S12" i="7"/>
</calcChain>
</file>

<file path=xl/sharedStrings.xml><?xml version="1.0" encoding="utf-8"?>
<sst xmlns="http://schemas.openxmlformats.org/spreadsheetml/2006/main" count="418" uniqueCount="94">
  <si>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</si>
  <si>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</si>
  <si>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</si>
  <si>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</si>
  <si>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</si>
  <si>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</si>
  <si>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</si>
  <si>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</si>
  <si>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</si>
  <si>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</si>
  <si>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</si>
  <si>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</si>
  <si>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</si>
  <si>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</si>
  <si>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</si>
  <si>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</si>
  <si>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</si>
  <si>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</si>
  <si>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</si>
  <si>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</si>
  <si>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</si>
  <si>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</si>
  <si>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</si>
  <si>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</si>
  <si>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</si>
  <si>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</si>
  <si>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</si>
  <si>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</si>
  <si>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</si>
  <si>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</si>
  <si>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</si>
  <si>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</si>
  <si>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kms de ciclorutas para transporte urbano implementados.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</si>
  <si>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</si>
  <si>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</si>
  <si>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</si>
  <si>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</si>
  <si>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</si>
  <si>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</si>
  <si>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</si>
  <si>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</si>
  <si>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</si>
  <si>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</si>
  <si>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</si>
  <si>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</si>
  <si>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</si>
  <si>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</si>
  <si>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</si>
  <si>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</si>
  <si>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</si>
  <si>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</si>
  <si>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</si>
  <si>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</si>
  <si>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</si>
  <si>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</si>
  <si>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</si>
  <si>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</si>
  <si>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</si>
  <si>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2016 - 2019</t>
  </si>
  <si>
    <t>RECURSOS FINANCIEROS 2016 - 2017 (Miles de pesos)</t>
  </si>
  <si>
    <t>AVANCE EN CUMPLIMIENTO</t>
  </si>
  <si>
    <t>RESUMEN CUMPLIMIENTO DIRECCIÓN DE TRÁNSITO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</si>
  <si>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</si>
  <si>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</si>
  <si>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</si>
  <si>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</si>
  <si>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</si>
  <si>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</si>
  <si>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</si>
  <si>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</si>
  <si>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</si>
  <si>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</si>
  <si>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</si>
  <si>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1.4</t>
  </si>
  <si>
    <t>1.4.3</t>
  </si>
  <si>
    <t>Una Ciudad que Hace y Ejecuta Planes</t>
  </si>
  <si>
    <t>LÍNEA ESTRATÉGICA 6: INFRAESTRUCTURA Y CONECTIVIDAD</t>
  </si>
  <si>
    <t>6.1</t>
  </si>
  <si>
    <t>6.1.2</t>
  </si>
  <si>
    <t>Promoción de Modos de Transporte no Motorizados</t>
  </si>
  <si>
    <t>6.1.3</t>
  </si>
  <si>
    <t>Movilidad y Seguridad Vial</t>
  </si>
  <si>
    <t>PLAN DE DESARROLLO 2016 - 2019</t>
  </si>
  <si>
    <t>-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</si>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</sst>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2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8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9" fontId="7" fillId="0" borderId="39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56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3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9" fontId="8" fillId="5" borderId="4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1" xfId="0" applyNumberFormat="1" applyFont="1" applyFill="1" applyBorder="1" applyAlignment="1">
      <alignment horizontal="center" vertical="center"/>
    </xf>
    <xf numFmtId="9" fontId="15" fillId="7" borderId="36" xfId="0" applyNumberFormat="1" applyFont="1" applyFill="1" applyBorder="1" applyAlignment="1">
      <alignment horizontal="center" vertical="center"/>
    </xf>
    <xf numFmtId="9" fontId="16" fillId="7" borderId="56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9" fontId="17" fillId="7" borderId="48" xfId="0" applyNumberFormat="1" applyFont="1" applyFill="1" applyBorder="1" applyAlignment="1" applyProtection="1">
      <alignment horizontal="center" vertical="center"/>
    </xf>
    <xf numFmtId="9" fontId="17" fillId="7" borderId="42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6" xfId="0" applyNumberFormat="1" applyFont="1" applyFill="1" applyBorder="1" applyAlignment="1">
      <alignment horizontal="center" vertical="center" wrapText="1"/>
    </xf>
    <xf numFmtId="9" fontId="20" fillId="8" borderId="55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0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5" xfId="0" applyNumberFormat="1" applyFont="1" applyBorder="1" applyAlignment="1">
      <alignment horizontal="center" vertical="center" wrapText="1"/>
    </xf>
    <xf numFmtId="9" fontId="5" fillId="0" borderId="50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4" fillId="9" borderId="41" xfId="0" applyNumberFormat="1" applyFont="1" applyFill="1" applyBorder="1" applyAlignment="1">
      <alignment horizontal="center" vertical="center" wrapText="1"/>
    </xf>
    <xf numFmtId="9" fontId="15" fillId="9" borderId="36" xfId="0" applyNumberFormat="1" applyFont="1" applyFill="1" applyBorder="1" applyAlignment="1">
      <alignment horizontal="center" vertical="center" wrapText="1"/>
    </xf>
    <xf numFmtId="9" fontId="16" fillId="9" borderId="56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9" fontId="14" fillId="9" borderId="48" xfId="0" applyNumberFormat="1" applyFont="1" applyFill="1" applyBorder="1" applyAlignment="1" applyProtection="1">
      <alignment horizontal="center" vertical="center"/>
    </xf>
    <xf numFmtId="9" fontId="14" fillId="9" borderId="42" xfId="0" applyNumberFormat="1" applyFont="1" applyFill="1" applyBorder="1" applyAlignment="1" applyProtection="1">
      <alignment horizontal="center" vertical="center"/>
    </xf>
    <xf numFmtId="9" fontId="18" fillId="8" borderId="66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8" xfId="0" applyNumberFormat="1" applyFont="1" applyFill="1" applyBorder="1" applyAlignment="1">
      <alignment horizontal="center" vertical="center" wrapText="1"/>
    </xf>
    <xf numFmtId="3" fontId="6" fillId="8" borderId="66" xfId="0" applyNumberFormat="1" applyFont="1" applyFill="1" applyBorder="1" applyAlignment="1">
      <alignment horizontal="center" vertical="center"/>
    </xf>
    <xf numFmtId="9" fontId="5" fillId="8" borderId="69" xfId="0" applyNumberFormat="1" applyFont="1" applyFill="1" applyBorder="1" applyAlignment="1" applyProtection="1">
      <alignment horizontal="center" vertical="center"/>
    </xf>
    <xf numFmtId="9" fontId="5" fillId="8" borderId="70" xfId="0" applyNumberFormat="1" applyFont="1" applyFill="1" applyBorder="1" applyAlignment="1" applyProtection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56" xfId="0" applyNumberFormat="1" applyFont="1" applyFill="1" applyBorder="1" applyAlignment="1">
      <alignment horizontal="center" vertical="center" wrapText="1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42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165" fontId="6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64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4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8" fillId="8" borderId="25" xfId="0" applyFont="1" applyFill="1" applyBorder="1" applyAlignment="1">
      <alignment horizontal="justify" vertical="center"/>
    </xf>
    <xf numFmtId="0" fontId="18" fillId="8" borderId="4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43" xfId="0" applyFont="1" applyFill="1" applyBorder="1" applyAlignment="1">
      <alignment horizontal="justify" vertical="center"/>
    </xf>
    <xf numFmtId="0" fontId="14" fillId="7" borderId="36" xfId="0" applyFont="1" applyFill="1" applyBorder="1" applyAlignment="1">
      <alignment horizontal="justify" vertical="center"/>
    </xf>
    <xf numFmtId="0" fontId="14" fillId="7" borderId="43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6" xfId="0" applyFont="1" applyFill="1" applyBorder="1" applyAlignment="1">
      <alignment horizontal="justify" vertical="center"/>
    </xf>
    <xf numFmtId="0" fontId="14" fillId="9" borderId="36" xfId="0" applyFont="1" applyFill="1" applyBorder="1" applyAlignment="1">
      <alignment horizontal="justify" vertical="center"/>
    </xf>
    <xf numFmtId="0" fontId="14" fillId="9" borderId="43" xfId="0" applyFont="1" applyFill="1" applyBorder="1" applyAlignment="1">
      <alignment horizontal="justify" vertical="center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63500</xdr:rowOff>
    </xdr:from>
    <xdr:to>
      <xdr:col>17</xdr:col>
      <xdr:colOff>609600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254000"/>
          <a:ext cx="2679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2057400</xdr:colOff>
      <xdr:row>1</xdr:row>
      <xdr:rowOff>88900</xdr:rowOff>
    </xdr:from>
    <xdr:to>
      <xdr:col>17</xdr:col>
      <xdr:colOff>165100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51600" y="279400"/>
          <a:ext cx="2298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0</xdr:row>
      <xdr:rowOff>165100</xdr:rowOff>
    </xdr:from>
    <xdr:to>
      <xdr:col>4</xdr:col>
      <xdr:colOff>609600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1866900</xdr:colOff>
      <xdr:row>1</xdr:row>
      <xdr:rowOff>114300</xdr:rowOff>
    </xdr:from>
    <xdr:to>
      <xdr:col>22</xdr:col>
      <xdr:colOff>114300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828500" y="3048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3111500</xdr:colOff>
      <xdr:row>3</xdr:row>
      <xdr:rowOff>127000</xdr:rowOff>
    </xdr:from>
    <xdr:to>
      <xdr:col>3</xdr:col>
      <xdr:colOff>952500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02100" y="800100"/>
          <a:ext cx="1866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8" t="s">
        <v>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2:20" ht="20" customHeight="1">
      <c r="B3" s="188" t="s">
        <v>19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2:20" ht="20" customHeight="1">
      <c r="B4" s="188" t="s">
        <v>27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9">
        <v>42735</v>
      </c>
      <c r="D8" s="189" t="s">
        <v>3</v>
      </c>
      <c r="E8" s="190"/>
      <c r="F8" s="190"/>
      <c r="G8" s="190"/>
      <c r="H8" s="190"/>
      <c r="I8" s="190"/>
      <c r="J8" s="190"/>
      <c r="K8" s="19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2" t="s">
        <v>17</v>
      </c>
      <c r="C9" s="195" t="s">
        <v>18</v>
      </c>
      <c r="D9" s="198" t="s">
        <v>0</v>
      </c>
      <c r="E9" s="201" t="s">
        <v>4</v>
      </c>
      <c r="F9" s="201"/>
      <c r="G9" s="201" t="s">
        <v>5</v>
      </c>
      <c r="H9" s="201"/>
      <c r="I9" s="201"/>
      <c r="J9" s="201"/>
      <c r="K9" s="203"/>
      <c r="L9" s="6"/>
      <c r="M9" s="198" t="s">
        <v>6</v>
      </c>
      <c r="N9" s="203"/>
      <c r="O9" s="213" t="s">
        <v>24</v>
      </c>
      <c r="P9" s="214"/>
      <c r="Q9" s="214"/>
      <c r="R9" s="214"/>
      <c r="S9" s="214"/>
      <c r="T9" s="215"/>
    </row>
    <row r="10" spans="2:20" ht="17" customHeight="1">
      <c r="B10" s="193"/>
      <c r="C10" s="196"/>
      <c r="D10" s="199"/>
      <c r="E10" s="202"/>
      <c r="F10" s="202"/>
      <c r="G10" s="202" t="s">
        <v>7</v>
      </c>
      <c r="H10" s="206" t="s">
        <v>25</v>
      </c>
      <c r="I10" s="206" t="s">
        <v>26</v>
      </c>
      <c r="J10" s="207" t="s">
        <v>1</v>
      </c>
      <c r="K10" s="204" t="s">
        <v>8</v>
      </c>
      <c r="L10" s="7"/>
      <c r="M10" s="209" t="s">
        <v>9</v>
      </c>
      <c r="N10" s="211" t="s">
        <v>10</v>
      </c>
      <c r="O10" s="216"/>
      <c r="P10" s="217"/>
      <c r="Q10" s="217"/>
      <c r="R10" s="217"/>
      <c r="S10" s="217"/>
      <c r="T10" s="218"/>
    </row>
    <row r="11" spans="2:20" ht="37.5" customHeight="1" thickBot="1">
      <c r="B11" s="194"/>
      <c r="C11" s="197"/>
      <c r="D11" s="200"/>
      <c r="E11" s="28" t="s">
        <v>11</v>
      </c>
      <c r="F11" s="28" t="s">
        <v>12</v>
      </c>
      <c r="G11" s="206"/>
      <c r="H11" s="219"/>
      <c r="I11" s="219"/>
      <c r="J11" s="208"/>
      <c r="K11" s="205"/>
      <c r="L11" s="16"/>
      <c r="M11" s="210"/>
      <c r="N11" s="21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6" t="s">
        <v>55</v>
      </c>
      <c r="C12" s="58" t="s">
        <v>53</v>
      </c>
      <c r="D12" s="57" t="s">
        <v>52</v>
      </c>
      <c r="E12" s="51">
        <v>42370</v>
      </c>
      <c r="F12" s="51">
        <v>42735</v>
      </c>
      <c r="G12" s="52" t="s">
        <v>28</v>
      </c>
      <c r="H12" s="53">
        <v>1</v>
      </c>
      <c r="I12" s="53"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2830991</v>
      </c>
      <c r="Q12" s="53">
        <v>234557</v>
      </c>
      <c r="R12" s="53">
        <v>0</v>
      </c>
      <c r="S12" s="54">
        <f>IF(P12=0," -",Q12/P12)</f>
        <v>8.2853318855482055E-2</v>
      </c>
      <c r="T12" s="55" t="str">
        <f>IF(R12=0," -",IF(Q12=0,100%,R12/Q12))</f>
        <v xml:space="preserve"> -</v>
      </c>
    </row>
    <row r="13" spans="2:20" ht="13" customHeight="1" thickBot="1">
      <c r="B13" s="22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8"/>
      <c r="C14" s="58" t="s">
        <v>54</v>
      </c>
      <c r="D14" s="57" t="s">
        <v>51</v>
      </c>
      <c r="E14" s="51">
        <v>42370</v>
      </c>
      <c r="F14" s="51">
        <v>42735</v>
      </c>
      <c r="G14" s="52" t="s">
        <v>29</v>
      </c>
      <c r="H14" s="53">
        <v>1</v>
      </c>
      <c r="I14" s="53">
        <v>1</v>
      </c>
      <c r="J14" s="53">
        <v>1</v>
      </c>
      <c r="K14" s="65">
        <v>1</v>
      </c>
      <c r="L14" s="72">
        <f t="shared" ref="L14:L34" si="0">+K14/J14</f>
        <v>1</v>
      </c>
      <c r="M14" s="77">
        <f t="shared" ref="M14:M34" si="1">DAYS360(E14,$C$8)/DAYS360(E14,F14)</f>
        <v>1</v>
      </c>
      <c r="N14" s="55">
        <f t="shared" ref="N14:N34" si="2">IF(J14=0," -",IF(L14&gt;100%,100%,L14))</f>
        <v>1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5" si="3">IF(P14=0," -",Q14/P14)</f>
        <v xml:space="preserve"> -</v>
      </c>
      <c r="T14" s="55" t="str">
        <f t="shared" ref="T14:T35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9" t="s">
        <v>57</v>
      </c>
      <c r="C16" s="232" t="s">
        <v>56</v>
      </c>
      <c r="D16" s="220" t="s">
        <v>49</v>
      </c>
      <c r="E16" s="45">
        <v>42370</v>
      </c>
      <c r="F16" s="87">
        <v>42735</v>
      </c>
      <c r="G16" s="64" t="s">
        <v>30</v>
      </c>
      <c r="H16" s="46">
        <v>1</v>
      </c>
      <c r="I16" s="46">
        <v>1</v>
      </c>
      <c r="J16" s="46">
        <v>1</v>
      </c>
      <c r="K16" s="92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200000</v>
      </c>
      <c r="Q16" s="46">
        <v>45120</v>
      </c>
      <c r="R16" s="46">
        <v>0</v>
      </c>
      <c r="S16" s="15">
        <f t="shared" si="3"/>
        <v>0.22559999999999999</v>
      </c>
      <c r="T16" s="14" t="str">
        <f t="shared" si="4"/>
        <v xml:space="preserve"> -</v>
      </c>
    </row>
    <row r="17" spans="2:20" ht="45">
      <c r="B17" s="230"/>
      <c r="C17" s="233"/>
      <c r="D17" s="221"/>
      <c r="E17" s="32">
        <v>42370</v>
      </c>
      <c r="F17" s="88">
        <v>42735</v>
      </c>
      <c r="G17" s="10" t="s">
        <v>31</v>
      </c>
      <c r="H17" s="33">
        <v>1</v>
      </c>
      <c r="I17" s="33">
        <v>0</v>
      </c>
      <c r="J17" s="33">
        <v>0</v>
      </c>
      <c r="K17" s="66">
        <v>0</v>
      </c>
      <c r="L17" s="19" t="e">
        <f t="shared" si="0"/>
        <v>#DIV/0!</v>
      </c>
      <c r="M17" s="20">
        <f t="shared" si="1"/>
        <v>1</v>
      </c>
      <c r="N17" s="21" t="str">
        <f t="shared" si="2"/>
        <v xml:space="preserve"> -</v>
      </c>
      <c r="O17" s="71" t="s">
        <v>87</v>
      </c>
      <c r="P17" s="33">
        <v>0</v>
      </c>
      <c r="Q17" s="33">
        <v>0</v>
      </c>
      <c r="R17" s="33">
        <v>0</v>
      </c>
      <c r="S17" s="22" t="str">
        <f t="shared" si="3"/>
        <v xml:space="preserve"> -</v>
      </c>
      <c r="T17" s="21" t="str">
        <f t="shared" si="4"/>
        <v xml:space="preserve"> -</v>
      </c>
    </row>
    <row r="18" spans="2:20" ht="30">
      <c r="B18" s="230"/>
      <c r="C18" s="233"/>
      <c r="D18" s="221"/>
      <c r="E18" s="32">
        <v>42370</v>
      </c>
      <c r="F18" s="88">
        <v>42735</v>
      </c>
      <c r="G18" s="10" t="s">
        <v>32</v>
      </c>
      <c r="H18" s="33">
        <v>20</v>
      </c>
      <c r="I18" s="33">
        <v>0</v>
      </c>
      <c r="J18" s="33">
        <v>0</v>
      </c>
      <c r="K18" s="66">
        <v>0</v>
      </c>
      <c r="L18" s="19" t="e">
        <f t="shared" si="0"/>
        <v>#DIV/0!</v>
      </c>
      <c r="M18" s="20">
        <f t="shared" si="1"/>
        <v>1</v>
      </c>
      <c r="N18" s="21" t="str">
        <f t="shared" si="2"/>
        <v xml:space="preserve"> -</v>
      </c>
      <c r="O18" s="71">
        <v>2210275</v>
      </c>
      <c r="P18" s="33">
        <v>250000</v>
      </c>
      <c r="Q18" s="33">
        <v>0</v>
      </c>
      <c r="R18" s="33">
        <v>0</v>
      </c>
      <c r="S18" s="22">
        <f t="shared" si="3"/>
        <v>0</v>
      </c>
      <c r="T18" s="21" t="str">
        <f t="shared" si="4"/>
        <v xml:space="preserve"> -</v>
      </c>
    </row>
    <row r="19" spans="2:20" ht="31" thickBot="1">
      <c r="B19" s="230"/>
      <c r="C19" s="233"/>
      <c r="D19" s="222"/>
      <c r="E19" s="59">
        <v>42370</v>
      </c>
      <c r="F19" s="90">
        <v>42735</v>
      </c>
      <c r="G19" s="60" t="s">
        <v>33</v>
      </c>
      <c r="H19" s="61">
        <v>5</v>
      </c>
      <c r="I19" s="61">
        <v>1</v>
      </c>
      <c r="J19" s="61">
        <v>1</v>
      </c>
      <c r="K19" s="91">
        <v>0.5</v>
      </c>
      <c r="L19" s="73">
        <f t="shared" si="0"/>
        <v>0.5</v>
      </c>
      <c r="M19" s="75">
        <f t="shared" si="1"/>
        <v>1</v>
      </c>
      <c r="N19" s="63">
        <f t="shared" si="2"/>
        <v>0.5</v>
      </c>
      <c r="O19" s="30" t="s">
        <v>86</v>
      </c>
      <c r="P19" s="61">
        <v>53000</v>
      </c>
      <c r="Q19" s="61">
        <v>0</v>
      </c>
      <c r="R19" s="61">
        <v>0</v>
      </c>
      <c r="S19" s="62">
        <f t="shared" si="3"/>
        <v>0</v>
      </c>
      <c r="T19" s="63" t="str">
        <f t="shared" si="4"/>
        <v xml:space="preserve"> -</v>
      </c>
    </row>
    <row r="20" spans="2:20" ht="45">
      <c r="B20" s="230"/>
      <c r="C20" s="233"/>
      <c r="D20" s="223" t="s">
        <v>50</v>
      </c>
      <c r="E20" s="45">
        <v>42370</v>
      </c>
      <c r="F20" s="87">
        <v>42735</v>
      </c>
      <c r="G20" s="64" t="s">
        <v>34</v>
      </c>
      <c r="H20" s="15">
        <v>1</v>
      </c>
      <c r="I20" s="15">
        <v>0.1</v>
      </c>
      <c r="J20" s="15">
        <v>0.1</v>
      </c>
      <c r="K20" s="67">
        <v>0.1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0" t="s">
        <v>88</v>
      </c>
      <c r="P20" s="46">
        <v>50000</v>
      </c>
      <c r="Q20" s="46">
        <v>50000</v>
      </c>
      <c r="R20" s="46">
        <v>0</v>
      </c>
      <c r="S20" s="15">
        <f t="shared" si="3"/>
        <v>1</v>
      </c>
      <c r="T20" s="14" t="str">
        <f t="shared" si="4"/>
        <v xml:space="preserve"> -</v>
      </c>
    </row>
    <row r="21" spans="2:20" ht="30">
      <c r="B21" s="230"/>
      <c r="C21" s="233"/>
      <c r="D21" s="224"/>
      <c r="E21" s="32">
        <v>42370</v>
      </c>
      <c r="F21" s="88">
        <v>42735</v>
      </c>
      <c r="G21" s="10" t="s">
        <v>35</v>
      </c>
      <c r="H21" s="33">
        <v>1</v>
      </c>
      <c r="I21" s="33">
        <v>1</v>
      </c>
      <c r="J21" s="33">
        <v>1</v>
      </c>
      <c r="K21" s="66">
        <v>1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89</v>
      </c>
      <c r="P21" s="33">
        <v>2160960</v>
      </c>
      <c r="Q21" s="33">
        <v>1505147</v>
      </c>
      <c r="R21" s="33">
        <v>132300</v>
      </c>
      <c r="S21" s="22">
        <f t="shared" si="3"/>
        <v>0.69651775136976157</v>
      </c>
      <c r="T21" s="21">
        <f t="shared" si="4"/>
        <v>8.7898391319917585E-2</v>
      </c>
    </row>
    <row r="22" spans="2:20" ht="30">
      <c r="B22" s="230"/>
      <c r="C22" s="233"/>
      <c r="D22" s="224"/>
      <c r="E22" s="32">
        <v>42370</v>
      </c>
      <c r="F22" s="88">
        <v>42735</v>
      </c>
      <c r="G22" s="10" t="s">
        <v>36</v>
      </c>
      <c r="H22" s="22">
        <v>1</v>
      </c>
      <c r="I22" s="22">
        <v>0.3</v>
      </c>
      <c r="J22" s="22">
        <v>0.3</v>
      </c>
      <c r="K22" s="68">
        <v>0.21</v>
      </c>
      <c r="L22" s="19">
        <f t="shared" si="0"/>
        <v>0.7</v>
      </c>
      <c r="M22" s="20">
        <f t="shared" si="1"/>
        <v>1</v>
      </c>
      <c r="N22" s="21">
        <f t="shared" si="2"/>
        <v>0.7</v>
      </c>
      <c r="O22" s="71" t="s">
        <v>90</v>
      </c>
      <c r="P22" s="33">
        <v>765250</v>
      </c>
      <c r="Q22" s="33">
        <v>273200</v>
      </c>
      <c r="R22" s="33">
        <v>0</v>
      </c>
      <c r="S22" s="22">
        <f t="shared" si="3"/>
        <v>0.35700751388435153</v>
      </c>
      <c r="T22" s="21" t="str">
        <f t="shared" si="4"/>
        <v xml:space="preserve"> -</v>
      </c>
    </row>
    <row r="23" spans="2:20" ht="45">
      <c r="B23" s="230"/>
      <c r="C23" s="233"/>
      <c r="D23" s="224"/>
      <c r="E23" s="32">
        <v>42370</v>
      </c>
      <c r="F23" s="88">
        <v>42735</v>
      </c>
      <c r="G23" s="11" t="s">
        <v>37</v>
      </c>
      <c r="H23" s="33">
        <v>1</v>
      </c>
      <c r="I23" s="33">
        <v>1</v>
      </c>
      <c r="J23" s="33">
        <v>1</v>
      </c>
      <c r="K23" s="66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90</v>
      </c>
      <c r="P23" s="33">
        <v>22000</v>
      </c>
      <c r="Q23" s="33">
        <v>22000</v>
      </c>
      <c r="R23" s="33">
        <v>0</v>
      </c>
      <c r="S23" s="22">
        <f t="shared" si="3"/>
        <v>1</v>
      </c>
      <c r="T23" s="21" t="str">
        <f t="shared" si="4"/>
        <v xml:space="preserve"> -</v>
      </c>
    </row>
    <row r="24" spans="2:20" ht="30">
      <c r="B24" s="230"/>
      <c r="C24" s="233"/>
      <c r="D24" s="224"/>
      <c r="E24" s="32">
        <v>42370</v>
      </c>
      <c r="F24" s="88">
        <v>42735</v>
      </c>
      <c r="G24" s="11" t="s">
        <v>38</v>
      </c>
      <c r="H24" s="22">
        <v>1</v>
      </c>
      <c r="I24" s="22">
        <v>1</v>
      </c>
      <c r="J24" s="22">
        <v>1</v>
      </c>
      <c r="K24" s="68">
        <v>1</v>
      </c>
      <c r="L24" s="19">
        <f t="shared" si="0"/>
        <v>1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289000</v>
      </c>
      <c r="Q24" s="33">
        <v>161460</v>
      </c>
      <c r="R24" s="33">
        <v>50000</v>
      </c>
      <c r="S24" s="22">
        <f t="shared" si="3"/>
        <v>0.55868512110726642</v>
      </c>
      <c r="T24" s="21">
        <f t="shared" si="4"/>
        <v>0.30967422271770095</v>
      </c>
    </row>
    <row r="25" spans="2:20" ht="30">
      <c r="B25" s="230"/>
      <c r="C25" s="233"/>
      <c r="D25" s="224"/>
      <c r="E25" s="32">
        <v>42370</v>
      </c>
      <c r="F25" s="88">
        <v>42735</v>
      </c>
      <c r="G25" s="11" t="s">
        <v>39</v>
      </c>
      <c r="H25" s="33">
        <v>14000</v>
      </c>
      <c r="I25" s="33">
        <v>3500</v>
      </c>
      <c r="J25" s="33">
        <v>3500</v>
      </c>
      <c r="K25" s="66">
        <v>9373</v>
      </c>
      <c r="L25" s="19">
        <f t="shared" si="0"/>
        <v>2.6779999999999999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209200</v>
      </c>
      <c r="Q25" s="33">
        <v>123103</v>
      </c>
      <c r="R25" s="33">
        <v>0</v>
      </c>
      <c r="S25" s="22">
        <f t="shared" si="3"/>
        <v>0.58844646271510515</v>
      </c>
      <c r="T25" s="21" t="str">
        <f t="shared" si="4"/>
        <v xml:space="preserve"> -</v>
      </c>
    </row>
    <row r="26" spans="2:20" ht="45">
      <c r="B26" s="230"/>
      <c r="C26" s="233"/>
      <c r="D26" s="224"/>
      <c r="E26" s="32">
        <v>42370</v>
      </c>
      <c r="F26" s="88">
        <v>42735</v>
      </c>
      <c r="G26" s="11" t="s">
        <v>40</v>
      </c>
      <c r="H26" s="33">
        <v>1000</v>
      </c>
      <c r="I26" s="33">
        <v>250</v>
      </c>
      <c r="J26" s="33">
        <v>250</v>
      </c>
      <c r="K26" s="66">
        <v>281</v>
      </c>
      <c r="L26" s="19">
        <f t="shared" si="0"/>
        <v>1.1240000000000001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86000</v>
      </c>
      <c r="Q26" s="33">
        <v>60617</v>
      </c>
      <c r="R26" s="33">
        <v>0</v>
      </c>
      <c r="S26" s="22">
        <f t="shared" si="3"/>
        <v>0.70484883720930236</v>
      </c>
      <c r="T26" s="21" t="str">
        <f t="shared" si="4"/>
        <v xml:space="preserve"> -</v>
      </c>
    </row>
    <row r="27" spans="2:20" ht="30">
      <c r="B27" s="230"/>
      <c r="C27" s="233"/>
      <c r="D27" s="224"/>
      <c r="E27" s="32">
        <v>42370</v>
      </c>
      <c r="F27" s="88">
        <v>42735</v>
      </c>
      <c r="G27" s="11" t="s">
        <v>41</v>
      </c>
      <c r="H27" s="33">
        <v>1500</v>
      </c>
      <c r="I27" s="33">
        <v>375</v>
      </c>
      <c r="J27" s="33">
        <v>375</v>
      </c>
      <c r="K27" s="66">
        <v>788</v>
      </c>
      <c r="L27" s="19">
        <f t="shared" si="0"/>
        <v>2.1013333333333333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557080</v>
      </c>
      <c r="Q27" s="33">
        <v>177350</v>
      </c>
      <c r="R27" s="33">
        <v>58432</v>
      </c>
      <c r="S27" s="22">
        <f t="shared" si="3"/>
        <v>0.31835642995620017</v>
      </c>
      <c r="T27" s="21">
        <f t="shared" si="4"/>
        <v>0.32947279391034678</v>
      </c>
    </row>
    <row r="28" spans="2:20" ht="30">
      <c r="B28" s="230"/>
      <c r="C28" s="233"/>
      <c r="D28" s="224"/>
      <c r="E28" s="32">
        <v>42370</v>
      </c>
      <c r="F28" s="88">
        <v>42735</v>
      </c>
      <c r="G28" s="10" t="s">
        <v>42</v>
      </c>
      <c r="H28" s="33">
        <v>1500</v>
      </c>
      <c r="I28" s="33">
        <v>375</v>
      </c>
      <c r="J28" s="33">
        <v>375</v>
      </c>
      <c r="K28" s="66">
        <v>403</v>
      </c>
      <c r="L28" s="19">
        <f t="shared" si="0"/>
        <v>1.0746666666666667</v>
      </c>
      <c r="M28" s="20">
        <f t="shared" si="1"/>
        <v>1</v>
      </c>
      <c r="N28" s="21">
        <f t="shared" si="2"/>
        <v>1</v>
      </c>
      <c r="O28" s="71" t="s">
        <v>91</v>
      </c>
      <c r="P28" s="33">
        <v>0</v>
      </c>
      <c r="Q28" s="33">
        <v>0</v>
      </c>
      <c r="R28" s="33">
        <v>0</v>
      </c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230"/>
      <c r="C29" s="233"/>
      <c r="D29" s="224"/>
      <c r="E29" s="32">
        <v>42370</v>
      </c>
      <c r="F29" s="88">
        <v>42735</v>
      </c>
      <c r="G29" s="10" t="s">
        <v>43</v>
      </c>
      <c r="H29" s="33">
        <v>1500</v>
      </c>
      <c r="I29" s="33">
        <v>375</v>
      </c>
      <c r="J29" s="33">
        <v>375</v>
      </c>
      <c r="K29" s="66">
        <v>375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85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30"/>
      <c r="C30" s="233"/>
      <c r="D30" s="224"/>
      <c r="E30" s="32">
        <v>42370</v>
      </c>
      <c r="F30" s="88">
        <v>42735</v>
      </c>
      <c r="G30" s="10" t="s">
        <v>44</v>
      </c>
      <c r="H30" s="33">
        <v>2</v>
      </c>
      <c r="I30" s="33">
        <v>0</v>
      </c>
      <c r="J30" s="33">
        <v>0</v>
      </c>
      <c r="K30" s="66">
        <v>0</v>
      </c>
      <c r="L30" s="19" t="e">
        <f t="shared" si="0"/>
        <v>#DIV/0!</v>
      </c>
      <c r="M30" s="20">
        <f t="shared" si="1"/>
        <v>1</v>
      </c>
      <c r="N30" s="21" t="str">
        <f t="shared" si="2"/>
        <v xml:space="preserve"> -</v>
      </c>
      <c r="O30" s="71" t="s">
        <v>88</v>
      </c>
      <c r="P30" s="33">
        <v>0</v>
      </c>
      <c r="Q30" s="33">
        <v>0</v>
      </c>
      <c r="R30" s="33">
        <v>0</v>
      </c>
      <c r="S30" s="22" t="str">
        <f t="shared" si="3"/>
        <v xml:space="preserve"> -</v>
      </c>
      <c r="T30" s="21" t="str">
        <f t="shared" si="4"/>
        <v xml:space="preserve"> -</v>
      </c>
    </row>
    <row r="31" spans="2:20" ht="30">
      <c r="B31" s="230"/>
      <c r="C31" s="233"/>
      <c r="D31" s="224"/>
      <c r="E31" s="32">
        <v>42370</v>
      </c>
      <c r="F31" s="88">
        <v>42735</v>
      </c>
      <c r="G31" s="10" t="s">
        <v>45</v>
      </c>
      <c r="H31" s="33">
        <v>480</v>
      </c>
      <c r="I31" s="33">
        <v>120</v>
      </c>
      <c r="J31" s="33">
        <v>120</v>
      </c>
      <c r="K31" s="66">
        <v>2481</v>
      </c>
      <c r="L31" s="19">
        <f t="shared" si="0"/>
        <v>20.675000000000001</v>
      </c>
      <c r="M31" s="20">
        <f t="shared" si="1"/>
        <v>1</v>
      </c>
      <c r="N31" s="21">
        <f t="shared" si="2"/>
        <v>1</v>
      </c>
      <c r="O31" s="71" t="s">
        <v>85</v>
      </c>
      <c r="P31" s="33">
        <v>0</v>
      </c>
      <c r="Q31" s="33">
        <v>0</v>
      </c>
      <c r="R31" s="33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30" customHeight="1">
      <c r="B32" s="230"/>
      <c r="C32" s="233"/>
      <c r="D32" s="224"/>
      <c r="E32" s="32">
        <v>42370</v>
      </c>
      <c r="F32" s="88">
        <v>42735</v>
      </c>
      <c r="G32" s="10" t="s">
        <v>46</v>
      </c>
      <c r="H32" s="33">
        <v>200</v>
      </c>
      <c r="I32" s="33">
        <v>50</v>
      </c>
      <c r="J32" s="33">
        <v>50</v>
      </c>
      <c r="K32" s="66">
        <v>338</v>
      </c>
      <c r="L32" s="19">
        <f t="shared" si="0"/>
        <v>6.76</v>
      </c>
      <c r="M32" s="20">
        <f t="shared" si="1"/>
        <v>1</v>
      </c>
      <c r="N32" s="21">
        <f t="shared" si="2"/>
        <v>1</v>
      </c>
      <c r="O32" s="71" t="s">
        <v>91</v>
      </c>
      <c r="P32" s="33">
        <v>100000</v>
      </c>
      <c r="Q32" s="33">
        <v>10870</v>
      </c>
      <c r="R32" s="33">
        <v>0</v>
      </c>
      <c r="S32" s="22">
        <f t="shared" si="3"/>
        <v>0.1087</v>
      </c>
      <c r="T32" s="21" t="str">
        <f t="shared" si="4"/>
        <v xml:space="preserve"> -</v>
      </c>
    </row>
    <row r="33" spans="2:20" ht="30">
      <c r="B33" s="230"/>
      <c r="C33" s="233"/>
      <c r="D33" s="224"/>
      <c r="E33" s="32">
        <v>42370</v>
      </c>
      <c r="F33" s="88">
        <v>42735</v>
      </c>
      <c r="G33" s="10" t="s">
        <v>47</v>
      </c>
      <c r="H33" s="33">
        <v>37</v>
      </c>
      <c r="I33" s="33">
        <v>5</v>
      </c>
      <c r="J33" s="33">
        <v>5</v>
      </c>
      <c r="K33" s="66">
        <v>5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71" t="s">
        <v>91</v>
      </c>
      <c r="P33" s="33">
        <v>200000</v>
      </c>
      <c r="Q33" s="33">
        <v>0</v>
      </c>
      <c r="R33" s="33">
        <v>0</v>
      </c>
      <c r="S33" s="22">
        <f t="shared" si="3"/>
        <v>0</v>
      </c>
      <c r="T33" s="21" t="str">
        <f t="shared" si="4"/>
        <v xml:space="preserve"> -</v>
      </c>
    </row>
    <row r="34" spans="2:20" ht="31" thickBot="1">
      <c r="B34" s="231"/>
      <c r="C34" s="234"/>
      <c r="D34" s="225"/>
      <c r="E34" s="47">
        <v>42370</v>
      </c>
      <c r="F34" s="89">
        <v>42735</v>
      </c>
      <c r="G34" s="85" t="s">
        <v>48</v>
      </c>
      <c r="H34" s="48">
        <v>3</v>
      </c>
      <c r="I34" s="48">
        <v>3</v>
      </c>
      <c r="J34" s="48">
        <v>3</v>
      </c>
      <c r="K34" s="69">
        <v>3</v>
      </c>
      <c r="L34" s="74">
        <f t="shared" si="0"/>
        <v>1</v>
      </c>
      <c r="M34" s="76">
        <f t="shared" si="1"/>
        <v>1</v>
      </c>
      <c r="N34" s="50">
        <f t="shared" si="2"/>
        <v>1</v>
      </c>
      <c r="O34" s="5" t="s">
        <v>92</v>
      </c>
      <c r="P34" s="48">
        <v>1060317</v>
      </c>
      <c r="Q34" s="48">
        <v>269016</v>
      </c>
      <c r="R34" s="48">
        <v>300929</v>
      </c>
      <c r="S34" s="49">
        <f t="shared" si="3"/>
        <v>0.25371280475555896</v>
      </c>
      <c r="T34" s="50">
        <f t="shared" si="4"/>
        <v>1.1186286317542451</v>
      </c>
    </row>
    <row r="35" spans="2:20" ht="21" customHeight="1" thickBot="1">
      <c r="M35" s="78">
        <f>+AVERAGE(M12,M14,M16:M34)</f>
        <v>1</v>
      </c>
      <c r="N35" s="79">
        <f>+AVERAGE(N12,N14,N16:N34)</f>
        <v>0.95555555555555549</v>
      </c>
      <c r="P35" s="80">
        <f>+SUM(P12,P14,P16:P34)</f>
        <v>8833798</v>
      </c>
      <c r="Q35" s="81">
        <f>+SUM(Q12,Q14,Q16:Q34)</f>
        <v>2932440</v>
      </c>
      <c r="R35" s="81">
        <f>+SUM(R12,R14,R16:R34)</f>
        <v>541661</v>
      </c>
      <c r="S35" s="82">
        <f t="shared" si="3"/>
        <v>0.33195687743822078</v>
      </c>
      <c r="T35" s="79">
        <f t="shared" si="4"/>
        <v>0.18471341272114689</v>
      </c>
    </row>
  </sheetData>
  <mergeCells count="23">
    <mergeCell ref="H10:H11"/>
    <mergeCell ref="I10:I11"/>
    <mergeCell ref="D16:D19"/>
    <mergeCell ref="D20:D34"/>
    <mergeCell ref="B12:B14"/>
    <mergeCell ref="B16:B34"/>
    <mergeCell ref="C16:C34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8" t="s">
        <v>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2:20" ht="20" customHeight="1">
      <c r="B3" s="188" t="s">
        <v>19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2:20" ht="20" customHeight="1">
      <c r="B4" s="188" t="s">
        <v>27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9">
        <v>43100</v>
      </c>
      <c r="D8" s="189" t="s">
        <v>3</v>
      </c>
      <c r="E8" s="190"/>
      <c r="F8" s="190"/>
      <c r="G8" s="190"/>
      <c r="H8" s="190"/>
      <c r="I8" s="190"/>
      <c r="J8" s="190"/>
      <c r="K8" s="19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2" t="s">
        <v>17</v>
      </c>
      <c r="C9" s="195" t="s">
        <v>18</v>
      </c>
      <c r="D9" s="198" t="s">
        <v>0</v>
      </c>
      <c r="E9" s="201" t="s">
        <v>4</v>
      </c>
      <c r="F9" s="201"/>
      <c r="G9" s="201" t="s">
        <v>5</v>
      </c>
      <c r="H9" s="201"/>
      <c r="I9" s="201"/>
      <c r="J9" s="201"/>
      <c r="K9" s="203"/>
      <c r="L9" s="6"/>
      <c r="M9" s="198" t="s">
        <v>6</v>
      </c>
      <c r="N9" s="203"/>
      <c r="O9" s="213" t="s">
        <v>24</v>
      </c>
      <c r="P9" s="214"/>
      <c r="Q9" s="214"/>
      <c r="R9" s="214"/>
      <c r="S9" s="214"/>
      <c r="T9" s="215"/>
    </row>
    <row r="10" spans="2:20" ht="17" customHeight="1">
      <c r="B10" s="193"/>
      <c r="C10" s="196"/>
      <c r="D10" s="199"/>
      <c r="E10" s="202"/>
      <c r="F10" s="202"/>
      <c r="G10" s="202" t="s">
        <v>7</v>
      </c>
      <c r="H10" s="206" t="s">
        <v>25</v>
      </c>
      <c r="I10" s="206" t="s">
        <v>26</v>
      </c>
      <c r="J10" s="207" t="s">
        <v>1</v>
      </c>
      <c r="K10" s="204" t="s">
        <v>8</v>
      </c>
      <c r="L10" s="7"/>
      <c r="M10" s="209" t="s">
        <v>9</v>
      </c>
      <c r="N10" s="211" t="s">
        <v>10</v>
      </c>
      <c r="O10" s="216"/>
      <c r="P10" s="217"/>
      <c r="Q10" s="217"/>
      <c r="R10" s="217"/>
      <c r="S10" s="217"/>
      <c r="T10" s="218"/>
    </row>
    <row r="11" spans="2:20" ht="37.5" customHeight="1" thickBot="1">
      <c r="B11" s="194"/>
      <c r="C11" s="197"/>
      <c r="D11" s="200"/>
      <c r="E11" s="28" t="s">
        <v>11</v>
      </c>
      <c r="F11" s="28" t="s">
        <v>12</v>
      </c>
      <c r="G11" s="206"/>
      <c r="H11" s="219"/>
      <c r="I11" s="219"/>
      <c r="J11" s="208"/>
      <c r="K11" s="205"/>
      <c r="L11" s="16"/>
      <c r="M11" s="210"/>
      <c r="N11" s="21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6" t="s">
        <v>55</v>
      </c>
      <c r="C12" s="58" t="s">
        <v>53</v>
      </c>
      <c r="D12" s="57" t="s">
        <v>52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3" customHeight="1" thickBot="1">
      <c r="B13" s="22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8"/>
      <c r="C14" s="58" t="s">
        <v>54</v>
      </c>
      <c r="D14" s="57" t="s">
        <v>51</v>
      </c>
      <c r="E14" s="51">
        <v>42736</v>
      </c>
      <c r="F14" s="51">
        <v>43100</v>
      </c>
      <c r="G14" s="52" t="s">
        <v>29</v>
      </c>
      <c r="H14" s="53">
        <v>1</v>
      </c>
      <c r="I14" s="53">
        <f>+J14+('2016'!I14-'2016'!K14)</f>
        <v>0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9" t="s">
        <v>57</v>
      </c>
      <c r="C16" s="232" t="s">
        <v>56</v>
      </c>
      <c r="D16" s="223" t="s">
        <v>49</v>
      </c>
      <c r="E16" s="45">
        <v>42736</v>
      </c>
      <c r="F16" s="87">
        <v>43100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>
      <c r="B17" s="230"/>
      <c r="C17" s="233"/>
      <c r="D17" s="224"/>
      <c r="E17" s="32">
        <v>42736</v>
      </c>
      <c r="F17" s="88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1" thickBot="1">
      <c r="B18" s="230"/>
      <c r="C18" s="233"/>
      <c r="D18" s="225"/>
      <c r="E18" s="47">
        <v>42736</v>
      </c>
      <c r="F18" s="89">
        <v>43100</v>
      </c>
      <c r="G18" s="85" t="s">
        <v>33</v>
      </c>
      <c r="H18" s="48">
        <v>5</v>
      </c>
      <c r="I18" s="48">
        <f>+J18+('2016'!I19-'2016'!K19)</f>
        <v>1.5</v>
      </c>
      <c r="J18" s="48">
        <v>1</v>
      </c>
      <c r="K18" s="86">
        <v>3</v>
      </c>
      <c r="L18" s="73">
        <f t="shared" si="0"/>
        <v>3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150000</v>
      </c>
      <c r="Q18" s="61">
        <v>20000</v>
      </c>
      <c r="R18" s="61">
        <v>0</v>
      </c>
      <c r="S18" s="62">
        <f t="shared" si="3"/>
        <v>0.13333333333333333</v>
      </c>
      <c r="T18" s="63" t="str">
        <f t="shared" si="4"/>
        <v xml:space="preserve"> -</v>
      </c>
    </row>
    <row r="19" spans="2:20" ht="45">
      <c r="B19" s="230"/>
      <c r="C19" s="233"/>
      <c r="D19" s="223" t="s">
        <v>50</v>
      </c>
      <c r="E19" s="45">
        <v>42736</v>
      </c>
      <c r="F19" s="87">
        <v>43100</v>
      </c>
      <c r="G19" s="64" t="s">
        <v>34</v>
      </c>
      <c r="H19" s="15">
        <v>1</v>
      </c>
      <c r="I19" s="15">
        <f>+J19+('2016'!I20-'2016'!K20)</f>
        <v>0.3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>
      <c r="B20" s="230"/>
      <c r="C20" s="233"/>
      <c r="D20" s="224"/>
      <c r="E20" s="32">
        <v>42736</v>
      </c>
      <c r="F20" s="88">
        <v>43100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30">
      <c r="B21" s="230"/>
      <c r="C21" s="233"/>
      <c r="D21" s="224"/>
      <c r="E21" s="32">
        <v>42736</v>
      </c>
      <c r="F21" s="88">
        <v>43100</v>
      </c>
      <c r="G21" s="10" t="s">
        <v>36</v>
      </c>
      <c r="H21" s="22">
        <v>1</v>
      </c>
      <c r="I21" s="22">
        <f>+J21+('2016'!I22-'2016'!K22)</f>
        <v>0.39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45">
      <c r="B22" s="230"/>
      <c r="C22" s="233"/>
      <c r="D22" s="224"/>
      <c r="E22" s="32">
        <v>42736</v>
      </c>
      <c r="F22" s="88">
        <v>43100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>
      <c r="B23" s="230"/>
      <c r="C23" s="233"/>
      <c r="D23" s="224"/>
      <c r="E23" s="32">
        <v>42736</v>
      </c>
      <c r="F23" s="88">
        <v>43100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>
      <c r="B24" s="230"/>
      <c r="C24" s="233"/>
      <c r="D24" s="224"/>
      <c r="E24" s="32">
        <v>42736</v>
      </c>
      <c r="F24" s="88">
        <v>43100</v>
      </c>
      <c r="G24" s="11" t="s">
        <v>39</v>
      </c>
      <c r="H24" s="33">
        <v>14000</v>
      </c>
      <c r="I24" s="33">
        <f>+J24+('2016'!I25-'2016'!K25)</f>
        <v>-2373</v>
      </c>
      <c r="J24" s="33">
        <v>3500</v>
      </c>
      <c r="K24" s="84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400000</v>
      </c>
      <c r="Q24" s="93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>
      <c r="B25" s="230"/>
      <c r="C25" s="233"/>
      <c r="D25" s="224"/>
      <c r="E25" s="32">
        <v>42736</v>
      </c>
      <c r="F25" s="88">
        <v>43100</v>
      </c>
      <c r="G25" s="11" t="s">
        <v>40</v>
      </c>
      <c r="H25" s="33">
        <v>1000</v>
      </c>
      <c r="I25" s="33">
        <f>+J25+('2016'!I26-'2016'!K26)</f>
        <v>219</v>
      </c>
      <c r="J25" s="33">
        <v>250</v>
      </c>
      <c r="K25" s="84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200000</v>
      </c>
      <c r="Q25" s="93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30">
      <c r="B26" s="230"/>
      <c r="C26" s="233"/>
      <c r="D26" s="224"/>
      <c r="E26" s="32">
        <v>42736</v>
      </c>
      <c r="F26" s="88">
        <v>43100</v>
      </c>
      <c r="G26" s="11" t="s">
        <v>41</v>
      </c>
      <c r="H26" s="33">
        <v>1500</v>
      </c>
      <c r="I26" s="33">
        <f>+J26+('2016'!I27-'2016'!K27)</f>
        <v>-38</v>
      </c>
      <c r="J26" s="33">
        <v>375</v>
      </c>
      <c r="K26" s="84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>
      <c r="B27" s="230"/>
      <c r="C27" s="233"/>
      <c r="D27" s="224"/>
      <c r="E27" s="32">
        <v>42736</v>
      </c>
      <c r="F27" s="88">
        <v>43100</v>
      </c>
      <c r="G27" s="10" t="s">
        <v>42</v>
      </c>
      <c r="H27" s="33">
        <v>1500</v>
      </c>
      <c r="I27" s="33">
        <f>+J27+('2016'!I28-'2016'!K28)</f>
        <v>347</v>
      </c>
      <c r="J27" s="33">
        <v>375</v>
      </c>
      <c r="K27" s="84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>
      <c r="B28" s="230"/>
      <c r="C28" s="233"/>
      <c r="D28" s="224"/>
      <c r="E28" s="32">
        <v>42736</v>
      </c>
      <c r="F28" s="88">
        <v>43100</v>
      </c>
      <c r="G28" s="10" t="s">
        <v>43</v>
      </c>
      <c r="H28" s="33">
        <v>1500</v>
      </c>
      <c r="I28" s="33">
        <f>+J28+('2016'!I29-'2016'!K29)</f>
        <v>375</v>
      </c>
      <c r="J28" s="33">
        <v>375</v>
      </c>
      <c r="K28" s="84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>
      <c r="B29" s="230"/>
      <c r="C29" s="233"/>
      <c r="D29" s="224"/>
      <c r="E29" s="32">
        <v>42736</v>
      </c>
      <c r="F29" s="88">
        <v>43100</v>
      </c>
      <c r="G29" s="10" t="s">
        <v>44</v>
      </c>
      <c r="H29" s="33">
        <v>2</v>
      </c>
      <c r="I29" s="33">
        <f>+J29+('2016'!I30-'2016'!K30)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30"/>
      <c r="C30" s="233"/>
      <c r="D30" s="224"/>
      <c r="E30" s="32">
        <v>42736</v>
      </c>
      <c r="F30" s="88">
        <v>43100</v>
      </c>
      <c r="G30" s="10" t="s">
        <v>45</v>
      </c>
      <c r="H30" s="33">
        <v>480</v>
      </c>
      <c r="I30" s="33">
        <f>+J30+('2016'!I31-'2016'!K31)</f>
        <v>-2241</v>
      </c>
      <c r="J30" s="33">
        <v>120</v>
      </c>
      <c r="K30" s="84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230"/>
      <c r="C31" s="233"/>
      <c r="D31" s="224"/>
      <c r="E31" s="32">
        <v>42736</v>
      </c>
      <c r="F31" s="88">
        <v>43100</v>
      </c>
      <c r="G31" s="10" t="s">
        <v>46</v>
      </c>
      <c r="H31" s="33">
        <v>200</v>
      </c>
      <c r="I31" s="33">
        <f>+J31+('2016'!I32-'2016'!K32)</f>
        <v>-238</v>
      </c>
      <c r="J31" s="33">
        <v>50</v>
      </c>
      <c r="K31" s="84">
        <v>233</v>
      </c>
      <c r="L31" s="19">
        <f t="shared" si="0"/>
        <v>4.66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30">
      <c r="B32" s="230"/>
      <c r="C32" s="233"/>
      <c r="D32" s="224"/>
      <c r="E32" s="32">
        <v>42736</v>
      </c>
      <c r="F32" s="88">
        <v>43100</v>
      </c>
      <c r="G32" s="10" t="s">
        <v>47</v>
      </c>
      <c r="H32" s="33">
        <v>37</v>
      </c>
      <c r="I32" s="33">
        <f>+J32+('2016'!I33-'2016'!K33)</f>
        <v>12</v>
      </c>
      <c r="J32" s="33">
        <v>12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1"/>
      <c r="C33" s="234"/>
      <c r="D33" s="225"/>
      <c r="E33" s="47">
        <v>42736</v>
      </c>
      <c r="F33" s="89">
        <v>43100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8554936</v>
      </c>
      <c r="Q34" s="81">
        <f>+SUM(Q12,Q14,Q16:Q33)</f>
        <v>5054825</v>
      </c>
      <c r="R34" s="81">
        <f>+SUM(R12,R14,R16:R33)</f>
        <v>500000</v>
      </c>
      <c r="S34" s="82">
        <f t="shared" si="3"/>
        <v>0.59086648924083129</v>
      </c>
      <c r="T34" s="79">
        <f t="shared" si="4"/>
        <v>9.8915392718837938E-2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8" t="s">
        <v>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2:20" ht="20" customHeight="1">
      <c r="B3" s="188" t="s">
        <v>19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2:20" ht="20" customHeight="1">
      <c r="B4" s="188" t="s">
        <v>27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9">
        <v>43465</v>
      </c>
      <c r="D8" s="189" t="s">
        <v>3</v>
      </c>
      <c r="E8" s="190"/>
      <c r="F8" s="190"/>
      <c r="G8" s="190"/>
      <c r="H8" s="190"/>
      <c r="I8" s="190"/>
      <c r="J8" s="190"/>
      <c r="K8" s="19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2" t="s">
        <v>17</v>
      </c>
      <c r="C9" s="195" t="s">
        <v>18</v>
      </c>
      <c r="D9" s="198" t="s">
        <v>0</v>
      </c>
      <c r="E9" s="201" t="s">
        <v>4</v>
      </c>
      <c r="F9" s="201"/>
      <c r="G9" s="201" t="s">
        <v>5</v>
      </c>
      <c r="H9" s="201"/>
      <c r="I9" s="201"/>
      <c r="J9" s="201"/>
      <c r="K9" s="203"/>
      <c r="L9" s="6"/>
      <c r="M9" s="198" t="s">
        <v>6</v>
      </c>
      <c r="N9" s="203"/>
      <c r="O9" s="213" t="s">
        <v>24</v>
      </c>
      <c r="P9" s="214"/>
      <c r="Q9" s="214"/>
      <c r="R9" s="214"/>
      <c r="S9" s="214"/>
      <c r="T9" s="215"/>
    </row>
    <row r="10" spans="2:20" ht="17" customHeight="1">
      <c r="B10" s="193"/>
      <c r="C10" s="196"/>
      <c r="D10" s="199"/>
      <c r="E10" s="202"/>
      <c r="F10" s="202"/>
      <c r="G10" s="202" t="s">
        <v>7</v>
      </c>
      <c r="H10" s="206" t="s">
        <v>25</v>
      </c>
      <c r="I10" s="206" t="s">
        <v>26</v>
      </c>
      <c r="J10" s="207" t="s">
        <v>1</v>
      </c>
      <c r="K10" s="204" t="s">
        <v>8</v>
      </c>
      <c r="L10" s="7"/>
      <c r="M10" s="209" t="s">
        <v>9</v>
      </c>
      <c r="N10" s="211" t="s">
        <v>10</v>
      </c>
      <c r="O10" s="216"/>
      <c r="P10" s="217"/>
      <c r="Q10" s="217"/>
      <c r="R10" s="217"/>
      <c r="S10" s="217"/>
      <c r="T10" s="218"/>
    </row>
    <row r="11" spans="2:20" ht="37.5" customHeight="1" thickBot="1">
      <c r="B11" s="194"/>
      <c r="C11" s="197"/>
      <c r="D11" s="200"/>
      <c r="E11" s="28" t="s">
        <v>11</v>
      </c>
      <c r="F11" s="28" t="s">
        <v>12</v>
      </c>
      <c r="G11" s="206"/>
      <c r="H11" s="219"/>
      <c r="I11" s="219"/>
      <c r="J11" s="208"/>
      <c r="K11" s="205"/>
      <c r="L11" s="16"/>
      <c r="M11" s="210"/>
      <c r="N11" s="21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6" t="s">
        <v>55</v>
      </c>
      <c r="C12" s="58" t="s">
        <v>53</v>
      </c>
      <c r="D12" s="57" t="s">
        <v>52</v>
      </c>
      <c r="E12" s="51">
        <v>43101</v>
      </c>
      <c r="F12" s="51">
        <v>43465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1978825</v>
      </c>
      <c r="Q12" s="53">
        <v>1122947</v>
      </c>
      <c r="R12" s="53">
        <v>0</v>
      </c>
      <c r="S12" s="54">
        <f>IF(P12=0," -",Q12/P12)</f>
        <v>0.56748171263249658</v>
      </c>
      <c r="T12" s="55" t="str">
        <f>IF(R12=0," -",IF(Q12=0,100%,R12/Q12))</f>
        <v xml:space="preserve"> -</v>
      </c>
    </row>
    <row r="13" spans="2:20" ht="13" customHeight="1" thickBot="1">
      <c r="B13" s="22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8"/>
      <c r="C14" s="58" t="s">
        <v>54</v>
      </c>
      <c r="D14" s="57" t="s">
        <v>51</v>
      </c>
      <c r="E14" s="51">
        <v>43101</v>
      </c>
      <c r="F14" s="51">
        <v>43465</v>
      </c>
      <c r="G14" s="52" t="s">
        <v>29</v>
      </c>
      <c r="H14" s="53">
        <v>1</v>
      </c>
      <c r="I14" s="53">
        <f>+J14+('2017'!I14-'2017'!K14)</f>
        <v>0</v>
      </c>
      <c r="J14" s="53">
        <v>0</v>
      </c>
      <c r="K14" s="65" t="s">
        <v>83</v>
      </c>
      <c r="L14" s="72" t="e">
        <f t="shared" ref="L14:L33" si="0">+K14/J14</f>
        <v>#VALUE!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9" t="s">
        <v>57</v>
      </c>
      <c r="C16" s="232" t="s">
        <v>56</v>
      </c>
      <c r="D16" s="223" t="s">
        <v>49</v>
      </c>
      <c r="E16" s="45">
        <v>43101</v>
      </c>
      <c r="F16" s="87">
        <v>43465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98632.5</v>
      </c>
      <c r="Q16" s="46">
        <v>40217</v>
      </c>
      <c r="R16" s="46">
        <v>0</v>
      </c>
      <c r="S16" s="15">
        <f t="shared" si="3"/>
        <v>0.40774592553164524</v>
      </c>
      <c r="T16" s="14" t="str">
        <f t="shared" si="4"/>
        <v xml:space="preserve"> -</v>
      </c>
    </row>
    <row r="17" spans="2:20" ht="45">
      <c r="B17" s="230"/>
      <c r="C17" s="233"/>
      <c r="D17" s="224"/>
      <c r="E17" s="32">
        <v>43101</v>
      </c>
      <c r="F17" s="88">
        <v>43465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30000</v>
      </c>
      <c r="Q17" s="33">
        <v>28933</v>
      </c>
      <c r="R17" s="33">
        <v>0</v>
      </c>
      <c r="S17" s="22">
        <f t="shared" si="3"/>
        <v>0.96443333333333336</v>
      </c>
      <c r="T17" s="21" t="str">
        <f t="shared" si="4"/>
        <v xml:space="preserve"> -</v>
      </c>
    </row>
    <row r="18" spans="2:20" ht="31" thickBot="1">
      <c r="B18" s="230"/>
      <c r="C18" s="233"/>
      <c r="D18" s="225"/>
      <c r="E18" s="47">
        <v>43101</v>
      </c>
      <c r="F18" s="89">
        <v>43465</v>
      </c>
      <c r="G18" s="85" t="s">
        <v>33</v>
      </c>
      <c r="H18" s="48">
        <v>5</v>
      </c>
      <c r="I18" s="48">
        <f>+J18+('2017'!I18-'2017'!K18)</f>
        <v>-0.5</v>
      </c>
      <c r="J18" s="48">
        <v>1</v>
      </c>
      <c r="K18" s="86">
        <v>2</v>
      </c>
      <c r="L18" s="73">
        <f t="shared" si="0"/>
        <v>2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21367.5</v>
      </c>
      <c r="Q18" s="61">
        <v>15665</v>
      </c>
      <c r="R18" s="61">
        <v>0</v>
      </c>
      <c r="S18" s="62">
        <f t="shared" si="3"/>
        <v>0.73312273312273313</v>
      </c>
      <c r="T18" s="63" t="str">
        <f t="shared" si="4"/>
        <v xml:space="preserve"> -</v>
      </c>
    </row>
    <row r="19" spans="2:20" ht="45">
      <c r="B19" s="230"/>
      <c r="C19" s="233"/>
      <c r="D19" s="223" t="s">
        <v>50</v>
      </c>
      <c r="E19" s="45">
        <v>43101</v>
      </c>
      <c r="F19" s="87">
        <v>43465</v>
      </c>
      <c r="G19" s="64" t="s">
        <v>34</v>
      </c>
      <c r="H19" s="15">
        <v>1</v>
      </c>
      <c r="I19" s="15">
        <f>+J19+('2017'!I19-'2017'!K19)</f>
        <v>0.25</v>
      </c>
      <c r="J19" s="15">
        <v>0.3</v>
      </c>
      <c r="K19" s="14">
        <v>0.37</v>
      </c>
      <c r="L19" s="12">
        <f t="shared" si="0"/>
        <v>1.2333333333333334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37000</v>
      </c>
      <c r="Q19" s="46">
        <v>29500</v>
      </c>
      <c r="R19" s="46">
        <v>0</v>
      </c>
      <c r="S19" s="15">
        <f t="shared" si="3"/>
        <v>0.79729729729729726</v>
      </c>
      <c r="T19" s="14" t="str">
        <f t="shared" si="4"/>
        <v xml:space="preserve"> -</v>
      </c>
    </row>
    <row r="20" spans="2:20" ht="30">
      <c r="B20" s="230"/>
      <c r="C20" s="233"/>
      <c r="D20" s="224"/>
      <c r="E20" s="32">
        <v>43101</v>
      </c>
      <c r="F20" s="88">
        <v>43465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2677608</v>
      </c>
      <c r="Q20" s="33">
        <v>1980851</v>
      </c>
      <c r="R20" s="33">
        <v>0</v>
      </c>
      <c r="S20" s="22">
        <f t="shared" si="3"/>
        <v>0.73978379210100953</v>
      </c>
      <c r="T20" s="21" t="str">
        <f t="shared" si="4"/>
        <v xml:space="preserve"> -</v>
      </c>
    </row>
    <row r="21" spans="2:20" ht="30">
      <c r="B21" s="230"/>
      <c r="C21" s="233"/>
      <c r="D21" s="224"/>
      <c r="E21" s="32">
        <v>43101</v>
      </c>
      <c r="F21" s="88">
        <v>43465</v>
      </c>
      <c r="G21" s="10" t="s">
        <v>36</v>
      </c>
      <c r="H21" s="22">
        <v>1</v>
      </c>
      <c r="I21" s="22">
        <f>+J21+('2017'!I21-'2017'!K21)</f>
        <v>0.34</v>
      </c>
      <c r="J21" s="22">
        <v>0.3</v>
      </c>
      <c r="K21" s="21">
        <v>0.3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1186676.557</v>
      </c>
      <c r="Q21" s="33">
        <v>483364</v>
      </c>
      <c r="R21" s="33">
        <v>0</v>
      </c>
      <c r="S21" s="22">
        <f t="shared" si="3"/>
        <v>0.40732581860551575</v>
      </c>
      <c r="T21" s="21" t="str">
        <f t="shared" si="4"/>
        <v xml:space="preserve"> -</v>
      </c>
    </row>
    <row r="22" spans="2:20" ht="45">
      <c r="B22" s="230"/>
      <c r="C22" s="233"/>
      <c r="D22" s="224"/>
      <c r="E22" s="32">
        <v>43101</v>
      </c>
      <c r="F22" s="88">
        <v>43465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120697.5</v>
      </c>
      <c r="Q22" s="33">
        <v>100000</v>
      </c>
      <c r="R22" s="33">
        <v>0</v>
      </c>
      <c r="S22" s="22">
        <f t="shared" si="3"/>
        <v>0.8285175749290582</v>
      </c>
      <c r="T22" s="21" t="str">
        <f t="shared" si="4"/>
        <v xml:space="preserve"> -</v>
      </c>
    </row>
    <row r="23" spans="2:20" ht="30">
      <c r="B23" s="230"/>
      <c r="C23" s="233"/>
      <c r="D23" s="224"/>
      <c r="E23" s="32">
        <v>43101</v>
      </c>
      <c r="F23" s="88">
        <v>43465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708769.56799999997</v>
      </c>
      <c r="Q23" s="33">
        <v>284464</v>
      </c>
      <c r="R23" s="33">
        <v>0</v>
      </c>
      <c r="S23" s="22">
        <f t="shared" si="3"/>
        <v>0.40134906017861083</v>
      </c>
      <c r="T23" s="21" t="str">
        <f t="shared" si="4"/>
        <v xml:space="preserve"> -</v>
      </c>
    </row>
    <row r="24" spans="2:20" ht="30">
      <c r="B24" s="230"/>
      <c r="C24" s="233"/>
      <c r="D24" s="224"/>
      <c r="E24" s="32">
        <v>43101</v>
      </c>
      <c r="F24" s="88">
        <v>43465</v>
      </c>
      <c r="G24" s="11" t="s">
        <v>39</v>
      </c>
      <c r="H24" s="33">
        <v>14000</v>
      </c>
      <c r="I24" s="33">
        <f>+J24+('2017'!I24-'2017'!K24)</f>
        <v>-4853</v>
      </c>
      <c r="J24" s="33">
        <v>3500</v>
      </c>
      <c r="K24" s="84">
        <v>12356</v>
      </c>
      <c r="L24" s="19">
        <f t="shared" si="0"/>
        <v>3.5302857142857142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629798.33200000005</v>
      </c>
      <c r="Q24" s="33">
        <v>243233</v>
      </c>
      <c r="R24" s="33">
        <v>0</v>
      </c>
      <c r="S24" s="22">
        <f t="shared" si="3"/>
        <v>0.38620775515169192</v>
      </c>
      <c r="T24" s="21" t="str">
        <f t="shared" si="4"/>
        <v xml:space="preserve"> -</v>
      </c>
    </row>
    <row r="25" spans="2:20" ht="45">
      <c r="B25" s="230"/>
      <c r="C25" s="233"/>
      <c r="D25" s="224"/>
      <c r="E25" s="32">
        <v>43101</v>
      </c>
      <c r="F25" s="88">
        <v>43465</v>
      </c>
      <c r="G25" s="11" t="s">
        <v>40</v>
      </c>
      <c r="H25" s="33">
        <v>1000</v>
      </c>
      <c r="I25" s="33">
        <f>+J25+('2017'!I25-'2017'!K25)</f>
        <v>218</v>
      </c>
      <c r="J25" s="33">
        <v>250</v>
      </c>
      <c r="K25" s="84">
        <v>391</v>
      </c>
      <c r="L25" s="19">
        <f t="shared" si="0"/>
        <v>1.5640000000000001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35000</v>
      </c>
      <c r="Q25" s="33">
        <v>35000</v>
      </c>
      <c r="R25" s="33">
        <v>0</v>
      </c>
      <c r="S25" s="22">
        <f t="shared" si="3"/>
        <v>1</v>
      </c>
      <c r="T25" s="21" t="str">
        <f t="shared" si="4"/>
        <v xml:space="preserve"> -</v>
      </c>
    </row>
    <row r="26" spans="2:20" ht="30">
      <c r="B26" s="230"/>
      <c r="C26" s="233"/>
      <c r="D26" s="224"/>
      <c r="E26" s="32">
        <v>43101</v>
      </c>
      <c r="F26" s="88">
        <v>43465</v>
      </c>
      <c r="G26" s="11" t="s">
        <v>41</v>
      </c>
      <c r="H26" s="33">
        <v>1500</v>
      </c>
      <c r="I26" s="33">
        <f>+J26+('2017'!I26-'2017'!K26)</f>
        <v>-439</v>
      </c>
      <c r="J26" s="33">
        <v>375</v>
      </c>
      <c r="K26" s="84">
        <v>986</v>
      </c>
      <c r="L26" s="19">
        <f t="shared" si="0"/>
        <v>2.6293333333333333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100000</v>
      </c>
      <c r="R26" s="33">
        <v>0</v>
      </c>
      <c r="S26" s="22">
        <f t="shared" si="3"/>
        <v>1</v>
      </c>
      <c r="T26" s="21" t="str">
        <f t="shared" si="4"/>
        <v xml:space="preserve"> -</v>
      </c>
    </row>
    <row r="27" spans="2:20" ht="30">
      <c r="B27" s="230"/>
      <c r="C27" s="233"/>
      <c r="D27" s="224"/>
      <c r="E27" s="32">
        <v>43101</v>
      </c>
      <c r="F27" s="88">
        <v>43465</v>
      </c>
      <c r="G27" s="10" t="s">
        <v>42</v>
      </c>
      <c r="H27" s="33">
        <v>1500</v>
      </c>
      <c r="I27" s="33">
        <f>+J27+('2017'!I27-'2017'!K27)</f>
        <v>347</v>
      </c>
      <c r="J27" s="33">
        <v>375</v>
      </c>
      <c r="K27" s="84">
        <v>494</v>
      </c>
      <c r="L27" s="19">
        <f t="shared" si="0"/>
        <v>1.3173333333333332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50000</v>
      </c>
      <c r="Q27" s="33">
        <v>50000</v>
      </c>
      <c r="R27" s="33">
        <v>0</v>
      </c>
      <c r="S27" s="22">
        <f t="shared" si="3"/>
        <v>1</v>
      </c>
      <c r="T27" s="21" t="str">
        <f t="shared" si="4"/>
        <v xml:space="preserve"> -</v>
      </c>
    </row>
    <row r="28" spans="2:20" ht="30">
      <c r="B28" s="230"/>
      <c r="C28" s="233"/>
      <c r="D28" s="224"/>
      <c r="E28" s="32">
        <v>43101</v>
      </c>
      <c r="F28" s="88">
        <v>43465</v>
      </c>
      <c r="G28" s="10" t="s">
        <v>43</v>
      </c>
      <c r="H28" s="33">
        <v>1500</v>
      </c>
      <c r="I28" s="33">
        <f>+J28+('2017'!I28-'2017'!K28)</f>
        <v>349</v>
      </c>
      <c r="J28" s="33">
        <v>375</v>
      </c>
      <c r="K28" s="84">
        <v>492</v>
      </c>
      <c r="L28" s="19">
        <f t="shared" si="0"/>
        <v>1.3120000000000001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50000</v>
      </c>
      <c r="Q28" s="33">
        <v>50000</v>
      </c>
      <c r="R28" s="33">
        <v>0</v>
      </c>
      <c r="S28" s="22">
        <f t="shared" si="3"/>
        <v>1</v>
      </c>
      <c r="T28" s="21" t="str">
        <f t="shared" si="4"/>
        <v xml:space="preserve"> -</v>
      </c>
    </row>
    <row r="29" spans="2:20" ht="30">
      <c r="B29" s="230"/>
      <c r="C29" s="233"/>
      <c r="D29" s="224"/>
      <c r="E29" s="32">
        <v>43101</v>
      </c>
      <c r="F29" s="88">
        <v>43465</v>
      </c>
      <c r="G29" s="10" t="s">
        <v>44</v>
      </c>
      <c r="H29" s="33">
        <v>2</v>
      </c>
      <c r="I29" s="33">
        <f>+J29+('2017'!I29-'2017'!K29)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17000</v>
      </c>
      <c r="Q29" s="33">
        <v>17000</v>
      </c>
      <c r="R29" s="33">
        <v>0</v>
      </c>
      <c r="S29" s="22">
        <f t="shared" si="3"/>
        <v>1</v>
      </c>
      <c r="T29" s="21" t="str">
        <f t="shared" si="4"/>
        <v xml:space="preserve"> -</v>
      </c>
    </row>
    <row r="30" spans="2:20" ht="30">
      <c r="B30" s="230"/>
      <c r="C30" s="233"/>
      <c r="D30" s="224"/>
      <c r="E30" s="32">
        <v>43101</v>
      </c>
      <c r="F30" s="88">
        <v>43465</v>
      </c>
      <c r="G30" s="10" t="s">
        <v>45</v>
      </c>
      <c r="H30" s="33">
        <v>480</v>
      </c>
      <c r="I30" s="33">
        <f>+J30+('2017'!I30-'2017'!K30)</f>
        <v>-2895</v>
      </c>
      <c r="J30" s="33">
        <v>120</v>
      </c>
      <c r="K30" s="84">
        <v>905</v>
      </c>
      <c r="L30" s="19">
        <f t="shared" si="0"/>
        <v>7.541666666666667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400000</v>
      </c>
      <c r="Q30" s="33">
        <v>400000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230"/>
      <c r="C31" s="233"/>
      <c r="D31" s="224"/>
      <c r="E31" s="32">
        <v>43101</v>
      </c>
      <c r="F31" s="88">
        <v>43465</v>
      </c>
      <c r="G31" s="10" t="s">
        <v>46</v>
      </c>
      <c r="H31" s="33">
        <v>200</v>
      </c>
      <c r="I31" s="33">
        <f>+J31+('2017'!I31-'2017'!K31)</f>
        <v>-421</v>
      </c>
      <c r="J31" s="33">
        <v>50</v>
      </c>
      <c r="K31" s="84">
        <v>257</v>
      </c>
      <c r="L31" s="19">
        <f t="shared" si="0"/>
        <v>5.14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100000</v>
      </c>
      <c r="Q31" s="33">
        <v>80000</v>
      </c>
      <c r="R31" s="33">
        <v>0</v>
      </c>
      <c r="S31" s="22">
        <f t="shared" si="3"/>
        <v>0.8</v>
      </c>
      <c r="T31" s="21" t="str">
        <f t="shared" si="4"/>
        <v xml:space="preserve"> -</v>
      </c>
    </row>
    <row r="32" spans="2:20" ht="30">
      <c r="B32" s="230"/>
      <c r="C32" s="233"/>
      <c r="D32" s="224"/>
      <c r="E32" s="32">
        <v>43101</v>
      </c>
      <c r="F32" s="88">
        <v>43465</v>
      </c>
      <c r="G32" s="10" t="s">
        <v>47</v>
      </c>
      <c r="H32" s="33">
        <v>37</v>
      </c>
      <c r="I32" s="33">
        <f>+J32+('2017'!I32-'2017'!K32)</f>
        <v>22</v>
      </c>
      <c r="J32" s="33">
        <v>10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48000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1"/>
      <c r="C33" s="234"/>
      <c r="D33" s="225"/>
      <c r="E33" s="47">
        <v>43101</v>
      </c>
      <c r="F33" s="89">
        <v>43465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644634.29799999995</v>
      </c>
      <c r="Q33" s="48">
        <v>400564</v>
      </c>
      <c r="R33" s="48">
        <v>0</v>
      </c>
      <c r="S33" s="49">
        <f t="shared" si="3"/>
        <v>0.6213817683029953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8934009.2550000008</v>
      </c>
      <c r="Q34" s="81">
        <f>+SUM(Q12,Q14,Q16:Q33)</f>
        <v>5461738</v>
      </c>
      <c r="R34" s="81">
        <f>+SUM(R12,R14,R16:R33)</f>
        <v>0</v>
      </c>
      <c r="S34" s="82">
        <f t="shared" si="3"/>
        <v>0.61134232617268536</v>
      </c>
      <c r="T34" s="79" t="str">
        <f t="shared" si="4"/>
        <v xml:space="preserve"> -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8" t="s">
        <v>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2:20" ht="20" customHeight="1">
      <c r="B3" s="188" t="s">
        <v>19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2:20" ht="20" customHeight="1">
      <c r="B4" s="188" t="s">
        <v>27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9">
        <v>43830</v>
      </c>
      <c r="D8" s="189" t="s">
        <v>3</v>
      </c>
      <c r="E8" s="190"/>
      <c r="F8" s="190"/>
      <c r="G8" s="190"/>
      <c r="H8" s="190"/>
      <c r="I8" s="190"/>
      <c r="J8" s="190"/>
      <c r="K8" s="19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2" t="s">
        <v>17</v>
      </c>
      <c r="C9" s="195" t="s">
        <v>18</v>
      </c>
      <c r="D9" s="198" t="s">
        <v>0</v>
      </c>
      <c r="E9" s="201" t="s">
        <v>4</v>
      </c>
      <c r="F9" s="201"/>
      <c r="G9" s="201" t="s">
        <v>5</v>
      </c>
      <c r="H9" s="201"/>
      <c r="I9" s="201"/>
      <c r="J9" s="201"/>
      <c r="K9" s="203"/>
      <c r="L9" s="6"/>
      <c r="M9" s="198" t="s">
        <v>6</v>
      </c>
      <c r="N9" s="203"/>
      <c r="O9" s="213" t="s">
        <v>24</v>
      </c>
      <c r="P9" s="214"/>
      <c r="Q9" s="214"/>
      <c r="R9" s="214"/>
      <c r="S9" s="214"/>
      <c r="T9" s="215"/>
    </row>
    <row r="10" spans="2:20" ht="17" customHeight="1">
      <c r="B10" s="193"/>
      <c r="C10" s="196"/>
      <c r="D10" s="199"/>
      <c r="E10" s="202"/>
      <c r="F10" s="202"/>
      <c r="G10" s="202" t="s">
        <v>7</v>
      </c>
      <c r="H10" s="206" t="s">
        <v>25</v>
      </c>
      <c r="I10" s="206" t="s">
        <v>26</v>
      </c>
      <c r="J10" s="207" t="s">
        <v>1</v>
      </c>
      <c r="K10" s="204" t="s">
        <v>8</v>
      </c>
      <c r="L10" s="7"/>
      <c r="M10" s="209" t="s">
        <v>9</v>
      </c>
      <c r="N10" s="211" t="s">
        <v>10</v>
      </c>
      <c r="O10" s="216"/>
      <c r="P10" s="217"/>
      <c r="Q10" s="217"/>
      <c r="R10" s="217"/>
      <c r="S10" s="217"/>
      <c r="T10" s="218"/>
    </row>
    <row r="11" spans="2:20" ht="37.5" customHeight="1" thickBot="1">
      <c r="B11" s="194"/>
      <c r="C11" s="197"/>
      <c r="D11" s="200"/>
      <c r="E11" s="28" t="s">
        <v>11</v>
      </c>
      <c r="F11" s="28" t="s">
        <v>12</v>
      </c>
      <c r="G11" s="206"/>
      <c r="H11" s="219"/>
      <c r="I11" s="219"/>
      <c r="J11" s="208"/>
      <c r="K11" s="205"/>
      <c r="L11" s="16"/>
      <c r="M11" s="210"/>
      <c r="N11" s="21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6" t="s">
        <v>55</v>
      </c>
      <c r="C12" s="58" t="s">
        <v>53</v>
      </c>
      <c r="D12" s="57" t="s">
        <v>52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1465000</v>
      </c>
      <c r="Q12" s="53">
        <v>1206766</v>
      </c>
      <c r="R12" s="53">
        <v>0</v>
      </c>
      <c r="S12" s="54">
        <f>IF(P12=0," -",Q12/P12)</f>
        <v>0.82373105802047786</v>
      </c>
      <c r="T12" s="55" t="str">
        <f>IF(R12=0," -",IF(Q12=0,100%,R12/Q12))</f>
        <v xml:space="preserve"> -</v>
      </c>
    </row>
    <row r="13" spans="2:20" ht="13" customHeight="1" thickBot="1">
      <c r="B13" s="227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8"/>
      <c r="C14" s="58" t="s">
        <v>54</v>
      </c>
      <c r="D14" s="57" t="s">
        <v>51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+J14+('2018'!I14-'2018'!K14)</f>
        <v>#VALUE!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9" t="s">
        <v>57</v>
      </c>
      <c r="C16" s="232" t="s">
        <v>56</v>
      </c>
      <c r="D16" s="223" t="s">
        <v>49</v>
      </c>
      <c r="E16" s="45">
        <v>43466</v>
      </c>
      <c r="F16" s="87">
        <v>43830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100000</v>
      </c>
      <c r="Q16" s="46">
        <v>69022</v>
      </c>
      <c r="R16" s="46">
        <v>0</v>
      </c>
      <c r="S16" s="15">
        <f t="shared" si="3"/>
        <v>0.69021999999999994</v>
      </c>
      <c r="T16" s="14" t="str">
        <f t="shared" si="4"/>
        <v xml:space="preserve"> -</v>
      </c>
    </row>
    <row r="17" spans="2:20" ht="45">
      <c r="B17" s="230"/>
      <c r="C17" s="233"/>
      <c r="D17" s="224"/>
      <c r="E17" s="32">
        <v>43466</v>
      </c>
      <c r="F17" s="88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50000</v>
      </c>
      <c r="Q17" s="33">
        <v>52700</v>
      </c>
      <c r="R17" s="33">
        <v>1250000</v>
      </c>
      <c r="S17" s="22">
        <f t="shared" si="3"/>
        <v>1.054</v>
      </c>
      <c r="T17" s="21">
        <f t="shared" si="4"/>
        <v>23.719165085388994</v>
      </c>
    </row>
    <row r="18" spans="2:20" ht="31" thickBot="1">
      <c r="B18" s="230"/>
      <c r="C18" s="233"/>
      <c r="D18" s="225"/>
      <c r="E18" s="47">
        <v>43466</v>
      </c>
      <c r="F18" s="89">
        <v>43830</v>
      </c>
      <c r="G18" s="85" t="s">
        <v>33</v>
      </c>
      <c r="H18" s="48">
        <v>5</v>
      </c>
      <c r="I18" s="48">
        <f>+J18+('2018'!I18-'2018'!K18)</f>
        <v>-0.5</v>
      </c>
      <c r="J18" s="48">
        <v>2</v>
      </c>
      <c r="K18" s="187">
        <v>0.4</v>
      </c>
      <c r="L18" s="73">
        <f t="shared" si="0"/>
        <v>0.2</v>
      </c>
      <c r="M18" s="75">
        <f t="shared" si="1"/>
        <v>1</v>
      </c>
      <c r="N18" s="63">
        <f t="shared" si="2"/>
        <v>0.2</v>
      </c>
      <c r="O18" s="30" t="s">
        <v>86</v>
      </c>
      <c r="P18" s="61">
        <v>50000</v>
      </c>
      <c r="Q18" s="61">
        <v>16500</v>
      </c>
      <c r="R18" s="61">
        <v>0</v>
      </c>
      <c r="S18" s="62">
        <f t="shared" si="3"/>
        <v>0.33</v>
      </c>
      <c r="T18" s="63" t="str">
        <f t="shared" si="4"/>
        <v xml:space="preserve"> -</v>
      </c>
    </row>
    <row r="19" spans="2:20" ht="45">
      <c r="B19" s="230"/>
      <c r="C19" s="233"/>
      <c r="D19" s="223" t="s">
        <v>50</v>
      </c>
      <c r="E19" s="45">
        <v>43466</v>
      </c>
      <c r="F19" s="87">
        <v>43830</v>
      </c>
      <c r="G19" s="64" t="s">
        <v>34</v>
      </c>
      <c r="H19" s="15">
        <v>1</v>
      </c>
      <c r="I19" s="15">
        <f>+J19+('2018'!I19-'2018'!K19)</f>
        <v>0.18</v>
      </c>
      <c r="J19" s="15">
        <v>0.3</v>
      </c>
      <c r="K19" s="14">
        <v>0.18</v>
      </c>
      <c r="L19" s="12">
        <f t="shared" si="0"/>
        <v>0.6</v>
      </c>
      <c r="M19" s="13">
        <f t="shared" si="1"/>
        <v>1</v>
      </c>
      <c r="N19" s="14">
        <f t="shared" si="2"/>
        <v>0.6</v>
      </c>
      <c r="O19" s="70" t="s">
        <v>88</v>
      </c>
      <c r="P19" s="46">
        <v>40000</v>
      </c>
      <c r="Q19" s="46">
        <v>25000</v>
      </c>
      <c r="R19" s="46">
        <v>0</v>
      </c>
      <c r="S19" s="15">
        <f t="shared" si="3"/>
        <v>0.625</v>
      </c>
      <c r="T19" s="14" t="str">
        <f t="shared" si="4"/>
        <v xml:space="preserve"> -</v>
      </c>
    </row>
    <row r="20" spans="2:20" ht="30">
      <c r="B20" s="230"/>
      <c r="C20" s="233"/>
      <c r="D20" s="224"/>
      <c r="E20" s="32">
        <v>43466</v>
      </c>
      <c r="F20" s="88">
        <v>43830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2450864</v>
      </c>
      <c r="Q20" s="33">
        <v>1226185</v>
      </c>
      <c r="R20" s="33">
        <v>0</v>
      </c>
      <c r="S20" s="22">
        <f t="shared" si="3"/>
        <v>0.50030723859014614</v>
      </c>
      <c r="T20" s="21" t="str">
        <f t="shared" si="4"/>
        <v xml:space="preserve"> -</v>
      </c>
    </row>
    <row r="21" spans="2:20" ht="30">
      <c r="B21" s="230"/>
      <c r="C21" s="233"/>
      <c r="D21" s="224"/>
      <c r="E21" s="32">
        <v>43466</v>
      </c>
      <c r="F21" s="88">
        <v>43830</v>
      </c>
      <c r="G21" s="10" t="s">
        <v>36</v>
      </c>
      <c r="H21" s="22">
        <v>1</v>
      </c>
      <c r="I21" s="22">
        <f>+J21+('2018'!I21-'2018'!K21)</f>
        <v>0.14000000000000004</v>
      </c>
      <c r="J21" s="22">
        <v>0.1</v>
      </c>
      <c r="K21" s="21">
        <v>0.12</v>
      </c>
      <c r="L21" s="19">
        <f t="shared" si="0"/>
        <v>1.2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950000</v>
      </c>
      <c r="Q21" s="33">
        <v>948262</v>
      </c>
      <c r="R21" s="33">
        <v>0</v>
      </c>
      <c r="S21" s="22">
        <f t="shared" si="3"/>
        <v>0.99817052631578951</v>
      </c>
      <c r="T21" s="21" t="str">
        <f t="shared" si="4"/>
        <v xml:space="preserve"> -</v>
      </c>
    </row>
    <row r="22" spans="2:20" ht="45">
      <c r="B22" s="230"/>
      <c r="C22" s="233"/>
      <c r="D22" s="224"/>
      <c r="E22" s="32">
        <v>43466</v>
      </c>
      <c r="F22" s="88">
        <v>43830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400000</v>
      </c>
      <c r="Q22" s="33">
        <v>273172</v>
      </c>
      <c r="R22" s="33">
        <v>0</v>
      </c>
      <c r="S22" s="22">
        <f t="shared" si="3"/>
        <v>0.68293000000000004</v>
      </c>
      <c r="T22" s="21" t="str">
        <f t="shared" si="4"/>
        <v xml:space="preserve"> -</v>
      </c>
    </row>
    <row r="23" spans="2:20" ht="30">
      <c r="B23" s="230"/>
      <c r="C23" s="233"/>
      <c r="D23" s="224"/>
      <c r="E23" s="32">
        <v>43466</v>
      </c>
      <c r="F23" s="88">
        <v>43830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461426</v>
      </c>
      <c r="Q23" s="33">
        <v>185287</v>
      </c>
      <c r="R23" s="33">
        <v>0</v>
      </c>
      <c r="S23" s="22">
        <f t="shared" si="3"/>
        <v>0.40155301175052988</v>
      </c>
      <c r="T23" s="21" t="str">
        <f t="shared" si="4"/>
        <v xml:space="preserve"> -</v>
      </c>
    </row>
    <row r="24" spans="2:20" ht="30">
      <c r="B24" s="230"/>
      <c r="C24" s="233"/>
      <c r="D24" s="224"/>
      <c r="E24" s="32">
        <v>43466</v>
      </c>
      <c r="F24" s="88">
        <v>43830</v>
      </c>
      <c r="G24" s="11" t="s">
        <v>39</v>
      </c>
      <c r="H24" s="33">
        <v>14000</v>
      </c>
      <c r="I24" s="33">
        <f>+J24+('2018'!I24-'2018'!K24)</f>
        <v>-13709</v>
      </c>
      <c r="J24" s="33">
        <v>3500</v>
      </c>
      <c r="K24" s="84">
        <v>4900</v>
      </c>
      <c r="L24" s="19">
        <f t="shared" si="0"/>
        <v>1.4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250000</v>
      </c>
      <c r="Q24" s="33">
        <v>75176</v>
      </c>
      <c r="R24" s="33">
        <v>0</v>
      </c>
      <c r="S24" s="22">
        <f t="shared" si="3"/>
        <v>0.30070400000000003</v>
      </c>
      <c r="T24" s="21" t="str">
        <f t="shared" si="4"/>
        <v xml:space="preserve"> -</v>
      </c>
    </row>
    <row r="25" spans="2:20" ht="45">
      <c r="B25" s="230"/>
      <c r="C25" s="233"/>
      <c r="D25" s="224"/>
      <c r="E25" s="32">
        <v>43466</v>
      </c>
      <c r="F25" s="88">
        <v>43830</v>
      </c>
      <c r="G25" s="11" t="s">
        <v>40</v>
      </c>
      <c r="H25" s="33">
        <v>1000</v>
      </c>
      <c r="I25" s="33">
        <f>+J25+('2018'!I25-'2018'!K25)</f>
        <v>77</v>
      </c>
      <c r="J25" s="33">
        <v>250</v>
      </c>
      <c r="K25" s="84">
        <v>250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200000</v>
      </c>
      <c r="Q25" s="33">
        <v>20260</v>
      </c>
      <c r="R25" s="33">
        <v>0</v>
      </c>
      <c r="S25" s="22">
        <f t="shared" si="3"/>
        <v>0.1013</v>
      </c>
      <c r="T25" s="21" t="str">
        <f t="shared" si="4"/>
        <v xml:space="preserve"> -</v>
      </c>
    </row>
    <row r="26" spans="2:20" ht="30">
      <c r="B26" s="230"/>
      <c r="C26" s="233"/>
      <c r="D26" s="224"/>
      <c r="E26" s="32">
        <v>43466</v>
      </c>
      <c r="F26" s="88">
        <v>43830</v>
      </c>
      <c r="G26" s="11" t="s">
        <v>41</v>
      </c>
      <c r="H26" s="33">
        <v>1500</v>
      </c>
      <c r="I26" s="33">
        <f>+J26+('2018'!I26-'2018'!K26)</f>
        <v>-1050</v>
      </c>
      <c r="J26" s="33">
        <v>375</v>
      </c>
      <c r="K26" s="84">
        <v>320</v>
      </c>
      <c r="L26" s="19">
        <f t="shared" si="0"/>
        <v>0.85333333333333339</v>
      </c>
      <c r="M26" s="20">
        <f t="shared" si="1"/>
        <v>1</v>
      </c>
      <c r="N26" s="21">
        <f t="shared" si="2"/>
        <v>0.85333333333333339</v>
      </c>
      <c r="O26" s="71" t="s">
        <v>91</v>
      </c>
      <c r="P26" s="33">
        <v>100000</v>
      </c>
      <c r="Q26" s="33">
        <v>31200</v>
      </c>
      <c r="R26" s="33">
        <v>0</v>
      </c>
      <c r="S26" s="22">
        <f t="shared" si="3"/>
        <v>0.312</v>
      </c>
      <c r="T26" s="21" t="str">
        <f t="shared" si="4"/>
        <v xml:space="preserve"> -</v>
      </c>
    </row>
    <row r="27" spans="2:20" ht="30">
      <c r="B27" s="230"/>
      <c r="C27" s="233"/>
      <c r="D27" s="224"/>
      <c r="E27" s="32">
        <v>43466</v>
      </c>
      <c r="F27" s="88">
        <v>43830</v>
      </c>
      <c r="G27" s="10" t="s">
        <v>42</v>
      </c>
      <c r="H27" s="33">
        <v>1500</v>
      </c>
      <c r="I27" s="33">
        <f>+J27+('2018'!I27-'2018'!K27)</f>
        <v>228</v>
      </c>
      <c r="J27" s="33">
        <v>375</v>
      </c>
      <c r="K27" s="84">
        <v>90</v>
      </c>
      <c r="L27" s="19">
        <f t="shared" si="0"/>
        <v>0.24</v>
      </c>
      <c r="M27" s="20">
        <f t="shared" si="1"/>
        <v>1</v>
      </c>
      <c r="N27" s="21">
        <f t="shared" si="2"/>
        <v>0.24</v>
      </c>
      <c r="O27" s="71" t="s">
        <v>91</v>
      </c>
      <c r="P27" s="33">
        <v>50000</v>
      </c>
      <c r="Q27" s="33">
        <v>31200</v>
      </c>
      <c r="R27" s="33">
        <v>0</v>
      </c>
      <c r="S27" s="22">
        <f t="shared" si="3"/>
        <v>0.624</v>
      </c>
      <c r="T27" s="21" t="str">
        <f t="shared" si="4"/>
        <v xml:space="preserve"> -</v>
      </c>
    </row>
    <row r="28" spans="2:20" ht="30">
      <c r="B28" s="230"/>
      <c r="C28" s="233"/>
      <c r="D28" s="224"/>
      <c r="E28" s="32">
        <v>43466</v>
      </c>
      <c r="F28" s="88">
        <v>43830</v>
      </c>
      <c r="G28" s="10" t="s">
        <v>43</v>
      </c>
      <c r="H28" s="33">
        <v>1500</v>
      </c>
      <c r="I28" s="33">
        <f>+J28+('2018'!I28-'2018'!K28)</f>
        <v>232</v>
      </c>
      <c r="J28" s="33">
        <v>375</v>
      </c>
      <c r="K28" s="84">
        <v>232</v>
      </c>
      <c r="L28" s="19">
        <f t="shared" si="0"/>
        <v>0.6186666666666667</v>
      </c>
      <c r="M28" s="20">
        <f t="shared" si="1"/>
        <v>1</v>
      </c>
      <c r="N28" s="21">
        <f t="shared" si="2"/>
        <v>0.6186666666666667</v>
      </c>
      <c r="O28" s="71" t="s">
        <v>85</v>
      </c>
      <c r="P28" s="33">
        <v>50000</v>
      </c>
      <c r="Q28" s="33">
        <v>31200</v>
      </c>
      <c r="R28" s="33">
        <v>0</v>
      </c>
      <c r="S28" s="22">
        <f t="shared" si="3"/>
        <v>0.624</v>
      </c>
      <c r="T28" s="21" t="str">
        <f t="shared" si="4"/>
        <v xml:space="preserve"> -</v>
      </c>
    </row>
    <row r="29" spans="2:20" ht="30">
      <c r="B29" s="230"/>
      <c r="C29" s="233"/>
      <c r="D29" s="224"/>
      <c r="E29" s="32">
        <v>43466</v>
      </c>
      <c r="F29" s="88">
        <v>43830</v>
      </c>
      <c r="G29" s="10" t="s">
        <v>44</v>
      </c>
      <c r="H29" s="33">
        <v>2</v>
      </c>
      <c r="I29" s="33">
        <f>+J29+('2018'!I29-'2018'!K29)</f>
        <v>0</v>
      </c>
      <c r="J29" s="33">
        <v>0</v>
      </c>
      <c r="K29" s="84">
        <v>0</v>
      </c>
      <c r="L29" s="19" t="e">
        <f t="shared" si="0"/>
        <v>#DIV/0!</v>
      </c>
      <c r="M29" s="20">
        <f t="shared" si="1"/>
        <v>1</v>
      </c>
      <c r="N29" s="21" t="str">
        <f t="shared" si="2"/>
        <v xml:space="preserve"> -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30"/>
      <c r="C30" s="233"/>
      <c r="D30" s="224"/>
      <c r="E30" s="32">
        <v>43466</v>
      </c>
      <c r="F30" s="88">
        <v>43830</v>
      </c>
      <c r="G30" s="10" t="s">
        <v>45</v>
      </c>
      <c r="H30" s="33">
        <v>480</v>
      </c>
      <c r="I30" s="33">
        <f>+J30+('2018'!I30-'2018'!K30)</f>
        <v>-3680</v>
      </c>
      <c r="J30" s="33">
        <v>120</v>
      </c>
      <c r="K30" s="84">
        <v>670</v>
      </c>
      <c r="L30" s="19">
        <f t="shared" si="0"/>
        <v>5.583333333333333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450000</v>
      </c>
      <c r="Q30" s="33">
        <v>447585</v>
      </c>
      <c r="R30" s="33">
        <v>1121400</v>
      </c>
      <c r="S30" s="22">
        <f t="shared" si="3"/>
        <v>0.99463333333333337</v>
      </c>
      <c r="T30" s="21">
        <f t="shared" si="4"/>
        <v>2.5054458929588792</v>
      </c>
    </row>
    <row r="31" spans="2:20" ht="30" customHeight="1">
      <c r="B31" s="230"/>
      <c r="C31" s="233"/>
      <c r="D31" s="224"/>
      <c r="E31" s="32">
        <v>43466</v>
      </c>
      <c r="F31" s="88">
        <v>43830</v>
      </c>
      <c r="G31" s="10" t="s">
        <v>46</v>
      </c>
      <c r="H31" s="33">
        <v>200</v>
      </c>
      <c r="I31" s="33">
        <f>+J31+('2018'!I31-'2018'!K31)</f>
        <v>-628</v>
      </c>
      <c r="J31" s="33">
        <v>50</v>
      </c>
      <c r="K31" s="84">
        <v>210</v>
      </c>
      <c r="L31" s="19">
        <f t="shared" si="0"/>
        <v>4.2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50000</v>
      </c>
      <c r="Q31" s="33">
        <v>33800</v>
      </c>
      <c r="R31" s="33">
        <v>0</v>
      </c>
      <c r="S31" s="22">
        <f t="shared" si="3"/>
        <v>0.67600000000000005</v>
      </c>
      <c r="T31" s="21" t="str">
        <f t="shared" si="4"/>
        <v xml:space="preserve"> -</v>
      </c>
    </row>
    <row r="32" spans="2:20" ht="30">
      <c r="B32" s="230"/>
      <c r="C32" s="233"/>
      <c r="D32" s="224"/>
      <c r="E32" s="32">
        <v>43466</v>
      </c>
      <c r="F32" s="88">
        <v>43830</v>
      </c>
      <c r="G32" s="10" t="s">
        <v>47</v>
      </c>
      <c r="H32" s="33">
        <v>37</v>
      </c>
      <c r="I32" s="33">
        <f>+J32+('2018'!I32-'2018'!K32)</f>
        <v>32</v>
      </c>
      <c r="J32" s="33">
        <v>10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40000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1"/>
      <c r="C33" s="234"/>
      <c r="D33" s="225"/>
      <c r="E33" s="47">
        <v>43466</v>
      </c>
      <c r="F33" s="89">
        <v>43830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400000</v>
      </c>
      <c r="Q33" s="48">
        <v>345219</v>
      </c>
      <c r="R33" s="48">
        <v>0</v>
      </c>
      <c r="S33" s="49">
        <f t="shared" si="3"/>
        <v>0.86304749999999997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1</v>
      </c>
      <c r="N34" s="79">
        <f>+AVERAGE(N12,N14,N16:N33)</f>
        <v>0.80622222222222228</v>
      </c>
      <c r="P34" s="80">
        <f>+SUM(P12,P14,P16:P33)</f>
        <v>7557290</v>
      </c>
      <c r="Q34" s="81">
        <f>+SUM(Q12,Q14,Q16:Q33)</f>
        <v>5018534</v>
      </c>
      <c r="R34" s="81">
        <f>+SUM(R12,R14,R16:R33)</f>
        <v>2371400</v>
      </c>
      <c r="S34" s="82">
        <f t="shared" si="3"/>
        <v>0.6640652932466532</v>
      </c>
      <c r="T34" s="79">
        <f t="shared" si="4"/>
        <v>0.47252843160970914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8" t="s">
        <v>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</row>
    <row r="3" spans="2:25" ht="20" customHeight="1">
      <c r="B3" s="188" t="s">
        <v>19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2:25" ht="20" customHeight="1">
      <c r="B4" s="188" t="s">
        <v>27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58</v>
      </c>
      <c r="C8" s="9">
        <f>+'2019'!C8</f>
        <v>43830</v>
      </c>
      <c r="D8" s="189" t="s">
        <v>3</v>
      </c>
      <c r="E8" s="190"/>
      <c r="F8" s="190"/>
      <c r="G8" s="190"/>
      <c r="H8" s="237"/>
      <c r="I8" s="237"/>
      <c r="J8" s="237"/>
      <c r="K8" s="237"/>
      <c r="L8" s="237"/>
      <c r="M8" s="237"/>
      <c r="N8" s="19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2" t="s">
        <v>17</v>
      </c>
      <c r="C9" s="195" t="s">
        <v>18</v>
      </c>
      <c r="D9" s="198" t="s">
        <v>0</v>
      </c>
      <c r="E9" s="201" t="s">
        <v>5</v>
      </c>
      <c r="F9" s="201"/>
      <c r="G9" s="201"/>
      <c r="H9" s="238"/>
      <c r="I9" s="238"/>
      <c r="J9" s="238"/>
      <c r="K9" s="238"/>
      <c r="L9" s="238"/>
      <c r="M9" s="238"/>
      <c r="N9" s="203"/>
      <c r="O9" s="239" t="s">
        <v>60</v>
      </c>
      <c r="P9" s="240"/>
      <c r="Q9" s="240"/>
      <c r="R9" s="240"/>
      <c r="S9" s="241"/>
      <c r="T9" s="213" t="s">
        <v>59</v>
      </c>
      <c r="U9" s="214"/>
      <c r="V9" s="214"/>
      <c r="W9" s="214"/>
      <c r="X9" s="214"/>
      <c r="Y9" s="215"/>
    </row>
    <row r="10" spans="2:25" ht="17" customHeight="1">
      <c r="B10" s="193"/>
      <c r="C10" s="196"/>
      <c r="D10" s="199"/>
      <c r="E10" s="202" t="s">
        <v>7</v>
      </c>
      <c r="F10" s="206" t="s">
        <v>25</v>
      </c>
      <c r="G10" s="95" t="s">
        <v>1</v>
      </c>
      <c r="H10" s="96" t="s">
        <v>1</v>
      </c>
      <c r="I10" s="98" t="s">
        <v>1</v>
      </c>
      <c r="J10" s="98" t="s">
        <v>1</v>
      </c>
      <c r="K10" s="124" t="s">
        <v>8</v>
      </c>
      <c r="L10" s="98" t="s">
        <v>8</v>
      </c>
      <c r="M10" s="98" t="s">
        <v>8</v>
      </c>
      <c r="N10" s="94" t="s">
        <v>8</v>
      </c>
      <c r="O10" s="242">
        <v>2016</v>
      </c>
      <c r="P10" s="246">
        <v>2017</v>
      </c>
      <c r="Q10" s="248">
        <v>2018</v>
      </c>
      <c r="R10" s="235">
        <v>2019</v>
      </c>
      <c r="S10" s="244" t="s">
        <v>58</v>
      </c>
      <c r="T10" s="216"/>
      <c r="U10" s="217"/>
      <c r="V10" s="217"/>
      <c r="W10" s="217"/>
      <c r="X10" s="217"/>
      <c r="Y10" s="218"/>
    </row>
    <row r="11" spans="2:25" ht="37.5" customHeight="1" thickBot="1">
      <c r="B11" s="194"/>
      <c r="C11" s="197"/>
      <c r="D11" s="200"/>
      <c r="E11" s="206"/>
      <c r="F11" s="219"/>
      <c r="G11" s="125">
        <v>2016</v>
      </c>
      <c r="H11" s="126">
        <v>2017</v>
      </c>
      <c r="I11" s="99">
        <v>2018</v>
      </c>
      <c r="J11" s="99">
        <v>2019</v>
      </c>
      <c r="K11" s="127">
        <v>2016</v>
      </c>
      <c r="L11" s="126">
        <v>2017</v>
      </c>
      <c r="M11" s="99">
        <v>2018</v>
      </c>
      <c r="N11" s="128">
        <v>2019</v>
      </c>
      <c r="O11" s="243"/>
      <c r="P11" s="247"/>
      <c r="Q11" s="249"/>
      <c r="R11" s="236"/>
      <c r="S11" s="245"/>
      <c r="T11" s="97" t="s">
        <v>23</v>
      </c>
      <c r="U11" s="30" t="s">
        <v>20</v>
      </c>
      <c r="V11" s="31" t="s">
        <v>21</v>
      </c>
      <c r="W11" s="17" t="s">
        <v>22</v>
      </c>
      <c r="X11" s="17" t="s">
        <v>14</v>
      </c>
      <c r="Y11" s="18" t="s">
        <v>15</v>
      </c>
    </row>
    <row r="12" spans="2:25" ht="61" thickBot="1">
      <c r="B12" s="226" t="s">
        <v>55</v>
      </c>
      <c r="C12" s="58" t="s">
        <v>53</v>
      </c>
      <c r="D12" s="57" t="s">
        <v>52</v>
      </c>
      <c r="E12" s="52" t="s">
        <v>28</v>
      </c>
      <c r="F12" s="53">
        <v>1</v>
      </c>
      <c r="G12" s="53">
        <f>'2016'!J12</f>
        <v>1</v>
      </c>
      <c r="H12" s="65">
        <f>'2017'!J12</f>
        <v>1</v>
      </c>
      <c r="I12" s="65">
        <f>'2018'!J12</f>
        <v>1</v>
      </c>
      <c r="J12" s="65">
        <f>'2019'!J12</f>
        <v>1</v>
      </c>
      <c r="K12" s="122">
        <f>'2016'!K12</f>
        <v>1</v>
      </c>
      <c r="L12" s="65">
        <f>'2017'!K12</f>
        <v>1</v>
      </c>
      <c r="M12" s="65">
        <f>'2018'!K12</f>
        <v>1</v>
      </c>
      <c r="N12" s="123">
        <f>'2019'!K12</f>
        <v>1</v>
      </c>
      <c r="O12" s="102">
        <f>'2016'!N12</f>
        <v>1</v>
      </c>
      <c r="P12" s="103">
        <f>'2017'!N12</f>
        <v>1</v>
      </c>
      <c r="Q12" s="104">
        <f>'2018'!N12</f>
        <v>1</v>
      </c>
      <c r="R12" s="103">
        <f>'2019'!N12</f>
        <v>1</v>
      </c>
      <c r="S12" s="130">
        <v>1</v>
      </c>
      <c r="T12" s="56" t="s">
        <v>84</v>
      </c>
      <c r="U12" s="53">
        <f>+'2016'!P12+'2017'!P12+'2018'!P12+'2019'!P12</f>
        <v>7399916</v>
      </c>
      <c r="V12" s="53">
        <f>+'2016'!Q12+'2017'!Q12+'2018'!Q12+'2019'!Q12</f>
        <v>3347193</v>
      </c>
      <c r="W12" s="53">
        <f>+'2016'!R12+'2017'!R12+'2018'!R12+'2019'!R12</f>
        <v>0</v>
      </c>
      <c r="X12" s="54">
        <f>IF(U12=0," -",V12/U12)</f>
        <v>0.45232851291825477</v>
      </c>
      <c r="Y12" s="55" t="str">
        <f>IF(W12=0," -",IF(V12=0,100%,W12/V12))</f>
        <v xml:space="preserve"> -</v>
      </c>
    </row>
    <row r="13" spans="2:25" ht="13" customHeight="1" thickBot="1">
      <c r="B13" s="227"/>
      <c r="C13" s="24"/>
      <c r="D13" s="26"/>
      <c r="E13" s="25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27"/>
      <c r="Q13" s="27"/>
      <c r="R13" s="27"/>
      <c r="S13" s="131"/>
      <c r="T13" s="25"/>
      <c r="U13" s="26"/>
      <c r="V13" s="26"/>
      <c r="W13" s="26"/>
      <c r="X13" s="27"/>
      <c r="Y13" s="44"/>
    </row>
    <row r="14" spans="2:25" ht="46" thickBot="1">
      <c r="B14" s="228"/>
      <c r="C14" s="58" t="s">
        <v>54</v>
      </c>
      <c r="D14" s="57" t="s">
        <v>51</v>
      </c>
      <c r="E14" s="52" t="s">
        <v>29</v>
      </c>
      <c r="F14" s="53">
        <v>1</v>
      </c>
      <c r="G14" s="53">
        <f>'2016'!J14</f>
        <v>1</v>
      </c>
      <c r="H14" s="65">
        <f>'2017'!J14</f>
        <v>0</v>
      </c>
      <c r="I14" s="65">
        <f>'2018'!J14</f>
        <v>0</v>
      </c>
      <c r="J14" s="65">
        <f>'2019'!J14</f>
        <v>0</v>
      </c>
      <c r="K14" s="122">
        <f>'2016'!K14</f>
        <v>1</v>
      </c>
      <c r="L14" s="65">
        <f>'2017'!K14</f>
        <v>0</v>
      </c>
      <c r="M14" s="65" t="str">
        <f>'2018'!K14</f>
        <v>-</v>
      </c>
      <c r="N14" s="123">
        <f>'2019'!K14</f>
        <v>0</v>
      </c>
      <c r="O14" s="102">
        <f>'2016'!N14</f>
        <v>1</v>
      </c>
      <c r="P14" s="103" t="str">
        <f>'2017'!N14</f>
        <v xml:space="preserve"> -</v>
      </c>
      <c r="Q14" s="104" t="str">
        <f>'2018'!N14</f>
        <v xml:space="preserve"> -</v>
      </c>
      <c r="R14" s="103" t="str">
        <f>'2019'!N14</f>
        <v xml:space="preserve"> -</v>
      </c>
      <c r="S14" s="130">
        <v>1</v>
      </c>
      <c r="T14" s="56" t="s">
        <v>85</v>
      </c>
      <c r="U14" s="53">
        <f>+'2016'!P14+'2017'!P14+'2018'!P14+'2019'!P14</f>
        <v>0</v>
      </c>
      <c r="V14" s="53">
        <f>+'2016'!Q14+'2017'!Q14+'2018'!Q14+'2019'!Q14</f>
        <v>0</v>
      </c>
      <c r="W14" s="53">
        <f>+'2016'!R14+'2017'!R14+'2018'!R14+'2019'!R14</f>
        <v>0</v>
      </c>
      <c r="X14" s="54" t="str">
        <f t="shared" ref="X14:X34" si="0">IF(U14=0," -",V14/U14)</f>
        <v xml:space="preserve"> -</v>
      </c>
      <c r="Y14" s="55" t="str">
        <f t="shared" ref="Y14:Y34" si="1">IF(W14=0," -",IF(V14=0,100%,W14/V14))</f>
        <v xml:space="preserve"> -</v>
      </c>
    </row>
    <row r="15" spans="2:25" ht="13" customHeight="1" thickBot="1">
      <c r="B15" s="23"/>
      <c r="C15" s="34"/>
      <c r="D15" s="34"/>
      <c r="E15" s="34"/>
      <c r="F15" s="36"/>
      <c r="G15" s="36"/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38"/>
      <c r="S15" s="132"/>
      <c r="T15" s="34"/>
      <c r="U15" s="36"/>
      <c r="V15" s="36"/>
      <c r="W15" s="36"/>
      <c r="X15" s="38"/>
      <c r="Y15" s="39"/>
    </row>
    <row r="16" spans="2:25" ht="30">
      <c r="B16" s="229" t="s">
        <v>57</v>
      </c>
      <c r="C16" s="232" t="s">
        <v>56</v>
      </c>
      <c r="D16" s="223" t="s">
        <v>49</v>
      </c>
      <c r="E16" s="64" t="s">
        <v>30</v>
      </c>
      <c r="F16" s="46">
        <v>1</v>
      </c>
      <c r="G16" s="46">
        <f>'2016'!J16</f>
        <v>1</v>
      </c>
      <c r="H16" s="92">
        <f>'2017'!J16</f>
        <v>1</v>
      </c>
      <c r="I16" s="92">
        <f>'2018'!J16</f>
        <v>1</v>
      </c>
      <c r="J16" s="92">
        <f>'2019'!J16</f>
        <v>1</v>
      </c>
      <c r="K16" s="117">
        <f>'2016'!K16</f>
        <v>1</v>
      </c>
      <c r="L16" s="92">
        <f>'2017'!K16</f>
        <v>1</v>
      </c>
      <c r="M16" s="92">
        <f>'2018'!K16</f>
        <v>1</v>
      </c>
      <c r="N16" s="83">
        <f>'2019'!K16</f>
        <v>1</v>
      </c>
      <c r="O16" s="105">
        <f>'2016'!N16</f>
        <v>1</v>
      </c>
      <c r="P16" s="106">
        <f>'2017'!N16</f>
        <v>1</v>
      </c>
      <c r="Q16" s="107">
        <f>'2018'!N16</f>
        <v>1</v>
      </c>
      <c r="R16" s="106">
        <f>'2019'!N16</f>
        <v>1</v>
      </c>
      <c r="S16" s="133">
        <v>1</v>
      </c>
      <c r="T16" s="70" t="s">
        <v>86</v>
      </c>
      <c r="U16" s="46">
        <f>+'2016'!P16+'2017'!P16+'2018'!P16+'2019'!P16</f>
        <v>583632.5</v>
      </c>
      <c r="V16" s="46">
        <f>+'2016'!Q16+'2017'!Q16+'2018'!Q16+'2019'!Q16</f>
        <v>268365</v>
      </c>
      <c r="W16" s="46">
        <f>+'2016'!R16+'2017'!R16+'2018'!R16+'2019'!R16</f>
        <v>0</v>
      </c>
      <c r="X16" s="15">
        <f t="shared" si="0"/>
        <v>0.4598184645303337</v>
      </c>
      <c r="Y16" s="14" t="str">
        <f t="shared" si="1"/>
        <v xml:space="preserve"> -</v>
      </c>
    </row>
    <row r="17" spans="2:25" ht="45">
      <c r="B17" s="230"/>
      <c r="C17" s="233"/>
      <c r="D17" s="224"/>
      <c r="E17" s="10" t="s">
        <v>31</v>
      </c>
      <c r="F17" s="33">
        <v>1</v>
      </c>
      <c r="G17" s="33">
        <f>'2016'!J17</f>
        <v>0</v>
      </c>
      <c r="H17" s="66">
        <f>'2017'!J17</f>
        <v>1</v>
      </c>
      <c r="I17" s="66">
        <f>'2018'!J17</f>
        <v>1</v>
      </c>
      <c r="J17" s="66">
        <f>'2019'!J17</f>
        <v>1</v>
      </c>
      <c r="K17" s="118">
        <f>'2016'!K17</f>
        <v>0</v>
      </c>
      <c r="L17" s="66">
        <f>'2017'!K17</f>
        <v>1</v>
      </c>
      <c r="M17" s="66">
        <f>'2018'!K17</f>
        <v>1</v>
      </c>
      <c r="N17" s="84">
        <f>'2019'!K17</f>
        <v>1</v>
      </c>
      <c r="O17" s="108" t="str">
        <f>'2016'!N17</f>
        <v xml:space="preserve"> -</v>
      </c>
      <c r="P17" s="109">
        <f>'2017'!N17</f>
        <v>1</v>
      </c>
      <c r="Q17" s="110">
        <f>'2018'!N17</f>
        <v>1</v>
      </c>
      <c r="R17" s="109">
        <f>'2019'!N17</f>
        <v>1</v>
      </c>
      <c r="S17" s="134">
        <v>1</v>
      </c>
      <c r="T17" s="71" t="s">
        <v>87</v>
      </c>
      <c r="U17" s="33">
        <f>+'2016'!P17+'2017'!P17+'2018'!P17+'2019'!P17</f>
        <v>265000</v>
      </c>
      <c r="V17" s="33">
        <f>+'2016'!Q17+'2017'!Q17+'2018'!Q17+'2019'!Q17</f>
        <v>101633</v>
      </c>
      <c r="W17" s="33">
        <f>+'2016'!R17+'2017'!R17+'2018'!R17+'2019'!R17</f>
        <v>1250000</v>
      </c>
      <c r="X17" s="22">
        <f t="shared" si="0"/>
        <v>0.3835207547169811</v>
      </c>
      <c r="Y17" s="21">
        <f t="shared" si="1"/>
        <v>12.299154802082001</v>
      </c>
    </row>
    <row r="18" spans="2:25" ht="31" thickBot="1">
      <c r="B18" s="230"/>
      <c r="C18" s="233"/>
      <c r="D18" s="225"/>
      <c r="E18" s="85" t="s">
        <v>33</v>
      </c>
      <c r="F18" s="48">
        <v>5</v>
      </c>
      <c r="G18" s="48">
        <f>'2016'!J19</f>
        <v>1</v>
      </c>
      <c r="H18" s="69">
        <f>'2017'!J18</f>
        <v>1</v>
      </c>
      <c r="I18" s="69">
        <f>'2018'!J18</f>
        <v>1</v>
      </c>
      <c r="J18" s="69">
        <f>'2019'!J18</f>
        <v>2</v>
      </c>
      <c r="K18" s="129">
        <f>'2016'!K19</f>
        <v>0.5</v>
      </c>
      <c r="L18" s="69">
        <f>'2017'!K18</f>
        <v>3</v>
      </c>
      <c r="M18" s="69">
        <f>'2018'!K18</f>
        <v>2</v>
      </c>
      <c r="N18" s="86">
        <f>'2019'!K18</f>
        <v>0.4</v>
      </c>
      <c r="O18" s="111">
        <f>'2016'!N19</f>
        <v>0.5</v>
      </c>
      <c r="P18" s="112">
        <f>'2017'!N18</f>
        <v>1</v>
      </c>
      <c r="Q18" s="113">
        <f>'2018'!N18</f>
        <v>1</v>
      </c>
      <c r="R18" s="112">
        <f>'2019'!N18</f>
        <v>0.2</v>
      </c>
      <c r="S18" s="135">
        <v>1</v>
      </c>
      <c r="T18" s="30" t="s">
        <v>86</v>
      </c>
      <c r="U18" s="61">
        <f>+'2016'!P19+'2017'!P18+'2018'!P18+'2019'!P18</f>
        <v>274367.5</v>
      </c>
      <c r="V18" s="61">
        <f>+'2016'!Q19+'2017'!Q18+'2018'!Q18+'2019'!Q18</f>
        <v>52165</v>
      </c>
      <c r="W18" s="61">
        <f>+'2016'!R19+'2017'!R18+'2018'!R18+'2019'!R18</f>
        <v>0</v>
      </c>
      <c r="X18" s="62">
        <f t="shared" si="0"/>
        <v>0.19012820396001712</v>
      </c>
      <c r="Y18" s="63" t="str">
        <f t="shared" si="1"/>
        <v xml:space="preserve"> -</v>
      </c>
    </row>
    <row r="19" spans="2:25" ht="45">
      <c r="B19" s="230"/>
      <c r="C19" s="233"/>
      <c r="D19" s="223" t="s">
        <v>50</v>
      </c>
      <c r="E19" s="64" t="s">
        <v>34</v>
      </c>
      <c r="F19" s="15">
        <v>1</v>
      </c>
      <c r="G19" s="15">
        <f>'2016'!J20</f>
        <v>0.1</v>
      </c>
      <c r="H19" s="67">
        <f>'2017'!J19</f>
        <v>0.3</v>
      </c>
      <c r="I19" s="67">
        <f>'2018'!J19</f>
        <v>0.3</v>
      </c>
      <c r="J19" s="67">
        <f>'2019'!J19</f>
        <v>0.3</v>
      </c>
      <c r="K19" s="120">
        <f>'2016'!K20</f>
        <v>0.1</v>
      </c>
      <c r="L19" s="67">
        <f>'2017'!K19</f>
        <v>0.35</v>
      </c>
      <c r="M19" s="67">
        <f>'2018'!K19</f>
        <v>0.37</v>
      </c>
      <c r="N19" s="14">
        <f>'2019'!K19</f>
        <v>0.18</v>
      </c>
      <c r="O19" s="105">
        <f>'2016'!N20</f>
        <v>1</v>
      </c>
      <c r="P19" s="106">
        <f>'2017'!N19</f>
        <v>1</v>
      </c>
      <c r="Q19" s="107">
        <f>'2018'!N19</f>
        <v>1</v>
      </c>
      <c r="R19" s="106">
        <f>'2019'!N19</f>
        <v>0.6</v>
      </c>
      <c r="S19" s="133">
        <v>1</v>
      </c>
      <c r="T19" s="70" t="s">
        <v>88</v>
      </c>
      <c r="U19" s="46">
        <f>+'2016'!P20+'2017'!P19+'2018'!P19+'2019'!P19</f>
        <v>179500</v>
      </c>
      <c r="V19" s="46">
        <f>+'2016'!Q20+'2017'!Q19+'2018'!Q19+'2019'!Q19</f>
        <v>139700</v>
      </c>
      <c r="W19" s="46">
        <f>+'2016'!R20+'2017'!R19+'2018'!R19+'2019'!R19</f>
        <v>0</v>
      </c>
      <c r="X19" s="15">
        <f t="shared" si="0"/>
        <v>0.77827298050139271</v>
      </c>
      <c r="Y19" s="14" t="str">
        <f t="shared" si="1"/>
        <v xml:space="preserve"> -</v>
      </c>
    </row>
    <row r="20" spans="2:25" ht="30">
      <c r="B20" s="230"/>
      <c r="C20" s="233"/>
      <c r="D20" s="224"/>
      <c r="E20" s="10" t="s">
        <v>35</v>
      </c>
      <c r="F20" s="33">
        <v>1</v>
      </c>
      <c r="G20" s="33">
        <f>'2016'!J21</f>
        <v>1</v>
      </c>
      <c r="H20" s="66">
        <f>'2017'!J20</f>
        <v>1</v>
      </c>
      <c r="I20" s="66">
        <f>'2018'!J20</f>
        <v>1</v>
      </c>
      <c r="J20" s="66">
        <f>'2019'!J20</f>
        <v>1</v>
      </c>
      <c r="K20" s="118">
        <f>'2016'!K21</f>
        <v>1</v>
      </c>
      <c r="L20" s="66">
        <f>'2017'!K20</f>
        <v>1</v>
      </c>
      <c r="M20" s="66">
        <f>'2018'!K20</f>
        <v>1</v>
      </c>
      <c r="N20" s="84">
        <f>'2019'!K20</f>
        <v>1</v>
      </c>
      <c r="O20" s="108">
        <f>'2016'!N21</f>
        <v>1</v>
      </c>
      <c r="P20" s="109">
        <f>'2017'!N20</f>
        <v>1</v>
      </c>
      <c r="Q20" s="110">
        <f>'2018'!N20</f>
        <v>1</v>
      </c>
      <c r="R20" s="109">
        <f>'2019'!N20</f>
        <v>1</v>
      </c>
      <c r="S20" s="134">
        <v>1</v>
      </c>
      <c r="T20" s="71" t="s">
        <v>89</v>
      </c>
      <c r="U20" s="33">
        <f>+'2016'!P21+'2017'!P20+'2018'!P20+'2019'!P20</f>
        <v>10130230</v>
      </c>
      <c r="V20" s="33">
        <f>+'2016'!Q21+'2017'!Q20+'2018'!Q20+'2019'!Q20</f>
        <v>6431386</v>
      </c>
      <c r="W20" s="33">
        <f>+'2016'!R21+'2017'!R20+'2018'!R20+'2019'!R20</f>
        <v>132300</v>
      </c>
      <c r="X20" s="22">
        <f t="shared" si="0"/>
        <v>0.63487067914548834</v>
      </c>
      <c r="Y20" s="21">
        <f t="shared" si="1"/>
        <v>2.0570993561885416E-2</v>
      </c>
    </row>
    <row r="21" spans="2:25" ht="30">
      <c r="B21" s="230"/>
      <c r="C21" s="233"/>
      <c r="D21" s="224"/>
      <c r="E21" s="10" t="s">
        <v>36</v>
      </c>
      <c r="F21" s="22">
        <v>1</v>
      </c>
      <c r="G21" s="22">
        <f>'2016'!J22</f>
        <v>0.3</v>
      </c>
      <c r="H21" s="68">
        <f>'2017'!J21</f>
        <v>0.3</v>
      </c>
      <c r="I21" s="68">
        <f>'2018'!J21</f>
        <v>0.3</v>
      </c>
      <c r="J21" s="68">
        <f>'2019'!J21</f>
        <v>0.1</v>
      </c>
      <c r="K21" s="121">
        <f>'2016'!K22</f>
        <v>0.21</v>
      </c>
      <c r="L21" s="68">
        <f>'2017'!K21</f>
        <v>0.35</v>
      </c>
      <c r="M21" s="68">
        <f>'2018'!K21</f>
        <v>0.3</v>
      </c>
      <c r="N21" s="21">
        <f>'2019'!K21</f>
        <v>0.12</v>
      </c>
      <c r="O21" s="108">
        <f>'2016'!N22</f>
        <v>0.7</v>
      </c>
      <c r="P21" s="109">
        <f>'2017'!N21</f>
        <v>1</v>
      </c>
      <c r="Q21" s="110">
        <f>'2018'!N21</f>
        <v>1</v>
      </c>
      <c r="R21" s="109">
        <f>'2019'!N21</f>
        <v>1</v>
      </c>
      <c r="S21" s="134">
        <v>0.97999999999999987</v>
      </c>
      <c r="T21" s="71" t="s">
        <v>90</v>
      </c>
      <c r="U21" s="33">
        <f>+'2016'!P22+'2017'!P21+'2018'!P21+'2019'!P21</f>
        <v>4132414.557</v>
      </c>
      <c r="V21" s="33">
        <f>+'2016'!Q22+'2017'!Q21+'2018'!Q21+'2019'!Q21</f>
        <v>2511355</v>
      </c>
      <c r="W21" s="33">
        <f>+'2016'!R22+'2017'!R21+'2018'!R21+'2019'!R21</f>
        <v>0</v>
      </c>
      <c r="X21" s="22">
        <f t="shared" si="0"/>
        <v>0.60772097410845516</v>
      </c>
      <c r="Y21" s="21" t="str">
        <f t="shared" si="1"/>
        <v xml:space="preserve"> -</v>
      </c>
    </row>
    <row r="22" spans="2:25" ht="45">
      <c r="B22" s="230"/>
      <c r="C22" s="233"/>
      <c r="D22" s="224"/>
      <c r="E22" s="11" t="s">
        <v>37</v>
      </c>
      <c r="F22" s="33">
        <v>1</v>
      </c>
      <c r="G22" s="33">
        <f>'2016'!J23</f>
        <v>1</v>
      </c>
      <c r="H22" s="66">
        <f>'2017'!J22</f>
        <v>1</v>
      </c>
      <c r="I22" s="66">
        <f>'2018'!J22</f>
        <v>1</v>
      </c>
      <c r="J22" s="66">
        <f>'2019'!J22</f>
        <v>1</v>
      </c>
      <c r="K22" s="118">
        <f>'2016'!K23</f>
        <v>1</v>
      </c>
      <c r="L22" s="66">
        <f>'2017'!K22</f>
        <v>1</v>
      </c>
      <c r="M22" s="66">
        <f>'2018'!K22</f>
        <v>1</v>
      </c>
      <c r="N22" s="84">
        <f>'2019'!K22</f>
        <v>1</v>
      </c>
      <c r="O22" s="108">
        <f>'2016'!N23</f>
        <v>1</v>
      </c>
      <c r="P22" s="109">
        <f>'2017'!N22</f>
        <v>1</v>
      </c>
      <c r="Q22" s="110">
        <f>'2018'!N22</f>
        <v>1</v>
      </c>
      <c r="R22" s="109">
        <f>'2019'!N22</f>
        <v>1</v>
      </c>
      <c r="S22" s="134">
        <v>1</v>
      </c>
      <c r="T22" s="71" t="s">
        <v>90</v>
      </c>
      <c r="U22" s="33">
        <f>+'2016'!P23+'2017'!P22+'2018'!P22+'2019'!P22</f>
        <v>649697.5</v>
      </c>
      <c r="V22" s="33">
        <f>+'2016'!Q23+'2017'!Q22+'2018'!Q22+'2019'!Q22</f>
        <v>500122</v>
      </c>
      <c r="W22" s="33">
        <f>+'2016'!R23+'2017'!R22+'2018'!R22+'2019'!R22</f>
        <v>0</v>
      </c>
      <c r="X22" s="22">
        <f t="shared" si="0"/>
        <v>0.76977670377367924</v>
      </c>
      <c r="Y22" s="21" t="str">
        <f t="shared" si="1"/>
        <v xml:space="preserve"> -</v>
      </c>
    </row>
    <row r="23" spans="2:25" ht="30">
      <c r="B23" s="230"/>
      <c r="C23" s="233"/>
      <c r="D23" s="224"/>
      <c r="E23" s="11" t="s">
        <v>38</v>
      </c>
      <c r="F23" s="22">
        <v>1</v>
      </c>
      <c r="G23" s="22">
        <f>'2016'!J24</f>
        <v>1</v>
      </c>
      <c r="H23" s="68">
        <f>'2017'!J23</f>
        <v>1</v>
      </c>
      <c r="I23" s="68">
        <f>'2018'!J23</f>
        <v>1</v>
      </c>
      <c r="J23" s="68">
        <f>'2019'!J23</f>
        <v>1</v>
      </c>
      <c r="K23" s="121">
        <f>'2016'!K24</f>
        <v>1</v>
      </c>
      <c r="L23" s="68">
        <f>'2017'!K23</f>
        <v>1</v>
      </c>
      <c r="M23" s="68">
        <f>'2018'!K23</f>
        <v>1</v>
      </c>
      <c r="N23" s="21">
        <f>'2019'!K23</f>
        <v>1</v>
      </c>
      <c r="O23" s="108">
        <f>'2016'!N24</f>
        <v>1</v>
      </c>
      <c r="P23" s="109">
        <f>'2017'!N23</f>
        <v>1</v>
      </c>
      <c r="Q23" s="110">
        <f>'2018'!N23</f>
        <v>1</v>
      </c>
      <c r="R23" s="109">
        <f>'2019'!N23</f>
        <v>1</v>
      </c>
      <c r="S23" s="134">
        <v>1</v>
      </c>
      <c r="T23" s="71" t="s">
        <v>91</v>
      </c>
      <c r="U23" s="33">
        <f>+'2016'!P24+'2017'!P23+'2018'!P23+'2019'!P23</f>
        <v>2039745.568</v>
      </c>
      <c r="V23" s="33">
        <f>+'2016'!Q24+'2017'!Q23+'2018'!Q23+'2019'!Q23</f>
        <v>940052</v>
      </c>
      <c r="W23" s="33">
        <f>+'2016'!R24+'2017'!R23+'2018'!R23+'2019'!R23</f>
        <v>220000</v>
      </c>
      <c r="X23" s="22">
        <f t="shared" si="0"/>
        <v>0.46086728401215971</v>
      </c>
      <c r="Y23" s="21">
        <f t="shared" si="1"/>
        <v>0.2340296068728113</v>
      </c>
    </row>
    <row r="24" spans="2:25" ht="30">
      <c r="B24" s="230"/>
      <c r="C24" s="233"/>
      <c r="D24" s="224"/>
      <c r="E24" s="11" t="s">
        <v>39</v>
      </c>
      <c r="F24" s="33">
        <v>14000</v>
      </c>
      <c r="G24" s="33">
        <f>'2016'!J25</f>
        <v>3500</v>
      </c>
      <c r="H24" s="66">
        <f>'2017'!J24</f>
        <v>3500</v>
      </c>
      <c r="I24" s="66">
        <f>'2018'!J24</f>
        <v>3500</v>
      </c>
      <c r="J24" s="66">
        <f>'2019'!J24</f>
        <v>3500</v>
      </c>
      <c r="K24" s="118">
        <f>'2016'!K25</f>
        <v>9373</v>
      </c>
      <c r="L24" s="66">
        <f>'2017'!K24</f>
        <v>5980</v>
      </c>
      <c r="M24" s="66">
        <f>'2018'!K24</f>
        <v>12356</v>
      </c>
      <c r="N24" s="84">
        <f>'2019'!K24</f>
        <v>4900</v>
      </c>
      <c r="O24" s="108">
        <f>'2016'!N25</f>
        <v>1</v>
      </c>
      <c r="P24" s="109">
        <f>'2017'!N24</f>
        <v>1</v>
      </c>
      <c r="Q24" s="110">
        <f>'2018'!N24</f>
        <v>1</v>
      </c>
      <c r="R24" s="109">
        <f>'2019'!N24</f>
        <v>1</v>
      </c>
      <c r="S24" s="134">
        <v>1</v>
      </c>
      <c r="T24" s="71" t="s">
        <v>91</v>
      </c>
      <c r="U24" s="33">
        <f>+'2016'!P25+'2017'!P24+'2018'!P24+'2019'!P24</f>
        <v>1488998.3319999999</v>
      </c>
      <c r="V24" s="33">
        <f>+'2016'!Q25+'2017'!Q24+'2018'!Q24+'2019'!Q24</f>
        <v>541512</v>
      </c>
      <c r="W24" s="33">
        <f>+'2016'!R25+'2017'!R24+'2018'!R24+'2019'!R24</f>
        <v>0</v>
      </c>
      <c r="X24" s="22">
        <f t="shared" si="0"/>
        <v>0.36367535702518167</v>
      </c>
      <c r="Y24" s="21" t="str">
        <f t="shared" si="1"/>
        <v xml:space="preserve"> -</v>
      </c>
    </row>
    <row r="25" spans="2:25" ht="45">
      <c r="B25" s="230"/>
      <c r="C25" s="233"/>
      <c r="D25" s="224"/>
      <c r="E25" s="11" t="s">
        <v>40</v>
      </c>
      <c r="F25" s="33">
        <v>1000</v>
      </c>
      <c r="G25" s="33">
        <f>'2016'!J26</f>
        <v>250</v>
      </c>
      <c r="H25" s="66">
        <f>'2017'!J25</f>
        <v>250</v>
      </c>
      <c r="I25" s="66">
        <f>'2018'!J25</f>
        <v>250</v>
      </c>
      <c r="J25" s="66">
        <f>'2019'!J25</f>
        <v>250</v>
      </c>
      <c r="K25" s="118">
        <f>'2016'!K26</f>
        <v>281</v>
      </c>
      <c r="L25" s="66">
        <f>'2017'!K25</f>
        <v>251</v>
      </c>
      <c r="M25" s="66">
        <f>'2018'!K25</f>
        <v>391</v>
      </c>
      <c r="N25" s="84">
        <f>'2019'!K25</f>
        <v>250</v>
      </c>
      <c r="O25" s="108">
        <f>'2016'!N26</f>
        <v>1</v>
      </c>
      <c r="P25" s="109">
        <f>'2017'!N25</f>
        <v>1</v>
      </c>
      <c r="Q25" s="110">
        <f>'2018'!N25</f>
        <v>1</v>
      </c>
      <c r="R25" s="109">
        <f>'2019'!N25</f>
        <v>1</v>
      </c>
      <c r="S25" s="134">
        <v>1</v>
      </c>
      <c r="T25" s="71" t="s">
        <v>91</v>
      </c>
      <c r="U25" s="33">
        <f>+'2016'!P26+'2017'!P25+'2018'!P25+'2019'!P25</f>
        <v>521000</v>
      </c>
      <c r="V25" s="33">
        <f>+'2016'!Q26+'2017'!Q25+'2018'!Q25+'2019'!Q25</f>
        <v>220369</v>
      </c>
      <c r="W25" s="33">
        <f>+'2016'!R26+'2017'!R25+'2018'!R25+'2019'!R25</f>
        <v>0</v>
      </c>
      <c r="X25" s="22">
        <f t="shared" si="0"/>
        <v>0.42297312859884839</v>
      </c>
      <c r="Y25" s="21" t="str">
        <f t="shared" si="1"/>
        <v xml:space="preserve"> -</v>
      </c>
    </row>
    <row r="26" spans="2:25" ht="30">
      <c r="B26" s="230"/>
      <c r="C26" s="233"/>
      <c r="D26" s="224"/>
      <c r="E26" s="11" t="s">
        <v>41</v>
      </c>
      <c r="F26" s="33">
        <v>1500</v>
      </c>
      <c r="G26" s="33">
        <f>'2016'!J27</f>
        <v>375</v>
      </c>
      <c r="H26" s="66">
        <f>'2017'!J26</f>
        <v>375</v>
      </c>
      <c r="I26" s="66">
        <f>'2018'!J26</f>
        <v>375</v>
      </c>
      <c r="J26" s="66">
        <f>'2019'!J26</f>
        <v>375</v>
      </c>
      <c r="K26" s="118">
        <f>'2016'!K27</f>
        <v>788</v>
      </c>
      <c r="L26" s="66">
        <f>'2017'!K26</f>
        <v>776</v>
      </c>
      <c r="M26" s="66">
        <f>'2018'!K26</f>
        <v>986</v>
      </c>
      <c r="N26" s="84">
        <f>'2019'!K26</f>
        <v>320</v>
      </c>
      <c r="O26" s="108">
        <f>'2016'!N27</f>
        <v>1</v>
      </c>
      <c r="P26" s="109">
        <f>'2017'!N26</f>
        <v>1</v>
      </c>
      <c r="Q26" s="110">
        <f>'2018'!N26</f>
        <v>1</v>
      </c>
      <c r="R26" s="109">
        <f>'2019'!N26</f>
        <v>0.85333333333333339</v>
      </c>
      <c r="S26" s="134">
        <v>1</v>
      </c>
      <c r="T26" s="71" t="s">
        <v>91</v>
      </c>
      <c r="U26" s="33">
        <f>+'2016'!P27+'2017'!P26+'2018'!P26+'2019'!P26</f>
        <v>857080</v>
      </c>
      <c r="V26" s="33">
        <f>+'2016'!Q27+'2017'!Q26+'2018'!Q26+'2019'!Q26</f>
        <v>348550</v>
      </c>
      <c r="W26" s="33">
        <f>+'2016'!R27+'2017'!R26+'2018'!R26+'2019'!R26</f>
        <v>158432</v>
      </c>
      <c r="X26" s="22">
        <f t="shared" si="0"/>
        <v>0.40667148924254443</v>
      </c>
      <c r="Y26" s="21">
        <f t="shared" si="1"/>
        <v>0.45454597618706066</v>
      </c>
    </row>
    <row r="27" spans="2:25" ht="30">
      <c r="B27" s="230"/>
      <c r="C27" s="233"/>
      <c r="D27" s="224"/>
      <c r="E27" s="10" t="s">
        <v>42</v>
      </c>
      <c r="F27" s="33">
        <v>1500</v>
      </c>
      <c r="G27" s="33">
        <f>'2016'!J28</f>
        <v>375</v>
      </c>
      <c r="H27" s="66">
        <f>'2017'!J27</f>
        <v>375</v>
      </c>
      <c r="I27" s="66">
        <f>'2018'!J27</f>
        <v>375</v>
      </c>
      <c r="J27" s="66">
        <f>'2019'!J27</f>
        <v>375</v>
      </c>
      <c r="K27" s="118">
        <f>'2016'!K28</f>
        <v>403</v>
      </c>
      <c r="L27" s="66">
        <f>'2017'!K27</f>
        <v>375</v>
      </c>
      <c r="M27" s="66">
        <f>'2018'!K27</f>
        <v>494</v>
      </c>
      <c r="N27" s="84">
        <f>'2019'!K27</f>
        <v>90</v>
      </c>
      <c r="O27" s="108">
        <f>'2016'!N28</f>
        <v>1</v>
      </c>
      <c r="P27" s="109">
        <f>'2017'!N27</f>
        <v>1</v>
      </c>
      <c r="Q27" s="110">
        <f>'2018'!N27</f>
        <v>1</v>
      </c>
      <c r="R27" s="109">
        <f>'2019'!N27</f>
        <v>0.24</v>
      </c>
      <c r="S27" s="134">
        <v>0.90800000000000003</v>
      </c>
      <c r="T27" s="71" t="s">
        <v>91</v>
      </c>
      <c r="U27" s="33">
        <f>+'2016'!P28+'2017'!P27+'2018'!P27+'2019'!P27</f>
        <v>200000</v>
      </c>
      <c r="V27" s="33">
        <f>+'2016'!Q28+'2017'!Q27+'2018'!Q27+'2019'!Q27</f>
        <v>101200</v>
      </c>
      <c r="W27" s="33">
        <f>+'2016'!R28+'2017'!R27+'2018'!R27+'2019'!R27</f>
        <v>50000</v>
      </c>
      <c r="X27" s="22">
        <f t="shared" si="0"/>
        <v>0.50600000000000001</v>
      </c>
      <c r="Y27" s="21">
        <f t="shared" si="1"/>
        <v>0.49407114624505927</v>
      </c>
    </row>
    <row r="28" spans="2:25" ht="30">
      <c r="B28" s="230"/>
      <c r="C28" s="233"/>
      <c r="D28" s="224"/>
      <c r="E28" s="10" t="s">
        <v>43</v>
      </c>
      <c r="F28" s="33">
        <v>1500</v>
      </c>
      <c r="G28" s="33">
        <f>'2016'!J29</f>
        <v>375</v>
      </c>
      <c r="H28" s="66">
        <f>'2017'!J28</f>
        <v>375</v>
      </c>
      <c r="I28" s="66">
        <f>'2018'!J28</f>
        <v>375</v>
      </c>
      <c r="J28" s="66">
        <f>'2019'!J28</f>
        <v>375</v>
      </c>
      <c r="K28" s="118">
        <f>'2016'!K29</f>
        <v>375</v>
      </c>
      <c r="L28" s="66">
        <f>'2017'!K28</f>
        <v>401</v>
      </c>
      <c r="M28" s="66">
        <f>'2018'!K28</f>
        <v>492</v>
      </c>
      <c r="N28" s="84">
        <f>'2019'!K28</f>
        <v>232</v>
      </c>
      <c r="O28" s="108">
        <f>'2016'!N29</f>
        <v>1</v>
      </c>
      <c r="P28" s="109">
        <f>'2017'!N28</f>
        <v>1</v>
      </c>
      <c r="Q28" s="110">
        <f>'2018'!N28</f>
        <v>1</v>
      </c>
      <c r="R28" s="109">
        <f>'2019'!N28</f>
        <v>0.6186666666666667</v>
      </c>
      <c r="S28" s="134">
        <v>1</v>
      </c>
      <c r="T28" s="71" t="s">
        <v>85</v>
      </c>
      <c r="U28" s="33">
        <f>+'2016'!P29+'2017'!P28+'2018'!P28+'2019'!P28</f>
        <v>200000</v>
      </c>
      <c r="V28" s="33">
        <f>+'2016'!Q29+'2017'!Q28+'2018'!Q28+'2019'!Q28</f>
        <v>101200</v>
      </c>
      <c r="W28" s="33">
        <f>+'2016'!R29+'2017'!R28+'2018'!R28+'2019'!R28</f>
        <v>50000</v>
      </c>
      <c r="X28" s="22">
        <f t="shared" si="0"/>
        <v>0.50600000000000001</v>
      </c>
      <c r="Y28" s="21">
        <f t="shared" si="1"/>
        <v>0.49407114624505927</v>
      </c>
    </row>
    <row r="29" spans="2:25" ht="30">
      <c r="B29" s="230"/>
      <c r="C29" s="233"/>
      <c r="D29" s="224"/>
      <c r="E29" s="10" t="s">
        <v>44</v>
      </c>
      <c r="F29" s="33">
        <v>2</v>
      </c>
      <c r="G29" s="33">
        <f>'2016'!J30</f>
        <v>0</v>
      </c>
      <c r="H29" s="66">
        <f>'2017'!J29</f>
        <v>1</v>
      </c>
      <c r="I29" s="66">
        <f>'2018'!J29</f>
        <v>1</v>
      </c>
      <c r="J29" s="66">
        <f>'2019'!J29</f>
        <v>0</v>
      </c>
      <c r="K29" s="118">
        <f>'2016'!K30</f>
        <v>0</v>
      </c>
      <c r="L29" s="66">
        <f>'2017'!K29</f>
        <v>1</v>
      </c>
      <c r="M29" s="66">
        <f>'2018'!K29</f>
        <v>1</v>
      </c>
      <c r="N29" s="84">
        <f>'2019'!K29</f>
        <v>0</v>
      </c>
      <c r="O29" s="108" t="str">
        <f>'2016'!N30</f>
        <v xml:space="preserve"> -</v>
      </c>
      <c r="P29" s="109">
        <f>'2017'!N29</f>
        <v>1</v>
      </c>
      <c r="Q29" s="110">
        <f>'2018'!N29</f>
        <v>1</v>
      </c>
      <c r="R29" s="109" t="str">
        <f>'2019'!N29</f>
        <v xml:space="preserve"> -</v>
      </c>
      <c r="S29" s="134">
        <v>1</v>
      </c>
      <c r="T29" s="71" t="s">
        <v>88</v>
      </c>
      <c r="U29" s="33">
        <f>+'2016'!P30+'2017'!P29+'2018'!P29+'2019'!P29</f>
        <v>17000</v>
      </c>
      <c r="V29" s="33">
        <f>+'2016'!Q30+'2017'!Q29+'2018'!Q29+'2019'!Q29</f>
        <v>17000</v>
      </c>
      <c r="W29" s="33">
        <f>+'2016'!R30+'2017'!R29+'2018'!R29+'2019'!R29</f>
        <v>0</v>
      </c>
      <c r="X29" s="22">
        <f t="shared" si="0"/>
        <v>1</v>
      </c>
      <c r="Y29" s="21" t="str">
        <f t="shared" si="1"/>
        <v xml:space="preserve"> -</v>
      </c>
    </row>
    <row r="30" spans="2:25" ht="30">
      <c r="B30" s="230"/>
      <c r="C30" s="233"/>
      <c r="D30" s="224"/>
      <c r="E30" s="10" t="s">
        <v>45</v>
      </c>
      <c r="F30" s="33">
        <v>480</v>
      </c>
      <c r="G30" s="33">
        <f>'2016'!J31</f>
        <v>120</v>
      </c>
      <c r="H30" s="66">
        <f>'2017'!J30</f>
        <v>120</v>
      </c>
      <c r="I30" s="66">
        <f>'2018'!J30</f>
        <v>120</v>
      </c>
      <c r="J30" s="66">
        <f>'2019'!J30</f>
        <v>120</v>
      </c>
      <c r="K30" s="118">
        <f>'2016'!K31</f>
        <v>2481</v>
      </c>
      <c r="L30" s="66">
        <f>'2017'!K30</f>
        <v>774</v>
      </c>
      <c r="M30" s="66">
        <f>'2018'!K30</f>
        <v>905</v>
      </c>
      <c r="N30" s="84">
        <f>'2019'!K30</f>
        <v>670</v>
      </c>
      <c r="O30" s="108">
        <f>'2016'!N31</f>
        <v>1</v>
      </c>
      <c r="P30" s="109">
        <f>'2017'!N30</f>
        <v>1</v>
      </c>
      <c r="Q30" s="110">
        <f>'2018'!N30</f>
        <v>1</v>
      </c>
      <c r="R30" s="109">
        <f>'2019'!N30</f>
        <v>1</v>
      </c>
      <c r="S30" s="134">
        <v>1</v>
      </c>
      <c r="T30" s="71" t="s">
        <v>85</v>
      </c>
      <c r="U30" s="33">
        <f>+'2016'!P31+'2017'!P30+'2018'!P30+'2019'!P30</f>
        <v>1150000</v>
      </c>
      <c r="V30" s="33">
        <f>+'2016'!Q31+'2017'!Q30+'2018'!Q30+'2019'!Q30</f>
        <v>1147585</v>
      </c>
      <c r="W30" s="33">
        <f>+'2016'!R31+'2017'!R30+'2018'!R30+'2019'!R30</f>
        <v>1121400</v>
      </c>
      <c r="X30" s="22">
        <f t="shared" si="0"/>
        <v>0.99790000000000001</v>
      </c>
      <c r="Y30" s="21">
        <f t="shared" si="1"/>
        <v>0.97718251807055689</v>
      </c>
    </row>
    <row r="31" spans="2:25" ht="30" customHeight="1">
      <c r="B31" s="230"/>
      <c r="C31" s="233"/>
      <c r="D31" s="224"/>
      <c r="E31" s="10" t="s">
        <v>46</v>
      </c>
      <c r="F31" s="33">
        <v>200</v>
      </c>
      <c r="G31" s="33">
        <f>'2016'!J32</f>
        <v>50</v>
      </c>
      <c r="H31" s="66">
        <f>'2017'!J31</f>
        <v>50</v>
      </c>
      <c r="I31" s="66">
        <f>'2018'!J31</f>
        <v>50</v>
      </c>
      <c r="J31" s="66">
        <f>'2019'!J31</f>
        <v>50</v>
      </c>
      <c r="K31" s="118">
        <f>'2016'!K32</f>
        <v>338</v>
      </c>
      <c r="L31" s="66">
        <f>'2017'!K31</f>
        <v>233</v>
      </c>
      <c r="M31" s="66">
        <f>'2018'!K31</f>
        <v>257</v>
      </c>
      <c r="N31" s="84">
        <f>'2019'!K31</f>
        <v>210</v>
      </c>
      <c r="O31" s="108">
        <f>'2016'!N32</f>
        <v>1</v>
      </c>
      <c r="P31" s="109">
        <f>'2017'!N31</f>
        <v>1</v>
      </c>
      <c r="Q31" s="110">
        <f>'2018'!N31</f>
        <v>1</v>
      </c>
      <c r="R31" s="109">
        <f>'2019'!N31</f>
        <v>1</v>
      </c>
      <c r="S31" s="134">
        <v>1</v>
      </c>
      <c r="T31" s="71" t="s">
        <v>91</v>
      </c>
      <c r="U31" s="33">
        <f>+'2016'!P32+'2017'!P31+'2018'!P31+'2019'!P31</f>
        <v>370000</v>
      </c>
      <c r="V31" s="33">
        <f>+'2016'!Q32+'2017'!Q31+'2018'!Q31+'2019'!Q31</f>
        <v>204670</v>
      </c>
      <c r="W31" s="33">
        <f>+'2016'!R32+'2017'!R31+'2018'!R31+'2019'!R31</f>
        <v>0</v>
      </c>
      <c r="X31" s="22">
        <f t="shared" si="0"/>
        <v>0.55316216216216219</v>
      </c>
      <c r="Y31" s="21" t="str">
        <f t="shared" si="1"/>
        <v xml:space="preserve"> -</v>
      </c>
    </row>
    <row r="32" spans="2:25" ht="30">
      <c r="B32" s="230"/>
      <c r="C32" s="233"/>
      <c r="D32" s="224"/>
      <c r="E32" s="10" t="s">
        <v>47</v>
      </c>
      <c r="F32" s="33">
        <v>37</v>
      </c>
      <c r="G32" s="33">
        <f>'2016'!J33</f>
        <v>5</v>
      </c>
      <c r="H32" s="66">
        <f>'2017'!J32</f>
        <v>12</v>
      </c>
      <c r="I32" s="66">
        <f>'2018'!J32</f>
        <v>10</v>
      </c>
      <c r="J32" s="66">
        <f>'2019'!J32</f>
        <v>10</v>
      </c>
      <c r="K32" s="118">
        <f>'2016'!K33</f>
        <v>5</v>
      </c>
      <c r="L32" s="66">
        <f>'2017'!K32</f>
        <v>0</v>
      </c>
      <c r="M32" s="66">
        <f>'2018'!K32</f>
        <v>0</v>
      </c>
      <c r="N32" s="84">
        <f>'2019'!K32</f>
        <v>0</v>
      </c>
      <c r="O32" s="108">
        <f>'2016'!N33</f>
        <v>1</v>
      </c>
      <c r="P32" s="109">
        <f>'2017'!N32</f>
        <v>0</v>
      </c>
      <c r="Q32" s="110">
        <f>'2018'!N32</f>
        <v>0</v>
      </c>
      <c r="R32" s="109">
        <f>'2019'!N32</f>
        <v>0</v>
      </c>
      <c r="S32" s="134">
        <v>0.13513513513513514</v>
      </c>
      <c r="T32" s="71" t="s">
        <v>91</v>
      </c>
      <c r="U32" s="33">
        <f>+'2016'!P33+'2017'!P32+'2018'!P32+'2019'!P32</f>
        <v>368000</v>
      </c>
      <c r="V32" s="33">
        <f>+'2016'!Q33+'2017'!Q32+'2018'!Q32+'2019'!Q32</f>
        <v>0</v>
      </c>
      <c r="W32" s="33">
        <f>+'2016'!R33+'2017'!R32+'2018'!R32+'2019'!R32</f>
        <v>0</v>
      </c>
      <c r="X32" s="22">
        <f t="shared" si="0"/>
        <v>0</v>
      </c>
      <c r="Y32" s="21" t="str">
        <f t="shared" si="1"/>
        <v xml:space="preserve"> -</v>
      </c>
    </row>
    <row r="33" spans="2:25" ht="31" thickBot="1">
      <c r="B33" s="231"/>
      <c r="C33" s="234"/>
      <c r="D33" s="225"/>
      <c r="E33" s="85" t="s">
        <v>48</v>
      </c>
      <c r="F33" s="48">
        <v>3</v>
      </c>
      <c r="G33" s="48">
        <f>'2016'!J34</f>
        <v>3</v>
      </c>
      <c r="H33" s="69">
        <f>'2017'!J33</f>
        <v>3</v>
      </c>
      <c r="I33" s="69">
        <f>'2018'!J33</f>
        <v>3</v>
      </c>
      <c r="J33" s="69">
        <f>'2019'!J33</f>
        <v>3</v>
      </c>
      <c r="K33" s="119">
        <f>'2016'!K34</f>
        <v>3</v>
      </c>
      <c r="L33" s="69">
        <f>'2017'!K33</f>
        <v>3</v>
      </c>
      <c r="M33" s="69">
        <f>'2018'!K33</f>
        <v>3</v>
      </c>
      <c r="N33" s="86">
        <f>'2019'!K33</f>
        <v>3</v>
      </c>
      <c r="O33" s="114">
        <f>'2016'!N34</f>
        <v>1</v>
      </c>
      <c r="P33" s="115">
        <f>'2017'!N33</f>
        <v>1</v>
      </c>
      <c r="Q33" s="116">
        <f>'2018'!N33</f>
        <v>1</v>
      </c>
      <c r="R33" s="115">
        <f>'2019'!N33</f>
        <v>1</v>
      </c>
      <c r="S33" s="136">
        <v>1</v>
      </c>
      <c r="T33" s="5" t="s">
        <v>92</v>
      </c>
      <c r="U33" s="33">
        <f>+'2016'!P34+'2017'!P33+'2018'!P33+'2019'!P33</f>
        <v>2803451.298</v>
      </c>
      <c r="V33" s="33">
        <f>+'2016'!Q34+'2017'!Q33+'2018'!Q33+'2019'!Q33</f>
        <v>1493480</v>
      </c>
      <c r="W33" s="33">
        <f>+'2016'!R34+'2017'!R33+'2018'!R33+'2019'!R33</f>
        <v>430929</v>
      </c>
      <c r="X33" s="49">
        <f t="shared" si="0"/>
        <v>0.53272906901056505</v>
      </c>
      <c r="Y33" s="50">
        <f t="shared" si="1"/>
        <v>0.28854018801724829</v>
      </c>
    </row>
    <row r="34" spans="2:25" ht="21" customHeight="1" thickBot="1">
      <c r="O34" s="100">
        <f>+AVERAGE(O12,O14,O16:O33)</f>
        <v>0.95555555555555549</v>
      </c>
      <c r="P34" s="101">
        <f t="shared" ref="P34:S34" si="2">+AVERAGE(P12,P14,P16:P33)</f>
        <v>0.94736842105263153</v>
      </c>
      <c r="Q34" s="101">
        <f t="shared" si="2"/>
        <v>0.94736842105263153</v>
      </c>
      <c r="R34" s="101">
        <f t="shared" si="2"/>
        <v>0.80622222222222228</v>
      </c>
      <c r="S34" s="79">
        <f t="shared" si="2"/>
        <v>0.9511567567567567</v>
      </c>
      <c r="U34" s="80">
        <f>+SUM(U12,U14,U16:U33)</f>
        <v>33630033.254999995</v>
      </c>
      <c r="V34" s="81">
        <f>+SUM(V12,V14,V16:V33)</f>
        <v>18467537</v>
      </c>
      <c r="W34" s="81">
        <f>+SUM(W12,W14,W16:W33)</f>
        <v>3413061</v>
      </c>
      <c r="X34" s="82">
        <f t="shared" si="0"/>
        <v>0.54913823188843591</v>
      </c>
      <c r="Y34" s="79">
        <f t="shared" si="1"/>
        <v>0.18481408755266066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54" t="s">
        <v>61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6"/>
    </row>
    <row r="4" spans="2:15" ht="16" thickBot="1">
      <c r="C4" s="137"/>
      <c r="D4" s="137"/>
      <c r="E4" s="137"/>
      <c r="F4" s="137"/>
      <c r="G4" s="137"/>
      <c r="H4" s="137"/>
      <c r="I4" s="137"/>
    </row>
    <row r="5" spans="2:15" ht="19" customHeight="1">
      <c r="C5" s="137"/>
      <c r="D5" s="137"/>
      <c r="E5" s="257" t="s">
        <v>62</v>
      </c>
      <c r="F5" s="258"/>
      <c r="G5" s="258"/>
      <c r="H5" s="258"/>
      <c r="I5" s="261" t="s">
        <v>60</v>
      </c>
      <c r="J5" s="262"/>
      <c r="K5" s="265" t="s">
        <v>63</v>
      </c>
      <c r="L5" s="266"/>
      <c r="M5" s="266"/>
      <c r="N5" s="266"/>
      <c r="O5" s="267"/>
    </row>
    <row r="6" spans="2:15" ht="19" customHeight="1" thickBot="1">
      <c r="E6" s="259"/>
      <c r="F6" s="260"/>
      <c r="G6" s="260"/>
      <c r="H6" s="260"/>
      <c r="I6" s="263"/>
      <c r="J6" s="264"/>
      <c r="K6" s="268" t="s">
        <v>58</v>
      </c>
      <c r="L6" s="269"/>
      <c r="M6" s="269"/>
      <c r="N6" s="269"/>
      <c r="O6" s="270"/>
    </row>
    <row r="7" spans="2:15" ht="32" customHeight="1" thickBot="1">
      <c r="C7" s="250"/>
      <c r="D7" s="251"/>
      <c r="E7" s="138">
        <v>2016</v>
      </c>
      <c r="F7" s="139">
        <v>2017</v>
      </c>
      <c r="G7" s="139">
        <v>2018</v>
      </c>
      <c r="H7" s="139">
        <v>2019</v>
      </c>
      <c r="I7" s="252" t="s">
        <v>58</v>
      </c>
      <c r="J7" s="253"/>
      <c r="K7" s="140" t="s">
        <v>64</v>
      </c>
      <c r="L7" s="141" t="s">
        <v>65</v>
      </c>
      <c r="M7" s="141" t="s">
        <v>66</v>
      </c>
      <c r="N7" s="141" t="s">
        <v>67</v>
      </c>
      <c r="O7" s="142" t="s">
        <v>68</v>
      </c>
    </row>
    <row r="8" spans="2:15" ht="22" customHeight="1" thickBot="1">
      <c r="B8" s="143">
        <v>1</v>
      </c>
      <c r="C8" s="276" t="s">
        <v>69</v>
      </c>
      <c r="D8" s="277"/>
      <c r="E8" s="144">
        <f>+IF(SUM('2016 - 2019'!G12:G14)&gt;0,AVERAGE('2016 - 2019'!O12:O14)," -")</f>
        <v>1</v>
      </c>
      <c r="F8" s="144">
        <f>+IF(SUM('2016 - 2019'!H12:H14)&gt;0,AVERAGE('2016 - 2019'!P12:P14)," -")</f>
        <v>1</v>
      </c>
      <c r="G8" s="144">
        <f>+IF(SUM('2016 - 2019'!I12:I14)&gt;0,AVERAGE('2016 - 2019'!Q12:Q14)," -")</f>
        <v>1</v>
      </c>
      <c r="H8" s="144">
        <f>+IF(SUM('2016 - 2019'!J12:J14)&gt;0,AVERAGE('2016 - 2019'!R12:R14)," -")</f>
        <v>1</v>
      </c>
      <c r="I8" s="145">
        <f>+AVERAGE('2016 - 2019'!S12:S14)</f>
        <v>1</v>
      </c>
      <c r="J8" s="146">
        <f t="shared" ref="J8:J17" si="0">+I8</f>
        <v>1</v>
      </c>
      <c r="K8" s="147">
        <f>+K9+K11</f>
        <v>7399916</v>
      </c>
      <c r="L8" s="147">
        <f t="shared" ref="L8:M8" si="1">+L9+L11</f>
        <v>3347193</v>
      </c>
      <c r="M8" s="147">
        <f t="shared" si="1"/>
        <v>0</v>
      </c>
      <c r="N8" s="148">
        <f t="shared" ref="N8:N17" si="2">IF(K8=0,"-",+L8/K8)</f>
        <v>0.45232851291825477</v>
      </c>
      <c r="O8" s="149" t="str">
        <f>IF(M8=0," -",IF(L8=0,100%,M8/L8))</f>
        <v xml:space="preserve"> -</v>
      </c>
    </row>
    <row r="9" spans="2:15" ht="20" customHeight="1">
      <c r="B9" s="150" t="s">
        <v>70</v>
      </c>
      <c r="C9" s="278" t="s">
        <v>53</v>
      </c>
      <c r="D9" s="279"/>
      <c r="E9" s="151">
        <f>+IF('2016 - 2019'!G12&gt;0,'2016 - 2019'!O12," -")</f>
        <v>1</v>
      </c>
      <c r="F9" s="151">
        <f>+IF('2016 - 2019'!H12&gt;0,'2016 - 2019'!P12," -")</f>
        <v>1</v>
      </c>
      <c r="G9" s="151">
        <f>+IF('2016 - 2019'!I12&gt;0,'2016 - 2019'!Q12," -")</f>
        <v>1</v>
      </c>
      <c r="H9" s="151">
        <f>+IF('2016 - 2019'!J12&gt;0,'2016 - 2019'!R12," -")</f>
        <v>1</v>
      </c>
      <c r="I9" s="152">
        <f>+'2016 - 2019'!S12</f>
        <v>1</v>
      </c>
      <c r="J9" s="153">
        <f t="shared" si="0"/>
        <v>1</v>
      </c>
      <c r="K9" s="154">
        <f>+K10</f>
        <v>7399916</v>
      </c>
      <c r="L9" s="154">
        <f t="shared" ref="L9:M9" si="3">+L10</f>
        <v>3347193</v>
      </c>
      <c r="M9" s="154">
        <f t="shared" si="3"/>
        <v>0</v>
      </c>
      <c r="N9" s="155">
        <f t="shared" si="2"/>
        <v>0.45232851291825477</v>
      </c>
      <c r="O9" s="156" t="str">
        <f t="shared" ref="O9:O17" si="4">IF(M9=0," -",IF(L9=0,100%,M9/L9))</f>
        <v xml:space="preserve"> -</v>
      </c>
    </row>
    <row r="10" spans="2:15" ht="18" customHeight="1">
      <c r="B10" s="157" t="s">
        <v>71</v>
      </c>
      <c r="C10" s="273" t="s">
        <v>72</v>
      </c>
      <c r="D10" s="221"/>
      <c r="E10" s="158">
        <f>+IF('2016 - 2019'!G12&gt;0,'2016 - 2019'!O12," -")</f>
        <v>1</v>
      </c>
      <c r="F10" s="158">
        <f>+IF('2016 - 2019'!H12&gt;0,'2016 - 2019'!P12," -")</f>
        <v>1</v>
      </c>
      <c r="G10" s="158">
        <f>+IF('2016 - 2019'!I12&gt;0,'2016 - 2019'!Q12," -")</f>
        <v>1</v>
      </c>
      <c r="H10" s="158">
        <f>+IF('2016 - 2019'!J12&gt;0,'2016 - 2019'!R12," -")</f>
        <v>1</v>
      </c>
      <c r="I10" s="159">
        <f>+'2016 - 2019'!S12</f>
        <v>1</v>
      </c>
      <c r="J10" s="160">
        <f t="shared" si="0"/>
        <v>1</v>
      </c>
      <c r="K10" s="33">
        <f>+'2016 - 2019'!U12</f>
        <v>7399916</v>
      </c>
      <c r="L10" s="33">
        <f>+'2016 - 2019'!V12</f>
        <v>3347193</v>
      </c>
      <c r="M10" s="33">
        <f>+'2016 - 2019'!W12</f>
        <v>0</v>
      </c>
      <c r="N10" s="161">
        <f t="shared" si="2"/>
        <v>0.45232851291825477</v>
      </c>
      <c r="O10" s="162" t="str">
        <f t="shared" si="4"/>
        <v xml:space="preserve"> -</v>
      </c>
    </row>
    <row r="11" spans="2:15" ht="20" customHeight="1">
      <c r="B11" s="150" t="s">
        <v>73</v>
      </c>
      <c r="C11" s="278" t="s">
        <v>54</v>
      </c>
      <c r="D11" s="279"/>
      <c r="E11" s="151">
        <f>+IF('2016 - 2019'!G14&gt;0,'2016 - 2019'!O14," -")</f>
        <v>1</v>
      </c>
      <c r="F11" s="151" t="str">
        <f>+IF('2016 - 2019'!H14&gt;0,'2016 - 2019'!P14," -")</f>
        <v xml:space="preserve"> -</v>
      </c>
      <c r="G11" s="151" t="str">
        <f>+IF('2016 - 2019'!I14&gt;0,'2016 - 2019'!Q14," -")</f>
        <v xml:space="preserve"> -</v>
      </c>
      <c r="H11" s="151" t="str">
        <f>+IF('2016 - 2019'!J14&gt;0,'2016 - 2019'!R14," -")</f>
        <v xml:space="preserve"> -</v>
      </c>
      <c r="I11" s="152">
        <f>+'2016 - 2019'!S14</f>
        <v>1</v>
      </c>
      <c r="J11" s="153">
        <f t="shared" si="0"/>
        <v>1</v>
      </c>
      <c r="K11" s="154">
        <f>+K12</f>
        <v>0</v>
      </c>
      <c r="L11" s="154">
        <f t="shared" ref="L11:M11" si="5">+L12</f>
        <v>0</v>
      </c>
      <c r="M11" s="154">
        <f t="shared" si="5"/>
        <v>0</v>
      </c>
      <c r="N11" s="155" t="str">
        <f t="shared" si="2"/>
        <v>-</v>
      </c>
      <c r="O11" s="156" t="str">
        <f t="shared" si="4"/>
        <v xml:space="preserve"> -</v>
      </c>
    </row>
    <row r="12" spans="2:15" ht="18" customHeight="1" thickBot="1">
      <c r="B12" s="157" t="s">
        <v>74</v>
      </c>
      <c r="C12" s="273" t="s">
        <v>75</v>
      </c>
      <c r="D12" s="221"/>
      <c r="E12" s="158">
        <f>+IF('2016 - 2019'!G14&gt;0,'2016 - 2019'!O14," -")</f>
        <v>1</v>
      </c>
      <c r="F12" s="158" t="str">
        <f>+IF('2016 - 2019'!H14&gt;0,'2016 - 2019'!P14," -")</f>
        <v xml:space="preserve"> -</v>
      </c>
      <c r="G12" s="158" t="str">
        <f>+IF('2016 - 2019'!I14&gt;0,'2016 - 2019'!Q14," -")</f>
        <v xml:space="preserve"> -</v>
      </c>
      <c r="H12" s="158" t="str">
        <f>+IF('2016 - 2019'!J14&gt;0,'2016 - 2019'!R14," -")</f>
        <v xml:space="preserve"> -</v>
      </c>
      <c r="I12" s="159">
        <f>+'2016 - 2019'!S14</f>
        <v>1</v>
      </c>
      <c r="J12" s="160">
        <f t="shared" si="0"/>
        <v>1</v>
      </c>
      <c r="K12" s="33">
        <f>+'2016 - 2019'!U14</f>
        <v>0</v>
      </c>
      <c r="L12" s="33">
        <f>+'2016 - 2019'!V14</f>
        <v>0</v>
      </c>
      <c r="M12" s="33">
        <f>+'2016 - 2019'!W14</f>
        <v>0</v>
      </c>
      <c r="N12" s="161" t="str">
        <f t="shared" si="2"/>
        <v>-</v>
      </c>
      <c r="O12" s="162" t="str">
        <f t="shared" si="4"/>
        <v xml:space="preserve"> -</v>
      </c>
    </row>
    <row r="13" spans="2:15" ht="22" customHeight="1" thickBot="1">
      <c r="B13" s="143">
        <v>6</v>
      </c>
      <c r="C13" s="280" t="s">
        <v>76</v>
      </c>
      <c r="D13" s="281"/>
      <c r="E13" s="163">
        <f>+IF(SUM('2016 - 2019'!G16:G33)&gt;0,AVERAGE('2016 - 2019'!O16:O33)," -")</f>
        <v>0.95</v>
      </c>
      <c r="F13" s="163">
        <f>+IF(SUM('2016 - 2019'!H16:H33)&gt;0,AVERAGE('2016 - 2019'!P16:P33)," -")</f>
        <v>0.94444444444444442</v>
      </c>
      <c r="G13" s="163">
        <f>+IF(SUM('2016 - 2019'!I16:I33)&gt;0,AVERAGE('2016 - 2019'!Q16:Q33)," -")</f>
        <v>0.94444444444444442</v>
      </c>
      <c r="H13" s="163">
        <f>+IF(SUM('2016 - 2019'!J16:J33)&gt;0,AVERAGE('2016 - 2019'!R16:R33)," -")</f>
        <v>0.79482352941176471</v>
      </c>
      <c r="I13" s="164">
        <f>+AVERAGE('2016 - 2019'!S16:S33)</f>
        <v>0.94572972972972968</v>
      </c>
      <c r="J13" s="165">
        <f t="shared" si="0"/>
        <v>0.94572972972972968</v>
      </c>
      <c r="K13" s="166">
        <f>+K14</f>
        <v>26230117.254999999</v>
      </c>
      <c r="L13" s="166">
        <f t="shared" ref="L13:M13" si="6">+L14</f>
        <v>15120344</v>
      </c>
      <c r="M13" s="166">
        <f t="shared" si="6"/>
        <v>3413061</v>
      </c>
      <c r="N13" s="167">
        <f t="shared" si="2"/>
        <v>0.57644972963732188</v>
      </c>
      <c r="O13" s="168">
        <f t="shared" si="4"/>
        <v>0.22572641204459371</v>
      </c>
    </row>
    <row r="14" spans="2:15" ht="20" customHeight="1">
      <c r="B14" s="150" t="s">
        <v>77</v>
      </c>
      <c r="C14" s="271" t="s">
        <v>56</v>
      </c>
      <c r="D14" s="272"/>
      <c r="E14" s="169">
        <f>+IF(SUM('2016 - 2019'!G16:G33)&gt;0,AVERAGE('2016 - 2019'!O16:O33)," -")</f>
        <v>0.95</v>
      </c>
      <c r="F14" s="169">
        <f>+IF(SUM('2016 - 2019'!H16:H33)&gt;0,AVERAGE('2016 - 2019'!P16:P33)," -")</f>
        <v>0.94444444444444442</v>
      </c>
      <c r="G14" s="169">
        <f>+IF(SUM('2016 - 2019'!I16:I33)&gt;0,AVERAGE('2016 - 2019'!Q16:Q33)," -")</f>
        <v>0.94444444444444442</v>
      </c>
      <c r="H14" s="169">
        <f>+IF(SUM('2016 - 2019'!J16:J33)&gt;0,AVERAGE('2016 - 2019'!R16:R33)," -")</f>
        <v>0.79482352941176471</v>
      </c>
      <c r="I14" s="170">
        <f>+AVERAGE('2016 - 2019'!S16:S33)</f>
        <v>0.94572972972972968</v>
      </c>
      <c r="J14" s="171">
        <f t="shared" si="0"/>
        <v>0.94572972972972968</v>
      </c>
      <c r="K14" s="172">
        <f>+SUM(K15:K16)</f>
        <v>26230117.254999999</v>
      </c>
      <c r="L14" s="172">
        <f t="shared" ref="L14:M14" si="7">+SUM(L15:L16)</f>
        <v>15120344</v>
      </c>
      <c r="M14" s="172">
        <f t="shared" si="7"/>
        <v>3413061</v>
      </c>
      <c r="N14" s="173">
        <f t="shared" si="2"/>
        <v>0.57644972963732188</v>
      </c>
      <c r="O14" s="174">
        <f t="shared" si="4"/>
        <v>0.22572641204459371</v>
      </c>
    </row>
    <row r="15" spans="2:15" ht="18" customHeight="1">
      <c r="B15" s="157" t="s">
        <v>78</v>
      </c>
      <c r="C15" s="273" t="s">
        <v>79</v>
      </c>
      <c r="D15" s="221"/>
      <c r="E15" s="158">
        <f>+IF(SUM('2016 - 2019'!G16:G18)&gt;0,AVERAGE('2016 - 2019'!O16:O18)," -")</f>
        <v>0.75</v>
      </c>
      <c r="F15" s="158">
        <f>+IF(SUM('2016 - 2019'!H16:H18)&gt;0,AVERAGE('2016 - 2019'!P16:P18)," -")</f>
        <v>1</v>
      </c>
      <c r="G15" s="158">
        <f>+IF(SUM('2016 - 2019'!I16:I18)&gt;0,AVERAGE('2016 - 2019'!Q16:Q18)," -")</f>
        <v>1</v>
      </c>
      <c r="H15" s="158">
        <f>+IF(SUM('2016 - 2019'!J16:J18)&gt;0,AVERAGE('2016 - 2019'!R16:R18)," -")</f>
        <v>0.73333333333333339</v>
      </c>
      <c r="I15" s="159">
        <f>+AVERAGE('2016 - 2019'!S16:S18)</f>
        <v>1</v>
      </c>
      <c r="J15" s="160">
        <f t="shared" si="0"/>
        <v>1</v>
      </c>
      <c r="K15" s="33">
        <f>+SUM('2016 - 2019'!U16:U18)</f>
        <v>1123000</v>
      </c>
      <c r="L15" s="33">
        <f>+SUM('2016 - 2019'!V16:V18)</f>
        <v>422163</v>
      </c>
      <c r="M15" s="33">
        <f>+SUM('2016 - 2019'!W16:W18)</f>
        <v>1250000</v>
      </c>
      <c r="N15" s="161">
        <f t="shared" si="2"/>
        <v>0.37592430988423864</v>
      </c>
      <c r="O15" s="162">
        <f t="shared" si="4"/>
        <v>2.9609416268123923</v>
      </c>
    </row>
    <row r="16" spans="2:15" ht="18" customHeight="1" thickBot="1">
      <c r="B16" s="157" t="s">
        <v>80</v>
      </c>
      <c r="C16" s="273" t="s">
        <v>81</v>
      </c>
      <c r="D16" s="221"/>
      <c r="E16" s="158">
        <f>+IF(SUM('2016 - 2019'!G19:G33)&gt;0,AVERAGE('2016 - 2019'!O19:O33)," -")</f>
        <v>0.97857142857142854</v>
      </c>
      <c r="F16" s="158">
        <f>+IF(SUM('2016 - 2019'!H19:H33)&gt;0,AVERAGE('2016 - 2019'!P19:P33)," -")</f>
        <v>0.93333333333333335</v>
      </c>
      <c r="G16" s="158">
        <f>+IF(SUM('2016 - 2019'!I19:I33)&gt;0,AVERAGE('2016 - 2019'!Q19:Q33)," -")</f>
        <v>0.93333333333333335</v>
      </c>
      <c r="H16" s="158">
        <f>+IF(SUM('2016 - 2019'!J19:J33)&gt;0,AVERAGE('2016 - 2019'!R19:R33)," -")</f>
        <v>0.80799999999999994</v>
      </c>
      <c r="I16" s="159">
        <f>+AVERAGE('2016 - 2019'!S19:S33)</f>
        <v>0.93487567567567564</v>
      </c>
      <c r="J16" s="160">
        <f t="shared" si="0"/>
        <v>0.93487567567567564</v>
      </c>
      <c r="K16" s="48">
        <f>+SUM('2016 - 2019'!U19:U33)</f>
        <v>25107117.254999999</v>
      </c>
      <c r="L16" s="48">
        <f>+SUM('2016 - 2019'!V19:V33)</f>
        <v>14698181</v>
      </c>
      <c r="M16" s="48">
        <f>+SUM('2016 - 2019'!W19:W33)</f>
        <v>2163061</v>
      </c>
      <c r="N16" s="175">
        <f t="shared" si="2"/>
        <v>0.58541890137040353</v>
      </c>
      <c r="O16" s="176">
        <f t="shared" si="4"/>
        <v>0.1471652172469505</v>
      </c>
    </row>
    <row r="17" spans="3:15" ht="24" customHeight="1" thickBot="1">
      <c r="C17" s="274" t="s">
        <v>82</v>
      </c>
      <c r="D17" s="275"/>
      <c r="E17" s="177">
        <f>+'2016 - 2019'!O34</f>
        <v>0.95555555555555549</v>
      </c>
      <c r="F17" s="177">
        <f>+'2016 - 2019'!P34</f>
        <v>0.94736842105263153</v>
      </c>
      <c r="G17" s="177">
        <f>+'2016 - 2019'!Q34</f>
        <v>0.94736842105263153</v>
      </c>
      <c r="H17" s="177">
        <f>+'2016 - 2019'!R34</f>
        <v>0.80622222222222228</v>
      </c>
      <c r="I17" s="178">
        <f>+'2016 - 2019'!S34</f>
        <v>0.9511567567567567</v>
      </c>
      <c r="J17" s="179">
        <f t="shared" si="0"/>
        <v>0.9511567567567567</v>
      </c>
      <c r="K17" s="80">
        <f>+K8+K13</f>
        <v>33630033.254999995</v>
      </c>
      <c r="L17" s="81">
        <f>+L8+L13</f>
        <v>18467537</v>
      </c>
      <c r="M17" s="81">
        <f>+M8+M13</f>
        <v>3413061</v>
      </c>
      <c r="N17" s="180">
        <f t="shared" si="2"/>
        <v>0.54913823188843591</v>
      </c>
      <c r="O17" s="181">
        <f t="shared" si="4"/>
        <v>0.18481408755266066</v>
      </c>
    </row>
    <row r="19" spans="3:15" ht="17">
      <c r="C19" s="182" t="str">
        <f>+'2016 - 2019'!C7</f>
        <v>FECHA CORTE</v>
      </c>
      <c r="D19" s="183"/>
      <c r="E19" s="184"/>
      <c r="F19" s="184"/>
      <c r="I19" s="186" t="s">
        <v>93</v>
      </c>
    </row>
    <row r="20" spans="3:15" ht="17">
      <c r="C20" s="185">
        <f>+'2016 - 2019'!C8</f>
        <v>43830</v>
      </c>
    </row>
  </sheetData>
  <mergeCells count="17"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  <mergeCell ref="C7:D7"/>
    <mergeCell ref="I7:J7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7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{69B0DDBD-B477-FD48-88BC-BE10FDD43E14}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B0DDBD-B477-FD48-88BC-BE10FDD43E1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2019-12-17T14:57:12Z</dcterms:modified>
</cp:coreProperties>
</file>