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0" yWindow="0" windowWidth="20490" windowHeight="7155"/>
  </bookViews>
  <sheets>
    <sheet name="2020" sheetId="7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8" i="7" l="1"/>
  <c r="P24" i="7" l="1"/>
  <c r="P39" i="7"/>
  <c r="P33" i="7"/>
  <c r="P31" i="7"/>
  <c r="P49" i="7"/>
  <c r="P48" i="7"/>
  <c r="P25" i="7"/>
  <c r="P17" i="7"/>
  <c r="P15" i="7"/>
  <c r="P13" i="7"/>
  <c r="P12" i="7" l="1"/>
  <c r="O12" i="7"/>
  <c r="O26" i="7"/>
  <c r="O31" i="7"/>
  <c r="P54" i="7" l="1"/>
  <c r="P66" i="7" l="1"/>
  <c r="O24" i="7" l="1"/>
  <c r="P16" i="7" l="1"/>
  <c r="P28" i="7"/>
  <c r="P27" i="7"/>
  <c r="P45" i="7"/>
  <c r="P35" i="7"/>
  <c r="P26" i="7"/>
  <c r="P55" i="7" l="1"/>
  <c r="O54" i="7" l="1"/>
  <c r="O66" i="7"/>
  <c r="O55" i="7"/>
  <c r="O25" i="7"/>
  <c r="R12" i="7"/>
  <c r="O16" i="7"/>
  <c r="R24" i="7"/>
  <c r="O49" i="7"/>
  <c r="O48" i="7"/>
  <c r="O28" i="7"/>
  <c r="P37" i="7"/>
  <c r="O37" i="7"/>
  <c r="P36" i="7"/>
  <c r="O36" i="7"/>
  <c r="P38" i="7"/>
  <c r="O38" i="7"/>
  <c r="O35" i="7"/>
  <c r="P30" i="7"/>
  <c r="O30" i="7"/>
  <c r="O39" i="7"/>
  <c r="P41" i="7"/>
  <c r="P40" i="7"/>
  <c r="O41" i="7"/>
  <c r="O40" i="7"/>
  <c r="O34" i="7"/>
  <c r="O33" i="7"/>
  <c r="P32" i="7"/>
  <c r="O32" i="7"/>
  <c r="P29" i="7"/>
  <c r="O29" i="7"/>
  <c r="O27" i="7"/>
  <c r="P23" i="7"/>
  <c r="O23" i="7"/>
  <c r="O17" i="7"/>
  <c r="R17" i="7" s="1"/>
  <c r="O13" i="7"/>
  <c r="R13" i="7" s="1"/>
  <c r="K12" i="7"/>
  <c r="M12" i="7" s="1"/>
  <c r="K13" i="7"/>
  <c r="M13" i="7" s="1"/>
  <c r="K14" i="7"/>
  <c r="M14" i="7" s="1"/>
  <c r="K15" i="7"/>
  <c r="M15" i="7" s="1"/>
  <c r="K16" i="7"/>
  <c r="M16" i="7" s="1"/>
  <c r="K17" i="7"/>
  <c r="M17" i="7" s="1"/>
  <c r="M18" i="7"/>
  <c r="M19" i="7"/>
  <c r="K20" i="7"/>
  <c r="M20" i="7" s="1"/>
  <c r="M22" i="7"/>
  <c r="K23" i="7"/>
  <c r="M23" i="7" s="1"/>
  <c r="K24" i="7"/>
  <c r="M24" i="7" s="1"/>
  <c r="K25" i="7"/>
  <c r="M25" i="7" s="1"/>
  <c r="K26" i="7"/>
  <c r="M26" i="7" s="1"/>
  <c r="K27" i="7"/>
  <c r="M27" i="7"/>
  <c r="K28" i="7"/>
  <c r="M28" i="7" s="1"/>
  <c r="K29" i="7"/>
  <c r="M29" i="7" s="1"/>
  <c r="K30" i="7"/>
  <c r="M30" i="7" s="1"/>
  <c r="K31" i="7"/>
  <c r="M31" i="7" s="1"/>
  <c r="K32" i="7"/>
  <c r="M32" i="7" s="1"/>
  <c r="K33" i="7"/>
  <c r="M33" i="7" s="1"/>
  <c r="K34" i="7"/>
  <c r="M34" i="7" s="1"/>
  <c r="K35" i="7"/>
  <c r="M35" i="7" s="1"/>
  <c r="K36" i="7"/>
  <c r="M36" i="7" s="1"/>
  <c r="K37" i="7"/>
  <c r="M37" i="7" s="1"/>
  <c r="K38" i="7"/>
  <c r="M38" i="7" s="1"/>
  <c r="K39" i="7"/>
  <c r="M39" i="7" s="1"/>
  <c r="K40" i="7"/>
  <c r="M40" i="7" s="1"/>
  <c r="K41" i="7"/>
  <c r="M41" i="7" s="1"/>
  <c r="K42" i="7"/>
  <c r="M42" i="7"/>
  <c r="K43" i="7"/>
  <c r="M43" i="7" s="1"/>
  <c r="K44" i="7"/>
  <c r="M44" i="7" s="1"/>
  <c r="K45" i="7"/>
  <c r="M45" i="7" s="1"/>
  <c r="K46" i="7"/>
  <c r="M46" i="7" s="1"/>
  <c r="M47" i="7"/>
  <c r="K48" i="7"/>
  <c r="M48" i="7" s="1"/>
  <c r="K49" i="7"/>
  <c r="M49" i="7" s="1"/>
  <c r="K50" i="7"/>
  <c r="M50" i="7" s="1"/>
  <c r="K52" i="7"/>
  <c r="M52" i="7" s="1"/>
  <c r="K54" i="7"/>
  <c r="M54" i="7" s="1"/>
  <c r="K55" i="7"/>
  <c r="M55" i="7" s="1"/>
  <c r="M56" i="7"/>
  <c r="K57" i="7"/>
  <c r="M57" i="7" s="1"/>
  <c r="K58" i="7"/>
  <c r="M58" i="7" s="1"/>
  <c r="K60" i="7"/>
  <c r="M60" i="7" s="1"/>
  <c r="K61" i="7"/>
  <c r="M61" i="7" s="1"/>
  <c r="M62" i="7"/>
  <c r="M63" i="7"/>
  <c r="K64" i="7"/>
  <c r="M64" i="7" s="1"/>
  <c r="M65" i="7"/>
  <c r="K66" i="7"/>
  <c r="M66" i="7" s="1"/>
  <c r="M68" i="7"/>
  <c r="Q69" i="7"/>
  <c r="L12" i="7"/>
  <c r="L13" i="7"/>
  <c r="L14" i="7"/>
  <c r="L15" i="7"/>
  <c r="L16" i="7"/>
  <c r="L17" i="7"/>
  <c r="L18" i="7"/>
  <c r="L19" i="7"/>
  <c r="L20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2" i="7"/>
  <c r="L54" i="7"/>
  <c r="L55" i="7"/>
  <c r="L56" i="7"/>
  <c r="L57" i="7"/>
  <c r="L58" i="7"/>
  <c r="L60" i="7"/>
  <c r="L61" i="7"/>
  <c r="L62" i="7"/>
  <c r="L63" i="7"/>
  <c r="L64" i="7"/>
  <c r="L65" i="7"/>
  <c r="L66" i="7"/>
  <c r="L68" i="7"/>
  <c r="R14" i="7"/>
  <c r="S14" i="7"/>
  <c r="R15" i="7"/>
  <c r="S15" i="7"/>
  <c r="R16" i="7"/>
  <c r="S16" i="7"/>
  <c r="S17" i="7"/>
  <c r="R18" i="7"/>
  <c r="S18" i="7"/>
  <c r="R19" i="7"/>
  <c r="S19" i="7"/>
  <c r="R20" i="7"/>
  <c r="S20" i="7"/>
  <c r="R22" i="7"/>
  <c r="S22" i="7"/>
  <c r="R23" i="7"/>
  <c r="S23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R46" i="7"/>
  <c r="S46" i="7"/>
  <c r="R47" i="7"/>
  <c r="S47" i="7"/>
  <c r="R48" i="7"/>
  <c r="S48" i="7"/>
  <c r="R49" i="7"/>
  <c r="S49" i="7"/>
  <c r="R50" i="7"/>
  <c r="S50" i="7"/>
  <c r="R52" i="7"/>
  <c r="S52" i="7"/>
  <c r="R54" i="7"/>
  <c r="S54" i="7"/>
  <c r="R55" i="7"/>
  <c r="S55" i="7"/>
  <c r="R56" i="7"/>
  <c r="S56" i="7"/>
  <c r="R57" i="7"/>
  <c r="S57" i="7"/>
  <c r="R58" i="7"/>
  <c r="S58" i="7"/>
  <c r="R60" i="7"/>
  <c r="S60" i="7"/>
  <c r="R61" i="7"/>
  <c r="S61" i="7"/>
  <c r="R62" i="7"/>
  <c r="S62" i="7"/>
  <c r="R63" i="7"/>
  <c r="S63" i="7"/>
  <c r="R64" i="7"/>
  <c r="S64" i="7"/>
  <c r="R65" i="7"/>
  <c r="S65" i="7"/>
  <c r="R66" i="7"/>
  <c r="S66" i="7"/>
  <c r="R68" i="7"/>
  <c r="S68" i="7"/>
  <c r="K18" i="7"/>
  <c r="K19" i="7"/>
  <c r="K22" i="7"/>
  <c r="K47" i="7"/>
  <c r="K56" i="7"/>
  <c r="K62" i="7"/>
  <c r="K63" i="7"/>
  <c r="K65" i="7"/>
  <c r="K68" i="7"/>
  <c r="S13" i="7"/>
  <c r="S12" i="7"/>
  <c r="L69" i="7" l="1"/>
  <c r="P69" i="7"/>
  <c r="O69" i="7"/>
  <c r="M69" i="7"/>
  <c r="S69" i="7" l="1"/>
  <c r="R69" i="7"/>
</calcChain>
</file>

<file path=xl/sharedStrings.xml><?xml version="1.0" encoding="utf-8"?>
<sst xmlns="http://schemas.openxmlformats.org/spreadsheetml/2006/main" count="106" uniqueCount="106">
  <si>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</si>
  <si>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</si>
  <si>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</si>
  <si>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</si>
  <si>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</si>
  <si>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</si>
  <si>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</si>
  <si>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</si>
  <si>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</si>
  <si>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</si>
  <si>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</si>
  <si>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</si>
  <si>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</si>
  <si>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</si>
  <si>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</si>
  <si>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</si>
  <si>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</si>
  <si>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</si>
  <si>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</si>
  <si>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</si>
  <si>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</si>
  <si>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</si>
  <si>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</si>
  <si>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</si>
  <si>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</si>
  <si>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</si>
  <si>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DE SALUD Y AMBIENTE</t>
  </si>
  <si>
    <t>Porcentaje de población pobre afiliada al régimen subsidiado.</t>
  </si>
  <si>
    <t>Porcentaje de EAPB contributivas que maneje población subsidiada, EAPB subsidiada e IPS públicas y privadas que presten servicios de salud a los usuarios del Régimen Subsidiado con auditoría mantenida.</t>
  </si>
  <si>
    <t>Porcentaje de IPS que presenten servicios de salud de urgencias de la red pública y privada que atienda a la población del Régimen Subsidiado con inspección, vigilancia y control mantenidos.</t>
  </si>
  <si>
    <t>Porcentaje de acciones realizadas de Gestión de la Salud Pública contenidas en el Plan de Acción de Salud mantenidas.</t>
  </si>
  <si>
    <t>Número de políticas públicas de participación social en salud implementadas.</t>
  </si>
  <si>
    <t>Porcentaje de eventos en vigilancia en salud pública con seguimiento mantenido.</t>
  </si>
  <si>
    <t>Porcentaje de avance en la construcción, mejoramiento y/o reposición de la infraestructura física de los centros y/o unidades de salud.</t>
  </si>
  <si>
    <t>Número de unidades de salud móviles adquiridos para el área rural.</t>
  </si>
  <si>
    <t>Número de estrategias de atención primaria en salud mantenidas.</t>
  </si>
  <si>
    <t xml:space="preserve">Número de parques de la ciudad que se realiza actividad física para promover estilos de vida saludable y prevenir enfermedades crónicas no transmisibles. </t>
  </si>
  <si>
    <t>Número de enfermedades crónicas no transmisibles con monitoreo mantenido que son desarrolladas por las EAPB e IPS.</t>
  </si>
  <si>
    <t>Número de estrategias de gestión integral mantenidas para prevención y control de enfermedades endemoepidémicas y emergentes, reemergentes y desatendidas.</t>
  </si>
  <si>
    <t>Porcentaje de cobertura de vacunación en niños y niñas menores de 5 años.</t>
  </si>
  <si>
    <t>Número de planes de acción de salud mental de acuerdo a la Política Nacional formulados e implementados.</t>
  </si>
  <si>
    <t>Número de Planes de Seguridad Alimentaria y Nutricional mantenidos.</t>
  </si>
  <si>
    <t>Número de estrategias de seguimiento a bajo peso al nacer, desnutrición aguda, IAMI y lactancia materna mantenidas.</t>
  </si>
  <si>
    <t>Numero de Modelos de abordaje comunitario para acciones de promoción, prevención y de acceso al diagnóstico de VIH en la población priorizada de la Ciudad de Bucaramanga para la ampliación de la respuesta Nacional al VIH implementados.</t>
  </si>
  <si>
    <t>Número de  estrategias de atención integral en salud formuladas e implementadas para la población LGTBIQ+ que garantice el trato digno.</t>
  </si>
  <si>
    <t>Número de estrategias de información, educación y comunicación mantenidas para fortalecer valores en derechos sexuales y reproductivos diseñada.</t>
  </si>
  <si>
    <t>Número de estrategias de servicios amigables para adolescentes y jóvenes mantenidas.</t>
  </si>
  <si>
    <t>Porcentaje de EAPBs e IPS mantenidas con verificación sobre el cumplimiento de la Ruta de Atención Materno-Perinatal.</t>
  </si>
  <si>
    <t xml:space="preserve">Número de estrategias de atención integral en primera infancia "En Bucaramanga es haciendo para un inicio feliz" formuladas e implementadas. </t>
  </si>
  <si>
    <t>Número de Planes de acción intesectoriales de entornos saludables PAIE con población víctima del conflicto interno armado mantenidos.</t>
  </si>
  <si>
    <t>Porcentaje de centros vida y centros día con verificación mantenida para personas mayores en cumplimiento de la Resolución 055 de 2018.</t>
  </si>
  <si>
    <t>Número de estrategias AIEPI mantenidas en las IPS y en la comunidad.</t>
  </si>
  <si>
    <t>Número de salas ERA mantenidas en funcionamiento en IPS públicas para niños y niñas menores de 6 años.</t>
  </si>
  <si>
    <t>Número de Planes Municipales de Discapacidad mantenidos.</t>
  </si>
  <si>
    <t>Número de estrategias de información, educación y comuncación formuladas e implementadas para promover la formación de familias democráticas, respetuosas e incluyentes que reconozca sus derechos, sus responsabilidades y su papel en el fortalecimiento de la comunidad.</t>
  </si>
  <si>
    <t xml:space="preserve">Número de estrategias educativas formuladas e implementadas encaminadas a la promoción de la salud y prevención de la enfermedad dirigida a poblaciones étnicas. </t>
  </si>
  <si>
    <t>Número de identificaciones y censos de individuos caninos y felinos realizados.</t>
  </si>
  <si>
    <t>Número de individuos entre caninos y felinos vacunados con antirrábica.</t>
  </si>
  <si>
    <t>Número de esterilizaciones de caninos y felinos realizadas.</t>
  </si>
  <si>
    <t>Número de visitas de inspección, vigilancia y control realizadas a establecimientos de alto y bajo riesgo sanitario.</t>
  </si>
  <si>
    <t>Número de estrategias de entorno saludable mantenidas en la zona urbana y rural.</t>
  </si>
  <si>
    <t>Porcentaje de avance en la adecuación de la infraestructura física del centro de Zoonosis.</t>
  </si>
  <si>
    <t>Número de Programas de Hospitales Seguros y Planes Familiares de Emergencias mantenidos.</t>
  </si>
  <si>
    <t>Número de Sistemas de Emergencias Médicas implementados y mantenidos.</t>
  </si>
  <si>
    <t>Porcentaje de acciones de promoción y prevención de los riesgos laborales en población formal e informal mantenidos.</t>
  </si>
  <si>
    <t>Número de estrategias formuladas e implementadas para brindar asistencia social a la población afectada por las diferentes emergencias y particularmente COVID-19.</t>
  </si>
  <si>
    <t>1. BUCARAMANGA EQUITATIVA E INCLUYENTE: UNA CIUDAD DE BIENESTAR</t>
  </si>
  <si>
    <t>SALUD CON CALIDAD, GARANTÍA DE UNA CIUDAD DE OPORTUNIDADES</t>
  </si>
  <si>
    <t>GARANTÍA DE LA AUTORIDAD SANITARIA PARA LA GESTIÓN DE LA SALUD</t>
  </si>
  <si>
    <t>SALUD PÚBLICA PERTINENTE, GARANTÍA DE UNA CIUDAD DE OPORTUNIDADES</t>
  </si>
  <si>
    <t>MEJORAMIENTO DE LAS CONDICIONES NO TRANSMISIBLES</t>
  </si>
  <si>
    <t>VIDA SALUDABLE Y LA PREVENCIÓN DE LAS ENFERMEDADES TRANSMISIBLES</t>
  </si>
  <si>
    <t>SALUD MENTAL</t>
  </si>
  <si>
    <t>SEGURIDAD ALIMENTARIA Y NUTRICIONAL</t>
  </si>
  <si>
    <t>DERECHOS SEXUALES Y REPRODUCTIVOS, SEXUALIDAD SEGURA</t>
  </si>
  <si>
    <t>GESTIÓN DIFERENCIAL DE POBLACIONES VULNERABLES</t>
  </si>
  <si>
    <t>SALUD AMBIENTAL</t>
  </si>
  <si>
    <t>SALUD PÚBLICA EN EMERGENCIAS Y DESASTRES</t>
  </si>
  <si>
    <t>OPORTUNIDAD PARA LA PROMOCIÓN DE LA SALUD DENTRO DE SU AMBIENTE LABORAL</t>
  </si>
  <si>
    <t>CAPACIDADES Y OPORTUNIDADES PARA SUPERAR BRECHAS SOCIALES</t>
  </si>
  <si>
    <t>ACELERADORES DE DESARROLLO SOCIAL</t>
  </si>
  <si>
    <t>Número de Sistemas de Gestión Ambiental Municipal - SIGAM actualizados y mantenidos de acuerdo a la Política Ambiental Municipal.</t>
  </si>
  <si>
    <t>Número de estrategias de educación ambiental formulados e implementados para los ciudadanos, las empresas e institutos descentralizados.</t>
  </si>
  <si>
    <t>Número de estrategias participativas de articulación regional interinstitucional e intergubernamental formuladas e implementadas para generar escenarios de diálogo, planificación y financiación del desarrollo sostenible.</t>
  </si>
  <si>
    <t>Número de Políticas Públicas Ambientales de Cambio Climático y Transición Energética formuladas e implementadas.</t>
  </si>
  <si>
    <t>Número de estrategias formuladas e implementadas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</si>
  <si>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Número de estrategias de reforestación y conservación de los predios adquiridos formuladas e implementadas para la preservación de las cuencas hídricas que abastecen al municipio de Bucaramanga.</t>
  </si>
  <si>
    <t>Número de estrategias de incidencia social, comunicacional,  interinstitucional,  jurídica, y técnica (estudios hidrológicos e hidrogeológicos, entre otros) vinculando a gremios, academia, sociedad civil, entidades territoriales y autoridades ambientales formuladas e implementadas para la defensa y protección de la alta montaña de Santurbán ante la amenaza del cambio climático y los impactos de  actividades antrópicas, como los proyectos de megaminería, en dichos ecosistemas estratégicos.</t>
  </si>
  <si>
    <t>Número de estudios realizados para identificar conflictos de uso del suelo y esquemas potenciales de pago por servicios ambientales en ecosistemas estratégicos abastecedores de cuencas hídrica del municipio de Bucaramanga.</t>
  </si>
  <si>
    <t>Número de programas de alternativas socioeconómicas de desarrollo sustentable formulados e implementados para la provincia de Soto Norte en el marco de la corresponsabilidad socioambiental.</t>
  </si>
  <si>
    <t>Número de estrategias formuladas e implementadas para recuperar y rehabilitar corredores de conectividad ecosistémica para fortalecer la estructura ecológica urbana (cerros orientales y escarpa occidental) por medio del manejo integral de arbolado y zonas verdes.</t>
  </si>
  <si>
    <t>Número de piloto para la gestión de huertas urbanas sostenibles implementadas.</t>
  </si>
  <si>
    <t>Número de Planes de Gestión Integral de Residuos Sólidos - PGIRS actualizados e implementados.</t>
  </si>
  <si>
    <t>BUCARAMANGA, CIUDAD CON PLANIFICACIÓN AMBIENTAL Y TERRITORIAL EN EL MARCO DEL CAMBIO CLIMÁTICO</t>
  </si>
  <si>
    <t>BUCARAMANGA UNA ECO-CIUDAD</t>
  </si>
  <si>
    <t>PLANIFICACIÓN Y EDUCACIÓN AMBIENTAL</t>
  </si>
  <si>
    <t>CALIDAD Y CONTROL DEL MEDIO AMBIENTE</t>
  </si>
  <si>
    <t>GOBERNANZA DEL AGUA, NUESTRA AGUA, NUESTRA VIDA</t>
  </si>
  <si>
    <t>CRECIMIENTO VERDE, CIUDAD BIODIVERSA</t>
  </si>
  <si>
    <t>MANEJO INTEGRAL DE RESIDUOS SÓLIDOS, IMPACTO POSITIVO EN LA CALIDAD DE VIDA</t>
  </si>
  <si>
    <t>2. BUCARAMANGA SOSTENIBLE: UNA REGIÓN CON FUTURO</t>
  </si>
  <si>
    <t>Porcentaje de avance en la construcción y/o gestión del Coso Municipal</t>
  </si>
  <si>
    <t>EQUIPAMIENTO COMUNITARIO</t>
  </si>
  <si>
    <t>ESPACIO PÚBLICO VITAL</t>
  </si>
  <si>
    <t>4. BUCARAMANGA CIUDAD VITAL: LA VIDA ES SAGRADA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</si>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</sst>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5" formatCode="#,##0.0"/>
    <numFmt numFmtId="166" formatCode="_-* #,##0.000_-;\-* #,##0.000_-;_-* &quot;-&quot;??_-;_-@_-"/>
  </numFmts>
  <fonts count="1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62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200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49" xfId="0" applyFont="1" applyFill="1" applyBorder="1" applyAlignment="1">
      <alignment horizontal="justify" vertical="center" wrapText="1"/>
    </xf>
    <xf numFmtId="0" fontId="7" fillId="0" borderId="51" xfId="0" applyFont="1" applyFill="1" applyBorder="1" applyAlignment="1">
      <alignment horizontal="justify" vertical="center" wrapText="1"/>
    </xf>
    <xf numFmtId="0" fontId="7" fillId="0" borderId="20" xfId="0" applyFont="1" applyFill="1" applyBorder="1" applyAlignment="1">
      <alignment horizontal="justify" vertical="center" wrapText="1"/>
    </xf>
    <xf numFmtId="0" fontId="7" fillId="0" borderId="34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49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9" fontId="5" fillId="0" borderId="50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164" fontId="5" fillId="3" borderId="44" xfId="0" applyNumberFormat="1" applyFont="1" applyFill="1" applyBorder="1" applyAlignment="1">
      <alignment horizontal="center" vertical="center"/>
    </xf>
    <xf numFmtId="0" fontId="5" fillId="3" borderId="44" xfId="0" applyFont="1" applyFill="1" applyBorder="1"/>
    <xf numFmtId="3" fontId="5" fillId="3" borderId="44" xfId="0" applyNumberFormat="1" applyFont="1" applyFill="1" applyBorder="1" applyAlignment="1">
      <alignment horizontal="center" vertical="center"/>
    </xf>
    <xf numFmtId="9" fontId="5" fillId="3" borderId="44" xfId="0" applyNumberFormat="1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9" fontId="5" fillId="3" borderId="45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164" fontId="5" fillId="4" borderId="44" xfId="0" applyNumberFormat="1" applyFont="1" applyFill="1" applyBorder="1" applyAlignment="1">
      <alignment horizontal="center" vertical="center"/>
    </xf>
    <xf numFmtId="0" fontId="5" fillId="4" borderId="44" xfId="0" applyFont="1" applyFill="1" applyBorder="1"/>
    <xf numFmtId="3" fontId="5" fillId="4" borderId="44" xfId="0" applyNumberFormat="1" applyFont="1" applyFill="1" applyBorder="1" applyAlignment="1">
      <alignment horizontal="center" vertical="center"/>
    </xf>
    <xf numFmtId="9" fontId="5" fillId="4" borderId="44" xfId="0" applyNumberFormat="1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9" fontId="5" fillId="4" borderId="45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9" fontId="6" fillId="2" borderId="43" xfId="0" applyNumberFormat="1" applyFont="1" applyFill="1" applyBorder="1" applyAlignment="1">
      <alignment horizontal="center" vertical="center"/>
    </xf>
    <xf numFmtId="9" fontId="6" fillId="2" borderId="50" xfId="0" applyNumberFormat="1" applyFont="1" applyFill="1" applyBorder="1" applyAlignment="1">
      <alignment horizontal="center" vertical="center"/>
    </xf>
    <xf numFmtId="0" fontId="5" fillId="0" borderId="36" xfId="0" quotePrefix="1" applyFont="1" applyFill="1" applyBorder="1"/>
    <xf numFmtId="3" fontId="6" fillId="2" borderId="47" xfId="0" applyNumberFormat="1" applyFont="1" applyFill="1" applyBorder="1" applyAlignment="1">
      <alignment horizontal="center" vertical="center"/>
    </xf>
    <xf numFmtId="3" fontId="6" fillId="2" borderId="49" xfId="0" applyNumberFormat="1" applyFont="1" applyFill="1" applyBorder="1" applyAlignment="1">
      <alignment horizontal="center" vertical="center"/>
    </xf>
    <xf numFmtId="9" fontId="6" fillId="2" borderId="49" xfId="0" applyNumberFormat="1" applyFont="1" applyFill="1" applyBorder="1" applyAlignment="1">
      <alignment horizontal="center" vertical="center"/>
    </xf>
    <xf numFmtId="9" fontId="8" fillId="3" borderId="44" xfId="0" applyNumberFormat="1" applyFont="1" applyFill="1" applyBorder="1" applyAlignment="1">
      <alignment horizontal="center" vertical="center"/>
    </xf>
    <xf numFmtId="9" fontId="8" fillId="4" borderId="44" xfId="0" applyNumberFormat="1" applyFont="1" applyFill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0" borderId="58" xfId="0" applyNumberFormat="1" applyFont="1" applyBorder="1" applyAlignment="1">
      <alignment horizontal="center" vertical="center"/>
    </xf>
    <xf numFmtId="9" fontId="8" fillId="0" borderId="59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8" fillId="0" borderId="54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9" fontId="8" fillId="0" borderId="64" xfId="0" applyNumberFormat="1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/>
    <xf numFmtId="3" fontId="5" fillId="4" borderId="21" xfId="0" applyNumberFormat="1" applyFont="1" applyFill="1" applyBorder="1" applyAlignment="1">
      <alignment horizontal="center" vertical="center"/>
    </xf>
    <xf numFmtId="9" fontId="8" fillId="4" borderId="21" xfId="0" applyNumberFormat="1" applyFont="1" applyFill="1" applyBorder="1" applyAlignment="1">
      <alignment horizontal="center" vertical="center"/>
    </xf>
    <xf numFmtId="9" fontId="5" fillId="4" borderId="21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9" fontId="5" fillId="4" borderId="12" xfId="0" applyNumberFormat="1" applyFont="1" applyFill="1" applyBorder="1" applyAlignment="1">
      <alignment horizontal="center" vertical="center"/>
    </xf>
    <xf numFmtId="0" fontId="5" fillId="0" borderId="63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9" fontId="8" fillId="0" borderId="31" xfId="0" applyNumberFormat="1" applyFont="1" applyBorder="1" applyAlignment="1">
      <alignment horizontal="center" vertical="center"/>
    </xf>
    <xf numFmtId="9" fontId="5" fillId="0" borderId="26" xfId="0" applyNumberFormat="1" applyFont="1" applyBorder="1" applyAlignment="1">
      <alignment horizontal="center" vertical="center"/>
    </xf>
    <xf numFmtId="164" fontId="5" fillId="0" borderId="51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9" fontId="8" fillId="0" borderId="65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/>
    </xf>
    <xf numFmtId="3" fontId="5" fillId="5" borderId="20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7" fillId="5" borderId="5" xfId="0" applyFont="1" applyFill="1" applyBorder="1" applyAlignment="1">
      <alignment horizontal="justify" vertical="center" wrapText="1"/>
    </xf>
    <xf numFmtId="3" fontId="5" fillId="5" borderId="61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justify" vertical="center" wrapText="1"/>
    </xf>
    <xf numFmtId="165" fontId="5" fillId="5" borderId="1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justify" vertical="center" wrapText="1"/>
    </xf>
    <xf numFmtId="3" fontId="5" fillId="5" borderId="37" xfId="0" applyNumberFormat="1" applyFont="1" applyFill="1" applyBorder="1" applyAlignment="1">
      <alignment horizontal="center" vertical="center"/>
    </xf>
    <xf numFmtId="164" fontId="5" fillId="5" borderId="51" xfId="0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justify" vertical="center" wrapText="1"/>
    </xf>
    <xf numFmtId="3" fontId="5" fillId="5" borderId="34" xfId="0" applyNumberFormat="1" applyFont="1" applyFill="1" applyBorder="1" applyAlignment="1">
      <alignment horizontal="center" vertical="center"/>
    </xf>
    <xf numFmtId="165" fontId="5" fillId="5" borderId="40" xfId="0" applyNumberFormat="1" applyFont="1" applyFill="1" applyBorder="1" applyAlignment="1">
      <alignment horizontal="center" vertical="center"/>
    </xf>
    <xf numFmtId="166" fontId="5" fillId="0" borderId="0" xfId="161" applyNumberFormat="1" applyFont="1" applyAlignment="1">
      <alignment horizontal="center" vertical="center"/>
    </xf>
    <xf numFmtId="166" fontId="5" fillId="0" borderId="0" xfId="161" applyNumberFormat="1" applyFont="1"/>
    <xf numFmtId="4" fontId="6" fillId="2" borderId="4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</cellXfs>
  <cellStyles count="16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Millares" xfId="16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LIO%2015/PLANEACION%202020%20FINAL/P.A.-JUN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</sheetNames>
    <sheetDataSet>
      <sheetData sheetId="0">
        <row r="42">
          <cell r="Q42">
            <v>80959601</v>
          </cell>
        </row>
        <row r="43">
          <cell r="Q43">
            <v>13254</v>
          </cell>
        </row>
        <row r="44">
          <cell r="Q44">
            <v>199374</v>
          </cell>
        </row>
        <row r="45">
          <cell r="Q45">
            <v>491963</v>
          </cell>
        </row>
        <row r="62">
          <cell r="Q62">
            <v>291121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43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4.6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176" t="s">
        <v>16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3" spans="2:20" ht="20.100000000000001" customHeight="1" x14ac:dyDescent="0.2">
      <c r="B3" s="176" t="s">
        <v>25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9"/>
    </row>
    <row r="4" spans="2:20" ht="20.100000000000001" customHeight="1" x14ac:dyDescent="0.2">
      <c r="B4" s="176" t="s">
        <v>26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44196</v>
      </c>
      <c r="D8" s="177" t="s">
        <v>3</v>
      </c>
      <c r="E8" s="178"/>
      <c r="F8" s="178"/>
      <c r="G8" s="178"/>
      <c r="H8" s="178"/>
      <c r="I8" s="178"/>
      <c r="J8" s="179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80" t="s">
        <v>17</v>
      </c>
      <c r="C9" s="183" t="s">
        <v>18</v>
      </c>
      <c r="D9" s="185" t="s">
        <v>0</v>
      </c>
      <c r="E9" s="188" t="s">
        <v>4</v>
      </c>
      <c r="F9" s="188"/>
      <c r="G9" s="188" t="s">
        <v>5</v>
      </c>
      <c r="H9" s="188"/>
      <c r="I9" s="188"/>
      <c r="J9" s="190"/>
      <c r="K9" s="5"/>
      <c r="L9" s="185" t="s">
        <v>6</v>
      </c>
      <c r="M9" s="190"/>
      <c r="N9" s="162" t="s">
        <v>23</v>
      </c>
      <c r="O9" s="163"/>
      <c r="P9" s="163"/>
      <c r="Q9" s="163"/>
      <c r="R9" s="163"/>
      <c r="S9" s="164"/>
    </row>
    <row r="10" spans="2:20" ht="17.100000000000001" customHeight="1" x14ac:dyDescent="0.2">
      <c r="B10" s="181"/>
      <c r="C10" s="184"/>
      <c r="D10" s="186"/>
      <c r="E10" s="189"/>
      <c r="F10" s="189"/>
      <c r="G10" s="189" t="s">
        <v>7</v>
      </c>
      <c r="H10" s="173" t="s">
        <v>24</v>
      </c>
      <c r="I10" s="193" t="s">
        <v>1</v>
      </c>
      <c r="J10" s="191" t="s">
        <v>8</v>
      </c>
      <c r="K10" s="6"/>
      <c r="L10" s="195" t="s">
        <v>9</v>
      </c>
      <c r="M10" s="197" t="s">
        <v>10</v>
      </c>
      <c r="N10" s="165"/>
      <c r="O10" s="166"/>
      <c r="P10" s="166"/>
      <c r="Q10" s="166"/>
      <c r="R10" s="166"/>
      <c r="S10" s="167"/>
    </row>
    <row r="11" spans="2:20" ht="61.5" customHeight="1" thickBot="1" x14ac:dyDescent="0.25">
      <c r="B11" s="182"/>
      <c r="C11" s="184"/>
      <c r="D11" s="187"/>
      <c r="E11" s="22" t="s">
        <v>11</v>
      </c>
      <c r="F11" s="22" t="s">
        <v>12</v>
      </c>
      <c r="G11" s="173"/>
      <c r="H11" s="174"/>
      <c r="I11" s="194"/>
      <c r="J11" s="192"/>
      <c r="K11" s="23"/>
      <c r="L11" s="196"/>
      <c r="M11" s="198"/>
      <c r="N11" s="24" t="s">
        <v>22</v>
      </c>
      <c r="O11" s="25" t="s">
        <v>19</v>
      </c>
      <c r="P11" s="26" t="s">
        <v>20</v>
      </c>
      <c r="Q11" s="27" t="s">
        <v>21</v>
      </c>
      <c r="R11" s="27" t="s">
        <v>14</v>
      </c>
      <c r="S11" s="28" t="s">
        <v>15</v>
      </c>
    </row>
    <row r="12" spans="2:20" ht="30" x14ac:dyDescent="0.2">
      <c r="B12" s="168" t="s">
        <v>66</v>
      </c>
      <c r="C12" s="154" t="s">
        <v>67</v>
      </c>
      <c r="D12" s="159" t="s">
        <v>68</v>
      </c>
      <c r="E12" s="32">
        <v>43831</v>
      </c>
      <c r="F12" s="32">
        <v>44196</v>
      </c>
      <c r="G12" s="14" t="s">
        <v>27</v>
      </c>
      <c r="H12" s="33">
        <v>1</v>
      </c>
      <c r="I12" s="33">
        <v>1</v>
      </c>
      <c r="J12" s="82">
        <v>1</v>
      </c>
      <c r="K12" s="95">
        <f>+J12/I12</f>
        <v>1</v>
      </c>
      <c r="L12" s="98">
        <f>DAYS360(E12,$C$8)/DAYS360(E12,F12)</f>
        <v>1</v>
      </c>
      <c r="M12" s="35">
        <f>IF(I12=0," -",IF(K12&gt;100%,100%,K12))</f>
        <v>1</v>
      </c>
      <c r="N12" s="89">
        <v>0</v>
      </c>
      <c r="O12" s="34">
        <f>102192882+'[1]ENERO 2020'!$Q$42+'[1]ENERO 2020'!$Q$43+24746+5590188+24136438</f>
        <v>212917109</v>
      </c>
      <c r="P12" s="135">
        <f>'[1]ENERO 2020'!$Q$42+'[1]ENERO 2020'!$Q$43+71583699+13937427+6974244-10340+31289575</f>
        <v>204747460</v>
      </c>
      <c r="Q12" s="34">
        <v>0</v>
      </c>
      <c r="R12" s="33">
        <f>IF(O12=0," -",P12/O12)</f>
        <v>0.96162990828510642</v>
      </c>
      <c r="S12" s="35" t="str">
        <f>IF(Q12=0," -",IF(P12=0,100%,Q12/P12))</f>
        <v xml:space="preserve"> -</v>
      </c>
    </row>
    <row r="13" spans="2:20" ht="90" x14ac:dyDescent="0.2">
      <c r="B13" s="169"/>
      <c r="C13" s="155"/>
      <c r="D13" s="160"/>
      <c r="E13" s="29">
        <v>43831</v>
      </c>
      <c r="F13" s="29">
        <v>44196</v>
      </c>
      <c r="G13" s="15" t="s">
        <v>28</v>
      </c>
      <c r="H13" s="30">
        <v>1</v>
      </c>
      <c r="I13" s="30">
        <v>1</v>
      </c>
      <c r="J13" s="83">
        <v>1</v>
      </c>
      <c r="K13" s="96">
        <f>+J13/I13</f>
        <v>1</v>
      </c>
      <c r="L13" s="99">
        <f>DAYS360(E13,$C$8)/DAYS360(E13,F13)</f>
        <v>1</v>
      </c>
      <c r="M13" s="36">
        <f>IF(I13=0," -",IF(K13&gt;100%,100%,K13))</f>
        <v>1</v>
      </c>
      <c r="N13" s="90">
        <v>0</v>
      </c>
      <c r="O13" s="31">
        <f>231000+'[1]ENERO 2020'!$Q$44+'[1]ENERO 2020'!$Q$45</f>
        <v>922337</v>
      </c>
      <c r="P13" s="134">
        <f>68540+'[1]ENERO 2020'!$Q$44+'[1]ENERO 2020'!$Q$45+11000+16200+8820</f>
        <v>795897</v>
      </c>
      <c r="Q13" s="31">
        <v>0</v>
      </c>
      <c r="R13" s="30">
        <f>IF(O13=0," -",P13/O13)</f>
        <v>0.86291344703725426</v>
      </c>
      <c r="S13" s="36" t="str">
        <f>IF(Q13=0," -",IF(P13=0,100%,Q13/P13))</f>
        <v xml:space="preserve"> -</v>
      </c>
    </row>
    <row r="14" spans="2:20" ht="90" x14ac:dyDescent="0.2">
      <c r="B14" s="169"/>
      <c r="C14" s="155"/>
      <c r="D14" s="160"/>
      <c r="E14" s="29">
        <v>43831</v>
      </c>
      <c r="F14" s="29">
        <v>44196</v>
      </c>
      <c r="G14" s="15" t="s">
        <v>29</v>
      </c>
      <c r="H14" s="30">
        <v>1</v>
      </c>
      <c r="I14" s="30">
        <v>1</v>
      </c>
      <c r="J14" s="83">
        <v>1</v>
      </c>
      <c r="K14" s="96">
        <f t="shared" ref="K14:K68" si="0">+J14/I14</f>
        <v>1</v>
      </c>
      <c r="L14" s="99">
        <f t="shared" ref="L14:L68" si="1">DAYS360(E14,$C$8)/DAYS360(E14,F14)</f>
        <v>1</v>
      </c>
      <c r="M14" s="36">
        <f t="shared" ref="M14:M68" si="2">IF(I14=0," -",IF(K14&gt;100%,100%,K14))</f>
        <v>1</v>
      </c>
      <c r="N14" s="90">
        <v>0</v>
      </c>
      <c r="O14" s="31">
        <v>3437246</v>
      </c>
      <c r="P14" s="134">
        <v>0</v>
      </c>
      <c r="Q14" s="31">
        <v>0</v>
      </c>
      <c r="R14" s="30">
        <f t="shared" ref="R14:R69" si="3">IF(O14=0," -",P14/O14)</f>
        <v>0</v>
      </c>
      <c r="S14" s="36" t="str">
        <f t="shared" ref="S14:S69" si="4">IF(Q14=0," -",IF(P14=0,100%,Q14/P14))</f>
        <v xml:space="preserve"> -</v>
      </c>
    </row>
    <row r="15" spans="2:20" ht="60" x14ac:dyDescent="0.2">
      <c r="B15" s="169"/>
      <c r="C15" s="155"/>
      <c r="D15" s="160"/>
      <c r="E15" s="29">
        <v>43831</v>
      </c>
      <c r="F15" s="29">
        <v>44196</v>
      </c>
      <c r="G15" s="15" t="s">
        <v>30</v>
      </c>
      <c r="H15" s="30">
        <v>1</v>
      </c>
      <c r="I15" s="30">
        <v>1</v>
      </c>
      <c r="J15" s="83">
        <v>0.95</v>
      </c>
      <c r="K15" s="96">
        <f t="shared" si="0"/>
        <v>0.95</v>
      </c>
      <c r="L15" s="99">
        <f t="shared" si="1"/>
        <v>1</v>
      </c>
      <c r="M15" s="36">
        <f t="shared" si="2"/>
        <v>0.95</v>
      </c>
      <c r="N15" s="90">
        <v>0</v>
      </c>
      <c r="O15" s="31">
        <v>402200</v>
      </c>
      <c r="P15" s="134">
        <f>153950+10340+4700+14056</f>
        <v>183046</v>
      </c>
      <c r="Q15" s="31">
        <v>0</v>
      </c>
      <c r="R15" s="30">
        <f t="shared" si="3"/>
        <v>0.45511188463451019</v>
      </c>
      <c r="S15" s="36" t="str">
        <f t="shared" si="4"/>
        <v xml:space="preserve"> -</v>
      </c>
    </row>
    <row r="16" spans="2:20" ht="45" x14ac:dyDescent="0.2">
      <c r="B16" s="169"/>
      <c r="C16" s="155"/>
      <c r="D16" s="160"/>
      <c r="E16" s="29">
        <v>43831</v>
      </c>
      <c r="F16" s="29">
        <v>44196</v>
      </c>
      <c r="G16" s="15" t="s">
        <v>31</v>
      </c>
      <c r="H16" s="31">
        <v>1</v>
      </c>
      <c r="I16" s="31">
        <v>1</v>
      </c>
      <c r="J16" s="84">
        <v>1</v>
      </c>
      <c r="K16" s="96">
        <f t="shared" si="0"/>
        <v>1</v>
      </c>
      <c r="L16" s="99">
        <f t="shared" si="1"/>
        <v>1</v>
      </c>
      <c r="M16" s="36">
        <f t="shared" si="2"/>
        <v>1</v>
      </c>
      <c r="N16" s="90">
        <v>0</v>
      </c>
      <c r="O16" s="31">
        <f>88200+43500</f>
        <v>131700</v>
      </c>
      <c r="P16" s="134">
        <f>43500+10340+4800+1900</f>
        <v>60540</v>
      </c>
      <c r="Q16" s="31">
        <v>0</v>
      </c>
      <c r="R16" s="30">
        <f t="shared" si="3"/>
        <v>0.45968109339407742</v>
      </c>
      <c r="S16" s="36" t="str">
        <f t="shared" si="4"/>
        <v xml:space="preserve"> -</v>
      </c>
    </row>
    <row r="17" spans="2:19" ht="45" x14ac:dyDescent="0.2">
      <c r="B17" s="169"/>
      <c r="C17" s="155"/>
      <c r="D17" s="160"/>
      <c r="E17" s="29">
        <v>43831</v>
      </c>
      <c r="F17" s="29">
        <v>44196</v>
      </c>
      <c r="G17" s="15" t="s">
        <v>32</v>
      </c>
      <c r="H17" s="30">
        <v>1</v>
      </c>
      <c r="I17" s="30">
        <v>1</v>
      </c>
      <c r="J17" s="83">
        <v>1</v>
      </c>
      <c r="K17" s="96">
        <f t="shared" si="0"/>
        <v>1</v>
      </c>
      <c r="L17" s="99">
        <f t="shared" si="1"/>
        <v>1</v>
      </c>
      <c r="M17" s="36">
        <f t="shared" si="2"/>
        <v>1</v>
      </c>
      <c r="N17" s="90">
        <v>0</v>
      </c>
      <c r="O17" s="31">
        <f>402200+'[1]ENERO 2020'!$Q$62</f>
        <v>693321</v>
      </c>
      <c r="P17" s="134">
        <f>156967+'[1]ENERO 2020'!$Q$62-32355+17400+8000+8683+2607</f>
        <v>452423</v>
      </c>
      <c r="Q17" s="31">
        <v>0</v>
      </c>
      <c r="R17" s="30">
        <f t="shared" si="3"/>
        <v>0.65254478084465928</v>
      </c>
      <c r="S17" s="36" t="str">
        <f t="shared" si="4"/>
        <v xml:space="preserve"> -</v>
      </c>
    </row>
    <row r="18" spans="2:19" ht="60" x14ac:dyDescent="0.2">
      <c r="B18" s="169"/>
      <c r="C18" s="155"/>
      <c r="D18" s="160"/>
      <c r="E18" s="29">
        <v>43831</v>
      </c>
      <c r="F18" s="29">
        <v>44196</v>
      </c>
      <c r="G18" s="15" t="s">
        <v>33</v>
      </c>
      <c r="H18" s="30">
        <v>1</v>
      </c>
      <c r="I18" s="30">
        <v>0</v>
      </c>
      <c r="J18" s="83">
        <v>0</v>
      </c>
      <c r="K18" s="96" t="e">
        <f t="shared" si="0"/>
        <v>#DIV/0!</v>
      </c>
      <c r="L18" s="99">
        <f t="shared" si="1"/>
        <v>1</v>
      </c>
      <c r="M18" s="36" t="str">
        <f t="shared" si="2"/>
        <v xml:space="preserve"> -</v>
      </c>
      <c r="N18" s="90">
        <v>0</v>
      </c>
      <c r="O18" s="199">
        <f>29903540-5590188</f>
        <v>24313352</v>
      </c>
      <c r="P18" s="31">
        <v>0</v>
      </c>
      <c r="Q18" s="31">
        <v>0</v>
      </c>
      <c r="R18" s="30">
        <f t="shared" si="3"/>
        <v>0</v>
      </c>
      <c r="S18" s="36" t="str">
        <f t="shared" si="4"/>
        <v xml:space="preserve"> -</v>
      </c>
    </row>
    <row r="19" spans="2:19" ht="30" x14ac:dyDescent="0.2">
      <c r="B19" s="169"/>
      <c r="C19" s="155"/>
      <c r="D19" s="160"/>
      <c r="E19" s="29">
        <v>43831</v>
      </c>
      <c r="F19" s="29">
        <v>44196</v>
      </c>
      <c r="G19" s="15" t="s">
        <v>34</v>
      </c>
      <c r="H19" s="31">
        <v>2</v>
      </c>
      <c r="I19" s="31">
        <v>0</v>
      </c>
      <c r="J19" s="84">
        <v>0</v>
      </c>
      <c r="K19" s="96" t="e">
        <f t="shared" si="0"/>
        <v>#DIV/0!</v>
      </c>
      <c r="L19" s="99">
        <f t="shared" si="1"/>
        <v>1</v>
      </c>
      <c r="M19" s="36" t="str">
        <f t="shared" si="2"/>
        <v xml:space="preserve"> -</v>
      </c>
      <c r="N19" s="90">
        <v>0</v>
      </c>
      <c r="O19" s="31">
        <v>0</v>
      </c>
      <c r="P19" s="31">
        <v>0</v>
      </c>
      <c r="Q19" s="31">
        <v>0</v>
      </c>
      <c r="R19" s="30" t="str">
        <f t="shared" si="3"/>
        <v xml:space="preserve"> -</v>
      </c>
      <c r="S19" s="36" t="str">
        <f t="shared" si="4"/>
        <v xml:space="preserve"> -</v>
      </c>
    </row>
    <row r="20" spans="2:19" ht="30.75" thickBot="1" x14ac:dyDescent="0.25">
      <c r="B20" s="169"/>
      <c r="C20" s="156"/>
      <c r="D20" s="172"/>
      <c r="E20" s="103">
        <v>43831</v>
      </c>
      <c r="F20" s="103">
        <v>44196</v>
      </c>
      <c r="G20" s="16" t="s">
        <v>35</v>
      </c>
      <c r="H20" s="38">
        <v>1</v>
      </c>
      <c r="I20" s="38">
        <v>1</v>
      </c>
      <c r="J20" s="85">
        <v>1</v>
      </c>
      <c r="K20" s="97">
        <f t="shared" si="0"/>
        <v>1</v>
      </c>
      <c r="L20" s="100">
        <f t="shared" si="1"/>
        <v>1</v>
      </c>
      <c r="M20" s="40">
        <f t="shared" si="2"/>
        <v>1</v>
      </c>
      <c r="N20" s="91">
        <v>0</v>
      </c>
      <c r="O20" s="64">
        <v>250000</v>
      </c>
      <c r="P20" s="64">
        <v>62500</v>
      </c>
      <c r="Q20" s="64">
        <v>0</v>
      </c>
      <c r="R20" s="63">
        <f t="shared" si="3"/>
        <v>0.25</v>
      </c>
      <c r="S20" s="65" t="str">
        <f t="shared" si="4"/>
        <v xml:space="preserve"> -</v>
      </c>
    </row>
    <row r="21" spans="2:19" ht="12.95" customHeight="1" thickBot="1" x14ac:dyDescent="0.25">
      <c r="B21" s="169"/>
      <c r="C21" s="47"/>
      <c r="D21" s="48"/>
      <c r="E21" s="49"/>
      <c r="F21" s="49"/>
      <c r="G21" s="50"/>
      <c r="H21" s="51"/>
      <c r="I21" s="51"/>
      <c r="J21" s="51"/>
      <c r="K21" s="80"/>
      <c r="L21" s="52"/>
      <c r="M21" s="52"/>
      <c r="N21" s="53"/>
      <c r="O21" s="51"/>
      <c r="P21" s="51"/>
      <c r="Q21" s="51"/>
      <c r="R21" s="52"/>
      <c r="S21" s="54"/>
    </row>
    <row r="22" spans="2:19" ht="75" x14ac:dyDescent="0.2">
      <c r="B22" s="169"/>
      <c r="C22" s="154" t="s">
        <v>69</v>
      </c>
      <c r="D22" s="159" t="s">
        <v>70</v>
      </c>
      <c r="E22" s="120">
        <v>43831</v>
      </c>
      <c r="F22" s="120">
        <v>44196</v>
      </c>
      <c r="G22" s="14" t="s">
        <v>36</v>
      </c>
      <c r="H22" s="34">
        <v>100</v>
      </c>
      <c r="I22" s="34">
        <v>0</v>
      </c>
      <c r="J22" s="86">
        <v>0</v>
      </c>
      <c r="K22" s="95" t="e">
        <f t="shared" si="0"/>
        <v>#DIV/0!</v>
      </c>
      <c r="L22" s="98">
        <f t="shared" si="1"/>
        <v>1</v>
      </c>
      <c r="M22" s="35" t="str">
        <f t="shared" si="2"/>
        <v xml:space="preserve"> -</v>
      </c>
      <c r="N22" s="92">
        <v>0</v>
      </c>
      <c r="O22" s="69">
        <v>0</v>
      </c>
      <c r="P22" s="69">
        <v>0</v>
      </c>
      <c r="Q22" s="69">
        <v>0</v>
      </c>
      <c r="R22" s="66" t="str">
        <f t="shared" si="3"/>
        <v xml:space="preserve"> -</v>
      </c>
      <c r="S22" s="68" t="str">
        <f t="shared" si="4"/>
        <v xml:space="preserve"> -</v>
      </c>
    </row>
    <row r="23" spans="2:19" ht="60.75" thickBot="1" x14ac:dyDescent="0.25">
      <c r="B23" s="169"/>
      <c r="C23" s="155"/>
      <c r="D23" s="161"/>
      <c r="E23" s="37">
        <v>43831</v>
      </c>
      <c r="F23" s="37">
        <v>44196</v>
      </c>
      <c r="G23" s="17" t="s">
        <v>37</v>
      </c>
      <c r="H23" s="64">
        <v>4</v>
      </c>
      <c r="I23" s="64">
        <v>4</v>
      </c>
      <c r="J23" s="104">
        <v>4</v>
      </c>
      <c r="K23" s="105">
        <f t="shared" si="0"/>
        <v>1</v>
      </c>
      <c r="L23" s="106">
        <f t="shared" si="1"/>
        <v>1</v>
      </c>
      <c r="M23" s="65">
        <f t="shared" si="2"/>
        <v>1</v>
      </c>
      <c r="N23" s="91">
        <v>0</v>
      </c>
      <c r="O23" s="64">
        <f>293447+131447</f>
        <v>424894</v>
      </c>
      <c r="P23" s="64">
        <f>267447+131447</f>
        <v>398894</v>
      </c>
      <c r="Q23" s="64">
        <v>0</v>
      </c>
      <c r="R23" s="63">
        <f t="shared" si="3"/>
        <v>0.93880826747376989</v>
      </c>
      <c r="S23" s="65" t="str">
        <f t="shared" si="4"/>
        <v xml:space="preserve"> -</v>
      </c>
    </row>
    <row r="24" spans="2:19" ht="75" x14ac:dyDescent="0.2">
      <c r="B24" s="169"/>
      <c r="C24" s="155"/>
      <c r="D24" s="157" t="s">
        <v>71</v>
      </c>
      <c r="E24" s="120">
        <v>43831</v>
      </c>
      <c r="F24" s="120">
        <v>44196</v>
      </c>
      <c r="G24" s="14" t="s">
        <v>38</v>
      </c>
      <c r="H24" s="34">
        <v>2</v>
      </c>
      <c r="I24" s="34">
        <v>2</v>
      </c>
      <c r="J24" s="86">
        <v>2</v>
      </c>
      <c r="K24" s="95">
        <f t="shared" si="0"/>
        <v>1</v>
      </c>
      <c r="L24" s="98">
        <f t="shared" si="1"/>
        <v>1</v>
      </c>
      <c r="M24" s="35">
        <f t="shared" si="2"/>
        <v>1</v>
      </c>
      <c r="N24" s="89">
        <v>0</v>
      </c>
      <c r="O24" s="34">
        <f>383522+11946248+175000+554068-285233-200000</f>
        <v>12573605</v>
      </c>
      <c r="P24" s="135">
        <f>213683+5824638+175000+8000+803220+9400+28267+21000+18780+33865-200000+165399+32450-15600</f>
        <v>7118102</v>
      </c>
      <c r="Q24" s="34">
        <v>800000</v>
      </c>
      <c r="R24" s="33">
        <f t="shared" si="3"/>
        <v>0.56611465049204268</v>
      </c>
      <c r="S24" s="35">
        <f t="shared" si="4"/>
        <v>0.11238951057458857</v>
      </c>
    </row>
    <row r="25" spans="2:19" ht="49.5" customHeight="1" thickBot="1" x14ac:dyDescent="0.25">
      <c r="B25" s="169"/>
      <c r="C25" s="155"/>
      <c r="D25" s="158"/>
      <c r="E25" s="37">
        <v>43831</v>
      </c>
      <c r="F25" s="37">
        <v>44196</v>
      </c>
      <c r="G25" s="16" t="s">
        <v>39</v>
      </c>
      <c r="H25" s="39">
        <v>0.95</v>
      </c>
      <c r="I25" s="39">
        <v>0.95</v>
      </c>
      <c r="J25" s="87">
        <v>0.94799999999999995</v>
      </c>
      <c r="K25" s="97">
        <f t="shared" si="0"/>
        <v>0.99789473684210528</v>
      </c>
      <c r="L25" s="100">
        <f t="shared" si="1"/>
        <v>1</v>
      </c>
      <c r="M25" s="40">
        <f t="shared" si="2"/>
        <v>0.99789473684210528</v>
      </c>
      <c r="N25" s="132">
        <v>0</v>
      </c>
      <c r="O25" s="38">
        <f>56350+57000</f>
        <v>113350</v>
      </c>
      <c r="P25" s="136">
        <f>53517+57000+2036</f>
        <v>112553</v>
      </c>
      <c r="Q25" s="38">
        <v>0</v>
      </c>
      <c r="R25" s="39">
        <f t="shared" si="3"/>
        <v>0.99296868107631231</v>
      </c>
      <c r="S25" s="40" t="str">
        <f t="shared" si="4"/>
        <v xml:space="preserve"> -</v>
      </c>
    </row>
    <row r="26" spans="2:19" ht="66.75" customHeight="1" thickBot="1" x14ac:dyDescent="0.25">
      <c r="B26" s="169"/>
      <c r="C26" s="155"/>
      <c r="D26" s="115" t="s">
        <v>72</v>
      </c>
      <c r="E26" s="41">
        <v>43831</v>
      </c>
      <c r="F26" s="41">
        <v>44196</v>
      </c>
      <c r="G26" s="20" t="s">
        <v>40</v>
      </c>
      <c r="H26" s="72">
        <v>1</v>
      </c>
      <c r="I26" s="72">
        <v>1</v>
      </c>
      <c r="J26" s="117">
        <v>1</v>
      </c>
      <c r="K26" s="118">
        <f t="shared" si="0"/>
        <v>1</v>
      </c>
      <c r="L26" s="119">
        <f t="shared" si="1"/>
        <v>1</v>
      </c>
      <c r="M26" s="73">
        <f t="shared" si="2"/>
        <v>1</v>
      </c>
      <c r="N26" s="93">
        <v>0</v>
      </c>
      <c r="O26" s="72">
        <f>1461480+161000-180000</f>
        <v>1442480</v>
      </c>
      <c r="P26" s="137">
        <f>1240480+161000+7600</f>
        <v>1409080</v>
      </c>
      <c r="Q26" s="72">
        <v>0</v>
      </c>
      <c r="R26" s="71">
        <f t="shared" si="3"/>
        <v>0.97684543286562031</v>
      </c>
      <c r="S26" s="73" t="str">
        <f t="shared" si="4"/>
        <v xml:space="preserve"> -</v>
      </c>
    </row>
    <row r="27" spans="2:19" ht="30" x14ac:dyDescent="0.2">
      <c r="B27" s="169"/>
      <c r="C27" s="155"/>
      <c r="D27" s="157" t="s">
        <v>73</v>
      </c>
      <c r="E27" s="120">
        <v>43831</v>
      </c>
      <c r="F27" s="120">
        <v>44196</v>
      </c>
      <c r="G27" s="14" t="s">
        <v>41</v>
      </c>
      <c r="H27" s="34">
        <v>1</v>
      </c>
      <c r="I27" s="34">
        <v>1</v>
      </c>
      <c r="J27" s="86">
        <v>1</v>
      </c>
      <c r="K27" s="95">
        <f t="shared" si="0"/>
        <v>1</v>
      </c>
      <c r="L27" s="98">
        <f t="shared" si="1"/>
        <v>1</v>
      </c>
      <c r="M27" s="35">
        <f t="shared" si="2"/>
        <v>1</v>
      </c>
      <c r="N27" s="89">
        <v>0</v>
      </c>
      <c r="O27" s="34">
        <f>90086+27109</f>
        <v>117195</v>
      </c>
      <c r="P27" s="135">
        <f>83800+27109+2286+1257</f>
        <v>114452</v>
      </c>
      <c r="Q27" s="34">
        <v>0</v>
      </c>
      <c r="R27" s="33">
        <f t="shared" si="3"/>
        <v>0.97659456461453131</v>
      </c>
      <c r="S27" s="35" t="str">
        <f t="shared" si="4"/>
        <v xml:space="preserve"> -</v>
      </c>
    </row>
    <row r="28" spans="2:19" ht="60.75" thickBot="1" x14ac:dyDescent="0.25">
      <c r="B28" s="169"/>
      <c r="C28" s="155"/>
      <c r="D28" s="158"/>
      <c r="E28" s="37">
        <v>43831</v>
      </c>
      <c r="F28" s="37">
        <v>44196</v>
      </c>
      <c r="G28" s="16" t="s">
        <v>42</v>
      </c>
      <c r="H28" s="38">
        <v>1</v>
      </c>
      <c r="I28" s="38">
        <v>1</v>
      </c>
      <c r="J28" s="85">
        <v>1</v>
      </c>
      <c r="K28" s="97">
        <f t="shared" si="0"/>
        <v>1</v>
      </c>
      <c r="L28" s="100">
        <f t="shared" si="1"/>
        <v>1</v>
      </c>
      <c r="M28" s="40">
        <f t="shared" si="2"/>
        <v>1</v>
      </c>
      <c r="N28" s="132">
        <v>0</v>
      </c>
      <c r="O28" s="38">
        <f>20381+12136</f>
        <v>32517</v>
      </c>
      <c r="P28" s="136">
        <f>2250+12136+5714+3143</f>
        <v>23243</v>
      </c>
      <c r="Q28" s="38">
        <v>0</v>
      </c>
      <c r="R28" s="39">
        <f t="shared" si="3"/>
        <v>0.71479533782329241</v>
      </c>
      <c r="S28" s="40" t="str">
        <f t="shared" si="4"/>
        <v xml:space="preserve"> -</v>
      </c>
    </row>
    <row r="29" spans="2:19" ht="120" x14ac:dyDescent="0.2">
      <c r="B29" s="169"/>
      <c r="C29" s="155"/>
      <c r="D29" s="175" t="s">
        <v>74</v>
      </c>
      <c r="E29" s="120">
        <v>43831</v>
      </c>
      <c r="F29" s="120">
        <v>44196</v>
      </c>
      <c r="G29" s="19" t="s">
        <v>43</v>
      </c>
      <c r="H29" s="69">
        <v>1</v>
      </c>
      <c r="I29" s="69">
        <v>1</v>
      </c>
      <c r="J29" s="121">
        <v>1</v>
      </c>
      <c r="K29" s="122">
        <f t="shared" si="0"/>
        <v>1</v>
      </c>
      <c r="L29" s="123">
        <f t="shared" si="1"/>
        <v>1</v>
      </c>
      <c r="M29" s="68">
        <f t="shared" si="2"/>
        <v>1</v>
      </c>
      <c r="N29" s="92">
        <v>0</v>
      </c>
      <c r="O29" s="69">
        <f>41000</f>
        <v>41000</v>
      </c>
      <c r="P29" s="69">
        <f>41000</f>
        <v>41000</v>
      </c>
      <c r="Q29" s="69">
        <v>0</v>
      </c>
      <c r="R29" s="66">
        <f t="shared" si="3"/>
        <v>1</v>
      </c>
      <c r="S29" s="68" t="str">
        <f t="shared" si="4"/>
        <v xml:space="preserve"> -</v>
      </c>
    </row>
    <row r="30" spans="2:19" ht="60" x14ac:dyDescent="0.2">
      <c r="B30" s="169"/>
      <c r="C30" s="155"/>
      <c r="D30" s="160"/>
      <c r="E30" s="29">
        <v>43831</v>
      </c>
      <c r="F30" s="29">
        <v>44196</v>
      </c>
      <c r="G30" s="15" t="s">
        <v>44</v>
      </c>
      <c r="H30" s="31">
        <v>1</v>
      </c>
      <c r="I30" s="31">
        <v>1</v>
      </c>
      <c r="J30" s="84">
        <v>1</v>
      </c>
      <c r="K30" s="96">
        <f t="shared" si="0"/>
        <v>1</v>
      </c>
      <c r="L30" s="99">
        <f t="shared" si="1"/>
        <v>1</v>
      </c>
      <c r="M30" s="36">
        <f t="shared" si="2"/>
        <v>1</v>
      </c>
      <c r="N30" s="90">
        <v>0</v>
      </c>
      <c r="O30" s="31">
        <f>20000+12000</f>
        <v>32000</v>
      </c>
      <c r="P30" s="31">
        <f>20000+12000</f>
        <v>32000</v>
      </c>
      <c r="Q30" s="31">
        <v>0</v>
      </c>
      <c r="R30" s="30">
        <f t="shared" si="3"/>
        <v>1</v>
      </c>
      <c r="S30" s="36" t="str">
        <f t="shared" si="4"/>
        <v xml:space="preserve"> -</v>
      </c>
    </row>
    <row r="31" spans="2:19" ht="60" x14ac:dyDescent="0.2">
      <c r="B31" s="169"/>
      <c r="C31" s="155"/>
      <c r="D31" s="160"/>
      <c r="E31" s="29">
        <v>43831</v>
      </c>
      <c r="F31" s="29">
        <v>44196</v>
      </c>
      <c r="G31" s="15" t="s">
        <v>45</v>
      </c>
      <c r="H31" s="31">
        <v>1</v>
      </c>
      <c r="I31" s="31">
        <v>1</v>
      </c>
      <c r="J31" s="84">
        <v>1</v>
      </c>
      <c r="K31" s="96">
        <f t="shared" si="0"/>
        <v>1</v>
      </c>
      <c r="L31" s="99">
        <f t="shared" si="1"/>
        <v>1</v>
      </c>
      <c r="M31" s="36">
        <f t="shared" si="2"/>
        <v>1</v>
      </c>
      <c r="N31" s="90">
        <v>0</v>
      </c>
      <c r="O31" s="31">
        <f>339522+130563</f>
        <v>470085</v>
      </c>
      <c r="P31" s="31">
        <f>192555+130563+1600</f>
        <v>324718</v>
      </c>
      <c r="Q31" s="31">
        <v>0</v>
      </c>
      <c r="R31" s="30">
        <f t="shared" si="3"/>
        <v>0.69076443621898165</v>
      </c>
      <c r="S31" s="36" t="str">
        <f t="shared" si="4"/>
        <v xml:space="preserve"> -</v>
      </c>
    </row>
    <row r="32" spans="2:19" ht="45" x14ac:dyDescent="0.2">
      <c r="B32" s="169"/>
      <c r="C32" s="155"/>
      <c r="D32" s="160"/>
      <c r="E32" s="29">
        <v>43831</v>
      </c>
      <c r="F32" s="29">
        <v>44196</v>
      </c>
      <c r="G32" s="15" t="s">
        <v>46</v>
      </c>
      <c r="H32" s="31">
        <v>1</v>
      </c>
      <c r="I32" s="31">
        <v>1</v>
      </c>
      <c r="J32" s="84">
        <v>1</v>
      </c>
      <c r="K32" s="96">
        <f t="shared" si="0"/>
        <v>1</v>
      </c>
      <c r="L32" s="99">
        <f t="shared" si="1"/>
        <v>1</v>
      </c>
      <c r="M32" s="36">
        <f t="shared" si="2"/>
        <v>1</v>
      </c>
      <c r="N32" s="90">
        <v>0</v>
      </c>
      <c r="O32" s="31">
        <f>40000+24000</f>
        <v>64000</v>
      </c>
      <c r="P32" s="31">
        <f>40000+24000</f>
        <v>64000</v>
      </c>
      <c r="Q32" s="31">
        <v>0</v>
      </c>
      <c r="R32" s="30">
        <f t="shared" si="3"/>
        <v>1</v>
      </c>
      <c r="S32" s="36" t="str">
        <f t="shared" si="4"/>
        <v xml:space="preserve"> -</v>
      </c>
    </row>
    <row r="33" spans="2:19" ht="60.75" thickBot="1" x14ac:dyDescent="0.25">
      <c r="B33" s="169"/>
      <c r="C33" s="155"/>
      <c r="D33" s="161"/>
      <c r="E33" s="37">
        <v>43831</v>
      </c>
      <c r="F33" s="37">
        <v>44196</v>
      </c>
      <c r="G33" s="17" t="s">
        <v>47</v>
      </c>
      <c r="H33" s="63">
        <v>1</v>
      </c>
      <c r="I33" s="63">
        <v>1</v>
      </c>
      <c r="J33" s="107">
        <v>1</v>
      </c>
      <c r="K33" s="105">
        <f t="shared" si="0"/>
        <v>1</v>
      </c>
      <c r="L33" s="106">
        <f t="shared" si="1"/>
        <v>1</v>
      </c>
      <c r="M33" s="65">
        <f t="shared" si="2"/>
        <v>1</v>
      </c>
      <c r="N33" s="91">
        <v>0</v>
      </c>
      <c r="O33" s="64">
        <f>54400+32937</f>
        <v>87337</v>
      </c>
      <c r="P33" s="64">
        <f>46267+32937+1600</f>
        <v>80804</v>
      </c>
      <c r="Q33" s="64">
        <v>0</v>
      </c>
      <c r="R33" s="63">
        <f t="shared" si="3"/>
        <v>0.92519779703905558</v>
      </c>
      <c r="S33" s="65" t="str">
        <f t="shared" si="4"/>
        <v xml:space="preserve"> -</v>
      </c>
    </row>
    <row r="34" spans="2:19" ht="75" x14ac:dyDescent="0.2">
      <c r="B34" s="169"/>
      <c r="C34" s="155"/>
      <c r="D34" s="157" t="s">
        <v>75</v>
      </c>
      <c r="E34" s="120">
        <v>43831</v>
      </c>
      <c r="F34" s="120">
        <v>44196</v>
      </c>
      <c r="G34" s="14" t="s">
        <v>48</v>
      </c>
      <c r="H34" s="34">
        <v>1</v>
      </c>
      <c r="I34" s="34">
        <v>1</v>
      </c>
      <c r="J34" s="86">
        <v>0</v>
      </c>
      <c r="K34" s="95">
        <f t="shared" si="0"/>
        <v>0</v>
      </c>
      <c r="L34" s="98">
        <f t="shared" si="1"/>
        <v>1</v>
      </c>
      <c r="M34" s="35">
        <f t="shared" si="2"/>
        <v>0</v>
      </c>
      <c r="N34" s="89">
        <v>0</v>
      </c>
      <c r="O34" s="34">
        <f>600000</f>
        <v>600000</v>
      </c>
      <c r="P34" s="34">
        <v>0</v>
      </c>
      <c r="Q34" s="34">
        <v>0</v>
      </c>
      <c r="R34" s="33">
        <f t="shared" si="3"/>
        <v>0</v>
      </c>
      <c r="S34" s="35" t="str">
        <f t="shared" si="4"/>
        <v xml:space="preserve"> -</v>
      </c>
    </row>
    <row r="35" spans="2:19" ht="60" x14ac:dyDescent="0.2">
      <c r="B35" s="169"/>
      <c r="C35" s="155"/>
      <c r="D35" s="171"/>
      <c r="E35" s="29">
        <v>43831</v>
      </c>
      <c r="F35" s="29">
        <v>44196</v>
      </c>
      <c r="G35" s="15" t="s">
        <v>49</v>
      </c>
      <c r="H35" s="31">
        <v>1</v>
      </c>
      <c r="I35" s="31">
        <v>1</v>
      </c>
      <c r="J35" s="84">
        <v>1</v>
      </c>
      <c r="K35" s="96">
        <f t="shared" si="0"/>
        <v>1</v>
      </c>
      <c r="L35" s="99">
        <f t="shared" si="1"/>
        <v>1</v>
      </c>
      <c r="M35" s="36">
        <f t="shared" si="2"/>
        <v>1</v>
      </c>
      <c r="N35" s="90">
        <v>0</v>
      </c>
      <c r="O35" s="31">
        <f>268267+92833</f>
        <v>361100</v>
      </c>
      <c r="P35" s="134">
        <f>176267+92833+16800+9600</f>
        <v>295500</v>
      </c>
      <c r="Q35" s="31">
        <v>0</v>
      </c>
      <c r="R35" s="30">
        <f t="shared" si="3"/>
        <v>0.81833287178067016</v>
      </c>
      <c r="S35" s="36" t="str">
        <f t="shared" si="4"/>
        <v xml:space="preserve"> -</v>
      </c>
    </row>
    <row r="36" spans="2:19" ht="60" x14ac:dyDescent="0.2">
      <c r="B36" s="169"/>
      <c r="C36" s="155"/>
      <c r="D36" s="171"/>
      <c r="E36" s="29">
        <v>43831</v>
      </c>
      <c r="F36" s="29">
        <v>44196</v>
      </c>
      <c r="G36" s="15" t="s">
        <v>50</v>
      </c>
      <c r="H36" s="30">
        <v>1</v>
      </c>
      <c r="I36" s="30">
        <v>1</v>
      </c>
      <c r="J36" s="83">
        <v>1</v>
      </c>
      <c r="K36" s="96">
        <f t="shared" si="0"/>
        <v>1</v>
      </c>
      <c r="L36" s="99">
        <f t="shared" si="1"/>
        <v>1</v>
      </c>
      <c r="M36" s="36">
        <f t="shared" si="2"/>
        <v>1</v>
      </c>
      <c r="N36" s="90">
        <v>0</v>
      </c>
      <c r="O36" s="31">
        <f>62400+28500</f>
        <v>90900</v>
      </c>
      <c r="P36" s="31">
        <f>59200+28500</f>
        <v>87700</v>
      </c>
      <c r="Q36" s="31">
        <v>0</v>
      </c>
      <c r="R36" s="30">
        <f t="shared" si="3"/>
        <v>0.96479647964796478</v>
      </c>
      <c r="S36" s="36" t="str">
        <f t="shared" si="4"/>
        <v xml:space="preserve"> -</v>
      </c>
    </row>
    <row r="37" spans="2:19" ht="45" x14ac:dyDescent="0.2">
      <c r="B37" s="169"/>
      <c r="C37" s="155"/>
      <c r="D37" s="171"/>
      <c r="E37" s="29">
        <v>43831</v>
      </c>
      <c r="F37" s="29">
        <v>44196</v>
      </c>
      <c r="G37" s="15" t="s">
        <v>51</v>
      </c>
      <c r="H37" s="31">
        <v>1</v>
      </c>
      <c r="I37" s="31">
        <v>1</v>
      </c>
      <c r="J37" s="84">
        <v>1</v>
      </c>
      <c r="K37" s="96">
        <f t="shared" si="0"/>
        <v>1</v>
      </c>
      <c r="L37" s="99">
        <f t="shared" si="1"/>
        <v>1</v>
      </c>
      <c r="M37" s="36">
        <f t="shared" si="2"/>
        <v>1</v>
      </c>
      <c r="N37" s="90">
        <v>0</v>
      </c>
      <c r="O37" s="31">
        <f>81667+37500</f>
        <v>119167</v>
      </c>
      <c r="P37" s="31">
        <f>72000+37500</f>
        <v>109500</v>
      </c>
      <c r="Q37" s="31">
        <v>0</v>
      </c>
      <c r="R37" s="30">
        <f t="shared" si="3"/>
        <v>0.91887854859147244</v>
      </c>
      <c r="S37" s="36" t="str">
        <f t="shared" si="4"/>
        <v xml:space="preserve"> -</v>
      </c>
    </row>
    <row r="38" spans="2:19" ht="45" x14ac:dyDescent="0.2">
      <c r="B38" s="169"/>
      <c r="C38" s="155"/>
      <c r="D38" s="171"/>
      <c r="E38" s="29">
        <v>43831</v>
      </c>
      <c r="F38" s="29">
        <v>44196</v>
      </c>
      <c r="G38" s="15" t="s">
        <v>52</v>
      </c>
      <c r="H38" s="31">
        <v>5</v>
      </c>
      <c r="I38" s="31">
        <v>5</v>
      </c>
      <c r="J38" s="84">
        <v>5</v>
      </c>
      <c r="K38" s="96">
        <f t="shared" si="0"/>
        <v>1</v>
      </c>
      <c r="L38" s="99">
        <f t="shared" si="1"/>
        <v>1</v>
      </c>
      <c r="M38" s="36">
        <f t="shared" si="2"/>
        <v>1</v>
      </c>
      <c r="N38" s="90">
        <v>0</v>
      </c>
      <c r="O38" s="31">
        <f>4667+8500</f>
        <v>13167</v>
      </c>
      <c r="P38" s="31">
        <f>2250+8500</f>
        <v>10750</v>
      </c>
      <c r="Q38" s="31">
        <v>0</v>
      </c>
      <c r="R38" s="30">
        <f t="shared" si="3"/>
        <v>0.81643502696134274</v>
      </c>
      <c r="S38" s="36" t="str">
        <f t="shared" si="4"/>
        <v xml:space="preserve"> -</v>
      </c>
    </row>
    <row r="39" spans="2:19" ht="30" x14ac:dyDescent="0.2">
      <c r="B39" s="169"/>
      <c r="C39" s="155"/>
      <c r="D39" s="171"/>
      <c r="E39" s="29">
        <v>43831</v>
      </c>
      <c r="F39" s="29">
        <v>44196</v>
      </c>
      <c r="G39" s="15" t="s">
        <v>53</v>
      </c>
      <c r="H39" s="31">
        <v>1</v>
      </c>
      <c r="I39" s="31">
        <v>1</v>
      </c>
      <c r="J39" s="84">
        <v>1</v>
      </c>
      <c r="K39" s="96">
        <f t="shared" si="0"/>
        <v>1</v>
      </c>
      <c r="L39" s="99">
        <f t="shared" si="1"/>
        <v>1</v>
      </c>
      <c r="M39" s="36">
        <f t="shared" si="2"/>
        <v>1</v>
      </c>
      <c r="N39" s="90">
        <v>0</v>
      </c>
      <c r="O39" s="31">
        <f>85900+40100</f>
        <v>126000</v>
      </c>
      <c r="P39" s="31">
        <f>71450+40100+800</f>
        <v>112350</v>
      </c>
      <c r="Q39" s="31">
        <v>0</v>
      </c>
      <c r="R39" s="30">
        <f t="shared" si="3"/>
        <v>0.89166666666666672</v>
      </c>
      <c r="S39" s="36" t="str">
        <f t="shared" si="4"/>
        <v xml:space="preserve"> -</v>
      </c>
    </row>
    <row r="40" spans="2:19" ht="120" x14ac:dyDescent="0.2">
      <c r="B40" s="169"/>
      <c r="C40" s="155"/>
      <c r="D40" s="171"/>
      <c r="E40" s="29">
        <v>43831</v>
      </c>
      <c r="F40" s="29">
        <v>44196</v>
      </c>
      <c r="G40" s="15" t="s">
        <v>54</v>
      </c>
      <c r="H40" s="31">
        <v>1</v>
      </c>
      <c r="I40" s="31">
        <v>1</v>
      </c>
      <c r="J40" s="84">
        <v>1</v>
      </c>
      <c r="K40" s="96">
        <f t="shared" si="0"/>
        <v>1</v>
      </c>
      <c r="L40" s="99">
        <f t="shared" si="1"/>
        <v>1</v>
      </c>
      <c r="M40" s="36">
        <f t="shared" si="2"/>
        <v>1</v>
      </c>
      <c r="N40" s="90">
        <v>0</v>
      </c>
      <c r="O40" s="31">
        <f>35000</f>
        <v>35000</v>
      </c>
      <c r="P40" s="31">
        <f>35000</f>
        <v>35000</v>
      </c>
      <c r="Q40" s="31">
        <v>0</v>
      </c>
      <c r="R40" s="30">
        <f t="shared" si="3"/>
        <v>1</v>
      </c>
      <c r="S40" s="36" t="str">
        <f t="shared" si="4"/>
        <v xml:space="preserve"> -</v>
      </c>
    </row>
    <row r="41" spans="2:19" ht="75.75" thickBot="1" x14ac:dyDescent="0.25">
      <c r="B41" s="169"/>
      <c r="C41" s="155"/>
      <c r="D41" s="158"/>
      <c r="E41" s="37">
        <v>43831</v>
      </c>
      <c r="F41" s="37">
        <v>44196</v>
      </c>
      <c r="G41" s="16" t="s">
        <v>55</v>
      </c>
      <c r="H41" s="38">
        <v>1</v>
      </c>
      <c r="I41" s="38">
        <v>1</v>
      </c>
      <c r="J41" s="85">
        <v>1</v>
      </c>
      <c r="K41" s="97">
        <f t="shared" si="0"/>
        <v>1</v>
      </c>
      <c r="L41" s="100">
        <f t="shared" si="1"/>
        <v>1</v>
      </c>
      <c r="M41" s="40">
        <f t="shared" si="2"/>
        <v>1</v>
      </c>
      <c r="N41" s="132">
        <v>0</v>
      </c>
      <c r="O41" s="38">
        <f>25000</f>
        <v>25000</v>
      </c>
      <c r="P41" s="38">
        <f>24200</f>
        <v>24200</v>
      </c>
      <c r="Q41" s="38">
        <v>0</v>
      </c>
      <c r="R41" s="39">
        <f t="shared" si="3"/>
        <v>0.96799999999999997</v>
      </c>
      <c r="S41" s="40" t="str">
        <f t="shared" si="4"/>
        <v xml:space="preserve"> -</v>
      </c>
    </row>
    <row r="42" spans="2:19" ht="45" x14ac:dyDescent="0.2">
      <c r="B42" s="169"/>
      <c r="C42" s="155"/>
      <c r="D42" s="175" t="s">
        <v>76</v>
      </c>
      <c r="E42" s="120">
        <v>43831</v>
      </c>
      <c r="F42" s="120">
        <v>44196</v>
      </c>
      <c r="G42" s="19" t="s">
        <v>56</v>
      </c>
      <c r="H42" s="69">
        <v>2</v>
      </c>
      <c r="I42" s="69">
        <v>0</v>
      </c>
      <c r="J42" s="121">
        <v>0</v>
      </c>
      <c r="K42" s="122" t="e">
        <f t="shared" si="0"/>
        <v>#DIV/0!</v>
      </c>
      <c r="L42" s="123">
        <f t="shared" si="1"/>
        <v>1</v>
      </c>
      <c r="M42" s="68" t="str">
        <f t="shared" si="2"/>
        <v xml:space="preserve"> -</v>
      </c>
      <c r="N42" s="92">
        <v>0</v>
      </c>
      <c r="O42" s="69">
        <v>0</v>
      </c>
      <c r="P42" s="69">
        <v>0</v>
      </c>
      <c r="Q42" s="69">
        <v>0</v>
      </c>
      <c r="R42" s="66" t="str">
        <f t="shared" si="3"/>
        <v xml:space="preserve"> -</v>
      </c>
      <c r="S42" s="68" t="str">
        <f t="shared" si="4"/>
        <v xml:space="preserve"> -</v>
      </c>
    </row>
    <row r="43" spans="2:19" ht="30" x14ac:dyDescent="0.2">
      <c r="B43" s="169"/>
      <c r="C43" s="155"/>
      <c r="D43" s="160"/>
      <c r="E43" s="29">
        <v>43831</v>
      </c>
      <c r="F43" s="29">
        <v>44196</v>
      </c>
      <c r="G43" s="15" t="s">
        <v>57</v>
      </c>
      <c r="H43" s="31">
        <v>100000</v>
      </c>
      <c r="I43" s="31">
        <v>7500</v>
      </c>
      <c r="J43" s="84">
        <v>10610</v>
      </c>
      <c r="K43" s="96">
        <f t="shared" si="0"/>
        <v>1.4146666666666667</v>
      </c>
      <c r="L43" s="99">
        <f t="shared" si="1"/>
        <v>1</v>
      </c>
      <c r="M43" s="36">
        <f t="shared" si="2"/>
        <v>1</v>
      </c>
      <c r="N43" s="90">
        <v>0</v>
      </c>
      <c r="O43" s="31">
        <v>144050</v>
      </c>
      <c r="P43" s="134">
        <v>21000</v>
      </c>
      <c r="Q43" s="31">
        <v>0</v>
      </c>
      <c r="R43" s="30">
        <f t="shared" si="3"/>
        <v>0.14578271433530024</v>
      </c>
      <c r="S43" s="36" t="str">
        <f t="shared" si="4"/>
        <v xml:space="preserve"> -</v>
      </c>
    </row>
    <row r="44" spans="2:19" ht="30" x14ac:dyDescent="0.2">
      <c r="B44" s="169"/>
      <c r="C44" s="155"/>
      <c r="D44" s="160"/>
      <c r="E44" s="29">
        <v>43831</v>
      </c>
      <c r="F44" s="29">
        <v>44196</v>
      </c>
      <c r="G44" s="139" t="s">
        <v>58</v>
      </c>
      <c r="H44" s="134">
        <v>20000</v>
      </c>
      <c r="I44" s="134">
        <v>500</v>
      </c>
      <c r="J44" s="140">
        <v>79</v>
      </c>
      <c r="K44" s="96">
        <f t="shared" si="0"/>
        <v>0.158</v>
      </c>
      <c r="L44" s="99">
        <f t="shared" si="1"/>
        <v>1</v>
      </c>
      <c r="M44" s="36">
        <f t="shared" si="2"/>
        <v>0.158</v>
      </c>
      <c r="N44" s="90">
        <v>0</v>
      </c>
      <c r="O44" s="31">
        <v>277350</v>
      </c>
      <c r="P44" s="134">
        <v>15583</v>
      </c>
      <c r="Q44" s="31">
        <v>0</v>
      </c>
      <c r="R44" s="30">
        <f t="shared" si="3"/>
        <v>5.6185325401117724E-2</v>
      </c>
      <c r="S44" s="36" t="str">
        <f t="shared" si="4"/>
        <v xml:space="preserve"> -</v>
      </c>
    </row>
    <row r="45" spans="2:19" ht="60" x14ac:dyDescent="0.2">
      <c r="B45" s="169"/>
      <c r="C45" s="155"/>
      <c r="D45" s="160"/>
      <c r="E45" s="29">
        <v>43831</v>
      </c>
      <c r="F45" s="29">
        <v>44196</v>
      </c>
      <c r="G45" s="15" t="s">
        <v>59</v>
      </c>
      <c r="H45" s="31">
        <v>40000</v>
      </c>
      <c r="I45" s="31">
        <v>5000</v>
      </c>
      <c r="J45" s="84">
        <v>4032</v>
      </c>
      <c r="K45" s="96">
        <f t="shared" si="0"/>
        <v>0.80640000000000001</v>
      </c>
      <c r="L45" s="99">
        <f t="shared" si="1"/>
        <v>1</v>
      </c>
      <c r="M45" s="36">
        <f t="shared" si="2"/>
        <v>0.80640000000000001</v>
      </c>
      <c r="N45" s="90">
        <v>0</v>
      </c>
      <c r="O45" s="31">
        <v>216500</v>
      </c>
      <c r="P45" s="134">
        <f>11400+6666</f>
        <v>18066</v>
      </c>
      <c r="Q45" s="31">
        <v>0</v>
      </c>
      <c r="R45" s="30">
        <f t="shared" si="3"/>
        <v>8.3445727482678977E-2</v>
      </c>
      <c r="S45" s="36" t="str">
        <f t="shared" si="4"/>
        <v xml:space="preserve"> -</v>
      </c>
    </row>
    <row r="46" spans="2:19" ht="45" x14ac:dyDescent="0.2">
      <c r="B46" s="169"/>
      <c r="C46" s="155"/>
      <c r="D46" s="160"/>
      <c r="E46" s="29">
        <v>43831</v>
      </c>
      <c r="F46" s="29">
        <v>44196</v>
      </c>
      <c r="G46" s="15" t="s">
        <v>60</v>
      </c>
      <c r="H46" s="31">
        <v>1</v>
      </c>
      <c r="I46" s="31">
        <v>1</v>
      </c>
      <c r="J46" s="84">
        <v>1</v>
      </c>
      <c r="K46" s="96">
        <f t="shared" si="0"/>
        <v>1</v>
      </c>
      <c r="L46" s="99">
        <f t="shared" si="1"/>
        <v>1</v>
      </c>
      <c r="M46" s="36">
        <f t="shared" si="2"/>
        <v>1</v>
      </c>
      <c r="N46" s="90">
        <v>0</v>
      </c>
      <c r="O46" s="31">
        <v>144000</v>
      </c>
      <c r="P46" s="31">
        <v>6666</v>
      </c>
      <c r="Q46" s="31">
        <v>0</v>
      </c>
      <c r="R46" s="30">
        <f t="shared" si="3"/>
        <v>4.6291666666666668E-2</v>
      </c>
      <c r="S46" s="36" t="str">
        <f t="shared" si="4"/>
        <v xml:space="preserve"> -</v>
      </c>
    </row>
    <row r="47" spans="2:19" ht="45.75" thickBot="1" x14ac:dyDescent="0.25">
      <c r="B47" s="169"/>
      <c r="C47" s="155"/>
      <c r="D47" s="161"/>
      <c r="E47" s="37">
        <v>43831</v>
      </c>
      <c r="F47" s="37">
        <v>44196</v>
      </c>
      <c r="G47" s="17" t="s">
        <v>61</v>
      </c>
      <c r="H47" s="63">
        <v>1</v>
      </c>
      <c r="I47" s="63">
        <v>0</v>
      </c>
      <c r="J47" s="107">
        <v>0</v>
      </c>
      <c r="K47" s="105" t="e">
        <f t="shared" si="0"/>
        <v>#DIV/0!</v>
      </c>
      <c r="L47" s="106">
        <f t="shared" si="1"/>
        <v>1</v>
      </c>
      <c r="M47" s="65" t="str">
        <f t="shared" si="2"/>
        <v xml:space="preserve"> -</v>
      </c>
      <c r="N47" s="91">
        <v>0</v>
      </c>
      <c r="O47" s="64">
        <v>0</v>
      </c>
      <c r="P47" s="64">
        <v>0</v>
      </c>
      <c r="Q47" s="64">
        <v>0</v>
      </c>
      <c r="R47" s="63" t="str">
        <f t="shared" si="3"/>
        <v xml:space="preserve"> -</v>
      </c>
      <c r="S47" s="65" t="str">
        <f t="shared" si="4"/>
        <v xml:space="preserve"> -</v>
      </c>
    </row>
    <row r="48" spans="2:19" ht="45" x14ac:dyDescent="0.2">
      <c r="B48" s="169"/>
      <c r="C48" s="155"/>
      <c r="D48" s="157" t="s">
        <v>77</v>
      </c>
      <c r="E48" s="120">
        <v>43831</v>
      </c>
      <c r="F48" s="120">
        <v>44196</v>
      </c>
      <c r="G48" s="14" t="s">
        <v>62</v>
      </c>
      <c r="H48" s="34">
        <v>2</v>
      </c>
      <c r="I48" s="34">
        <v>2</v>
      </c>
      <c r="J48" s="86">
        <v>2</v>
      </c>
      <c r="K48" s="95">
        <f t="shared" si="0"/>
        <v>1</v>
      </c>
      <c r="L48" s="98">
        <f t="shared" si="1"/>
        <v>1</v>
      </c>
      <c r="M48" s="35">
        <f t="shared" si="2"/>
        <v>1</v>
      </c>
      <c r="N48" s="89">
        <v>0</v>
      </c>
      <c r="O48" s="34">
        <f>38000+25600</f>
        <v>63600</v>
      </c>
      <c r="P48" s="34">
        <f>25600+12800+933</f>
        <v>39333</v>
      </c>
      <c r="Q48" s="34">
        <v>0</v>
      </c>
      <c r="R48" s="33">
        <f t="shared" si="3"/>
        <v>0.61844339622641509</v>
      </c>
      <c r="S48" s="35" t="str">
        <f t="shared" si="4"/>
        <v xml:space="preserve"> -</v>
      </c>
    </row>
    <row r="49" spans="2:22" ht="54.75" customHeight="1" thickBot="1" x14ac:dyDescent="0.25">
      <c r="B49" s="169"/>
      <c r="C49" s="155"/>
      <c r="D49" s="158"/>
      <c r="E49" s="37">
        <v>43831</v>
      </c>
      <c r="F49" s="37">
        <v>44196</v>
      </c>
      <c r="G49" s="16" t="s">
        <v>63</v>
      </c>
      <c r="H49" s="38">
        <v>1</v>
      </c>
      <c r="I49" s="38">
        <v>1</v>
      </c>
      <c r="J49" s="85">
        <v>1</v>
      </c>
      <c r="K49" s="97">
        <f t="shared" si="0"/>
        <v>1</v>
      </c>
      <c r="L49" s="100">
        <f t="shared" si="1"/>
        <v>1</v>
      </c>
      <c r="M49" s="40">
        <f t="shared" si="2"/>
        <v>1</v>
      </c>
      <c r="N49" s="132">
        <v>0</v>
      </c>
      <c r="O49" s="38">
        <f>468269+96000</f>
        <v>564269</v>
      </c>
      <c r="P49" s="38">
        <f>96000+18800</f>
        <v>114800</v>
      </c>
      <c r="Q49" s="38">
        <v>0</v>
      </c>
      <c r="R49" s="39">
        <f t="shared" si="3"/>
        <v>0.20344906418747086</v>
      </c>
      <c r="S49" s="40" t="str">
        <f t="shared" si="4"/>
        <v xml:space="preserve"> -</v>
      </c>
    </row>
    <row r="50" spans="2:22" ht="105.75" thickBot="1" x14ac:dyDescent="0.25">
      <c r="B50" s="169"/>
      <c r="C50" s="156"/>
      <c r="D50" s="124" t="s">
        <v>78</v>
      </c>
      <c r="E50" s="116">
        <v>43831</v>
      </c>
      <c r="F50" s="116">
        <v>44196</v>
      </c>
      <c r="G50" s="21" t="s">
        <v>64</v>
      </c>
      <c r="H50" s="126">
        <v>1</v>
      </c>
      <c r="I50" s="126">
        <v>1</v>
      </c>
      <c r="J50" s="127">
        <v>1</v>
      </c>
      <c r="K50" s="128">
        <f t="shared" si="0"/>
        <v>1</v>
      </c>
      <c r="L50" s="129">
        <f t="shared" si="1"/>
        <v>1</v>
      </c>
      <c r="M50" s="130">
        <f t="shared" si="2"/>
        <v>1</v>
      </c>
      <c r="N50" s="93">
        <v>0</v>
      </c>
      <c r="O50" s="72">
        <v>35200</v>
      </c>
      <c r="P50" s="72">
        <v>1900</v>
      </c>
      <c r="Q50" s="72">
        <v>0</v>
      </c>
      <c r="R50" s="71">
        <f t="shared" si="3"/>
        <v>5.3977272727272728E-2</v>
      </c>
      <c r="S50" s="73" t="str">
        <f t="shared" si="4"/>
        <v xml:space="preserve"> -</v>
      </c>
    </row>
    <row r="51" spans="2:22" ht="12.95" customHeight="1" thickBot="1" x14ac:dyDescent="0.25">
      <c r="B51" s="169"/>
      <c r="C51" s="47"/>
      <c r="D51" s="48"/>
      <c r="E51" s="49"/>
      <c r="F51" s="49"/>
      <c r="G51" s="50"/>
      <c r="H51" s="51"/>
      <c r="I51" s="51"/>
      <c r="J51" s="51"/>
      <c r="K51" s="80"/>
      <c r="L51" s="52"/>
      <c r="M51" s="52"/>
      <c r="N51" s="53"/>
      <c r="O51" s="51"/>
      <c r="P51" s="51"/>
      <c r="Q51" s="51"/>
      <c r="R51" s="52"/>
      <c r="S51" s="54"/>
    </row>
    <row r="52" spans="2:22" ht="107.25" customHeight="1" thickBot="1" x14ac:dyDescent="0.25">
      <c r="B52" s="170"/>
      <c r="C52" s="46" t="s">
        <v>79</v>
      </c>
      <c r="D52" s="45" t="s">
        <v>80</v>
      </c>
      <c r="E52" s="116">
        <v>43831</v>
      </c>
      <c r="F52" s="116">
        <v>44196</v>
      </c>
      <c r="G52" s="18" t="s">
        <v>65</v>
      </c>
      <c r="H52" s="42">
        <v>1</v>
      </c>
      <c r="I52" s="42">
        <v>1</v>
      </c>
      <c r="J52" s="88">
        <v>1</v>
      </c>
      <c r="K52" s="101">
        <f t="shared" si="0"/>
        <v>1</v>
      </c>
      <c r="L52" s="102">
        <f t="shared" si="1"/>
        <v>1</v>
      </c>
      <c r="M52" s="44">
        <f t="shared" si="2"/>
        <v>1</v>
      </c>
      <c r="N52" s="93" t="s">
        <v>105</v>
      </c>
      <c r="O52" s="133">
        <v>200000</v>
      </c>
      <c r="P52" s="133">
        <v>200000</v>
      </c>
      <c r="Q52" s="72">
        <v>0</v>
      </c>
      <c r="R52" s="71">
        <f t="shared" si="3"/>
        <v>1</v>
      </c>
      <c r="S52" s="73" t="str">
        <f t="shared" si="4"/>
        <v xml:space="preserve"> -</v>
      </c>
      <c r="U52" s="138"/>
      <c r="V52" s="138"/>
    </row>
    <row r="53" spans="2:22" ht="12.95" customHeight="1" thickBot="1" x14ac:dyDescent="0.25">
      <c r="B53" s="55"/>
      <c r="C53" s="56"/>
      <c r="D53" s="108"/>
      <c r="E53" s="57"/>
      <c r="F53" s="57"/>
      <c r="G53" s="109"/>
      <c r="H53" s="110"/>
      <c r="I53" s="110"/>
      <c r="J53" s="110"/>
      <c r="K53" s="111"/>
      <c r="L53" s="112"/>
      <c r="M53" s="112"/>
      <c r="N53" s="113"/>
      <c r="O53" s="110"/>
      <c r="P53" s="110"/>
      <c r="Q53" s="110"/>
      <c r="R53" s="112"/>
      <c r="S53" s="114"/>
    </row>
    <row r="54" spans="2:22" ht="60" x14ac:dyDescent="0.2">
      <c r="B54" s="168" t="s">
        <v>100</v>
      </c>
      <c r="C54" s="154" t="s">
        <v>93</v>
      </c>
      <c r="D54" s="157" t="s">
        <v>95</v>
      </c>
      <c r="E54" s="120">
        <v>43831</v>
      </c>
      <c r="F54" s="120">
        <v>44196</v>
      </c>
      <c r="G54" s="14" t="s">
        <v>81</v>
      </c>
      <c r="H54" s="34">
        <v>1</v>
      </c>
      <c r="I54" s="34">
        <v>1</v>
      </c>
      <c r="J54" s="86">
        <v>1</v>
      </c>
      <c r="K54" s="95">
        <f t="shared" si="0"/>
        <v>1</v>
      </c>
      <c r="L54" s="98">
        <f t="shared" si="1"/>
        <v>1</v>
      </c>
      <c r="M54" s="35">
        <f t="shared" si="2"/>
        <v>1</v>
      </c>
      <c r="N54" s="89">
        <v>0</v>
      </c>
      <c r="O54" s="34">
        <f>84421+60000</f>
        <v>144421</v>
      </c>
      <c r="P54" s="34">
        <f>60000+54000+6667+4200</f>
        <v>124867</v>
      </c>
      <c r="Q54" s="34">
        <v>0</v>
      </c>
      <c r="R54" s="33">
        <f t="shared" si="3"/>
        <v>0.86460417806274714</v>
      </c>
      <c r="S54" s="35" t="str">
        <f t="shared" si="4"/>
        <v xml:space="preserve"> -</v>
      </c>
    </row>
    <row r="55" spans="2:22" ht="60" x14ac:dyDescent="0.2">
      <c r="B55" s="169"/>
      <c r="C55" s="155"/>
      <c r="D55" s="171"/>
      <c r="E55" s="29">
        <v>43831</v>
      </c>
      <c r="F55" s="29">
        <v>44196</v>
      </c>
      <c r="G55" s="15" t="s">
        <v>82</v>
      </c>
      <c r="H55" s="31">
        <v>1</v>
      </c>
      <c r="I55" s="31">
        <v>1</v>
      </c>
      <c r="J55" s="84">
        <v>1</v>
      </c>
      <c r="K55" s="96">
        <f t="shared" si="0"/>
        <v>1</v>
      </c>
      <c r="L55" s="99">
        <f t="shared" si="1"/>
        <v>1</v>
      </c>
      <c r="M55" s="36">
        <f t="shared" si="2"/>
        <v>1</v>
      </c>
      <c r="N55" s="90">
        <v>0</v>
      </c>
      <c r="O55" s="31">
        <f>112000</f>
        <v>112000</v>
      </c>
      <c r="P55" s="31">
        <f>12000+6240</f>
        <v>18240</v>
      </c>
      <c r="Q55" s="31">
        <v>0</v>
      </c>
      <c r="R55" s="30">
        <f t="shared" si="3"/>
        <v>0.16285714285714287</v>
      </c>
      <c r="S55" s="36" t="str">
        <f t="shared" si="4"/>
        <v xml:space="preserve"> -</v>
      </c>
    </row>
    <row r="56" spans="2:22" ht="90" x14ac:dyDescent="0.2">
      <c r="B56" s="169"/>
      <c r="C56" s="155"/>
      <c r="D56" s="171"/>
      <c r="E56" s="29">
        <v>43831</v>
      </c>
      <c r="F56" s="29">
        <v>44196</v>
      </c>
      <c r="G56" s="15" t="s">
        <v>83</v>
      </c>
      <c r="H56" s="31">
        <v>1</v>
      </c>
      <c r="I56" s="31">
        <v>0</v>
      </c>
      <c r="J56" s="84">
        <v>0</v>
      </c>
      <c r="K56" s="96" t="e">
        <f t="shared" si="0"/>
        <v>#DIV/0!</v>
      </c>
      <c r="L56" s="99">
        <f t="shared" si="1"/>
        <v>1</v>
      </c>
      <c r="M56" s="36" t="str">
        <f t="shared" si="2"/>
        <v xml:space="preserve"> -</v>
      </c>
      <c r="N56" s="90">
        <v>0</v>
      </c>
      <c r="O56" s="31">
        <v>0</v>
      </c>
      <c r="P56" s="31">
        <v>0</v>
      </c>
      <c r="Q56" s="31">
        <v>0</v>
      </c>
      <c r="R56" s="30" t="str">
        <f t="shared" si="3"/>
        <v xml:space="preserve"> -</v>
      </c>
      <c r="S56" s="36" t="str">
        <f t="shared" si="4"/>
        <v xml:space="preserve"> -</v>
      </c>
    </row>
    <row r="57" spans="2:22" ht="68.25" customHeight="1" thickBot="1" x14ac:dyDescent="0.25">
      <c r="B57" s="169"/>
      <c r="C57" s="155"/>
      <c r="D57" s="158"/>
      <c r="E57" s="37">
        <v>43831</v>
      </c>
      <c r="F57" s="37">
        <v>44196</v>
      </c>
      <c r="G57" s="141" t="s">
        <v>84</v>
      </c>
      <c r="H57" s="136">
        <v>1</v>
      </c>
      <c r="I57" s="136">
        <v>1</v>
      </c>
      <c r="J57" s="142">
        <v>0.8</v>
      </c>
      <c r="K57" s="97">
        <f t="shared" si="0"/>
        <v>0.8</v>
      </c>
      <c r="L57" s="100">
        <f t="shared" si="1"/>
        <v>1</v>
      </c>
      <c r="M57" s="40">
        <f t="shared" si="2"/>
        <v>0.8</v>
      </c>
      <c r="N57" s="132">
        <v>0</v>
      </c>
      <c r="O57" s="38">
        <v>38154</v>
      </c>
      <c r="P57" s="38">
        <v>0</v>
      </c>
      <c r="Q57" s="38">
        <v>0</v>
      </c>
      <c r="R57" s="39">
        <f t="shared" si="3"/>
        <v>0</v>
      </c>
      <c r="S57" s="40" t="str">
        <f t="shared" si="4"/>
        <v xml:space="preserve"> -</v>
      </c>
    </row>
    <row r="58" spans="2:22" ht="171" customHeight="1" thickBot="1" x14ac:dyDescent="0.25">
      <c r="B58" s="169"/>
      <c r="C58" s="156"/>
      <c r="D58" s="124" t="s">
        <v>96</v>
      </c>
      <c r="E58" s="116">
        <v>43831</v>
      </c>
      <c r="F58" s="116">
        <v>44196</v>
      </c>
      <c r="G58" s="21" t="s">
        <v>85</v>
      </c>
      <c r="H58" s="67">
        <v>1</v>
      </c>
      <c r="I58" s="67">
        <v>1</v>
      </c>
      <c r="J58" s="131">
        <v>1</v>
      </c>
      <c r="K58" s="128">
        <f t="shared" si="0"/>
        <v>1</v>
      </c>
      <c r="L58" s="129">
        <f t="shared" si="1"/>
        <v>1</v>
      </c>
      <c r="M58" s="130">
        <f t="shared" si="2"/>
        <v>1</v>
      </c>
      <c r="N58" s="93">
        <v>0</v>
      </c>
      <c r="O58" s="72">
        <v>50000</v>
      </c>
      <c r="P58" s="72">
        <v>27733</v>
      </c>
      <c r="Q58" s="72">
        <v>0</v>
      </c>
      <c r="R58" s="71">
        <f t="shared" si="3"/>
        <v>0.55466000000000004</v>
      </c>
      <c r="S58" s="73" t="str">
        <f t="shared" si="4"/>
        <v xml:space="preserve"> -</v>
      </c>
    </row>
    <row r="59" spans="2:22" ht="12.95" customHeight="1" thickBot="1" x14ac:dyDescent="0.25">
      <c r="B59" s="169"/>
      <c r="C59" s="47"/>
      <c r="D59" s="48"/>
      <c r="E59" s="49"/>
      <c r="F59" s="49"/>
      <c r="G59" s="50"/>
      <c r="H59" s="51"/>
      <c r="I59" s="51"/>
      <c r="J59" s="51"/>
      <c r="K59" s="80"/>
      <c r="L59" s="52"/>
      <c r="M59" s="52"/>
      <c r="N59" s="53"/>
      <c r="O59" s="51"/>
      <c r="P59" s="51"/>
      <c r="Q59" s="51"/>
      <c r="R59" s="52"/>
      <c r="S59" s="54"/>
    </row>
    <row r="60" spans="2:22" ht="90" x14ac:dyDescent="0.2">
      <c r="B60" s="169"/>
      <c r="C60" s="154" t="s">
        <v>94</v>
      </c>
      <c r="D60" s="159" t="s">
        <v>97</v>
      </c>
      <c r="E60" s="120">
        <v>43831</v>
      </c>
      <c r="F60" s="120">
        <v>44196</v>
      </c>
      <c r="G60" s="143" t="s">
        <v>86</v>
      </c>
      <c r="H60" s="135">
        <v>1</v>
      </c>
      <c r="I60" s="135">
        <v>1</v>
      </c>
      <c r="J60" s="144">
        <v>1</v>
      </c>
      <c r="K60" s="95">
        <f t="shared" si="0"/>
        <v>1</v>
      </c>
      <c r="L60" s="98">
        <f t="shared" si="1"/>
        <v>1</v>
      </c>
      <c r="M60" s="35">
        <f t="shared" si="2"/>
        <v>1</v>
      </c>
      <c r="N60" s="92">
        <v>0</v>
      </c>
      <c r="O60" s="69">
        <v>0</v>
      </c>
      <c r="P60" s="69">
        <v>0</v>
      </c>
      <c r="Q60" s="69">
        <v>0</v>
      </c>
      <c r="R60" s="66" t="str">
        <f t="shared" si="3"/>
        <v xml:space="preserve"> -</v>
      </c>
      <c r="S60" s="68" t="str">
        <f t="shared" si="4"/>
        <v xml:space="preserve"> -</v>
      </c>
    </row>
    <row r="61" spans="2:22" ht="225" x14ac:dyDescent="0.2">
      <c r="B61" s="169"/>
      <c r="C61" s="155"/>
      <c r="D61" s="160"/>
      <c r="E61" s="29">
        <v>43831</v>
      </c>
      <c r="F61" s="29">
        <v>44196</v>
      </c>
      <c r="G61" s="15" t="s">
        <v>87</v>
      </c>
      <c r="H61" s="31">
        <v>1</v>
      </c>
      <c r="I61" s="31">
        <v>1</v>
      </c>
      <c r="J61" s="84">
        <v>1</v>
      </c>
      <c r="K61" s="96">
        <f t="shared" si="0"/>
        <v>1</v>
      </c>
      <c r="L61" s="99">
        <f t="shared" si="1"/>
        <v>1</v>
      </c>
      <c r="M61" s="36">
        <f t="shared" si="2"/>
        <v>1</v>
      </c>
      <c r="N61" s="90">
        <v>0</v>
      </c>
      <c r="O61" s="31">
        <v>215000</v>
      </c>
      <c r="P61" s="31">
        <v>117533</v>
      </c>
      <c r="Q61" s="31">
        <v>0</v>
      </c>
      <c r="R61" s="30">
        <f t="shared" si="3"/>
        <v>0.54666511627906977</v>
      </c>
      <c r="S61" s="36" t="str">
        <f t="shared" si="4"/>
        <v xml:space="preserve"> -</v>
      </c>
    </row>
    <row r="62" spans="2:22" ht="105" x14ac:dyDescent="0.2">
      <c r="B62" s="169"/>
      <c r="C62" s="155"/>
      <c r="D62" s="160"/>
      <c r="E62" s="29">
        <v>43831</v>
      </c>
      <c r="F62" s="29">
        <v>44196</v>
      </c>
      <c r="G62" s="15" t="s">
        <v>88</v>
      </c>
      <c r="H62" s="31">
        <v>1</v>
      </c>
      <c r="I62" s="31">
        <v>0</v>
      </c>
      <c r="J62" s="84">
        <v>0</v>
      </c>
      <c r="K62" s="96" t="e">
        <f t="shared" si="0"/>
        <v>#DIV/0!</v>
      </c>
      <c r="L62" s="99">
        <f t="shared" si="1"/>
        <v>1</v>
      </c>
      <c r="M62" s="36" t="str">
        <f t="shared" si="2"/>
        <v xml:space="preserve"> -</v>
      </c>
      <c r="N62" s="90">
        <v>0</v>
      </c>
      <c r="O62" s="31">
        <v>0</v>
      </c>
      <c r="P62" s="31">
        <v>0</v>
      </c>
      <c r="Q62" s="31">
        <v>0</v>
      </c>
      <c r="R62" s="30" t="str">
        <f t="shared" si="3"/>
        <v xml:space="preserve"> -</v>
      </c>
      <c r="S62" s="36" t="str">
        <f t="shared" si="4"/>
        <v xml:space="preserve"> -</v>
      </c>
    </row>
    <row r="63" spans="2:22" ht="90.75" thickBot="1" x14ac:dyDescent="0.25">
      <c r="B63" s="169"/>
      <c r="C63" s="155"/>
      <c r="D63" s="161"/>
      <c r="E63" s="37">
        <v>43831</v>
      </c>
      <c r="F63" s="37">
        <v>44196</v>
      </c>
      <c r="G63" s="17" t="s">
        <v>89</v>
      </c>
      <c r="H63" s="64">
        <v>1</v>
      </c>
      <c r="I63" s="64">
        <v>0</v>
      </c>
      <c r="J63" s="104">
        <v>0</v>
      </c>
      <c r="K63" s="105" t="e">
        <f t="shared" si="0"/>
        <v>#DIV/0!</v>
      </c>
      <c r="L63" s="106">
        <f t="shared" si="1"/>
        <v>1</v>
      </c>
      <c r="M63" s="65" t="str">
        <f t="shared" si="2"/>
        <v xml:space="preserve"> -</v>
      </c>
      <c r="N63" s="91">
        <v>0</v>
      </c>
      <c r="O63" s="64">
        <v>0</v>
      </c>
      <c r="P63" s="64">
        <v>0</v>
      </c>
      <c r="Q63" s="64">
        <v>0</v>
      </c>
      <c r="R63" s="63" t="str">
        <f t="shared" si="3"/>
        <v xml:space="preserve"> -</v>
      </c>
      <c r="S63" s="65" t="str">
        <f t="shared" si="4"/>
        <v xml:space="preserve"> -</v>
      </c>
    </row>
    <row r="64" spans="2:22" ht="146.25" customHeight="1" x14ac:dyDescent="0.2">
      <c r="B64" s="169"/>
      <c r="C64" s="155"/>
      <c r="D64" s="157" t="s">
        <v>98</v>
      </c>
      <c r="E64" s="120">
        <v>43831</v>
      </c>
      <c r="F64" s="145">
        <v>44196</v>
      </c>
      <c r="G64" s="143" t="s">
        <v>90</v>
      </c>
      <c r="H64" s="135">
        <v>1</v>
      </c>
      <c r="I64" s="135">
        <v>1</v>
      </c>
      <c r="J64" s="144">
        <v>0</v>
      </c>
      <c r="K64" s="95">
        <f t="shared" si="0"/>
        <v>0</v>
      </c>
      <c r="L64" s="98">
        <f t="shared" si="1"/>
        <v>1</v>
      </c>
      <c r="M64" s="35">
        <f t="shared" si="2"/>
        <v>0</v>
      </c>
      <c r="N64" s="89">
        <v>0</v>
      </c>
      <c r="O64" s="34">
        <v>40000</v>
      </c>
      <c r="P64" s="34">
        <v>0</v>
      </c>
      <c r="Q64" s="34">
        <v>0</v>
      </c>
      <c r="R64" s="33">
        <f t="shared" si="3"/>
        <v>0</v>
      </c>
      <c r="S64" s="35" t="str">
        <f t="shared" si="4"/>
        <v xml:space="preserve"> -</v>
      </c>
    </row>
    <row r="65" spans="2:19" ht="45.75" thickBot="1" x14ac:dyDescent="0.25">
      <c r="B65" s="169"/>
      <c r="C65" s="155"/>
      <c r="D65" s="158"/>
      <c r="E65" s="37">
        <v>43831</v>
      </c>
      <c r="F65" s="37">
        <v>44196</v>
      </c>
      <c r="G65" s="16" t="s">
        <v>91</v>
      </c>
      <c r="H65" s="38">
        <v>1</v>
      </c>
      <c r="I65" s="38">
        <v>0</v>
      </c>
      <c r="J65" s="85">
        <v>0</v>
      </c>
      <c r="K65" s="97" t="e">
        <f t="shared" si="0"/>
        <v>#DIV/0!</v>
      </c>
      <c r="L65" s="100">
        <f t="shared" si="1"/>
        <v>1</v>
      </c>
      <c r="M65" s="40" t="str">
        <f t="shared" si="2"/>
        <v xml:space="preserve"> -</v>
      </c>
      <c r="N65" s="132">
        <v>0</v>
      </c>
      <c r="O65" s="38">
        <v>0</v>
      </c>
      <c r="P65" s="38">
        <v>0</v>
      </c>
      <c r="Q65" s="38">
        <v>0</v>
      </c>
      <c r="R65" s="39" t="str">
        <f t="shared" si="3"/>
        <v xml:space="preserve"> -</v>
      </c>
      <c r="S65" s="40" t="str">
        <f t="shared" si="4"/>
        <v xml:space="preserve"> -</v>
      </c>
    </row>
    <row r="66" spans="2:19" ht="90.75" thickBot="1" x14ac:dyDescent="0.25">
      <c r="B66" s="170"/>
      <c r="C66" s="156"/>
      <c r="D66" s="124" t="s">
        <v>99</v>
      </c>
      <c r="E66" s="116">
        <v>43831</v>
      </c>
      <c r="F66" s="116">
        <v>44196</v>
      </c>
      <c r="G66" s="146" t="s">
        <v>92</v>
      </c>
      <c r="H66" s="147">
        <v>1</v>
      </c>
      <c r="I66" s="147">
        <v>1</v>
      </c>
      <c r="J66" s="148">
        <v>0.7</v>
      </c>
      <c r="K66" s="128">
        <f t="shared" si="0"/>
        <v>0.7</v>
      </c>
      <c r="L66" s="129">
        <f t="shared" si="1"/>
        <v>1</v>
      </c>
      <c r="M66" s="130">
        <f t="shared" si="2"/>
        <v>0.7</v>
      </c>
      <c r="N66" s="93">
        <v>0</v>
      </c>
      <c r="O66" s="72">
        <f>334010+3450082</f>
        <v>3784092</v>
      </c>
      <c r="P66" s="72">
        <f>1773514+1676568+66120+18088+17700+3800</f>
        <v>3555790</v>
      </c>
      <c r="Q66" s="72">
        <v>0</v>
      </c>
      <c r="R66" s="71">
        <f t="shared" si="3"/>
        <v>0.93966795733296127</v>
      </c>
      <c r="S66" s="73" t="str">
        <f t="shared" si="4"/>
        <v xml:space="preserve"> -</v>
      </c>
    </row>
    <row r="67" spans="2:19" ht="12.95" customHeight="1" thickBot="1" x14ac:dyDescent="0.25">
      <c r="B67" s="55"/>
      <c r="C67" s="56"/>
      <c r="D67" s="56"/>
      <c r="E67" s="57"/>
      <c r="F67" s="57"/>
      <c r="G67" s="58"/>
      <c r="H67" s="59"/>
      <c r="I67" s="59"/>
      <c r="J67" s="59"/>
      <c r="K67" s="81"/>
      <c r="L67" s="60"/>
      <c r="M67" s="60"/>
      <c r="N67" s="61"/>
      <c r="O67" s="59"/>
      <c r="P67" s="59"/>
      <c r="Q67" s="59"/>
      <c r="R67" s="60"/>
      <c r="S67" s="62"/>
    </row>
    <row r="68" spans="2:19" ht="45.75" thickBot="1" x14ac:dyDescent="0.25">
      <c r="B68" s="46" t="s">
        <v>104</v>
      </c>
      <c r="C68" s="46" t="s">
        <v>103</v>
      </c>
      <c r="D68" s="45" t="s">
        <v>102</v>
      </c>
      <c r="E68" s="125">
        <v>43831</v>
      </c>
      <c r="F68" s="125">
        <v>44196</v>
      </c>
      <c r="G68" s="18" t="s">
        <v>101</v>
      </c>
      <c r="H68" s="43">
        <v>1</v>
      </c>
      <c r="I68" s="43">
        <v>0</v>
      </c>
      <c r="J68" s="70">
        <v>0</v>
      </c>
      <c r="K68" s="101" t="e">
        <f t="shared" si="0"/>
        <v>#DIV/0!</v>
      </c>
      <c r="L68" s="102">
        <f t="shared" si="1"/>
        <v>1</v>
      </c>
      <c r="M68" s="44" t="str">
        <f t="shared" si="2"/>
        <v xml:space="preserve"> -</v>
      </c>
      <c r="N68" s="94">
        <v>0</v>
      </c>
      <c r="O68" s="67">
        <v>0</v>
      </c>
      <c r="P68" s="67">
        <v>0</v>
      </c>
      <c r="Q68" s="67">
        <v>0</v>
      </c>
      <c r="R68" s="66" t="str">
        <f t="shared" si="3"/>
        <v xml:space="preserve"> -</v>
      </c>
      <c r="S68" s="68" t="str">
        <f t="shared" si="4"/>
        <v xml:space="preserve"> -</v>
      </c>
    </row>
    <row r="69" spans="2:19" ht="21" customHeight="1" thickBot="1" x14ac:dyDescent="0.25">
      <c r="E69" s="13"/>
      <c r="F69" s="13"/>
      <c r="H69" s="10"/>
      <c r="I69" s="10"/>
      <c r="J69" s="10"/>
      <c r="K69" s="11"/>
      <c r="L69" s="74">
        <f>+AVERAGE(L12:L20,L22:L50,L52,L54:L58,L60:L66,L68)</f>
        <v>1</v>
      </c>
      <c r="M69" s="75">
        <f>+AVERAGE(M12:M20,M22:M50,M52,M54:M58,M60:M66,M68)</f>
        <v>0.91457844611528827</v>
      </c>
      <c r="N69" s="76"/>
      <c r="O69" s="77">
        <f>+SUM(O12:O20,O22:O50,O52,O54:O58,O60:O66,O68)</f>
        <v>265864698</v>
      </c>
      <c r="P69" s="151">
        <f>+SUM(P12:P20,P22:P50,P52,P54:P58,P60:P66,P68)</f>
        <v>220957223</v>
      </c>
      <c r="Q69" s="78">
        <f>+SUM(Q12:Q20,Q22:Q50,Q52,Q54:Q58,Q60:Q66,Q68)</f>
        <v>800000</v>
      </c>
      <c r="R69" s="79">
        <f t="shared" si="3"/>
        <v>0.83108898873065129</v>
      </c>
      <c r="S69" s="75">
        <f t="shared" si="4"/>
        <v>3.6206103115262269E-3</v>
      </c>
    </row>
    <row r="70" spans="2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2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2:19" x14ac:dyDescent="0.2">
      <c r="E72" s="13"/>
      <c r="F72" s="13"/>
      <c r="H72" s="10"/>
      <c r="I72" s="10"/>
      <c r="J72" s="10"/>
      <c r="K72" s="11"/>
      <c r="L72" s="11"/>
      <c r="M72" s="11"/>
      <c r="N72" s="12"/>
      <c r="O72"/>
      <c r="P72"/>
      <c r="Q72" s="10"/>
      <c r="R72" s="11"/>
      <c r="S72" s="11"/>
    </row>
    <row r="73" spans="2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2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2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2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2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2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2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2:19" x14ac:dyDescent="0.2">
      <c r="E80" s="13"/>
      <c r="F80" s="13"/>
      <c r="G80" s="153"/>
      <c r="H80" s="153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G81" s="153"/>
      <c r="H81" s="153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G82" s="152"/>
      <c r="H82" s="152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49"/>
      <c r="P86" s="149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49"/>
      <c r="P87" s="149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49"/>
      <c r="P88" s="149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49"/>
      <c r="P89" s="149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49"/>
      <c r="P90" s="149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49"/>
      <c r="P91" s="149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49"/>
      <c r="P92" s="149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49"/>
      <c r="P93" s="149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49"/>
      <c r="P94" s="149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49"/>
      <c r="P95" s="149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49"/>
      <c r="P96" s="149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49"/>
      <c r="P97" s="149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49"/>
      <c r="P98" s="149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49"/>
      <c r="P99" s="149"/>
      <c r="Q99" s="10"/>
      <c r="R99" s="11"/>
      <c r="S99" s="11"/>
    </row>
    <row r="100" spans="5:19" x14ac:dyDescent="0.2">
      <c r="O100" s="150"/>
      <c r="P100" s="150"/>
    </row>
    <row r="101" spans="5:19" x14ac:dyDescent="0.2">
      <c r="O101" s="150"/>
      <c r="P101" s="150"/>
    </row>
    <row r="102" spans="5:19" x14ac:dyDescent="0.2">
      <c r="O102" s="150"/>
      <c r="P102" s="150"/>
    </row>
    <row r="103" spans="5:19" x14ac:dyDescent="0.2">
      <c r="O103" s="150"/>
      <c r="P103" s="150"/>
    </row>
    <row r="104" spans="5:19" x14ac:dyDescent="0.2">
      <c r="O104" s="150"/>
      <c r="P104" s="150"/>
    </row>
    <row r="105" spans="5:19" x14ac:dyDescent="0.2">
      <c r="O105" s="150"/>
      <c r="P105" s="150"/>
    </row>
    <row r="106" spans="5:19" x14ac:dyDescent="0.2">
      <c r="O106" s="150"/>
      <c r="P106" s="150"/>
    </row>
    <row r="107" spans="5:19" x14ac:dyDescent="0.2">
      <c r="O107" s="150"/>
      <c r="P107" s="150"/>
    </row>
    <row r="108" spans="5:19" x14ac:dyDescent="0.2">
      <c r="O108" s="150"/>
      <c r="P108" s="150"/>
    </row>
    <row r="109" spans="5:19" x14ac:dyDescent="0.2">
      <c r="O109" s="150"/>
      <c r="P109" s="150"/>
    </row>
    <row r="110" spans="5:19" x14ac:dyDescent="0.2">
      <c r="O110" s="150"/>
      <c r="P110" s="150"/>
    </row>
    <row r="111" spans="5:19" x14ac:dyDescent="0.2">
      <c r="O111" s="150"/>
      <c r="P111" s="150"/>
    </row>
    <row r="112" spans="5:19" x14ac:dyDescent="0.2">
      <c r="O112" s="150"/>
      <c r="P112" s="150"/>
    </row>
    <row r="113" spans="15:16" x14ac:dyDescent="0.2">
      <c r="O113" s="150"/>
      <c r="P113" s="150"/>
    </row>
    <row r="114" spans="15:16" x14ac:dyDescent="0.2">
      <c r="O114" s="150"/>
      <c r="P114" s="150"/>
    </row>
    <row r="115" spans="15:16" x14ac:dyDescent="0.2">
      <c r="O115" s="150"/>
      <c r="P115" s="150"/>
    </row>
    <row r="116" spans="15:16" x14ac:dyDescent="0.2">
      <c r="O116" s="150"/>
      <c r="P116" s="150"/>
    </row>
    <row r="117" spans="15:16" x14ac:dyDescent="0.2">
      <c r="O117" s="150"/>
      <c r="P117" s="150"/>
    </row>
    <row r="118" spans="15:16" x14ac:dyDescent="0.2">
      <c r="O118" s="150"/>
      <c r="P118" s="150"/>
    </row>
    <row r="119" spans="15:16" x14ac:dyDescent="0.2">
      <c r="O119" s="150"/>
      <c r="P119" s="150"/>
    </row>
    <row r="120" spans="15:16" x14ac:dyDescent="0.2">
      <c r="O120" s="150"/>
      <c r="P120" s="150"/>
    </row>
    <row r="121" spans="15:16" x14ac:dyDescent="0.2">
      <c r="O121" s="150"/>
      <c r="P121" s="150"/>
    </row>
    <row r="122" spans="15:16" x14ac:dyDescent="0.2">
      <c r="O122" s="150"/>
      <c r="P122" s="150"/>
    </row>
    <row r="123" spans="15:16" x14ac:dyDescent="0.2">
      <c r="O123" s="150"/>
      <c r="P123" s="150"/>
    </row>
    <row r="124" spans="15:16" x14ac:dyDescent="0.2">
      <c r="O124" s="150"/>
      <c r="P124" s="150"/>
    </row>
    <row r="125" spans="15:16" x14ac:dyDescent="0.2">
      <c r="O125" s="150"/>
      <c r="P125" s="150"/>
    </row>
    <row r="126" spans="15:16" x14ac:dyDescent="0.2">
      <c r="O126" s="150"/>
      <c r="P126" s="150"/>
    </row>
    <row r="127" spans="15:16" x14ac:dyDescent="0.2">
      <c r="O127" s="150"/>
      <c r="P127" s="150"/>
    </row>
    <row r="128" spans="15:16" x14ac:dyDescent="0.2">
      <c r="O128" s="150"/>
      <c r="P128" s="150"/>
    </row>
    <row r="129" spans="15:16" x14ac:dyDescent="0.2">
      <c r="O129" s="150"/>
      <c r="P129" s="150"/>
    </row>
    <row r="130" spans="15:16" x14ac:dyDescent="0.2">
      <c r="O130" s="150"/>
      <c r="P130" s="150"/>
    </row>
    <row r="131" spans="15:16" x14ac:dyDescent="0.2">
      <c r="O131" s="150"/>
      <c r="P131" s="150"/>
    </row>
    <row r="132" spans="15:16" x14ac:dyDescent="0.2">
      <c r="O132" s="150"/>
      <c r="P132" s="150"/>
    </row>
    <row r="133" spans="15:16" x14ac:dyDescent="0.2">
      <c r="O133" s="150"/>
      <c r="P133" s="150"/>
    </row>
    <row r="134" spans="15:16" x14ac:dyDescent="0.2">
      <c r="O134" s="150"/>
      <c r="P134" s="150"/>
    </row>
    <row r="135" spans="15:16" x14ac:dyDescent="0.2">
      <c r="O135" s="150"/>
      <c r="P135" s="150"/>
    </row>
    <row r="136" spans="15:16" x14ac:dyDescent="0.2">
      <c r="O136" s="150"/>
      <c r="P136" s="150"/>
    </row>
    <row r="137" spans="15:16" x14ac:dyDescent="0.2">
      <c r="O137" s="150"/>
      <c r="P137" s="150"/>
    </row>
    <row r="138" spans="15:16" x14ac:dyDescent="0.2">
      <c r="O138" s="150"/>
      <c r="P138" s="150"/>
    </row>
    <row r="139" spans="15:16" x14ac:dyDescent="0.2">
      <c r="O139" s="150"/>
      <c r="P139" s="150"/>
    </row>
    <row r="140" spans="15:16" x14ac:dyDescent="0.2">
      <c r="O140" s="150"/>
      <c r="P140" s="150"/>
    </row>
    <row r="141" spans="15:16" x14ac:dyDescent="0.2">
      <c r="O141" s="150"/>
      <c r="P141" s="150"/>
    </row>
    <row r="142" spans="15:16" x14ac:dyDescent="0.2">
      <c r="O142" s="150"/>
      <c r="P142" s="150"/>
    </row>
    <row r="143" spans="15:16" x14ac:dyDescent="0.2">
      <c r="O143" s="150"/>
      <c r="P143" s="150"/>
    </row>
  </sheetData>
  <mergeCells count="37">
    <mergeCell ref="B3:S3"/>
    <mergeCell ref="D27:D28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B12:B52"/>
    <mergeCell ref="D54:D57"/>
    <mergeCell ref="C54:C58"/>
    <mergeCell ref="D22:D23"/>
    <mergeCell ref="D12:D20"/>
    <mergeCell ref="C12:C20"/>
    <mergeCell ref="H10:H11"/>
    <mergeCell ref="B54:B66"/>
    <mergeCell ref="D24:D25"/>
    <mergeCell ref="C22:C50"/>
    <mergeCell ref="D48:D49"/>
    <mergeCell ref="D42:D47"/>
    <mergeCell ref="D34:D41"/>
    <mergeCell ref="D29:D33"/>
    <mergeCell ref="G82:H82"/>
    <mergeCell ref="G80:H80"/>
    <mergeCell ref="G81:H81"/>
    <mergeCell ref="C60:C66"/>
    <mergeCell ref="D64:D65"/>
    <mergeCell ref="D60:D63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2021-01-29T20:00:06Z</dcterms:modified>
</cp:coreProperties>
</file>