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AI 2018\"/>
    </mc:Choice>
  </mc:AlternateContent>
  <bookViews>
    <workbookView xWindow="0" yWindow="0" windowWidth="20490" windowHeight="7530" tabRatio="903"/>
  </bookViews>
  <sheets>
    <sheet name="PPTO 2017" sheetId="17" r:id="rId1"/>
    <sheet name="INFRAESTRUCTURA" sheetId="2" r:id="rId2"/>
    <sheet name="SALUD Y AMBIENTE" sheetId="4" r:id="rId3"/>
    <sheet name="EDUCACIÓN" sheetId="5" r:id="rId4"/>
    <sheet name="INDERBU" sheetId="6" r:id="rId5"/>
    <sheet name="IMCT" sheetId="7" r:id="rId6"/>
    <sheet name="INTERIOR" sheetId="8" r:id="rId7"/>
    <sheet name="DESARROLLO SOCIAL" sheetId="9" r:id="rId8"/>
    <sheet name="PLANEACIÓN" sheetId="10" r:id="rId9"/>
    <sheet name="JURÍDICA" sheetId="11" r:id="rId10"/>
    <sheet name="IMEBU" sheetId="12" r:id="rId11"/>
    <sheet name="INVISBU" sheetId="13" r:id="rId12"/>
    <sheet name="ADMINISTRATIVA" sheetId="14" r:id="rId13"/>
    <sheet name="HACIENDA" sheetId="15" r:id="rId14"/>
    <sheet name="RESUMEN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0">'PPTO 2017'!$A$1:$C$1188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60" i="17" l="1"/>
  <c r="C1659" i="17"/>
  <c r="C1658" i="17"/>
  <c r="C1657" i="17"/>
  <c r="C1646" i="17"/>
  <c r="C1645" i="17"/>
  <c r="C1643" i="17"/>
  <c r="C1642" i="17"/>
  <c r="C1641" i="17" s="1"/>
  <c r="C1640" i="17" s="1"/>
  <c r="C1636" i="17"/>
  <c r="C1632" i="17"/>
  <c r="C1631" i="17"/>
  <c r="C1630" i="17"/>
  <c r="C1629" i="17"/>
  <c r="C1628" i="17"/>
  <c r="C1626" i="17"/>
  <c r="C1625" i="17"/>
  <c r="C1624" i="17" s="1"/>
  <c r="C1621" i="17"/>
  <c r="C1618" i="17" s="1"/>
  <c r="C1613" i="17"/>
  <c r="C1608" i="17"/>
  <c r="C1604" i="17" s="1"/>
  <c r="C1589" i="17"/>
  <c r="C1588" i="17" s="1"/>
  <c r="C1581" i="17"/>
  <c r="C1567" i="17"/>
  <c r="C1563" i="17"/>
  <c r="C1562" i="17"/>
  <c r="C1558" i="17"/>
  <c r="C1553" i="17"/>
  <c r="C1545" i="17"/>
  <c r="C1544" i="17" s="1"/>
  <c r="C1530" i="17"/>
  <c r="C1528" i="17"/>
  <c r="C1527" i="17"/>
  <c r="C1526" i="17"/>
  <c r="C1521" i="17"/>
  <c r="C1519" i="17"/>
  <c r="C1516" i="17"/>
  <c r="C1515" i="17" s="1"/>
  <c r="C1510" i="17"/>
  <c r="C1504" i="17"/>
  <c r="C1500" i="17"/>
  <c r="C1491" i="17"/>
  <c r="C1489" i="17" s="1"/>
  <c r="C1486" i="17"/>
  <c r="C1485" i="17"/>
  <c r="C1484" i="17"/>
  <c r="C1483" i="17" s="1"/>
  <c r="C1460" i="17"/>
  <c r="C1459" i="17"/>
  <c r="C1454" i="17"/>
  <c r="C1453" i="17"/>
  <c r="C1452" i="17"/>
  <c r="C1450" i="17"/>
  <c r="C1449" i="17"/>
  <c r="C1448" i="17"/>
  <c r="C1447" i="17"/>
  <c r="C1446" i="17"/>
  <c r="C1445" i="17"/>
  <c r="C1444" i="17"/>
  <c r="C1440" i="17"/>
  <c r="C1438" i="17"/>
  <c r="C1437" i="17"/>
  <c r="C1436" i="17"/>
  <c r="C1435" i="17" s="1"/>
  <c r="C1434" i="17" s="1"/>
  <c r="C1426" i="17"/>
  <c r="C1422" i="17"/>
  <c r="C1418" i="17"/>
  <c r="C1402" i="17"/>
  <c r="C1401" i="17"/>
  <c r="C1398" i="17"/>
  <c r="C1393" i="17"/>
  <c r="C1391" i="17"/>
  <c r="C1390" i="17"/>
  <c r="C1388" i="17"/>
  <c r="C1387" i="17"/>
  <c r="C1386" i="17"/>
  <c r="B1382" i="17"/>
  <c r="B1380" i="17"/>
  <c r="B1379" i="17"/>
  <c r="B1369" i="17"/>
  <c r="C1357" i="17"/>
  <c r="C1392" i="17" s="1"/>
  <c r="C1354" i="17"/>
  <c r="C1389" i="17" s="1"/>
  <c r="C1350" i="17"/>
  <c r="C1327" i="17"/>
  <c r="C1299" i="17"/>
  <c r="C1296" i="17"/>
  <c r="C1294" i="17"/>
  <c r="C1297" i="17" s="1"/>
  <c r="C1384" i="17" s="1"/>
  <c r="C1292" i="17"/>
  <c r="C1291" i="17"/>
  <c r="C1287" i="17"/>
  <c r="C1345" i="17" s="1"/>
  <c r="C1286" i="17"/>
  <c r="C1344" i="17" s="1"/>
  <c r="C1277" i="17"/>
  <c r="C1342" i="17" s="1"/>
  <c r="C1272" i="17"/>
  <c r="C1311" i="17" s="1"/>
  <c r="C1271" i="17"/>
  <c r="C1341" i="17" s="1"/>
  <c r="C1270" i="17"/>
  <c r="C1267" i="17"/>
  <c r="C1378" i="17" s="1"/>
  <c r="C1265" i="17"/>
  <c r="C1264" i="17"/>
  <c r="C1260" i="17"/>
  <c r="C1259" i="17"/>
  <c r="C1262" i="17" s="1"/>
  <c r="C1377" i="17" s="1"/>
  <c r="C1256" i="17"/>
  <c r="C1253" i="17"/>
  <c r="C1257" i="17" s="1"/>
  <c r="C1376" i="17" s="1"/>
  <c r="C1250" i="17"/>
  <c r="C1340" i="17" s="1"/>
  <c r="C1248" i="17"/>
  <c r="C1339" i="17" s="1"/>
  <c r="C1247" i="17"/>
  <c r="C1246" i="17"/>
  <c r="C1338" i="17" s="1"/>
  <c r="C1245" i="17"/>
  <c r="C1337" i="17" s="1"/>
  <c r="C1244" i="17"/>
  <c r="C1336" i="17" s="1"/>
  <c r="C1242" i="17"/>
  <c r="C1251" i="17" s="1"/>
  <c r="C1375" i="17" s="1"/>
  <c r="C1239" i="17"/>
  <c r="C1238" i="17"/>
  <c r="C1237" i="17"/>
  <c r="C1334" i="17" s="1"/>
  <c r="C1236" i="17"/>
  <c r="C1333" i="17" s="1"/>
  <c r="C1235" i="17"/>
  <c r="C1332" i="17" s="1"/>
  <c r="C1234" i="17"/>
  <c r="C1331" i="17" s="1"/>
  <c r="C1233" i="17"/>
  <c r="C1330" i="17" s="1"/>
  <c r="C1232" i="17"/>
  <c r="C1329" i="17" s="1"/>
  <c r="C1231" i="17"/>
  <c r="C1328" i="17" s="1"/>
  <c r="C1230" i="17"/>
  <c r="C1228" i="17"/>
  <c r="C1324" i="17" s="1"/>
  <c r="C1227" i="17"/>
  <c r="C1323" i="17" s="1"/>
  <c r="C1225" i="17"/>
  <c r="C1321" i="17" s="1"/>
  <c r="C1224" i="17"/>
  <c r="C1222" i="17"/>
  <c r="C1320" i="17" s="1"/>
  <c r="C1221" i="17"/>
  <c r="C1319" i="17" s="1"/>
  <c r="C1220" i="17"/>
  <c r="C1218" i="17"/>
  <c r="C1318" i="17" s="1"/>
  <c r="C1217" i="17"/>
  <c r="C1240" i="17" s="1"/>
  <c r="C1374" i="17" s="1"/>
  <c r="C1212" i="17"/>
  <c r="C1317" i="17" s="1"/>
  <c r="C1211" i="17"/>
  <c r="C1316" i="17" s="1"/>
  <c r="C1210" i="17"/>
  <c r="C1315" i="17" s="1"/>
  <c r="C1209" i="17"/>
  <c r="C1208" i="17"/>
  <c r="C1204" i="17"/>
  <c r="C1214" i="17" s="1"/>
  <c r="C1373" i="17" s="1"/>
  <c r="C1395" i="17" s="1"/>
  <c r="C1201" i="17"/>
  <c r="C1200" i="17"/>
  <c r="C1133" i="17"/>
  <c r="C1132" i="17"/>
  <c r="C1130" i="17"/>
  <c r="C1634" i="17" s="1"/>
  <c r="C1129" i="17"/>
  <c r="C1124" i="17"/>
  <c r="C1123" i="17"/>
  <c r="C1122" i="17"/>
  <c r="C1116" i="17"/>
  <c r="C1115" i="17"/>
  <c r="C1114" i="17"/>
  <c r="C1110" i="17"/>
  <c r="C1109" i="17"/>
  <c r="C1108" i="17"/>
  <c r="C1107" i="17"/>
  <c r="C1106" i="17"/>
  <c r="C1105" i="17"/>
  <c r="C1104" i="17"/>
  <c r="C1103" i="17"/>
  <c r="C1102" i="17"/>
  <c r="C1101" i="17"/>
  <c r="C1100" i="17"/>
  <c r="C1099" i="17"/>
  <c r="C1098" i="17"/>
  <c r="C1097" i="17"/>
  <c r="C1091" i="17"/>
  <c r="C1092" i="17" s="1"/>
  <c r="C1093" i="17" s="1"/>
  <c r="C1068" i="17"/>
  <c r="C1074" i="17" s="1"/>
  <c r="C1061" i="17"/>
  <c r="C1016" i="17"/>
  <c r="C1027" i="17" s="1"/>
  <c r="C1006" i="17"/>
  <c r="C994" i="17"/>
  <c r="C974" i="17"/>
  <c r="C1269" i="17" s="1"/>
  <c r="C1273" i="17" s="1"/>
  <c r="C1379" i="17" s="1"/>
  <c r="C970" i="17"/>
  <c r="C958" i="17"/>
  <c r="C946" i="17"/>
  <c r="C836" i="17"/>
  <c r="C927" i="17" s="1"/>
  <c r="C802" i="17"/>
  <c r="D726" i="17"/>
  <c r="C694" i="17"/>
  <c r="C678" i="17"/>
  <c r="C670" i="17"/>
  <c r="C640" i="17"/>
  <c r="C599" i="17"/>
  <c r="C596" i="17"/>
  <c r="C473" i="17"/>
  <c r="C303" i="17"/>
  <c r="C266" i="17"/>
  <c r="C261" i="17"/>
  <c r="C238" i="17"/>
  <c r="C170" i="17"/>
  <c r="C171" i="17" s="1"/>
  <c r="C156" i="17"/>
  <c r="C154" i="17"/>
  <c r="C155" i="17" s="1"/>
  <c r="C153" i="17"/>
  <c r="C150" i="17"/>
  <c r="C149" i="17"/>
  <c r="C148" i="17"/>
  <c r="C147" i="17"/>
  <c r="C146" i="17"/>
  <c r="C142" i="17"/>
  <c r="C140" i="17"/>
  <c r="C1471" i="17" s="1"/>
  <c r="C136" i="17"/>
  <c r="C135" i="17"/>
  <c r="C132" i="17"/>
  <c r="C131" i="17"/>
  <c r="C129" i="17"/>
  <c r="C128" i="17"/>
  <c r="C127" i="17"/>
  <c r="C126" i="17"/>
  <c r="C124" i="17"/>
  <c r="C110" i="17"/>
  <c r="C109" i="17"/>
  <c r="C108" i="17"/>
  <c r="C107" i="17"/>
  <c r="C106" i="17"/>
  <c r="C105" i="17"/>
  <c r="C104" i="17"/>
  <c r="C103" i="17"/>
  <c r="C1508" i="17" s="1"/>
  <c r="C1497" i="17" s="1"/>
  <c r="C102" i="17"/>
  <c r="C98" i="17"/>
  <c r="C97" i="17"/>
  <c r="C99" i="17" s="1"/>
  <c r="C1180" i="17" s="1"/>
  <c r="C92" i="17"/>
  <c r="C91" i="17"/>
  <c r="C90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5" i="17"/>
  <c r="C64" i="17"/>
  <c r="C63" i="17"/>
  <c r="C62" i="17"/>
  <c r="C61" i="17"/>
  <c r="C60" i="17"/>
  <c r="C59" i="17"/>
  <c r="C58" i="17"/>
  <c r="C56" i="17"/>
  <c r="C55" i="17"/>
  <c r="C47" i="17"/>
  <c r="C46" i="17"/>
  <c r="C45" i="17"/>
  <c r="C43" i="17"/>
  <c r="C44" i="17" s="1"/>
  <c r="C42" i="17"/>
  <c r="C38" i="17"/>
  <c r="C37" i="17"/>
  <c r="C36" i="17"/>
  <c r="C35" i="17"/>
  <c r="C34" i="17"/>
  <c r="C32" i="17"/>
  <c r="C28" i="17"/>
  <c r="C26" i="17"/>
  <c r="C25" i="17"/>
  <c r="C23" i="17"/>
  <c r="C20" i="17"/>
  <c r="C18" i="17"/>
  <c r="C17" i="17"/>
  <c r="C16" i="17"/>
  <c r="C15" i="17"/>
  <c r="C14" i="17"/>
  <c r="C13" i="17"/>
  <c r="C12" i="17"/>
  <c r="C1472" i="17" s="1"/>
  <c r="C1469" i="17" s="1"/>
  <c r="C11" i="17"/>
  <c r="C4" i="17"/>
  <c r="C1499" i="17" l="1"/>
  <c r="C111" i="17"/>
  <c r="C112" i="17" s="1"/>
  <c r="C684" i="17"/>
  <c r="C1117" i="17"/>
  <c r="C1179" i="17" s="1"/>
  <c r="C1403" i="17"/>
  <c r="C1603" i="17"/>
  <c r="C1125" i="17"/>
  <c r="C1566" i="17"/>
  <c r="C50" i="17"/>
  <c r="C66" i="17"/>
  <c r="C1173" i="17" s="1"/>
  <c r="C87" i="17"/>
  <c r="C1174" i="17" s="1"/>
  <c r="C1635" i="17"/>
  <c r="C1522" i="17"/>
  <c r="C93" i="17"/>
  <c r="C1175" i="17" s="1"/>
  <c r="C1111" i="17"/>
  <c r="C1178" i="17" s="1"/>
  <c r="C1134" i="17"/>
  <c r="C1135" i="17" s="1"/>
  <c r="C1482" i="17"/>
  <c r="C1481" i="17" s="1"/>
  <c r="C1480" i="17" s="1"/>
  <c r="C39" i="17"/>
  <c r="C137" i="17"/>
  <c r="C1475" i="17"/>
  <c r="C1470" i="17" s="1"/>
  <c r="C143" i="17"/>
  <c r="C1168" i="17" s="1"/>
  <c r="C151" i="17"/>
  <c r="C94" i="17"/>
  <c r="C1154" i="17" s="1"/>
  <c r="C29" i="17"/>
  <c r="C1167" i="17" s="1"/>
  <c r="C161" i="17"/>
  <c r="C976" i="17"/>
  <c r="C1181" i="17"/>
  <c r="C1177" i="17" s="1"/>
  <c r="C715" i="17"/>
  <c r="C1254" i="17" s="1"/>
  <c r="C1420" i="17"/>
  <c r="C1417" i="17" s="1"/>
  <c r="C1462" i="17"/>
  <c r="C1456" i="17"/>
  <c r="C1457" i="17" s="1"/>
  <c r="C272" i="17"/>
  <c r="C427" i="17"/>
  <c r="C656" i="17"/>
  <c r="C1637" i="17"/>
  <c r="C1443" i="17"/>
  <c r="C1442" i="17" s="1"/>
  <c r="C1464" i="17" s="1"/>
  <c r="C1479" i="17"/>
  <c r="C1478" i="17" s="1"/>
  <c r="C1477" i="17" s="1"/>
  <c r="C1280" i="17"/>
  <c r="C1281" i="17" s="1"/>
  <c r="C1381" i="17" s="1"/>
  <c r="C1359" i="17"/>
  <c r="C1498" i="17"/>
  <c r="C1493" i="17" s="1"/>
  <c r="C1488" i="17" s="1"/>
  <c r="C1487" i="17" s="1"/>
  <c r="C1518" i="17"/>
  <c r="C6" i="15"/>
  <c r="C1126" i="17" l="1"/>
  <c r="C1476" i="17"/>
  <c r="C1468" i="17" s="1"/>
  <c r="C1467" i="17" s="1"/>
  <c r="C1172" i="17"/>
  <c r="C1169" i="17"/>
  <c r="C1145" i="17"/>
  <c r="C1136" i="17"/>
  <c r="C1137" i="17" s="1"/>
  <c r="C1076" i="17"/>
  <c r="C1520" i="17"/>
  <c r="C1243" i="17"/>
  <c r="C1335" i="17" s="1"/>
  <c r="C1155" i="17"/>
  <c r="C1283" i="17"/>
  <c r="C51" i="17"/>
  <c r="C1556" i="17"/>
  <c r="C162" i="17"/>
  <c r="C172" i="17" s="1"/>
  <c r="C1622" i="17"/>
  <c r="C1226" i="17"/>
  <c r="C1322" i="17" s="1"/>
  <c r="C1419" i="17"/>
  <c r="C1170" i="17"/>
  <c r="F5" i="16"/>
  <c r="F6" i="16"/>
  <c r="F7" i="16"/>
  <c r="F8" i="16"/>
  <c r="F9" i="16"/>
  <c r="F10" i="16"/>
  <c r="F11" i="16"/>
  <c r="F12" i="16"/>
  <c r="F13" i="16"/>
  <c r="F14" i="16"/>
  <c r="F15" i="16"/>
  <c r="F16" i="16"/>
  <c r="F4" i="16"/>
  <c r="C6" i="13"/>
  <c r="C7" i="10"/>
  <c r="C8" i="10"/>
  <c r="C6" i="10"/>
  <c r="C7" i="9"/>
  <c r="C8" i="9"/>
  <c r="C9" i="9"/>
  <c r="C10" i="9"/>
  <c r="C11" i="9"/>
  <c r="C6" i="9"/>
  <c r="F13" i="8"/>
  <c r="C7" i="8"/>
  <c r="C8" i="8"/>
  <c r="C9" i="8"/>
  <c r="C10" i="8"/>
  <c r="C11" i="8"/>
  <c r="C6" i="8"/>
  <c r="C6" i="7"/>
  <c r="D10" i="6"/>
  <c r="E10" i="6"/>
  <c r="F10" i="6"/>
  <c r="C7" i="6"/>
  <c r="C8" i="6"/>
  <c r="C6" i="6"/>
  <c r="C10" i="6" s="1"/>
  <c r="C6" i="5"/>
  <c r="C7" i="4"/>
  <c r="C14" i="4" s="1"/>
  <c r="C8" i="4"/>
  <c r="C9" i="4"/>
  <c r="C10" i="4"/>
  <c r="C11" i="4"/>
  <c r="C12" i="4"/>
  <c r="C6" i="4"/>
  <c r="D14" i="4"/>
  <c r="E14" i="4"/>
  <c r="F14" i="4"/>
  <c r="D14" i="2"/>
  <c r="C7" i="2"/>
  <c r="E14" i="2"/>
  <c r="F14" i="2"/>
  <c r="C6" i="2"/>
  <c r="C8" i="2"/>
  <c r="C9" i="2"/>
  <c r="C10" i="2"/>
  <c r="C11" i="2"/>
  <c r="C12" i="2"/>
  <c r="C1166" i="17" l="1"/>
  <c r="C1165" i="17" s="1"/>
  <c r="C1077" i="17"/>
  <c r="C1078" i="17" s="1"/>
  <c r="C1147" i="17"/>
  <c r="C1160" i="17" s="1"/>
  <c r="C1139" i="17"/>
  <c r="C1153" i="17"/>
  <c r="C1151" i="17" s="1"/>
  <c r="C113" i="17"/>
  <c r="C1143" i="17" s="1"/>
  <c r="C1554" i="17"/>
  <c r="C1284" i="17"/>
  <c r="C1309" i="17" s="1"/>
  <c r="C1158" i="17"/>
  <c r="C1185" i="17" s="1"/>
  <c r="C1275" i="17"/>
  <c r="C1638" i="17"/>
  <c r="C1651" i="17"/>
  <c r="C14" i="2"/>
  <c r="F17" i="16"/>
  <c r="D17" i="16"/>
  <c r="C17" i="16"/>
  <c r="E17" i="16"/>
  <c r="C1285" i="17" l="1"/>
  <c r="C1310" i="17" s="1"/>
  <c r="C1552" i="17"/>
  <c r="C1551" i="17" s="1"/>
  <c r="C1529" i="17" s="1"/>
  <c r="C1514" i="17" s="1"/>
  <c r="C1513" i="17" s="1"/>
  <c r="C1466" i="17" s="1"/>
  <c r="C1183" i="17"/>
  <c r="C1164" i="17" s="1"/>
  <c r="C1162" i="17"/>
  <c r="C1186" i="17"/>
  <c r="C1278" i="17"/>
  <c r="C1380" i="17" s="1"/>
  <c r="C1306" i="17"/>
  <c r="C1346" i="17" s="1"/>
  <c r="C1149" i="17"/>
  <c r="C1289" i="17"/>
  <c r="D8" i="15"/>
  <c r="E8" i="15"/>
  <c r="F8" i="15"/>
  <c r="D9" i="14"/>
  <c r="E9" i="14"/>
  <c r="F9" i="14"/>
  <c r="F8" i="13"/>
  <c r="D8" i="13"/>
  <c r="E8" i="13"/>
  <c r="D8" i="12"/>
  <c r="E8" i="12"/>
  <c r="F8" i="12"/>
  <c r="D9" i="11"/>
  <c r="E9" i="11"/>
  <c r="F9" i="11"/>
  <c r="D10" i="10"/>
  <c r="E10" i="10"/>
  <c r="F10" i="10"/>
  <c r="D8" i="7"/>
  <c r="E8" i="7"/>
  <c r="F8" i="7"/>
  <c r="D13" i="9"/>
  <c r="E13" i="9"/>
  <c r="F13" i="9"/>
  <c r="D13" i="8"/>
  <c r="E13" i="8"/>
  <c r="D8" i="5"/>
  <c r="E8" i="5"/>
  <c r="F8" i="5"/>
  <c r="C1382" i="17" l="1"/>
  <c r="C1298" i="17"/>
  <c r="C1300" i="17" s="1"/>
  <c r="C1425" i="17"/>
  <c r="C1423" i="17"/>
  <c r="C1416" i="17"/>
  <c r="C1288" i="17"/>
  <c r="C1307" i="17" s="1"/>
  <c r="C1405" i="17" s="1"/>
  <c r="C1407" i="17" s="1"/>
  <c r="C1627" i="17"/>
  <c r="C1188" i="17"/>
  <c r="C1360" i="17"/>
  <c r="C1347" i="17"/>
  <c r="C1348" i="17" s="1"/>
  <c r="C8" i="15"/>
  <c r="C9" i="14"/>
  <c r="C8" i="13"/>
  <c r="C8" i="12"/>
  <c r="C9" i="11"/>
  <c r="C10" i="10"/>
  <c r="C13" i="9"/>
  <c r="C13" i="8"/>
  <c r="C8" i="7"/>
  <c r="C8" i="5"/>
  <c r="C1396" i="17" l="1"/>
  <c r="C1397" i="17" s="1"/>
  <c r="C1362" i="17"/>
  <c r="C1364" i="17" s="1"/>
  <c r="C1368" i="17" s="1"/>
</calcChain>
</file>

<file path=xl/sharedStrings.xml><?xml version="1.0" encoding="utf-8"?>
<sst xmlns="http://schemas.openxmlformats.org/spreadsheetml/2006/main" count="1938" uniqueCount="1193">
  <si>
    <t>COMPONENTE:  GOBIERNO LEGAL Y EFECTIVO</t>
  </si>
  <si>
    <t>COMPONENTE:  LOS CAMINOS DE LA VIDA</t>
  </si>
  <si>
    <t>COMPONENTE: HOGARES FELICES</t>
  </si>
  <si>
    <t>COMPONENTE:  RED DE ESPACIO PÚBLICO</t>
  </si>
  <si>
    <t>COMPONENTE:  MOVILIDAD</t>
  </si>
  <si>
    <t>COMPONENTE:  SERVICIOS PÚBLICOS</t>
  </si>
  <si>
    <t>SECRETARIA DE  SALUD Y AMBIENTE</t>
  </si>
  <si>
    <t>COMPONENTE: ESPACIOS VERDES PARA LA DEMOCRACIA</t>
  </si>
  <si>
    <t>COMPONENTE:  AMBIENTE PARA LA CIUDADANIA</t>
  </si>
  <si>
    <t>COMPONENTE: GOBIERNO LEGAL Y EFECTIVO</t>
  </si>
  <si>
    <t>COMPONENTE: ATENCION PRIORITARIA Y FOCALIZADA A GRUPOS DE POBLACION VULNERABLE</t>
  </si>
  <si>
    <t>COMPONENTE: LOS CAMINOS DE LA VIDA</t>
  </si>
  <si>
    <t>COMPONENTE: GESTION DEL RIESGO</t>
  </si>
  <si>
    <t>COMPONENTE: SALUD PUBLICA SALUD PARA TODOS Y CON TODOS</t>
  </si>
  <si>
    <t xml:space="preserve">  SECRETARIA DE EDUCACION</t>
  </si>
  <si>
    <t>COMPONENTE: GOBIERNO PARTICIPATIVO Y ABIERTO</t>
  </si>
  <si>
    <t>COMPONENTE: EDUCACION BUCARAMANGA EDUCADA, CULTA E INNOVADORA</t>
  </si>
  <si>
    <t>INSTITUTO DE LA JUVENTUD, EL DEPORTE Y LA RECREACION DE BUCARAMANGA "INDERBU"</t>
  </si>
  <si>
    <t>COMPONENTE: ACTIVIDAD FISICA, EDUCACION FISICA, RECREACION Y DEPORTE</t>
  </si>
  <si>
    <t>INSTITUTO MUNICIPAL DE CULTURA Y TURISMO</t>
  </si>
  <si>
    <t>SECRETARIA DEL INTERIOR</t>
  </si>
  <si>
    <t>COMPONENTE: RED DE ESPACIO PUBLICO</t>
  </si>
  <si>
    <t>COMPONENTE: SEGURIDAD Y CONVIVENCIA</t>
  </si>
  <si>
    <t>SECRETARIA DE  DESARROLLO SOCIAL</t>
  </si>
  <si>
    <t xml:space="preserve">COMPONENTE: GOBIERNO LEGAL Y EFECTIVO </t>
  </si>
  <si>
    <t>COMPONENTE: MUJERES Y EQUIDAD DE GENERO</t>
  </si>
  <si>
    <t>COMPONENTE RURALIDAD CON EQUIDAD</t>
  </si>
  <si>
    <t>SECRETARIA DE PLANEACION</t>
  </si>
  <si>
    <t>COMPONENTE: GOBERNANZA URBANA</t>
  </si>
  <si>
    <t>SECRETARIA JURIDICA</t>
  </si>
  <si>
    <t>INSTITUTO MUNICIPAL DEL EMPLEO "IMEBU"</t>
  </si>
  <si>
    <t>SECRETARIA ADMINISTRATIVA</t>
  </si>
  <si>
    <t>COMPONENTE: GOBIERNO MUNICIPAL EN LINEA</t>
  </si>
  <si>
    <t>SECRETARIA DE HACIENDA</t>
  </si>
  <si>
    <t>TOTAL</t>
  </si>
  <si>
    <t>INDERBU</t>
  </si>
  <si>
    <t>INVISBU</t>
  </si>
  <si>
    <t>SGP</t>
  </si>
  <si>
    <t>SECRETARÍA DE INFRAESTRUCTURA</t>
  </si>
  <si>
    <t>COMPONENTE</t>
  </si>
  <si>
    <t>PRESUPUESTO</t>
  </si>
  <si>
    <t>SECRETARÍA JURÍDICA</t>
  </si>
  <si>
    <t>SUBTOTAL  INVERSIÓN INFRAESTRUCTURA</t>
  </si>
  <si>
    <t>SECRETARÍA DE  SALUD Y AMBIENTE</t>
  </si>
  <si>
    <t>SUBTOTAL  INVERSIÓN  SECRETARÍA DE SALUD Y AMBIENTE</t>
  </si>
  <si>
    <t xml:space="preserve">  SECRETARÍA DE EDUCACIÓN</t>
  </si>
  <si>
    <t>SUBTOTAL  INVERSIÓN  SECRETARÍA DE EDUCACIÓN</t>
  </si>
  <si>
    <t>SUBTOTAL  INVERSIÓN  INDERBU</t>
  </si>
  <si>
    <t>SUBTOTAL  INVERSIÓN  INSTITUTO MUNICIPAL DE CULTURA</t>
  </si>
  <si>
    <t>SECRETARÍA DEL INTERIOR</t>
  </si>
  <si>
    <t>SUBTOTAL  INVERSIÓN  SECRETARÍA DEL INTERIOR</t>
  </si>
  <si>
    <t>SECRETARÍA DE  DESARROLLO SOCIAL</t>
  </si>
  <si>
    <t>SUBTOTAL  INVERSIÓN  SECRETARÍA DE DESARROLLO SOCIAL</t>
  </si>
  <si>
    <t>SECRETARIA DE PLANEACIÓN</t>
  </si>
  <si>
    <t>SUBTOTAL  INVERSION  SECRETARÇIA DE PLANEACIÓN</t>
  </si>
  <si>
    <t>SUBTOTAL  INVERSIÓN  SECRETARÍA JURÍDICA</t>
  </si>
  <si>
    <t>SUB TOTAL INVERSIÓN IMEBU</t>
  </si>
  <si>
    <t>INSTITUTO DE VIVIENDA DE INTERÉS SOCIAL Y REFORMA URBANA DEL MUNICIPIO DE BUCARAMANGA "INVISBU"</t>
  </si>
  <si>
    <t>SUBTOTAL  INVERSIÓN  INVISBU</t>
  </si>
  <si>
    <t>SECRETARÍA ADMINISTRATIVA</t>
  </si>
  <si>
    <t>SUBTOTAL  SECRETARÍA ADMINISTRATIVA</t>
  </si>
  <si>
    <t>SECRETARÍA DE HACIENDA</t>
  </si>
  <si>
    <t>SUBTOTAL  INVERSIÓN  SECRETARÍA DE HACIENDA</t>
  </si>
  <si>
    <t>COMPONENTE: FORTALECIMEINTO EMPRESARIAL</t>
  </si>
  <si>
    <t>COMPONENTE: CIUDADANAS Y CIUDADANOS INTELIGENTES</t>
  </si>
  <si>
    <t>RP</t>
  </si>
  <si>
    <t>OTROS</t>
  </si>
  <si>
    <t>DEPENDENCIA</t>
  </si>
  <si>
    <t>SECRETARÍA DE EDUCACIÓN</t>
  </si>
  <si>
    <t xml:space="preserve">INSTITUTO MUNICIPAL DE CULTURA </t>
  </si>
  <si>
    <t xml:space="preserve">INSTITUTO MUNICIPAL DEL EMPLEO </t>
  </si>
  <si>
    <t>COMPONENTE: SALUD PULICA: SALUD PARA TODOS Y CON TODOS</t>
  </si>
  <si>
    <t>TOTAL 2016</t>
  </si>
  <si>
    <t>TOTAL 2017</t>
  </si>
  <si>
    <t>ALCALDIA MUNICIPAL</t>
  </si>
  <si>
    <t>PROGRAMA 04</t>
  </si>
  <si>
    <t>DESPACHO SECRETARIA ADMINISTRATIVA</t>
  </si>
  <si>
    <t>NOMBRE DEL CONCEPTO</t>
  </si>
  <si>
    <t>VALOR APROPIADO</t>
  </si>
  <si>
    <t>21</t>
  </si>
  <si>
    <t>GASTOS DE FUNCIONAMIENTO</t>
  </si>
  <si>
    <t>211</t>
  </si>
  <si>
    <t>GASTOS DE PERSONAL</t>
  </si>
  <si>
    <t>SERVICIOS PERSONALES ASOCIADOS A LA NOMINA</t>
  </si>
  <si>
    <t>2110001</t>
  </si>
  <si>
    <t>Sueldos</t>
  </si>
  <si>
    <t>2110002</t>
  </si>
  <si>
    <t>Jornales</t>
  </si>
  <si>
    <t>2110003</t>
  </si>
  <si>
    <t>Subsidio de Transporte</t>
  </si>
  <si>
    <t>2110006</t>
  </si>
  <si>
    <t>Bonificaciones</t>
  </si>
  <si>
    <t>2110007</t>
  </si>
  <si>
    <t>Prima Vacacional</t>
  </si>
  <si>
    <t>2110008</t>
  </si>
  <si>
    <t xml:space="preserve">Prima de Servicio </t>
  </si>
  <si>
    <t>Prima de Navidad</t>
  </si>
  <si>
    <t>2110009</t>
  </si>
  <si>
    <t>Prima de Costo de Vida</t>
  </si>
  <si>
    <t>2110010</t>
  </si>
  <si>
    <t>Prima de Antiguedad</t>
  </si>
  <si>
    <t>2110011</t>
  </si>
  <si>
    <t>Intereses a las Cesantías</t>
  </si>
  <si>
    <t>2110020</t>
  </si>
  <si>
    <t>Indemnizacion por vacaciones</t>
  </si>
  <si>
    <t>2110022</t>
  </si>
  <si>
    <t>Horas Extras</t>
  </si>
  <si>
    <t>2110024</t>
  </si>
  <si>
    <t>Prima Técnica y Climática</t>
  </si>
  <si>
    <t>2110025</t>
  </si>
  <si>
    <t>Asimilaciones y Ascensos</t>
  </si>
  <si>
    <t>Bonificacion especial (Bonificacion de Servicios Prestados)</t>
  </si>
  <si>
    <t>Bonificacion de recreacion</t>
  </si>
  <si>
    <t>Prima Tecnica</t>
  </si>
  <si>
    <t>Subsidio de Alimentación</t>
  </si>
  <si>
    <t>SUB-TOTAL</t>
  </si>
  <si>
    <t>SERVICIOS PERSONALES INDIRECTOS</t>
  </si>
  <si>
    <t>Contratos Aprendizaje Sena</t>
  </si>
  <si>
    <t>CONTRIBUCIONES INHERENTES A LA NOMINA SECTOR PRIVADO</t>
  </si>
  <si>
    <t>Caja de Compensación Familiar</t>
  </si>
  <si>
    <t>Entidades Promotoras de Salud</t>
  </si>
  <si>
    <t>Fondo de Pensiones</t>
  </si>
  <si>
    <t>Riesgos Profesionales</t>
  </si>
  <si>
    <t>Fondo de Cesantías</t>
  </si>
  <si>
    <t>CONTRIBUCIONES INHERENTES A LA NOMINA SECTOR PUBLICO</t>
  </si>
  <si>
    <t>Aporte 1% sobre sueldos y jornales a las Escue. e Instit.Técnicos</t>
  </si>
  <si>
    <t>Aporte 0,5% sobre sueldos y jornales para el Sena</t>
  </si>
  <si>
    <t>Aporte 0,5% sobre sueldos y jornales para el Esap</t>
  </si>
  <si>
    <t>Aporte Instituto Colombiano de Bienestar Familiar</t>
  </si>
  <si>
    <t>Fondo de Cesantías y provisiones</t>
  </si>
  <si>
    <t xml:space="preserve">SUB-TOTAL </t>
  </si>
  <si>
    <t>TOTAL GASTOS DE PERSONAL</t>
  </si>
  <si>
    <t>212</t>
  </si>
  <si>
    <t>GASTOS GENERALES</t>
  </si>
  <si>
    <t>ADQUISICION DE BIENES</t>
  </si>
  <si>
    <t>2120032</t>
  </si>
  <si>
    <t>Equipos Varios</t>
  </si>
  <si>
    <t>2120035</t>
  </si>
  <si>
    <t>Combustibles y Lubricantes</t>
  </si>
  <si>
    <t>2120038</t>
  </si>
  <si>
    <t>Impresiones y Publicaciones</t>
  </si>
  <si>
    <t>Publicidad</t>
  </si>
  <si>
    <t>2120039</t>
  </si>
  <si>
    <t>Papelería y Utiles de Escritorio</t>
  </si>
  <si>
    <t>2120043</t>
  </si>
  <si>
    <t>Materiales y Suministros</t>
  </si>
  <si>
    <t>2120045</t>
  </si>
  <si>
    <t>Vestuario y Calzado</t>
  </si>
  <si>
    <t>2120056</t>
  </si>
  <si>
    <t>Equipo de Oficina</t>
  </si>
  <si>
    <t>2120057</t>
  </si>
  <si>
    <t>Mobiliario y Enseres de Oficina</t>
  </si>
  <si>
    <t>2120064</t>
  </si>
  <si>
    <t>Comunicaciones y transportes</t>
  </si>
  <si>
    <t>2120071</t>
  </si>
  <si>
    <t>Material y Equipo Técnico en Seguridad Industrial</t>
  </si>
  <si>
    <t>ADQUISICION DE SERVICIOS</t>
  </si>
  <si>
    <t>Mantenimiento, Reparación de Vehículos y Llantas</t>
  </si>
  <si>
    <t>Mantenimiento, Reparación de Equipos</t>
  </si>
  <si>
    <t>Imprevistos</t>
  </si>
  <si>
    <t>Viáticos y Gastos de Viaje</t>
  </si>
  <si>
    <t>Viáticos y Gastos de Viaje (Sindicato)</t>
  </si>
  <si>
    <t>Gastos Judiciales</t>
  </si>
  <si>
    <t>Arrendamientos</t>
  </si>
  <si>
    <t>Primas y Gastos de Seguro</t>
  </si>
  <si>
    <t>Estudios e Investigaciones</t>
  </si>
  <si>
    <t>Servicios Públicos</t>
  </si>
  <si>
    <t>Mantenimiento de Edificio</t>
  </si>
  <si>
    <t>Caja Menor</t>
  </si>
  <si>
    <t>Mantenimiento Equipo Procesamiento de Datos y Comunicacion</t>
  </si>
  <si>
    <t>Servicio Outsorcing</t>
  </si>
  <si>
    <t>Servicio de Vigilancia</t>
  </si>
  <si>
    <t>Fumigación</t>
  </si>
  <si>
    <t>Otros Gastos Generales</t>
  </si>
  <si>
    <t>Manteniento del archivo general</t>
  </si>
  <si>
    <t>IMPUESTOS Y MULTAS</t>
  </si>
  <si>
    <t>Impuestos y administracion</t>
  </si>
  <si>
    <t>Multas</t>
  </si>
  <si>
    <t>Contribución sobre transacciones financieras</t>
  </si>
  <si>
    <t>TOTAL GASTOS GENERALES</t>
  </si>
  <si>
    <t>TRANSFERENCIAS DE PREVISION Y SEGURIDAD SOCIAL</t>
  </si>
  <si>
    <t>Pago de Pensionados</t>
  </si>
  <si>
    <t>Auxilio Funerario pensionados Municipio</t>
  </si>
  <si>
    <t>SUB TOTAL</t>
  </si>
  <si>
    <t>OTRAS TRANSFERENCIAS CORRIENTES</t>
  </si>
  <si>
    <t>Programas Recreativos, Culturales y Deportivos</t>
  </si>
  <si>
    <t>Indemnizaciones Judiciales y conciliaciones</t>
  </si>
  <si>
    <t>Aporte al Sindicato para Deportes</t>
  </si>
  <si>
    <t>Utiles Escolares para Hijos de Trabajadores</t>
  </si>
  <si>
    <t>Aporte por Muerte de Trabajadores y Familiares</t>
  </si>
  <si>
    <t>Registraduria Municipal</t>
  </si>
  <si>
    <t>Aporte Educación Sindical y Convencional</t>
  </si>
  <si>
    <t>Becas para Hijos de Trabajadores y  Becas Universitarias para Trabajadores</t>
  </si>
  <si>
    <t>Salud Ocupacional</t>
  </si>
  <si>
    <t>TOTAL TRANSFERENCIAS</t>
  </si>
  <si>
    <t>TOTAL PROGRAMA 04</t>
  </si>
  <si>
    <t>DEPENDENCIA  202</t>
  </si>
  <si>
    <t>PROGRAMA 05</t>
  </si>
  <si>
    <t xml:space="preserve">DESPACHO DEL ALCALDE  </t>
  </si>
  <si>
    <t>Prima de  Navidad</t>
  </si>
  <si>
    <t>Bonificación especial (por servicios prestados)</t>
  </si>
  <si>
    <t>Bonificación  de recreación</t>
  </si>
  <si>
    <t xml:space="preserve">Prima Técnica </t>
  </si>
  <si>
    <t>Bonificacion de Dirección</t>
  </si>
  <si>
    <t>Bonificacion Gestión Territorial</t>
  </si>
  <si>
    <t>Honorarios</t>
  </si>
  <si>
    <t>Plantas temporales</t>
  </si>
  <si>
    <t>Otros servicios personales</t>
  </si>
  <si>
    <t xml:space="preserve">Fondo de Cesantías </t>
  </si>
  <si>
    <t>TOTAL GASTOS DE FUNCIONAMIENTO</t>
  </si>
  <si>
    <t>GASTOS DE INVERSION</t>
  </si>
  <si>
    <t>INVERSION</t>
  </si>
  <si>
    <t>SECRETARIA DE INFRAESTRUCTURA</t>
  </si>
  <si>
    <t>LINEA ESTRATEGICA 1: GOBERNANZA DEMOCRATICA</t>
  </si>
  <si>
    <t>SECTOR:  FORTALECIMIENTO INSTITUCIONAL</t>
  </si>
  <si>
    <t>PROGRAMA: ADMINISTRACION ARTICULADA Y COHERENTE</t>
  </si>
  <si>
    <t>Apoyo A La Gestion Institucional</t>
  </si>
  <si>
    <t>Recursos Propios</t>
  </si>
  <si>
    <t>LINEA ESTRATEGICA 2: INCLUSION SOCIAL</t>
  </si>
  <si>
    <t>SECTOR: ATENCION A GRUPOS VULNERABLES PROMOCION SOCIAL</t>
  </si>
  <si>
    <t>PROGRAMA:  ADULTO MAYOR Y DIGNO</t>
  </si>
  <si>
    <t>Construccion Y Mantenimientos De Centros De Vida</t>
  </si>
  <si>
    <t>Recursos Propios Estampilla Pro Anciano Centro Vida</t>
  </si>
  <si>
    <t>Recursos Estampilla Proanciano Centro Vida Vigencias Anteriores</t>
  </si>
  <si>
    <t>PROGRAMA: FORMACION Y ACOMPAÑAMIENTO PARA MI HOGAR</t>
  </si>
  <si>
    <t>Planes De Vivienda Urbana Nueva Y De Mejoramiento</t>
  </si>
  <si>
    <t>22102865</t>
  </si>
  <si>
    <t>Recursos Regalias Por Explotacion De Minerales</t>
  </si>
  <si>
    <t>LINEA ESTRATEGICA 4: CALIDAD DE VIDA</t>
  </si>
  <si>
    <t>SECTOR: EQUIPAMIENTO MUNICIPAL</t>
  </si>
  <si>
    <t>PROGRAMA: SALUD AMBIENTAL</t>
  </si>
  <si>
    <t>Construcción y mantenimeinto de infraestructura para protección del medio ambiente</t>
  </si>
  <si>
    <t>Recursos propios</t>
  </si>
  <si>
    <t>DEPORTE Y RECREACION</t>
  </si>
  <si>
    <t>PROGRAMA:  INTERVENCIÓN SOCIAL DEL ESPACIO PÚBLICO</t>
  </si>
  <si>
    <t>Construccion, Mantenimiento Y/O Adecuacion De Los Escenarios Deportivos Y Recreativos</t>
  </si>
  <si>
    <t>Construccion De Parques</t>
  </si>
  <si>
    <t>Inversion Forzosa Ley 715 Otros Sectores Propositos Generales</t>
  </si>
  <si>
    <t>Mantenimiento, Conservacion Y Recuperacion De Parques Y Zonas Verdes</t>
  </si>
  <si>
    <t>Recursos Plusvalia</t>
  </si>
  <si>
    <t>Construccion De Obras De Interes Comunitario En Diferentes Sectores De La Ciudad</t>
  </si>
  <si>
    <t>Generacion Y/O Rehabilitacion Del Espacio Publico Correspondiente Al Pago Compesatorio De Los Deberes Urbanisticos Para Provision Del Espacio Publico</t>
  </si>
  <si>
    <t>Recurso Pago Compensatorio De Los Deberes Urbanisticos</t>
  </si>
  <si>
    <t>Rendimientos Financieros Recurso Pago Compensatorio De Los Deberes Urbanisticos</t>
  </si>
  <si>
    <t>Generacion De Espacio Publico Correspondiente Al Pago Compensatorio De Cesiones Tipo A</t>
  </si>
  <si>
    <t>Recurso Pago Compensatorio De Cesiones Tipo A</t>
  </si>
  <si>
    <t>Rendimientos Financieros</t>
  </si>
  <si>
    <t>Gestion Adecuacion Yo Mantenimiento Del Sistema De Estacionamientos Y Parqueaderos Y Del Espacio Publico</t>
  </si>
  <si>
    <t>Recursos Pago Compensado Por Cupo De Parqueo</t>
  </si>
  <si>
    <t>LINEA ESTRATEGICA 6: INFRAESTRUCTURA Y CONECTIVIDAD</t>
  </si>
  <si>
    <t>SECTOR: TRANSPORTE</t>
  </si>
  <si>
    <t>PROGRAMA:  PROMOCIÓN DE MODOS DE TRANSPORTE NO MOTORIZADOS</t>
  </si>
  <si>
    <t>Infraestructura Para Transporte No Motorizado (Redes Peatonales Y Ciclorutas)</t>
  </si>
  <si>
    <t>PROGRAMA:  MANTENIMIENTO Y CONSTRUCCIÓN DE RED VIAL URBANA</t>
  </si>
  <si>
    <t>Optimizacion De La Malla Vial Urbana</t>
  </si>
  <si>
    <t>Inversion Forzosa Otros Sectores Porpositos Generales</t>
  </si>
  <si>
    <t>Megaproyectos De Infraestructura Vial</t>
  </si>
  <si>
    <t>Recursos Valorizacion Vigencias Expiradas</t>
  </si>
  <si>
    <t>Rendimientos Financieros Valorizacion Vigencias Expiradas</t>
  </si>
  <si>
    <t>PROGRAMA:  MANTENIMIENTO Y CONSTRUCCIÓN DE RED VIAL RURAL</t>
  </si>
  <si>
    <t>Mantenimiento De Red Vial Rural</t>
  </si>
  <si>
    <t>SECTOR; AGUA POTABLE Y SANEAMIENTO BASICO</t>
  </si>
  <si>
    <t>PROGRAMA:  SERVICIOS PÚBLICOS URBANOS Y RURALES</t>
  </si>
  <si>
    <t>Subsidio A La Demanda Para Servicio De Acueducto</t>
  </si>
  <si>
    <t>SGP Inversion Forzosa Ley 715 Agua Potable Y Saneamiento Basico</t>
  </si>
  <si>
    <t>Rendimientos Financieros Fondo De Solidaridad Y Retribucion Del Ingreso</t>
  </si>
  <si>
    <t>Subsidio A La Demanda Para Servicio De Alcantarillado</t>
  </si>
  <si>
    <t>Subsidio A La Demanda Para Servicio De Aseo</t>
  </si>
  <si>
    <t>SECTOR: SERVICIOS PUBLICOS DIFERENTES A ACUEDUCTO ALCANTARILLADO Y ASEO</t>
  </si>
  <si>
    <t xml:space="preserve">PROGRAMA:  ALUMBRADO PUBLICO URBANO Y RURAL </t>
  </si>
  <si>
    <t>Obras De Alumbrado Publico Mantenimiento Y Energia</t>
  </si>
  <si>
    <t>Recursos Alumbrado Publico Inversion</t>
  </si>
  <si>
    <t>Recursos Alumbrado Publico Inversion Gastos Operativos Y Administrativos</t>
  </si>
  <si>
    <t>Recursos Alumbrado Publico Inversion Energia Y Facturacion</t>
  </si>
  <si>
    <t>Rendimientos Financieros Alumbrado Publico</t>
  </si>
  <si>
    <t>SUBTOTAL  INVERSION INFRAESTRUCTURA</t>
  </si>
  <si>
    <t>LINEA ESTRATEGICA 3:SOSTENIBILIDAD AMBIENTAL</t>
  </si>
  <si>
    <t>SECTOR: AMBIENTAL</t>
  </si>
  <si>
    <t>PROGRAMA: ECOSISTEMAS PARA LA VIDA</t>
  </si>
  <si>
    <t>Adquisición De Predios Para Conservación, Mantenimiento Y Estudio De Flora Y Fauna En Áreas Abastecedoras De Agua Del Municipio De Bucaramanga, Santander, Centro Oriente</t>
  </si>
  <si>
    <t>Reforestacion Como Medida Compensatoria</t>
  </si>
  <si>
    <t>22101711</t>
  </si>
  <si>
    <t>PROGRAMA: IMPLEMENTACION DEL PGIRS</t>
  </si>
  <si>
    <t>Disposicion, Eliminacion Y Reciclaje De Residuos Liquidos Y Solidos</t>
  </si>
  <si>
    <t>22102611</t>
  </si>
  <si>
    <t>Recursos Fondo Ambiental</t>
  </si>
  <si>
    <t>Educacion Ambiental</t>
  </si>
  <si>
    <t>Educacion Ambiental No Formal</t>
  </si>
  <si>
    <t>22102784</t>
  </si>
  <si>
    <t>Fondo Ambiental</t>
  </si>
  <si>
    <t>PROGRAMA: CALIDAD AMBIENTAL Y ADAPTACION AL CAMBIO CLIMATICO</t>
  </si>
  <si>
    <t>Operacion Y Mantenimiento De Planta De Tratamiento De Lixivados</t>
  </si>
  <si>
    <t>22104831</t>
  </si>
  <si>
    <t>Recursos Propios (Vigencias Futuras)</t>
  </si>
  <si>
    <t>Implementación De Mecanismos De Fomento De La Protección De Cuencas Hídricas Y Ecosistemas Estratégicos Para El Municipio De Bucaramanga, Santander.</t>
  </si>
  <si>
    <t xml:space="preserve">Recursos Propios </t>
  </si>
  <si>
    <t xml:space="preserve">Implementación Y Mantenimiento Del Sistema De Gestión Ambiental Sigam </t>
  </si>
  <si>
    <t>22109191</t>
  </si>
  <si>
    <t>Recursos Transferencias Del Sector Eléctrico</t>
  </si>
  <si>
    <t>Fondo Rotatoria Ambiental Vigencias Anteriores</t>
  </si>
  <si>
    <t>FONDO LOCAL DE SALUD</t>
  </si>
  <si>
    <t>SUB CUENTA DE SALUD PUBLICA COLECTIVA</t>
  </si>
  <si>
    <t>SECTOR: FORTALECIMIENTO INSTITUCIONAL</t>
  </si>
  <si>
    <t>PROGRAMA: UNA CIUDAD VISIBLE QUE TOMA DECISIONES INTELIGENTES</t>
  </si>
  <si>
    <t>Observatorio De Salud Publica</t>
  </si>
  <si>
    <t>22100191</t>
  </si>
  <si>
    <t>SECTOR: SALUD</t>
  </si>
  <si>
    <t>PROGRAMA: POBLACION CON DISCAPACIDAD</t>
  </si>
  <si>
    <t>Discapacidad</t>
  </si>
  <si>
    <t>22102733</t>
  </si>
  <si>
    <t>SGP Salud Publica Recursos Ley 715 De 2001</t>
  </si>
  <si>
    <t>PROGRAMA: VICTIMAS DEL CONFLICTO INTERNO ARMADO</t>
  </si>
  <si>
    <t>Atencion Integral Victimas Del Conflicto</t>
  </si>
  <si>
    <t>22109173</t>
  </si>
  <si>
    <t>PROGRAMA: INICIO FELIZ (PRIMERA INFANCIA)</t>
  </si>
  <si>
    <t>Salud Infantil</t>
  </si>
  <si>
    <t>22109943</t>
  </si>
  <si>
    <t>PROGRAMA: ADULTO MAYOR Y DIGNO</t>
  </si>
  <si>
    <t>Dimension Transversal Gestion Diferencial De Poblaciones Vulnerables</t>
  </si>
  <si>
    <t>22102443</t>
  </si>
  <si>
    <t>22102447</t>
  </si>
  <si>
    <t>Rendimientos Financieros Salud Publica</t>
  </si>
  <si>
    <t>LINEA ESTRATEGICA 3: SOSTENIBILIDAD AMBIENTAL</t>
  </si>
  <si>
    <t>PROGRAMA: REDUCCION Y MITIGACION DEL RIESGO DE DESASTRES</t>
  </si>
  <si>
    <t>Dimension Salud Publica En Emergencias Y Desastres</t>
  </si>
  <si>
    <t>22102403</t>
  </si>
  <si>
    <t>Dimension Salud Ambiental</t>
  </si>
  <si>
    <t>22102063</t>
  </si>
  <si>
    <t>SGP Salud Publica Recursos Ley 715</t>
  </si>
  <si>
    <t>Rendimientos Financieros Salud Pública</t>
  </si>
  <si>
    <t>22102068</t>
  </si>
  <si>
    <t>Recursos Coljuegos</t>
  </si>
  <si>
    <t>Dimension Convivencia Social Y Salud Mental</t>
  </si>
  <si>
    <t>22102203</t>
  </si>
  <si>
    <t>Dimension Seguridad Alimentaria Y Nutricional</t>
  </si>
  <si>
    <t>22102333</t>
  </si>
  <si>
    <t>22102338</t>
  </si>
  <si>
    <t>Dimension Vida Saludable Y Enfermedades Transmisibles</t>
  </si>
  <si>
    <t>22102393</t>
  </si>
  <si>
    <t>22102398</t>
  </si>
  <si>
    <t>Dimension Vida Saludable Y Condiciones No Transmisibles</t>
  </si>
  <si>
    <t>22102413</t>
  </si>
  <si>
    <t>Dimension Salud Y Ambito Laboral</t>
  </si>
  <si>
    <t>22102423</t>
  </si>
  <si>
    <t>Dimension Fortalecimiento De La Autoridad Sanitaria Para La Gestion De La Salud</t>
  </si>
  <si>
    <t>22102461</t>
  </si>
  <si>
    <t>22102463</t>
  </si>
  <si>
    <t>22102468</t>
  </si>
  <si>
    <t>Dimension Sexualidad, Derechos Sexuales Y Reproductivos</t>
  </si>
  <si>
    <t>22102473</t>
  </si>
  <si>
    <t>Atencion Primaria En Salud</t>
  </si>
  <si>
    <t>22105061</t>
  </si>
  <si>
    <t>22105063</t>
  </si>
  <si>
    <t>Salud Sexual Y Reproductiva</t>
  </si>
  <si>
    <t>22109973</t>
  </si>
  <si>
    <t>SUB CUENTA REGIMEN SUBSIDIADO EN SALUD</t>
  </si>
  <si>
    <t>LINEA ESTRATEGICA: CALIDAD DE VIDA</t>
  </si>
  <si>
    <t>PROGRAMA: ASEGURAMIENTO</t>
  </si>
  <si>
    <t>Subsidio A La Demanda</t>
  </si>
  <si>
    <t>22105443</t>
  </si>
  <si>
    <t>SGP Recursos Salud Continuacion Ley 715 De 2001</t>
  </si>
  <si>
    <t>22105444</t>
  </si>
  <si>
    <t>Recursos Coljuegos Auditoria Y O Interventoria Regimen Subsidiado</t>
  </si>
  <si>
    <t>22105445</t>
  </si>
  <si>
    <t>Superintendencia Nacional De Salud Sin Situacion De Fondos Fosyga</t>
  </si>
  <si>
    <t>Rendimientos Financieros Regimen Subsidiado</t>
  </si>
  <si>
    <t>22105446</t>
  </si>
  <si>
    <t>Recursos Fosyga</t>
  </si>
  <si>
    <t>Recursos Desahorro Fonpet Regimen Subsidiado</t>
  </si>
  <si>
    <t>22105449</t>
  </si>
  <si>
    <t>Aportes Departamento</t>
  </si>
  <si>
    <t>22105451</t>
  </si>
  <si>
    <t>Aportes Departamento Sin Situacion De Fondos</t>
  </si>
  <si>
    <t>22105441</t>
  </si>
  <si>
    <t>Recursos propios Saldo Cuenta Maestra</t>
  </si>
  <si>
    <t>22105447</t>
  </si>
  <si>
    <t>Recursos Rendimientos Financieros Regimen Subsidiado</t>
  </si>
  <si>
    <t>22105448</t>
  </si>
  <si>
    <t>Inversion Mejoramiento Infraestructura Y Dotacion Red Publica</t>
  </si>
  <si>
    <t>SUB CUENTA PRESTACION DE SERVICIOS EN SALUD</t>
  </si>
  <si>
    <t>Prestacion De Servicios</t>
  </si>
  <si>
    <t>22105433</t>
  </si>
  <si>
    <t>Recursos Salud Prestacion De Servicios Ley 715 De 2001</t>
  </si>
  <si>
    <t>22105436</t>
  </si>
  <si>
    <t>Aporte Patronal SGP Salud Ley 715 De 2001</t>
  </si>
  <si>
    <t>22105437</t>
  </si>
  <si>
    <t>SUB CUENTA OTROS GASTOS EN SALUD</t>
  </si>
  <si>
    <t>22102891</t>
  </si>
  <si>
    <t>FORTALECIMIENTO DE LA AUTORIDAD SANITARIA PARA LA GESTION DE LA SALUD</t>
  </si>
  <si>
    <t xml:space="preserve">Fortalecimiento Institucional </t>
  </si>
  <si>
    <t>22102229</t>
  </si>
  <si>
    <t>Rendimientos Financieros Coljuegos</t>
  </si>
  <si>
    <t>Centros De Salud Móviles</t>
  </si>
  <si>
    <t>Fortalecimiento HLN</t>
  </si>
  <si>
    <t>SUBTOTAL  INVERSION  SECRETARIA DE SALUD Y AMBIENTE</t>
  </si>
  <si>
    <t>SECTOR: DESARROLLO COMUNITARIO</t>
  </si>
  <si>
    <t>PROGRAMA: NUEVOS LIDERAZGOS</t>
  </si>
  <si>
    <t>PROGRAMAS DE CAPACITACIÓN, ASESORÍA Y ASISTENCIA TÉCNICA PARA CONSOLIDAR PROCESOS DE PARTICIPACIÓN CIUDADANA Y CONTROL SOCIAL</t>
  </si>
  <si>
    <t>RECURSOS PROPIOS</t>
  </si>
  <si>
    <t>SECTOR: EDUCACION</t>
  </si>
  <si>
    <t>PROGRAMA: DISPONIBILIDAD (ASEQUIBILIDAD): "ENTORNOS DE APRENDIZAJE BELLOS Y AGRADABLES"</t>
  </si>
  <si>
    <t>Planta Administrativa Secretaria Educacion</t>
  </si>
  <si>
    <t>Prima De Vacaciones</t>
  </si>
  <si>
    <t>Prima De Servicios</t>
  </si>
  <si>
    <t>Prima De Navidad</t>
  </si>
  <si>
    <t>Intereses A Las Cesantias</t>
  </si>
  <si>
    <t>Indemnizacion Por Vacaciones</t>
  </si>
  <si>
    <t>Bonificacion Por Servicios Prestados</t>
  </si>
  <si>
    <t>Bonificacion Especial De Recreacion</t>
  </si>
  <si>
    <t>Contribuciones Inherentes A La Nomina Sector Privado</t>
  </si>
  <si>
    <t>Caja De Compensación Familiar</t>
  </si>
  <si>
    <t>Aporte Salud (Personal Admin)</t>
  </si>
  <si>
    <t>Aportres Pensiones (Personal Admin)</t>
  </si>
  <si>
    <t>Riesgos Profesionales. A.R.P. (Personal Admin.)</t>
  </si>
  <si>
    <t>Aportes Cesantias (Personal Admin)</t>
  </si>
  <si>
    <t>Contribuciones Inherentes A La Nomina Sector Publico</t>
  </si>
  <si>
    <t>Servicio Nal De Aprendizaje Sena</t>
  </si>
  <si>
    <t>Inst. Col. De Bienestar Familiar Icbf</t>
  </si>
  <si>
    <t>Esc. Indus. E Inst. Tecnicos (Ley 21/82)</t>
  </si>
  <si>
    <t>Esc. Superior De Admin. Publica Esap</t>
  </si>
  <si>
    <t>Servicios Personal Administrativo  Asociados A La Nomina</t>
  </si>
  <si>
    <t>Prima De Servicio</t>
  </si>
  <si>
    <t>Incremento Por Antigüedad</t>
  </si>
  <si>
    <t>Retroactivo</t>
  </si>
  <si>
    <t>Subsidio O Prima De Alimentación</t>
  </si>
  <si>
    <t>Homologacion De Administrativos</t>
  </si>
  <si>
    <t>Horas Extras Y Dias Festivos</t>
  </si>
  <si>
    <t>Bonificación Por Servicios Prestados</t>
  </si>
  <si>
    <t>Bonificación Especial De Recreación</t>
  </si>
  <si>
    <t>Cesantias</t>
  </si>
  <si>
    <t>Aportes Pensiones (Personal Admin)</t>
  </si>
  <si>
    <t>Servicios Administrativos Adicionales</t>
  </si>
  <si>
    <t>Recursos Propios (Aseo)</t>
  </si>
  <si>
    <t>Recursos Propios (Vigilancia)</t>
  </si>
  <si>
    <t>UNIDAD TRES DOCENTES Y DIRECTIVOS DOCENTES</t>
  </si>
  <si>
    <t>Servicios Personales Asociados A La Nomina</t>
  </si>
  <si>
    <t>Sobresueldos</t>
  </si>
  <si>
    <t>Auxilio De Transporte</t>
  </si>
  <si>
    <t>Auxilio De Movilización</t>
  </si>
  <si>
    <t>Ascensos En El Escalafón Docente</t>
  </si>
  <si>
    <t>Otras Primas De Orden Nacional</t>
  </si>
  <si>
    <t>Zonas De Dificil Acceso</t>
  </si>
  <si>
    <t>Bonificaciones Especiales</t>
  </si>
  <si>
    <t>Cesantias Docentes ( Sin Situacion De Fondos.)</t>
  </si>
  <si>
    <t>Prevision Social ( Sin Situacion De Fondos.)</t>
  </si>
  <si>
    <t/>
  </si>
  <si>
    <t>Dotacion Ley 70/88</t>
  </si>
  <si>
    <t>SGP. Prestacion De Servicios Educacion Ley 715 De 2001</t>
  </si>
  <si>
    <t>Capacitación No Formal</t>
  </si>
  <si>
    <t>Viaticos Y Gastos De Viajes</t>
  </si>
  <si>
    <t>Auxilios Funerarios</t>
  </si>
  <si>
    <t>Conectividad</t>
  </si>
  <si>
    <t>Prestacion De Servicios Educacion Ley 715 De 2001</t>
  </si>
  <si>
    <t>Servicios Publicos</t>
  </si>
  <si>
    <t>Inversion Forzosa Educacion Calidad</t>
  </si>
  <si>
    <t>Dotación De Material Y Medios Pedagogicos Para Los Establecimientos Educativos Oficiales</t>
  </si>
  <si>
    <t>Rendimientos Financieros Educacion</t>
  </si>
  <si>
    <t xml:space="preserve">Dotación Jornada Única </t>
  </si>
  <si>
    <t>Construcción Y/O Dotación Cdi</t>
  </si>
  <si>
    <t>Mantenimiento De Establecimientos Educativos</t>
  </si>
  <si>
    <t>Infraestructura Jornada Unica</t>
  </si>
  <si>
    <t>Recursos Fonpet</t>
  </si>
  <si>
    <t>Construcción Ampliación Adecuación De Infraestructura Educativa</t>
  </si>
  <si>
    <t>PROGRAMA: ACCESO (ACCESIBILIDAD): EDUCACION PARA UNA CIUDADANIA INTELIGENTE Y SOLIDARIA</t>
  </si>
  <si>
    <t>ADQUISICIONES DE SERVICIOS</t>
  </si>
  <si>
    <t>Necesidades Educativas Especiales . Educacion</t>
  </si>
  <si>
    <t>Recursos Propios Poblacion Incluyente</t>
  </si>
  <si>
    <t>SGP Educacion 715 Servicio Personal De Apoyo</t>
  </si>
  <si>
    <t>SGP Educacion 715 Formacion De Docentes</t>
  </si>
  <si>
    <t>SGP Educacion 715 Dotacion</t>
  </si>
  <si>
    <t xml:space="preserve">SGP Educacion 715 Mejoramiento De Condiciones De Accesibilidad De Infraestructura </t>
  </si>
  <si>
    <t>Convenios Con Instituciones Privadas</t>
  </si>
  <si>
    <t>Prestacion Servicios Educacion Ley 715 De 2001 Vigencias Futuras</t>
  </si>
  <si>
    <t>SGP Prestacion De Servicios Educacion Ley 715 De 2001</t>
  </si>
  <si>
    <t>Atencion A Poblacion Vulnerable Mediante La Aplicacion De Metodologias Educativas Flexibles</t>
  </si>
  <si>
    <t>SGP Prestacon De Servicios Educacion Ley 715 De 2001</t>
  </si>
  <si>
    <t>Transporte Escolar</t>
  </si>
  <si>
    <t>SGP Inversion Forzosa Ley 715 De 2001 Propositos Generales Otros Sectores</t>
  </si>
  <si>
    <t>Alimentacion Escolar</t>
  </si>
  <si>
    <t>SGP Inversion Forzosa Ley 715 Alimentacion Escolar</t>
  </si>
  <si>
    <t>SGP Alimentacion Escolar Jornada Unica</t>
  </si>
  <si>
    <t>Rendimientos Financieros Alimentacion Escolar</t>
  </si>
  <si>
    <t>Recursos Ministerio De Educacion Icbf</t>
  </si>
  <si>
    <t>Educacion Tecnica Y Tecnologica</t>
  </si>
  <si>
    <t>FONDO EDUCATIVO MUNICIPAL</t>
  </si>
  <si>
    <t>Fondo Educativo Municipal</t>
  </si>
  <si>
    <t>Recursos Propios 1% Industria Y Comercio</t>
  </si>
  <si>
    <t>OTROS GASTOS EN EDUCACIÓN NO INCLUIDOS EN LOS CONCEPTOS ANTERIORES</t>
  </si>
  <si>
    <t>RUBRO NUEVO</t>
  </si>
  <si>
    <t>PROTECCIÓN INTEGRAL DE LA NIÑEZ</t>
  </si>
  <si>
    <t>ATENCIÓN Y APOYO A LOS GRUPOS INDÍGENAS, ETNIAS Y AFRODESCENDIENTES</t>
  </si>
  <si>
    <t>Atencion A La Poblacion En Situacion De Desplazamiento</t>
  </si>
  <si>
    <t>ATENCION Y FORTALECIMIENTO PARA POBLACION DESVINCULADA, DESMOVILIZADA, REINSERTADA Y VULNERABLE</t>
  </si>
  <si>
    <t>PROGRAMA: PERMANENCIA EN EL SISTEMA EDUCATIVO (ADAPTABILIDAD)</t>
  </si>
  <si>
    <t>Aplicación De Proyectos Educativos Transversales</t>
  </si>
  <si>
    <t>Estimulo Mejores Estudiantes</t>
  </si>
  <si>
    <t>Estimulo A Estudiantes En Practica</t>
  </si>
  <si>
    <t>SECTOR: JUSTICIA</t>
  </si>
  <si>
    <t xml:space="preserve">CONSTRUCCIÓN DE PAZ Y CONVIVENCIA FAMILIAR </t>
  </si>
  <si>
    <t>PROGRAMA: CALIDAD (ACEPTABILIDAD): "INNOVADORES Y PROFESIONALES"</t>
  </si>
  <si>
    <t>SECTOR : EDUCACION</t>
  </si>
  <si>
    <t>Programas De Bienestar Social</t>
  </si>
  <si>
    <t>Acompañamiento A Planes De Mejoramiento</t>
  </si>
  <si>
    <t>SGP Inversion Forzosa Educacion Calidad</t>
  </si>
  <si>
    <t>Estimulos A Estudiantes Mediante Programas De Investigacion</t>
  </si>
  <si>
    <t>Foro Educativo</t>
  </si>
  <si>
    <t>Proyecto De Modernizacion De La Secretaria De Educacion</t>
  </si>
  <si>
    <t>FONDO PARA EL TRABAJO Y DESARROLLO HUMANO</t>
  </si>
  <si>
    <t>Fondo Para El Trabajo Y Desarrollo Humano</t>
  </si>
  <si>
    <t>Gratuidad De La Educacion</t>
  </si>
  <si>
    <t>SGP Inversion Forzosa Educacion Gratuidad</t>
  </si>
  <si>
    <t>SUBTOTAL  INVERSION  SECRETARIA DE EDUCACION</t>
  </si>
  <si>
    <t>SECTOR: ATENCION A GRUPOS EN SITUACION DE VULNERABILIDAD</t>
  </si>
  <si>
    <t>Fomento, desarrollo y practica del deporte y la recreación a poblacion vulnerable</t>
  </si>
  <si>
    <t xml:space="preserve">Libre Inversion Propositos Generales Inversión Forzosa  Ley 715 </t>
  </si>
  <si>
    <t>Fomento, desarrollo y practica del deporte y la recreación a jovenes</t>
  </si>
  <si>
    <t>SECTOR: DEPORTE Y RECREACION</t>
  </si>
  <si>
    <t>Actividad Fisica, Educacion Fisica, Recreacion Y Deporte</t>
  </si>
  <si>
    <t>Recreacion  Inversión Forzosa  Ley 715 de 2001 propositos generales</t>
  </si>
  <si>
    <t>Rendimientos financieros recreación</t>
  </si>
  <si>
    <t>AMBIENTES DEPORTIVOS Y RECREATIVOS</t>
  </si>
  <si>
    <t>Escenarios Para La Gente</t>
  </si>
  <si>
    <t>Ley del Deporte (Ley 181/95 Impto Especta. Públicos</t>
  </si>
  <si>
    <t>SUBTOTAL  INVERSION  INDERBU</t>
  </si>
  <si>
    <t>COMPENENTE: CIUDADANAS Y CIUDADANOS INTELIGENTES</t>
  </si>
  <si>
    <t>SECTOR: CULTURA</t>
  </si>
  <si>
    <t>PROGRAMA: LECTURA, ESCRITURA Y ORALIDAD LEO</t>
  </si>
  <si>
    <t>Fortalecimiento De La Biblioteca Publica Municipal Gabriel Turbay Y Sus Bibliotecas Satelites</t>
  </si>
  <si>
    <t>22101801</t>
  </si>
  <si>
    <t>22101803</t>
  </si>
  <si>
    <t>Cultura Inversion Forzosa Ley 715 De 2001 Propositos Generales</t>
  </si>
  <si>
    <t>PROGRAMA; PROCESOS DE FORMACION EN ARTE Y MUSICA</t>
  </si>
  <si>
    <t>Formacion Artistica Y Cultural</t>
  </si>
  <si>
    <t>22101203</t>
  </si>
  <si>
    <t>22101207</t>
  </si>
  <si>
    <t>Cultura Rendimientos Financieros</t>
  </si>
  <si>
    <t>PROGRAMA: FOMENTO DE LA PRODUCCION ARTISTICA</t>
  </si>
  <si>
    <t>PROGRAMA: A CUIDAR LO QUE ES VALIOSO RECUPERACION Y CONSERVACION DEL PATRIMONIO</t>
  </si>
  <si>
    <t>Construccion Adecuacion Mejoramiento Y Dotacion De La Infraestructura De Los Escenarios Para Los Espectaculos Publicos De Las Artes Escenicas</t>
  </si>
  <si>
    <t>22101841</t>
  </si>
  <si>
    <t>Recursos Contribucion Parafiscal De Los Espectaculos Publicos De Las Artes Escenicas</t>
  </si>
  <si>
    <t>22101842</t>
  </si>
  <si>
    <t>22101843</t>
  </si>
  <si>
    <t>PROMOCION DEL DESARROLLO</t>
  </si>
  <si>
    <t>PROGRAMA: OBSERVAR Y SER OBSERVADO FOMENTO AL TURISMO</t>
  </si>
  <si>
    <t>Desarrollo Y Promocion De La Actividad Turistica</t>
  </si>
  <si>
    <t>SUBTOTAL  INVERSION  INSTITUTO MUNICIPAL DE CULTURA</t>
  </si>
  <si>
    <t>SECTOR: JUSTICIA Y SEGURIDAD</t>
  </si>
  <si>
    <t>Promocion De La Convivencia Ciudadana</t>
  </si>
  <si>
    <t>22109801</t>
  </si>
  <si>
    <t>Comparendo Ambiental</t>
  </si>
  <si>
    <t>22101211</t>
  </si>
  <si>
    <t>Recursos Comparendo Ambiental</t>
  </si>
  <si>
    <t>PROGRAMA: INSPECCIONES Y COMISARIAS QUE FUNCIONAN</t>
  </si>
  <si>
    <t>Inspecciones Y Comisarias Que Funcionan</t>
  </si>
  <si>
    <t>22102641</t>
  </si>
  <si>
    <t>SECTOR: ATENCION GRUPOS VULNERABLES PROMOCION SOCIAL</t>
  </si>
  <si>
    <t>Prevencion Atencion Y Asistencia Integral A Victimas Del Conflicto</t>
  </si>
  <si>
    <t>22109791</t>
  </si>
  <si>
    <t>Rendimientos Financieros Fondo Victimas</t>
  </si>
  <si>
    <t>PROGRAMA: CRECIENDO Y CONSTRUYENDO (ADOLESCENCIA)</t>
  </si>
  <si>
    <t>Construccion De Paz Y Convivencia Familiar</t>
  </si>
  <si>
    <t>22102681</t>
  </si>
  <si>
    <t>RUBRO</t>
  </si>
  <si>
    <t>FORTALECIMIENTO SISTEMA DE RESPONSABILIDAD PENAL DE MENORES DE EDAD</t>
  </si>
  <si>
    <t>ATENCION A ADOLESCENTES INFRACTORES DE LA LEY PENAL</t>
  </si>
  <si>
    <t>Atencion A Adolescentes Infractores De La Ley Penal</t>
  </si>
  <si>
    <t>LINEA ESTRATREGIA3: SOSTENIBILIDAD AMBIENTAL</t>
  </si>
  <si>
    <t>COMPENENTE: GESTION DEL RIESGO</t>
  </si>
  <si>
    <t>SECTOR: PREVENCION Y ATENCION DE DESASTRES</t>
  </si>
  <si>
    <t>PROGRAMA: CONOCIMIENTO DEL RIESGO DEL DESASTRE</t>
  </si>
  <si>
    <t>Fondo De Gestion Del Riesgo De Desastres En El Municipio De Bucaramanga</t>
  </si>
  <si>
    <t>22106791</t>
  </si>
  <si>
    <t>PROGRAMA: REDUCCION Y MITIGACION DEL RIESGODE DESASTRE</t>
  </si>
  <si>
    <t>PROGRAMA: MANEJO DE EMERGENCIAS Y DESASTRES</t>
  </si>
  <si>
    <t>SECTOR: EQUIPAMIENTO</t>
  </si>
  <si>
    <t>PROGRAMA: INTERVENCION SOCIAL DEL ESPACIO PUBLICO</t>
  </si>
  <si>
    <t>Mantenimiento Y Administracion De Plazas De Mercado</t>
  </si>
  <si>
    <t>22109811</t>
  </si>
  <si>
    <t>PROGRAMA: CASAS DE JUSTICIA</t>
  </si>
  <si>
    <t>Fortalecimiento De La Justicia Municipal</t>
  </si>
  <si>
    <t>22102361</t>
  </si>
  <si>
    <t>PROGRAMA: SEGURIDAD CON LOGICA Y ETICA</t>
  </si>
  <si>
    <t>Fondo De Vigilancia Y Seguridad Ciudadana</t>
  </si>
  <si>
    <t>22101221</t>
  </si>
  <si>
    <t>Rendimientos Financieros Fondo Vigilancia Y Seguridad Ciudadana</t>
  </si>
  <si>
    <t>Fondo Ley 418 Seguridad Y Vigilancia</t>
  </si>
  <si>
    <t>Contribución 5% Contratos De Obra Publica</t>
  </si>
  <si>
    <t xml:space="preserve">Contribución 5% Contratos De Obra Publica Vigencias Anteriores </t>
  </si>
  <si>
    <t>PROGRAMA: CONVIVENCIA</t>
  </si>
  <si>
    <t>PROTECCION AL CONSUMIDOR</t>
  </si>
  <si>
    <t>Fondo De Proteccion Al Consumidor</t>
  </si>
  <si>
    <t>22101231</t>
  </si>
  <si>
    <t>PROGRAMA: FORTALECIMIENTO DE LOS DERECHOS HUMANOS</t>
  </si>
  <si>
    <t>Derechos Humanos</t>
  </si>
  <si>
    <t>SUBTOTAL  INVERSION  SECRETARIA DEL INTERIOR</t>
  </si>
  <si>
    <t>LINEA 1: GOBERNANZA DEMOCRATICA</t>
  </si>
  <si>
    <t>Atención a la mujer</t>
  </si>
  <si>
    <t>PROGRAMA: INSTITUCIONES DEMOCRATICAS DE BASES FORTALECIDAS E INCLUYENTES</t>
  </si>
  <si>
    <t>Capacitacion Y Promocion De La Participacion Comunitaria Y Ciudadana</t>
  </si>
  <si>
    <t>Seguridad Social En Salud Y Riesgos Profesionales Juntas Administradoras Locales</t>
  </si>
  <si>
    <t>PROGRAMA: INICIO FELIZ</t>
  </si>
  <si>
    <t>PROTECCION INTEGRAL A LA PRIMERA INFANCIA</t>
  </si>
  <si>
    <t>Proteccion Integral A La Primera Infancia</t>
  </si>
  <si>
    <t>SGP Rendimientos Financieros Propositos Generales</t>
  </si>
  <si>
    <t>Recursos SGP Primera Infancia</t>
  </si>
  <si>
    <t>Recursos SGP Conpes 115 de 2008 Vig anteriores</t>
  </si>
  <si>
    <t>Recursos Conpes 162 De 2013 Vigencias Anteriores</t>
  </si>
  <si>
    <t>Recursos Conpes 181 De 2015 Vigencias Anteriores</t>
  </si>
  <si>
    <t>Liquidación Convenio 929 De 2008 - Atención Integral A La Primera Infancia Vigencias Anteriores</t>
  </si>
  <si>
    <t>Recursos Conpes 3861 Vigencias Anteriores</t>
  </si>
  <si>
    <t>Seguro Exequial</t>
  </si>
  <si>
    <t>SGP INVERSION FORZOSA LEY 715 DE 2001 PROPOSITOS GENERALES OTROS SECTORES</t>
  </si>
  <si>
    <t>PROGRAMA: JUGANDO Y APRENDIENDO</t>
  </si>
  <si>
    <t>Erradicacion Del Trabajo Infantil</t>
  </si>
  <si>
    <t>Protección Integral De La Niñez</t>
  </si>
  <si>
    <t>PROGRAMA: CRECIENDO Y CONSTRUYENDO</t>
  </si>
  <si>
    <t>Protección Integral A La Adolescencia</t>
  </si>
  <si>
    <t>Atencion Integral Al Adulto Mayor</t>
  </si>
  <si>
    <t>Centros De Bienestar Del Anciano Y Centros De Vida</t>
  </si>
  <si>
    <t>Recursos Propios Estampilla Pro Anciano Centros Vida</t>
  </si>
  <si>
    <t>Recursos Propios Estampilla Pro Anciano Centros De Bienestar Del Anciano</t>
  </si>
  <si>
    <t>Recursos Estampilla Proanciano Centros De Bienestar Del Anciano Vigencias Anteriores</t>
  </si>
  <si>
    <t>Recursos Estampilla Departamental Centro Vida</t>
  </si>
  <si>
    <t>Recursos Estampillas Departamental Centro De Bienestar Del Anciano</t>
  </si>
  <si>
    <t>Rendimientos Financieros Recursos Propios Estampilla Pro Anciano Municipal</t>
  </si>
  <si>
    <t>PROGRAMA: PRIMERO MI FAMILIA</t>
  </si>
  <si>
    <t>Programa Familias En Accion</t>
  </si>
  <si>
    <t>FOMENTO, DESARROLLO Y PRÁCTICA DEL DEPORTE, LA RECREACIÓN Y EL APROVECHAMIENTO DEL TIEMPO LIBRE</t>
  </si>
  <si>
    <t>ATENCION GRUPOS VULNERABLES PROMOCION SOCIAL</t>
  </si>
  <si>
    <t>FORMACION Y ACOMPAÑAMIENTO PARA MI HOGAR</t>
  </si>
  <si>
    <t>ATENCION Y FORTALECIMIENTO DE LA FAMILIA</t>
  </si>
  <si>
    <t>PROGRAMA: VIDA LIBRE DE VIOLENCIAS</t>
  </si>
  <si>
    <t>Atencion A La Mujer</t>
  </si>
  <si>
    <t>Atencion A Discapacitados</t>
  </si>
  <si>
    <t>PROGRAMA: COMUNIDADES LGTBI</t>
  </si>
  <si>
    <t>LGTBI DIVERSIDAD SEXUAL CON SEGURIDAD</t>
  </si>
  <si>
    <t>PROGRAMA: HABITANTE DE CALLE</t>
  </si>
  <si>
    <t>Atencion Al Habitante De La Calle</t>
  </si>
  <si>
    <t>PROGRAMAS: MINORIAS ETNICAS</t>
  </si>
  <si>
    <t>MINORIAS ETNICAS</t>
  </si>
  <si>
    <t>PROGRAMA: PREVENCION Y ATENCION A POBLACION EN CONDICION DE ADICCION A SUSTANCIAS PSICOACTIVAS</t>
  </si>
  <si>
    <t>Poblacion Con Adiccion A Sustancias Psicoactivas</t>
  </si>
  <si>
    <t>PROGRAMA: TRABAJADORAS Y TRABAJADORES SEXUALES</t>
  </si>
  <si>
    <t>Prevencion Trabajo Sexual</t>
  </si>
  <si>
    <t>SECTOR: CENTROS DE RECLUSION</t>
  </si>
  <si>
    <t>PROGRAMA: POBLACION CARCELARIA Y POSTPENADOS</t>
  </si>
  <si>
    <t>Atencion A La Poblacion Carcelaria</t>
  </si>
  <si>
    <t>LINEA 3: SOSTENIBILIDAD AMBIENTAL</t>
  </si>
  <si>
    <t>SECTOR: AGROPECUARIO</t>
  </si>
  <si>
    <t>PROGRAMA: NUESTRO PROYECTO AGROPECUARIO</t>
  </si>
  <si>
    <t>Atencion Al Campesino</t>
  </si>
  <si>
    <t>FORTALECIMIENTO INSTITUCIONAL Y LOGISTICO</t>
  </si>
  <si>
    <t>SUBTOTAL  INVERSION  SECRETARIA DE DESARROLLO SOCIAL</t>
  </si>
  <si>
    <t>LÍNEA ESTRATÉGICA 1: GOBERNANZA DEMOCRATICA</t>
  </si>
  <si>
    <t>PROGRAMA: INSTITUCIONES DEMOCRÁTICAS DE BASE  FORTALECIDAS E INCLUYENTES</t>
  </si>
  <si>
    <t>Concejo Territorial De Planeacion</t>
  </si>
  <si>
    <t>PROGRAMA: ADMINISTRACIÓN ARTICULADA Y COHERENTE</t>
  </si>
  <si>
    <t>Apoyo A La Gestión Institucional</t>
  </si>
  <si>
    <t>Descentralizacion Del Sisben</t>
  </si>
  <si>
    <t>22108441</t>
  </si>
  <si>
    <t>Estratificacion Socioeconomica</t>
  </si>
  <si>
    <t>22108332</t>
  </si>
  <si>
    <t>Recursos Estratificacion Vigencias Anteriores</t>
  </si>
  <si>
    <t xml:space="preserve">Recusos Estratificacion </t>
  </si>
  <si>
    <t>Rendimientos Financieros Recursos Estratificacion</t>
  </si>
  <si>
    <t>Aportes A Programas Y Actividades De Interés Público</t>
  </si>
  <si>
    <t>PROGRAMA: ORDENAMIENTO TERRITORIAL EN MARCHA</t>
  </si>
  <si>
    <t>Gestion Del Plan De Ordenamiento</t>
  </si>
  <si>
    <t>TERRITORIOS METROPOLITANOS, PLANES CONJUNTOS</t>
  </si>
  <si>
    <t>Control Fisico De Obras</t>
  </si>
  <si>
    <t>22109871</t>
  </si>
  <si>
    <t>PROGRAMA:DISEÑO URBANO INTELIGENTE Y SUSTENTABLE</t>
  </si>
  <si>
    <t>Taller De Arquitectura</t>
  </si>
  <si>
    <t>22102691</t>
  </si>
  <si>
    <t>PROGRAMA: UNA CIUDAD QUE HACE Y EJECUTA PLANES</t>
  </si>
  <si>
    <t>Instrumentos De Planeamiento Y Operaciones Urbanas Estrategicas</t>
  </si>
  <si>
    <t>22101581</t>
  </si>
  <si>
    <t>PROGRAMA: TERRITORIOS VULNERABLES, TERRITORIOS VISIBLES</t>
  </si>
  <si>
    <t>Legalizacion De Asentamientos</t>
  </si>
  <si>
    <t>SUBTOTAL  INVERSION  SECRETARIA DE PLANEACION</t>
  </si>
  <si>
    <t>SECTOR : FORTALECIMIENTO INSTITUCIONAL</t>
  </si>
  <si>
    <t>PROGRAMA:  GOBIERNO TRANSPARENTE</t>
  </si>
  <si>
    <t>Fortalecimiento Institucional y Logistico</t>
  </si>
  <si>
    <t>PROGRAMA:  CULTURA DE LA LEGALIDAD Y LA ETICA PUBLICA</t>
  </si>
  <si>
    <t>SUBTOTAL  INVERSION  SECRETARIA JURIDICA</t>
  </si>
  <si>
    <t xml:space="preserve">LINEA ESTRATEGICA 5: PRODUCTIVIDAD Y GENERACION DE OPORTUNIDADES </t>
  </si>
  <si>
    <t>COMPENENTE: FORTALECIMEINTO EMPRESARIAL</t>
  </si>
  <si>
    <t>SECTOR: PROMOCION DEL DESARROLLO</t>
  </si>
  <si>
    <t>Instituto Municipal Del Empleo</t>
  </si>
  <si>
    <t>22101431</t>
  </si>
  <si>
    <t>SUB TOTAL INVERSION IMEBU</t>
  </si>
  <si>
    <t>INSTITUTO DE VIVIENDA DE INTERES SOCIAL Y REFORMA URBANA DEL MUNICIPIO DE BUCARAMANGA</t>
  </si>
  <si>
    <t>"INVISBU"</t>
  </si>
  <si>
    <t>SECTOR: VIVIENDA</t>
  </si>
  <si>
    <t>PROGRAMA: CONSTRUYENDO MI HOGAR</t>
  </si>
  <si>
    <t>Proyectos De Titulacion Y Legalizacion De Predios</t>
  </si>
  <si>
    <t>22102871</t>
  </si>
  <si>
    <t>Planes De Reubicacion</t>
  </si>
  <si>
    <t>22109221</t>
  </si>
  <si>
    <t>SECTOR: AGUA POTABLE Y SANEAMIENTO BASICO</t>
  </si>
  <si>
    <t>Programa De Saneamiento Basico Construccion Ampliacion Y Mejoramiento De Acueductos Alcantarillados Y Potabilizacion Del Agua Para El Mejoramiento De Vivienda</t>
  </si>
  <si>
    <t>22107493</t>
  </si>
  <si>
    <t>Inversion Forzosa Ley 715 Agua Potable Y Saneamiento Basico</t>
  </si>
  <si>
    <t>Rendimientos Financieros Agua Potable Y Saneamiento Basico</t>
  </si>
  <si>
    <t>SUBTOTAL  INVERSION  INVISBU</t>
  </si>
  <si>
    <t>CIUDADANIA EMPODERADA Y DEBATE PUBLICO, GOBIERNO TRANSPARENTE, COMPRENSIBLE Y ACCESIBLE</t>
  </si>
  <si>
    <t>Comunicacion Para El Desarrollo Institucional</t>
  </si>
  <si>
    <t>PROGRAMA: CIUDAD MODELO DE GOBIERNO EN LINEA</t>
  </si>
  <si>
    <t xml:space="preserve">Mejoramiento De La Plataforma Tecnologica </t>
  </si>
  <si>
    <t>PROGRAMA: FORTALECIMIENTO INSTITUCIONALNUEVO MODELO DE ATENCIÓN A LA CIUDADANÍA</t>
  </si>
  <si>
    <t>Mejoramiento Y Mantenimiento De Las Dependencias De La Administracion</t>
  </si>
  <si>
    <t>PROGRAMA: ADMINISTRACION EFICIENTE Y BIENESTAR PARA TODOS</t>
  </si>
  <si>
    <t>Capacitacion, Bienestar Social, Estimulos E Incentivos A Servidores Publicos</t>
  </si>
  <si>
    <t>Sistema De Gestion De Calidad Y Meci</t>
  </si>
  <si>
    <t>Gestion Documental Y Archivo</t>
  </si>
  <si>
    <t>SUBTOTAL  SECRETARIA ADMINISTRATIVA</t>
  </si>
  <si>
    <t>LINEA ESTRATEGICA 1: GOBERNANZA DEMOCRATICA
COMPONENTE: GOBIERNO LEGAL Y EFECTIVO
SECTOR: FORTALECIMIENTO INSTITUCIONAL PROGRAMA: FINANZAS PÚBLICAS SOSTENIBLES Y COMPRENSIBLES PARA LA CIUDADANÍA</t>
  </si>
  <si>
    <t>Procesos Integrales De Evaluacion Institucional Y Reorganizacion Administrativa</t>
  </si>
  <si>
    <t>Pago De Déficit Fiscal, De Pasivo Laboral Y Prestacional En Programas De Saneamiento Fiscal Y Financiero (causado despues del 31 de Dic/2000)</t>
  </si>
  <si>
    <t>SUBTOTAL  INVERSION  SECRETARIA DE HACIENDA</t>
  </si>
  <si>
    <t>SUB - TOTAL GASTOS DE INVERSION</t>
  </si>
  <si>
    <t>TOTAL PROGRAMA 05</t>
  </si>
  <si>
    <t>TOTAL DEPENDENCIA  202</t>
  </si>
  <si>
    <t>DEPENDENCIA  505</t>
  </si>
  <si>
    <t>PROGRAMA 25</t>
  </si>
  <si>
    <t>DESPACHO SECRETARIO DE HACIENDA</t>
  </si>
  <si>
    <t>TRANSFERENCIAS CORRIENTES</t>
  </si>
  <si>
    <t>TRANSFERENCIAS AL SECTOR PUBLICO</t>
  </si>
  <si>
    <t>2130089</t>
  </si>
  <si>
    <t>Refugio Social Municipal</t>
  </si>
  <si>
    <t>2130090</t>
  </si>
  <si>
    <t>Aportes a Metrolinea</t>
  </si>
  <si>
    <t>2130104</t>
  </si>
  <si>
    <t>Aporte Caja Municipal de Vivienda</t>
  </si>
  <si>
    <t>2130120</t>
  </si>
  <si>
    <t>Carceles</t>
  </si>
  <si>
    <t>2130121</t>
  </si>
  <si>
    <t>Aporte Caja de Previsión Social Municipal</t>
  </si>
  <si>
    <t>2130122</t>
  </si>
  <si>
    <t>Invisbu</t>
  </si>
  <si>
    <t>2130127</t>
  </si>
  <si>
    <t>Cuota de Fiscalización</t>
  </si>
  <si>
    <t>Instituto del Deporte (Impuesto espectaculos públicos Ley del Deporte)</t>
  </si>
  <si>
    <t>2130128</t>
  </si>
  <si>
    <t>Instituto del Deporte</t>
  </si>
  <si>
    <t>Aporte al Concejo Municipal  (Honorarios)</t>
  </si>
  <si>
    <t>Aporte al Concejo Municipal  (Funcionamiento)</t>
  </si>
  <si>
    <t>Aporte Personeria Municipal</t>
  </si>
  <si>
    <t xml:space="preserve">Sobretasa al Area Metroplitana </t>
  </si>
  <si>
    <t>Aporte Bomberos Bucaramanga</t>
  </si>
  <si>
    <t>TRANSFERENCIAS POR CONVENIOS CON EL SECTOR PRIVADO</t>
  </si>
  <si>
    <t xml:space="preserve">Instituto de Problemas de Aprendizaje IPA  </t>
  </si>
  <si>
    <t>Cideu</t>
  </si>
  <si>
    <t>Federación Colombiana de Municipios</t>
  </si>
  <si>
    <t>Reserva transferencias de Ley</t>
  </si>
  <si>
    <t>Vigilancia Forestal</t>
  </si>
  <si>
    <t>Fondo de Compensación Intersecretarial</t>
  </si>
  <si>
    <t>23</t>
  </si>
  <si>
    <t xml:space="preserve">SERVICIO DE LA DEUDA PUBLICA </t>
  </si>
  <si>
    <t>DEUDA PUBLICA INTERNA</t>
  </si>
  <si>
    <t>2310196</t>
  </si>
  <si>
    <t>Amortizaciónes de deuda pública interna</t>
  </si>
  <si>
    <t>Intereses, comisiones y gastos deuda pública interna</t>
  </si>
  <si>
    <t>Provision para censantias</t>
  </si>
  <si>
    <t xml:space="preserve">Cuotas partes y Bonos pensionales </t>
  </si>
  <si>
    <t>Cuotas partes y Bonos pensionales 20% Estampilla Proanciano</t>
  </si>
  <si>
    <t>TOTAL SERVICIO DEUDA PUBLICA</t>
  </si>
  <si>
    <t>TOTAL PROGRAMA 25</t>
  </si>
  <si>
    <t>TOTAL DEPENDENCIA  505</t>
  </si>
  <si>
    <t>TOTAL PRESUPUESTO DE GASTOS.</t>
  </si>
  <si>
    <t>R  E  S  U  M  E  N</t>
  </si>
  <si>
    <t>SERVICIO DE LA DEUDA PUBLICA</t>
  </si>
  <si>
    <t>TOTAL PRESUPUESTO DE GASTOS</t>
  </si>
  <si>
    <t>SERVICIOS PERSONALES</t>
  </si>
  <si>
    <t>TRANSFERENCIAS</t>
  </si>
  <si>
    <t>G  R  A  N    T  O  T  A  L</t>
  </si>
  <si>
    <t>SERVICIOS PERSONALES  ASOCIADOS A LA NOMINA</t>
  </si>
  <si>
    <t>SERVICIOS PERSONALES  INDIRECTOS</t>
  </si>
  <si>
    <t>IMPUESTAS Y MULTAS</t>
  </si>
  <si>
    <t>TRASNFERENCIAS CORRIENTES</t>
  </si>
  <si>
    <t>TRANSFERENCIAS POR CONVENIO CON EL SECTOR PRIVADO</t>
  </si>
  <si>
    <t>PLAN  DE INVERSIONES 2012</t>
  </si>
  <si>
    <t>SECRETARIA DE  INFRAESTRUCTURA</t>
  </si>
  <si>
    <t>Recursos de Credito</t>
  </si>
  <si>
    <t>Recursos pago compensatorio de parqueadero</t>
  </si>
  <si>
    <t>Rendimientos financieros pago compensatorio de parqueo</t>
  </si>
  <si>
    <t>Inversión Forzosa zona rural otros sectores propositos generales</t>
  </si>
  <si>
    <t>Inversión Forsoza Ley 715 Agua Potable y Saneamiento Basico</t>
  </si>
  <si>
    <t>Recursos Propios sobretasa a la gasolina vigencias futuras</t>
  </si>
  <si>
    <t>Recursos Alumbrado Publico</t>
  </si>
  <si>
    <t>Rendimientos financieros Aluimbrado Publico</t>
  </si>
  <si>
    <t>Aportes de la Nacion</t>
  </si>
  <si>
    <t>SECRETARIA DE SALUD Y AMBIENTE</t>
  </si>
  <si>
    <t>AMBIENTE</t>
  </si>
  <si>
    <t>Fondo ambiental Recursos propios</t>
  </si>
  <si>
    <t>SALUD PUBLICA</t>
  </si>
  <si>
    <t>SGP Salud Pública Ley 715 de 2001</t>
  </si>
  <si>
    <t>PRESTACION DE SERVICIOS</t>
  </si>
  <si>
    <t>Recursos Salud Prestaciòn de Servicios Ley 715 de 2001</t>
  </si>
  <si>
    <t>Recursos Etesa</t>
  </si>
  <si>
    <t>Aporte patronal SGP. Salud  Ley 715 de 2001</t>
  </si>
  <si>
    <t>Rendimientos financieros Prestacion de Servicios</t>
  </si>
  <si>
    <t>SUBSIDIO A LA DEMANDA</t>
  </si>
  <si>
    <t>SGP Recursos Salud continuaciòn Ley 715  de 2001</t>
  </si>
  <si>
    <t>SGP Recursos Salud Ampliaciòn Ley 715 de 2001</t>
  </si>
  <si>
    <t>Recursos Departamento</t>
  </si>
  <si>
    <t>Recursos Cajas de Compensaciòn Familiar sin situación de fondos</t>
  </si>
  <si>
    <t>Rendimientos financieros otros</t>
  </si>
  <si>
    <t xml:space="preserve">Recursos propios </t>
  </si>
  <si>
    <t>SECRETARIA DE EDUCACION</t>
  </si>
  <si>
    <t>Recursos Prestacion de Servicios 715</t>
  </si>
  <si>
    <t>Recursos Calidad 715</t>
  </si>
  <si>
    <t>Recursos Rendimientos Financieros</t>
  </si>
  <si>
    <t>Inversión Forzosa Ley 715 alimentacion escolar</t>
  </si>
  <si>
    <t>Inversión Forzosa  Ley 715 de 2001 propositos generales otros sectores</t>
  </si>
  <si>
    <t>Rendimientos financieros alimentacion escoalr</t>
  </si>
  <si>
    <t>Recursos SGP compes 115 de 2008</t>
  </si>
  <si>
    <t>Fondo Educativo</t>
  </si>
  <si>
    <t>RECREACION</t>
  </si>
  <si>
    <t>Inversión Forzosa  Ley 715 de 2001 propositos generales recreación</t>
  </si>
  <si>
    <t>Rendimientos financieros recreacion</t>
  </si>
  <si>
    <t>CULTURA</t>
  </si>
  <si>
    <t>Inversión Forzosa  Ley 715 de 2001 propositos generales cultura</t>
  </si>
  <si>
    <t>Rendimientos financieros cultura</t>
  </si>
  <si>
    <t>SECRETARIA  DE GOBIERNO</t>
  </si>
  <si>
    <t>Comparendo ambiental</t>
  </si>
  <si>
    <t>SECRETARIA DE DESARROLLO SOCIAL</t>
  </si>
  <si>
    <t>Recursos propios estampilla pro anciano</t>
  </si>
  <si>
    <t>Rendimientos financieros propositos generales</t>
  </si>
  <si>
    <t>TOTALES</t>
  </si>
  <si>
    <t>Recursos credito</t>
  </si>
  <si>
    <t>Recursos Propios y EPSPD</t>
  </si>
  <si>
    <t>IMEBU</t>
  </si>
  <si>
    <t>VIVIENDA</t>
  </si>
  <si>
    <t>Inversión Forzosa  otros sectores propositos generales</t>
  </si>
  <si>
    <t>Inversión Forzosa ley 715 Agua potable y saneamineto basico</t>
  </si>
  <si>
    <t>Recursos Impuesto de transporte de oleoductos y gasoductos</t>
  </si>
  <si>
    <t>Recursos regalias por explotacion de Minerales</t>
  </si>
  <si>
    <t>Recursos del credito</t>
  </si>
  <si>
    <t>Rendimientos Financieros Agua potable y Saneaniento Basico</t>
  </si>
  <si>
    <t>TOTAL INVERSION</t>
  </si>
  <si>
    <t>FUENTES DE FINANCIACION  PRESUPUESTO 2012</t>
  </si>
  <si>
    <t>CONCEPTO</t>
  </si>
  <si>
    <t xml:space="preserve">FUENTES FINANCIACION </t>
  </si>
  <si>
    <t>Rendimientos Financieros propositos generales</t>
  </si>
  <si>
    <t>Rendimientos Financieros Recreacion</t>
  </si>
  <si>
    <t>Rendimientos Finacieros Cultura</t>
  </si>
  <si>
    <t>Rendimientos Finacieros Agua Potable y Saneamiento Basico</t>
  </si>
  <si>
    <t>Rendimientos financieros Alumbrado</t>
  </si>
  <si>
    <t>Recursos Coldeportes</t>
  </si>
  <si>
    <t>aportes de la Nacion</t>
  </si>
  <si>
    <t>Recursos Rendimientos Financieros educacion</t>
  </si>
  <si>
    <t>Recursos compes 115</t>
  </si>
  <si>
    <t>TOTAL PLAN INVERSION ADMINISTRACION CENTRAL</t>
  </si>
  <si>
    <t>VALOR FINANCIADO DEL PLAN</t>
  </si>
  <si>
    <t>VALOR SIN FINANCIACION</t>
  </si>
  <si>
    <t>FINANCIACION SECTOR DESCENTRALIZADO</t>
  </si>
  <si>
    <t>AREA METROPOLITANA</t>
  </si>
  <si>
    <t>CULTURA ESTAMPILLA</t>
  </si>
  <si>
    <t>BOMBEROS</t>
  </si>
  <si>
    <t>TRANSITO</t>
  </si>
  <si>
    <t>EMAB</t>
  </si>
  <si>
    <t>METROLINEA</t>
  </si>
  <si>
    <t>IMVISBU</t>
  </si>
  <si>
    <t>TOTAL SECTOR DESCENTRALIZADO</t>
  </si>
  <si>
    <t>TOTAL SECTOR CENTRAL Y DESCENTRALIZADO</t>
  </si>
  <si>
    <t>COSTO DEL PLAN</t>
  </si>
  <si>
    <t>DIFERENCIA  POR FINANCIAR</t>
  </si>
  <si>
    <t>Inversión EN FUNCIONAIENTO</t>
  </si>
  <si>
    <t>TOTAL FINANCIACION PLAN DESARROLLO 2008-2011</t>
  </si>
  <si>
    <t>COSTO TOTAL PLAN DESARROLLO</t>
  </si>
  <si>
    <t>DIFERENCIA POR FINANCIAR</t>
  </si>
  <si>
    <t>PLAN DESARROLLO 2008 -2011</t>
  </si>
  <si>
    <t>POR DEPENDENCIAS</t>
  </si>
  <si>
    <t>SECRETARIA DE SALUD Y  AMBIENTE</t>
  </si>
  <si>
    <t>SECRETARIA DE GOBIERNO</t>
  </si>
  <si>
    <t>TOTAL  PLAN DESARROLLO</t>
  </si>
  <si>
    <t>POR ASIGNAR</t>
  </si>
  <si>
    <t>PRESUPUESTO DEFINITIVO GASTOS</t>
  </si>
  <si>
    <t>PRESUPUESTO DE INGRESOS</t>
  </si>
  <si>
    <t>DIFERENCIA APLICAR</t>
  </si>
  <si>
    <t>FUENTE</t>
  </si>
  <si>
    <t>RECURSOS CREDITO</t>
  </si>
  <si>
    <t>Propios</t>
  </si>
  <si>
    <t>fosyga</t>
  </si>
  <si>
    <t>Etesa</t>
  </si>
  <si>
    <t>Cajas de Compensacion</t>
  </si>
  <si>
    <t>Nacion</t>
  </si>
  <si>
    <t>Estampilla</t>
  </si>
  <si>
    <t>Recursos compensatotrio parQUEADERO</t>
  </si>
  <si>
    <t>Alumbrado Publico</t>
  </si>
  <si>
    <t>Sobretasa Gasolina</t>
  </si>
  <si>
    <t>Subsidio  a la  demanda para servicios públicos</t>
  </si>
  <si>
    <t>SENTENCIAS Y CONCILIACIONES</t>
  </si>
  <si>
    <t>MUNICIPIO DE BUCARAMANGA</t>
  </si>
  <si>
    <t>PLAN FINANCIERO 2004- 2007</t>
  </si>
  <si>
    <t>INGRESOS TOTALES</t>
  </si>
  <si>
    <t>INGRESOS CORRIENTES</t>
  </si>
  <si>
    <t>TRIBUTARIOS</t>
  </si>
  <si>
    <t>NO TRIBUTARIOS</t>
  </si>
  <si>
    <t>INGRESOS DE CAPITAL</t>
  </si>
  <si>
    <t>GASTOS TOTALES</t>
  </si>
  <si>
    <t>GASTOS CORRIENTES</t>
  </si>
  <si>
    <t>FUNCIONAMIENTO</t>
  </si>
  <si>
    <t>GASTOS  DE PERSONAL</t>
  </si>
  <si>
    <t>INTERESES COMISIONES</t>
  </si>
  <si>
    <t>DEFICIT VIGENCIAS ANTERIORES</t>
  </si>
  <si>
    <t>AMORTIZACIONES DE BONOS PENSIONALES</t>
  </si>
  <si>
    <t>GASTOS OPERATIVOS A SECTORES SOCIALES</t>
  </si>
  <si>
    <t>GASTOS DE CAPITAL</t>
  </si>
  <si>
    <t>DEFICIT POR INVERSION</t>
  </si>
  <si>
    <t>DEFICIT O SUPERAVIT PRIMARIO</t>
  </si>
  <si>
    <t>DEFICIT O SUPERAVIT PRIMARIO/INTERESES</t>
  </si>
  <si>
    <t>RECURSOS DE CREDITO</t>
  </si>
  <si>
    <t>AMORTIZACIONES</t>
  </si>
  <si>
    <t>TOTAL INGRESOS</t>
  </si>
  <si>
    <t>TOTAL EGRESOS</t>
  </si>
  <si>
    <t>2</t>
  </si>
  <si>
    <t>GASTOS</t>
  </si>
  <si>
    <t xml:space="preserve"> GASTOS DE FUNCIONAMIENTO</t>
  </si>
  <si>
    <t xml:space="preserve">  GASTOS DE PERSONAL</t>
  </si>
  <si>
    <t>21101</t>
  </si>
  <si>
    <t xml:space="preserve">   Servicios Personales Asociados a la Nómina</t>
  </si>
  <si>
    <t>21102</t>
  </si>
  <si>
    <t xml:space="preserve">   Servicios Personales Indirectos</t>
  </si>
  <si>
    <t>2110201</t>
  </si>
  <si>
    <t xml:space="preserve">      Honorarios</t>
  </si>
  <si>
    <t>2110202</t>
  </si>
  <si>
    <t xml:space="preserve">      Jornales</t>
  </si>
  <si>
    <t>2110203</t>
  </si>
  <si>
    <t xml:space="preserve">      Personal Supernumerario</t>
  </si>
  <si>
    <t>2110204</t>
  </si>
  <si>
    <t xml:space="preserve">      Remuneración por Servicios Técnicos</t>
  </si>
  <si>
    <t>2110298</t>
  </si>
  <si>
    <t xml:space="preserve">      Otros Servicios Personales Indirectos</t>
  </si>
  <si>
    <t>21103</t>
  </si>
  <si>
    <t xml:space="preserve">   Contribuciones Inherentes a la Nómina</t>
  </si>
  <si>
    <t>2110301</t>
  </si>
  <si>
    <t xml:space="preserve">      Al Sector Público</t>
  </si>
  <si>
    <t>211030101</t>
  </si>
  <si>
    <t xml:space="preserve">        Aportes Previsión Social</t>
  </si>
  <si>
    <t>211030102</t>
  </si>
  <si>
    <t xml:space="preserve">        Aportes Parafiscales</t>
  </si>
  <si>
    <t>2110302</t>
  </si>
  <si>
    <t xml:space="preserve">      Al Sector Privado</t>
  </si>
  <si>
    <t>211030201</t>
  </si>
  <si>
    <t>211030202</t>
  </si>
  <si>
    <t xml:space="preserve">  GASTOS GENERALES</t>
  </si>
  <si>
    <t>21201</t>
  </si>
  <si>
    <t xml:space="preserve">    Adquisición de Bienes</t>
  </si>
  <si>
    <t>21202</t>
  </si>
  <si>
    <t xml:space="preserve">    Adquisición de Servicios</t>
  </si>
  <si>
    <t>21298</t>
  </si>
  <si>
    <t xml:space="preserve">    Otros Gastos Generales</t>
  </si>
  <si>
    <t>213</t>
  </si>
  <si>
    <t xml:space="preserve">  TRANSFERENCIAS</t>
  </si>
  <si>
    <t>21301</t>
  </si>
  <si>
    <t xml:space="preserve">   Al Sector Público</t>
  </si>
  <si>
    <t>2130101</t>
  </si>
  <si>
    <t xml:space="preserve">      Pagos de Previsión Social</t>
  </si>
  <si>
    <t>21301010101</t>
  </si>
  <si>
    <t xml:space="preserve">          Cesantías (pagos directos)</t>
  </si>
  <si>
    <t>21301010102</t>
  </si>
  <si>
    <t xml:space="preserve">          Pensiones (mesadas)</t>
  </si>
  <si>
    <t>21301010198</t>
  </si>
  <si>
    <t xml:space="preserve">          Otras Prestaciones Sociales</t>
  </si>
  <si>
    <t>2130102</t>
  </si>
  <si>
    <t xml:space="preserve">      Pagos a Otras Entidades del Sector Público</t>
  </si>
  <si>
    <t>213010201</t>
  </si>
  <si>
    <t xml:space="preserve">        Al Nivel Nacional</t>
  </si>
  <si>
    <t>213010202</t>
  </si>
  <si>
    <t xml:space="preserve">        Departamento (Administración Central)</t>
  </si>
  <si>
    <t>213010203</t>
  </si>
  <si>
    <t xml:space="preserve">        Distrito (Administración Central)</t>
  </si>
  <si>
    <t>213010204</t>
  </si>
  <si>
    <t xml:space="preserve">        Municipios (Administración Central)</t>
  </si>
  <si>
    <t>213010205</t>
  </si>
  <si>
    <t xml:space="preserve">        A Entidades Descentralizadas</t>
  </si>
  <si>
    <t>21302</t>
  </si>
  <si>
    <t xml:space="preserve">   Al Sector Privado</t>
  </si>
  <si>
    <t>2130201</t>
  </si>
  <si>
    <t>21302010101</t>
  </si>
  <si>
    <t>21302010102</t>
  </si>
  <si>
    <t>21302010198</t>
  </si>
  <si>
    <t>2130202</t>
  </si>
  <si>
    <t xml:space="preserve">      Pagos a Particulares y Organismos Privados</t>
  </si>
  <si>
    <t>21303</t>
  </si>
  <si>
    <t xml:space="preserve">    Pagos a Organismos Internacionales</t>
  </si>
  <si>
    <t>21304</t>
  </si>
  <si>
    <t xml:space="preserve">    Cuota de Auditaje</t>
  </si>
  <si>
    <t>21305</t>
  </si>
  <si>
    <t xml:space="preserve">   Indemnizaciones por Retiros de Personal</t>
  </si>
  <si>
    <t>21306</t>
  </si>
  <si>
    <t xml:space="preserve">   Sentencias y Conciliaciones</t>
  </si>
  <si>
    <t>21398</t>
  </si>
  <si>
    <t xml:space="preserve">   Otras Transferencias (a Bomberos, CAR y otras similares de fuentes propias)</t>
  </si>
  <si>
    <t>217</t>
  </si>
  <si>
    <t xml:space="preserve">   DEFICIT FISCAL (FUNCIONAMIENTO) </t>
  </si>
  <si>
    <t>12A</t>
  </si>
  <si>
    <t xml:space="preserve"> DÉFICIT FISCAL VIGENCIAS 2.001 Y SIGUIENTES</t>
  </si>
  <si>
    <t>13A</t>
  </si>
  <si>
    <t xml:space="preserve"> DEFICIT FISCAL VIGENCIA 2.000 Y ANTERIORES</t>
  </si>
  <si>
    <t>22</t>
  </si>
  <si>
    <t>223</t>
  </si>
  <si>
    <t xml:space="preserve">  CON RECURSOS DEL SGP</t>
  </si>
  <si>
    <t>22310</t>
  </si>
  <si>
    <t xml:space="preserve">   EDUCACION</t>
  </si>
  <si>
    <t>14A</t>
  </si>
  <si>
    <t xml:space="preserve">      Construcción, reparación y manteniemiento de Planteles para Preescolar, Primaria y Secundaria</t>
  </si>
  <si>
    <t>2231007</t>
  </si>
  <si>
    <t xml:space="preserve">      Preinversión: Estudios, Proyectos, Diseños y Asesorías</t>
  </si>
  <si>
    <t>2231008</t>
  </si>
  <si>
    <t xml:space="preserve">      Pago Personal Docente</t>
  </si>
  <si>
    <t>2231009</t>
  </si>
  <si>
    <t xml:space="preserve">      Aportes de Seguridad Social del Personal del Sector</t>
  </si>
  <si>
    <t>2231012</t>
  </si>
  <si>
    <t xml:space="preserve">      Subsidio para el Acceso de la Población a Servicios Educativos</t>
  </si>
  <si>
    <t>15A</t>
  </si>
  <si>
    <t xml:space="preserve">      Otros Gastos Educación</t>
  </si>
  <si>
    <t>22316</t>
  </si>
  <si>
    <t xml:space="preserve">   SALUD</t>
  </si>
  <si>
    <t>16A</t>
  </si>
  <si>
    <t xml:space="preserve">      Construcción y mantenimiento de Hospitales y Puestos de Salud</t>
  </si>
  <si>
    <t>2231607</t>
  </si>
  <si>
    <t>2231608</t>
  </si>
  <si>
    <t xml:space="preserve">      Pagos de Personal del Sector</t>
  </si>
  <si>
    <t>2231609</t>
  </si>
  <si>
    <t>2231612</t>
  </si>
  <si>
    <t xml:space="preserve">      Subsidio para el Acceso de la Población a Servicios Medicos</t>
  </si>
  <si>
    <t>17A</t>
  </si>
  <si>
    <t xml:space="preserve">      Otros Gastos Salud</t>
  </si>
  <si>
    <t>50A</t>
  </si>
  <si>
    <t xml:space="preserve">  CON RECURSOS DE PARTICIPACIONES DE PROPOSITO GENERAL - SGP</t>
  </si>
  <si>
    <t>51A</t>
  </si>
  <si>
    <t xml:space="preserve">    Pagos de personal y aportes a la seguridad  social</t>
  </si>
  <si>
    <t>52A</t>
  </si>
  <si>
    <t xml:space="preserve">       Agua Potable y Saneamiento Básico</t>
  </si>
  <si>
    <t>53A</t>
  </si>
  <si>
    <t xml:space="preserve">       Infraestructura Vial </t>
  </si>
  <si>
    <t>54A</t>
  </si>
  <si>
    <t xml:space="preserve">       Vivienda</t>
  </si>
  <si>
    <t>55A</t>
  </si>
  <si>
    <t xml:space="preserve">       Educación</t>
  </si>
  <si>
    <t>56A</t>
  </si>
  <si>
    <t xml:space="preserve">       Educación Física, Deporte y Recreación</t>
  </si>
  <si>
    <t>57A</t>
  </si>
  <si>
    <t xml:space="preserve">       Salud</t>
  </si>
  <si>
    <t>58A</t>
  </si>
  <si>
    <t xml:space="preserve">       Cultura</t>
  </si>
  <si>
    <t>59A</t>
  </si>
  <si>
    <t xml:space="preserve">       Sector Energético</t>
  </si>
  <si>
    <t>60A</t>
  </si>
  <si>
    <t xml:space="preserve">       Desarrollo Agropecuario y Minero</t>
  </si>
  <si>
    <t>61A</t>
  </si>
  <si>
    <t xml:space="preserve">       Infraestructura Urbana</t>
  </si>
  <si>
    <t>62A</t>
  </si>
  <si>
    <t xml:space="preserve">       Desarrollo de la comunidad</t>
  </si>
  <si>
    <t>63A</t>
  </si>
  <si>
    <t xml:space="preserve">       Justicia, defensa y seguridad</t>
  </si>
  <si>
    <t>64A</t>
  </si>
  <si>
    <t xml:space="preserve">       Otros sectores</t>
  </si>
  <si>
    <t>65A</t>
  </si>
  <si>
    <t xml:space="preserve">    Subsidios para el acceso de la población al servicio</t>
  </si>
  <si>
    <t>2250212</t>
  </si>
  <si>
    <t>66A</t>
  </si>
  <si>
    <t>2251012</t>
  </si>
  <si>
    <t>2251612</t>
  </si>
  <si>
    <t>67A</t>
  </si>
  <si>
    <t xml:space="preserve">        Sector Energético</t>
  </si>
  <si>
    <t>2252212</t>
  </si>
  <si>
    <t>68A</t>
  </si>
  <si>
    <t xml:space="preserve">    Formación Bruta de capital  y otros (construcción, reparación, mantenimiento, asistencia técnica, preinversión, etc)</t>
  </si>
  <si>
    <t>69A</t>
  </si>
  <si>
    <t>70A</t>
  </si>
  <si>
    <t>71A</t>
  </si>
  <si>
    <t>72A</t>
  </si>
  <si>
    <t>73A</t>
  </si>
  <si>
    <t>74A</t>
  </si>
  <si>
    <t>75A</t>
  </si>
  <si>
    <t>76A</t>
  </si>
  <si>
    <t>77A</t>
  </si>
  <si>
    <t>78A</t>
  </si>
  <si>
    <t>79A</t>
  </si>
  <si>
    <t>80A</t>
  </si>
  <si>
    <t>81A</t>
  </si>
  <si>
    <t xml:space="preserve">       Desarrollo Institucional</t>
  </si>
  <si>
    <t>82A</t>
  </si>
  <si>
    <t>224</t>
  </si>
  <si>
    <t xml:space="preserve">  CON RECURSOS DE REGALIAS Y FONDOS DE COFINANCIACIÓN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</si>
  <si>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</si>
  <si>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</si>
  <si>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</si>
  <si>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</si>
  <si>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</si>
  <si>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</si>
  <si>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</si>
  <si>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</si>
  <si>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</si>
  <si>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</si>
  <si>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</si>
  <si>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</si>
  <si>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</si>
  <si>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</si>
  <si>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 xml:space="preserve">       Otros</t>
  </si>
  <si>
    <t>32A</t>
  </si>
  <si>
    <t>2240212</t>
  </si>
  <si>
    <t>33A</t>
  </si>
  <si>
    <t>2241012</t>
  </si>
  <si>
    <t>2241612</t>
  </si>
  <si>
    <t>34A</t>
  </si>
  <si>
    <t>2242212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</si>
  <si>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</si>
  <si>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</si>
  <si>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</si>
  <si>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</si>
  <si>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</si>
  <si>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</si>
  <si>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</si>
  <si>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</si>
  <si>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</si>
  <si>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</si>
  <si>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</si>
  <si>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</si>
  <si>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</si>
  <si>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</si>
  <si>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</si>
  <si>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83A</t>
  </si>
  <si>
    <t xml:space="preserve">  CON RECURSOS PROPIOS Y OTROS</t>
  </si>
  <si>
    <t>84A</t>
  </si>
  <si>
    <t>85A</t>
  </si>
  <si>
    <t>86A</t>
  </si>
  <si>
    <t>87A</t>
  </si>
  <si>
    <t>88A</t>
  </si>
  <si>
    <t>89A</t>
  </si>
  <si>
    <t>90A</t>
  </si>
  <si>
    <t>91A</t>
  </si>
  <si>
    <t>92A</t>
  </si>
  <si>
    <t>93A</t>
  </si>
  <si>
    <t>94A</t>
  </si>
  <si>
    <t>95A</t>
  </si>
  <si>
    <t>96A</t>
  </si>
  <si>
    <t>97A</t>
  </si>
  <si>
    <t>98A</t>
  </si>
  <si>
    <t>311A</t>
  </si>
  <si>
    <t>99A</t>
  </si>
  <si>
    <t>100A</t>
  </si>
  <si>
    <t>101A</t>
  </si>
  <si>
    <t>102A</t>
  </si>
  <si>
    <t>103A</t>
  </si>
  <si>
    <t>104A</t>
  </si>
  <si>
    <t>105A</t>
  </si>
  <si>
    <r>
      <t xml:space="preserve">       Infraestructura Vial y </t>
    </r>
    <r>
      <rPr>
        <b/>
        <sz val="12"/>
        <rFont val="Arial"/>
        <family val="2"/>
      </rPr>
      <t>METROLINEA</t>
    </r>
  </si>
  <si>
    <t>106A</t>
  </si>
  <si>
    <t>107A</t>
  </si>
  <si>
    <t>108A</t>
  </si>
  <si>
    <t>109A</t>
  </si>
  <si>
    <t>110A</t>
  </si>
  <si>
    <t>111A</t>
  </si>
  <si>
    <t>112A</t>
  </si>
  <si>
    <t>113A</t>
  </si>
  <si>
    <t>114A</t>
  </si>
  <si>
    <t>115A</t>
  </si>
  <si>
    <t>116A</t>
  </si>
  <si>
    <t>117A</t>
  </si>
  <si>
    <t>228</t>
  </si>
  <si>
    <t xml:space="preserve">  DÉFICIT FISCAL (POR INVERSIÓN)</t>
  </si>
  <si>
    <t xml:space="preserve"> SERVICIO DE LA DEUDA</t>
  </si>
  <si>
    <t>296A</t>
  </si>
  <si>
    <t xml:space="preserve">    Deuda Interna</t>
  </si>
  <si>
    <t>297A</t>
  </si>
  <si>
    <t xml:space="preserve">      Amortización</t>
  </si>
  <si>
    <t>298A</t>
  </si>
  <si>
    <t xml:space="preserve">      Intereses</t>
  </si>
  <si>
    <t>299A</t>
  </si>
  <si>
    <t xml:space="preserve">      Comisiones y Otros</t>
  </si>
  <si>
    <t>300A</t>
  </si>
  <si>
    <t xml:space="preserve">      Bonos Pensionales y Cesantias</t>
  </si>
  <si>
    <t>301A</t>
  </si>
  <si>
    <t xml:space="preserve">    Deuda Externa</t>
  </si>
  <si>
    <t>302A</t>
  </si>
  <si>
    <t>303A</t>
  </si>
  <si>
    <t>304A</t>
  </si>
  <si>
    <t>INFORMACIÓN ADICIONAL</t>
  </si>
  <si>
    <t>Código     CGR</t>
  </si>
  <si>
    <t>Escenario Financiero (1)</t>
  </si>
  <si>
    <t>118A</t>
  </si>
  <si>
    <t>242</t>
  </si>
  <si>
    <t>Transferencias a Concejo</t>
  </si>
  <si>
    <t>243</t>
  </si>
  <si>
    <t xml:space="preserve">Transferencias a Contraloría </t>
  </si>
  <si>
    <t>244</t>
  </si>
  <si>
    <t>Transferencias a Personería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</si>
</sst>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(&quot;$&quot;\ * #,##0.00_);_(&quot;$&quot;\ * \(#,##0.00\);_(&quot;$&quot;\ * &quot;-&quot;??_);_(@_)"/>
    <numFmt numFmtId="166" formatCode="_-* #,##0_-;\-* #,##0_-;_-* &quot;-&quot;??_-;_-@_-"/>
    <numFmt numFmtId="167" formatCode="#,##0_ ;\-#,##0\ "/>
    <numFmt numFmtId="168" formatCode="_(* #,##0.00_);_(* \(#,##0.00\);_(* &quot;-&quot;??_);_(@_)"/>
    <numFmt numFmtId="169" formatCode="_(* #,##0_);_(* \(#,##0\);_(* &quot;-&quot;??_);_(@_)"/>
    <numFmt numFmtId="170" formatCode="_-&quot;$&quot;* #,##0_-;\-&quot;$&quot;* #,##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40"/>
      <name val="Arial"/>
      <family val="2"/>
    </font>
    <font>
      <b/>
      <sz val="12"/>
      <color indexed="62"/>
      <name val="Arial"/>
      <family val="2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0">
    <xf numFmtId="0" fontId="0" fillId="0" borderId="0" xfId="0"/>
    <xf numFmtId="0" fontId="5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5" fillId="0" borderId="2" xfId="0" applyFont="1" applyBorder="1"/>
    <xf numFmtId="3" fontId="5" fillId="0" borderId="4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vertical="center"/>
    </xf>
    <xf numFmtId="167" fontId="0" fillId="0" borderId="1" xfId="0" applyNumberFormat="1" applyBorder="1"/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vertical="center"/>
    </xf>
    <xf numFmtId="166" fontId="0" fillId="0" borderId="1" xfId="0" applyNumberFormat="1" applyBorder="1"/>
    <xf numFmtId="164" fontId="0" fillId="0" borderId="0" xfId="0" applyNumberFormat="1" applyBorder="1" applyAlignment="1">
      <alignment wrapText="1"/>
    </xf>
    <xf numFmtId="164" fontId="0" fillId="0" borderId="0" xfId="0" applyNumberFormat="1" applyBorder="1"/>
    <xf numFmtId="167" fontId="0" fillId="0" borderId="0" xfId="0" applyNumberFormat="1" applyBorder="1"/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5" fillId="0" borderId="8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0" fillId="0" borderId="1" xfId="0" applyNumberFormat="1" applyFont="1" applyBorder="1"/>
    <xf numFmtId="0" fontId="6" fillId="0" borderId="11" xfId="0" applyFont="1" applyBorder="1" applyAlignment="1">
      <alignment horizontal="center" wrapText="1" readingOrder="1"/>
    </xf>
    <xf numFmtId="0" fontId="6" fillId="0" borderId="12" xfId="0" applyFont="1" applyBorder="1" applyAlignment="1">
      <alignment horizontal="center" wrapText="1" readingOrder="1"/>
    </xf>
    <xf numFmtId="0" fontId="6" fillId="0" borderId="13" xfId="0" applyFont="1" applyBorder="1" applyAlignment="1">
      <alignment horizontal="center" wrapText="1" readingOrder="1"/>
    </xf>
    <xf numFmtId="0" fontId="7" fillId="0" borderId="14" xfId="0" applyFont="1" applyBorder="1" applyAlignment="1">
      <alignment horizontal="left" wrapText="1" readingOrder="1"/>
    </xf>
    <xf numFmtId="3" fontId="7" fillId="0" borderId="15" xfId="0" applyNumberFormat="1" applyFont="1" applyBorder="1" applyAlignment="1">
      <alignment horizontal="right" wrapText="1" readingOrder="1"/>
    </xf>
    <xf numFmtId="3" fontId="7" fillId="0" borderId="16" xfId="0" applyNumberFormat="1" applyFont="1" applyBorder="1" applyAlignment="1">
      <alignment horizontal="right" wrapText="1" readingOrder="1"/>
    </xf>
    <xf numFmtId="0" fontId="6" fillId="0" borderId="17" xfId="0" applyFont="1" applyBorder="1" applyAlignment="1">
      <alignment horizontal="center" wrapText="1" readingOrder="1"/>
    </xf>
    <xf numFmtId="3" fontId="6" fillId="0" borderId="18" xfId="0" applyNumberFormat="1" applyFont="1" applyBorder="1" applyAlignment="1">
      <alignment horizontal="center" wrapText="1" readingOrder="1"/>
    </xf>
    <xf numFmtId="3" fontId="6" fillId="0" borderId="19" xfId="0" applyNumberFormat="1" applyFont="1" applyBorder="1" applyAlignment="1">
      <alignment horizontal="right" wrapText="1" readingOrder="1"/>
    </xf>
    <xf numFmtId="3" fontId="0" fillId="0" borderId="20" xfId="0" applyNumberFormat="1" applyFont="1" applyBorder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9" fontId="5" fillId="8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49" fontId="5" fillId="6" borderId="0" xfId="0" applyNumberFormat="1" applyFont="1" applyFill="1" applyAlignment="1">
      <alignment horizontal="center" wrapText="1"/>
    </xf>
    <xf numFmtId="49" fontId="5" fillId="8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 applyProtection="1">
      <alignment horizontal="center" wrapText="1"/>
    </xf>
    <xf numFmtId="43" fontId="10" fillId="0" borderId="1" xfId="4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4" fontId="10" fillId="0" borderId="1" xfId="0" applyNumberFormat="1" applyFont="1" applyFill="1" applyBorder="1" applyAlignment="1" applyProtection="1">
      <alignment wrapText="1"/>
    </xf>
    <xf numFmtId="0" fontId="11" fillId="0" borderId="0" xfId="0" applyFont="1" applyBorder="1"/>
    <xf numFmtId="0" fontId="11" fillId="0" borderId="0" xfId="0" applyFont="1"/>
    <xf numFmtId="43" fontId="11" fillId="0" borderId="0" xfId="4" applyFont="1"/>
    <xf numFmtId="0" fontId="12" fillId="0" borderId="0" xfId="0" applyFont="1"/>
    <xf numFmtId="168" fontId="10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 applyProtection="1">
      <alignment horizontal="left" wrapText="1"/>
    </xf>
    <xf numFmtId="164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 applyProtection="1">
      <alignment horizontal="left" wrapText="1"/>
    </xf>
    <xf numFmtId="164" fontId="11" fillId="0" borderId="0" xfId="0" applyNumberFormat="1" applyFont="1"/>
    <xf numFmtId="164" fontId="9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 applyProtection="1">
      <alignment horizontal="left" wrapText="1"/>
    </xf>
    <xf numFmtId="164" fontId="9" fillId="0" borderId="0" xfId="0" applyNumberFormat="1" applyFont="1" applyFill="1" applyBorder="1" applyAlignment="1" applyProtection="1">
      <alignment wrapText="1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</xf>
    <xf numFmtId="3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2" fontId="9" fillId="0" borderId="1" xfId="2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>
      <alignment vertical="center" wrapText="1"/>
    </xf>
    <xf numFmtId="166" fontId="8" fillId="0" borderId="1" xfId="4" applyNumberFormat="1" applyFont="1" applyFill="1" applyBorder="1" applyAlignment="1">
      <alignment wrapText="1"/>
    </xf>
    <xf numFmtId="43" fontId="8" fillId="0" borderId="1" xfId="4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2" fontId="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>
      <alignment wrapText="1"/>
    </xf>
    <xf numFmtId="164" fontId="8" fillId="0" borderId="0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left" wrapText="1"/>
    </xf>
    <xf numFmtId="0" fontId="9" fillId="0" borderId="1" xfId="0" applyFont="1" applyBorder="1" applyAlignment="1" applyProtection="1">
      <alignment wrapText="1"/>
    </xf>
    <xf numFmtId="0" fontId="13" fillId="9" borderId="1" xfId="0" applyFont="1" applyFill="1" applyBorder="1" applyAlignment="1">
      <alignment horizontal="left" wrapText="1"/>
    </xf>
    <xf numFmtId="0" fontId="14" fillId="9" borderId="1" xfId="0" applyFont="1" applyFill="1" applyBorder="1" applyAlignment="1">
      <alignment horizontal="justify" vertical="center" wrapText="1"/>
    </xf>
    <xf numFmtId="3" fontId="15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justify" vertical="center" wrapText="1"/>
    </xf>
    <xf numFmtId="3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 applyProtection="1">
      <alignment horizontal="left" wrapText="1"/>
    </xf>
    <xf numFmtId="37" fontId="8" fillId="0" borderId="1" xfId="0" applyNumberFormat="1" applyFont="1" applyFill="1" applyBorder="1" applyAlignment="1" applyProtection="1">
      <alignment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 applyProtection="1">
      <alignment horizontal="left" wrapText="1"/>
    </xf>
    <xf numFmtId="0" fontId="8" fillId="0" borderId="1" xfId="0" applyFont="1" applyBorder="1" applyAlignment="1" applyProtection="1">
      <alignment wrapText="1"/>
    </xf>
    <xf numFmtId="164" fontId="8" fillId="0" borderId="1" xfId="0" applyNumberFormat="1" applyFont="1" applyFill="1" applyBorder="1" applyAlignment="1" applyProtection="1">
      <alignment horizontal="left" wrapText="1"/>
    </xf>
    <xf numFmtId="166" fontId="12" fillId="0" borderId="1" xfId="4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9" borderId="1" xfId="0" applyFont="1" applyFill="1" applyBorder="1" applyAlignment="1">
      <alignment wrapText="1"/>
    </xf>
    <xf numFmtId="0" fontId="16" fillId="0" borderId="0" xfId="0" applyFont="1"/>
    <xf numFmtId="0" fontId="13" fillId="0" borderId="0" xfId="0" applyFont="1"/>
    <xf numFmtId="0" fontId="12" fillId="9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69" fontId="12" fillId="0" borderId="1" xfId="4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169" fontId="8" fillId="0" borderId="1" xfId="4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2" fontId="9" fillId="0" borderId="1" xfId="2" applyNumberFormat="1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center" wrapText="1"/>
    </xf>
    <xf numFmtId="43" fontId="12" fillId="0" borderId="1" xfId="4" applyFont="1" applyFill="1" applyBorder="1" applyAlignment="1">
      <alignment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13" fillId="0" borderId="1" xfId="0" applyFont="1" applyBorder="1" applyAlignment="1">
      <alignment wrapText="1"/>
    </xf>
    <xf numFmtId="0" fontId="8" fillId="0" borderId="1" xfId="3" applyFont="1" applyFill="1" applyBorder="1" applyAlignment="1" applyProtection="1">
      <alignment horizontal="left" vertical="center" wrapText="1"/>
    </xf>
    <xf numFmtId="0" fontId="9" fillId="0" borderId="1" xfId="3" applyFont="1" applyFill="1" applyBorder="1" applyAlignment="1" applyProtection="1">
      <alignment vertical="center" wrapText="1"/>
    </xf>
    <xf numFmtId="42" fontId="12" fillId="0" borderId="1" xfId="7" applyFont="1" applyFill="1" applyBorder="1" applyAlignment="1">
      <alignment wrapText="1"/>
    </xf>
    <xf numFmtId="0" fontId="8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 applyProtection="1">
      <alignment vertical="center" wrapText="1"/>
    </xf>
    <xf numFmtId="167" fontId="12" fillId="0" borderId="1" xfId="7" applyNumberFormat="1" applyFont="1" applyFill="1" applyBorder="1" applyAlignment="1">
      <alignment wrapText="1"/>
    </xf>
    <xf numFmtId="0" fontId="8" fillId="0" borderId="1" xfId="3" applyFont="1" applyFill="1" applyBorder="1" applyAlignment="1">
      <alignment vertical="center" wrapText="1"/>
    </xf>
    <xf numFmtId="4" fontId="12" fillId="0" borderId="1" xfId="7" applyNumberFormat="1" applyFont="1" applyFill="1" applyBorder="1" applyAlignment="1">
      <alignment wrapText="1"/>
    </xf>
    <xf numFmtId="3" fontId="12" fillId="0" borderId="1" xfId="7" applyNumberFormat="1" applyFont="1" applyFill="1" applyBorder="1" applyAlignment="1">
      <alignment wrapText="1"/>
    </xf>
    <xf numFmtId="0" fontId="9" fillId="0" borderId="1" xfId="3" applyFont="1" applyFill="1" applyBorder="1" applyAlignment="1" applyProtection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 applyProtection="1">
      <alignment vertical="center" wrapText="1"/>
    </xf>
    <xf numFmtId="3" fontId="8" fillId="0" borderId="1" xfId="4" applyNumberFormat="1" applyFont="1" applyFill="1" applyBorder="1" applyAlignment="1">
      <alignment wrapText="1"/>
    </xf>
    <xf numFmtId="3" fontId="17" fillId="0" borderId="1" xfId="5" applyNumberFormat="1" applyFont="1" applyFill="1" applyBorder="1" applyAlignment="1" applyProtection="1">
      <alignment vertical="top" wrapText="1"/>
    </xf>
    <xf numFmtId="3" fontId="12" fillId="0" borderId="1" xfId="5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wrapText="1"/>
    </xf>
    <xf numFmtId="170" fontId="14" fillId="0" borderId="1" xfId="6" applyNumberFormat="1" applyFont="1" applyFill="1" applyBorder="1" applyAlignment="1">
      <alignment horizontal="center" vertical="center" wrapText="1"/>
    </xf>
    <xf numFmtId="170" fontId="15" fillId="0" borderId="1" xfId="6" applyNumberFormat="1" applyFont="1" applyFill="1" applyBorder="1" applyAlignment="1">
      <alignment wrapText="1"/>
    </xf>
    <xf numFmtId="167" fontId="15" fillId="0" borderId="1" xfId="6" applyNumberFormat="1" applyFont="1" applyFill="1" applyBorder="1" applyAlignment="1">
      <alignment wrapText="1"/>
    </xf>
    <xf numFmtId="167" fontId="13" fillId="0" borderId="1" xfId="6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167" fontId="12" fillId="0" borderId="1" xfId="6" applyNumberFormat="1" applyFont="1" applyFill="1" applyBorder="1" applyAlignment="1">
      <alignment wrapText="1"/>
    </xf>
    <xf numFmtId="170" fontId="12" fillId="0" borderId="1" xfId="6" applyNumberFormat="1" applyFont="1" applyFill="1" applyBorder="1" applyAlignment="1">
      <alignment wrapText="1"/>
    </xf>
    <xf numFmtId="3" fontId="12" fillId="0" borderId="1" xfId="6" applyNumberFormat="1" applyFont="1" applyFill="1" applyBorder="1" applyAlignment="1">
      <alignment wrapText="1"/>
    </xf>
    <xf numFmtId="3" fontId="13" fillId="0" borderId="1" xfId="6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 applyProtection="1">
      <alignment horizontal="right" wrapText="1"/>
    </xf>
    <xf numFmtId="164" fontId="8" fillId="0" borderId="1" xfId="5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 applyProtection="1">
      <alignment horizontal="fill" wrapText="1"/>
    </xf>
    <xf numFmtId="164" fontId="18" fillId="0" borderId="1" xfId="0" applyNumberFormat="1" applyFont="1" applyFill="1" applyBorder="1" applyAlignment="1">
      <alignment wrapText="1"/>
    </xf>
    <xf numFmtId="164" fontId="19" fillId="0" borderId="1" xfId="0" applyNumberFormat="1" applyFont="1" applyFill="1" applyBorder="1" applyAlignment="1" applyProtection="1">
      <alignment wrapText="1"/>
    </xf>
    <xf numFmtId="4" fontId="8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wrapText="1"/>
    </xf>
    <xf numFmtId="164" fontId="9" fillId="0" borderId="0" xfId="0" applyNumberFormat="1" applyFont="1" applyFill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164" fontId="9" fillId="0" borderId="23" xfId="0" applyNumberFormat="1" applyFont="1" applyFill="1" applyBorder="1" applyAlignment="1">
      <alignment wrapText="1"/>
    </xf>
    <xf numFmtId="164" fontId="19" fillId="0" borderId="23" xfId="0" applyNumberFormat="1" applyFont="1" applyFill="1" applyBorder="1" applyAlignment="1">
      <alignment wrapText="1"/>
    </xf>
    <xf numFmtId="0" fontId="20" fillId="10" borderId="1" xfId="0" applyFont="1" applyFill="1" applyBorder="1" applyAlignment="1">
      <alignment horizontal="center" wrapText="1"/>
    </xf>
    <xf numFmtId="164" fontId="20" fillId="0" borderId="23" xfId="0" applyNumberFormat="1" applyFont="1" applyFill="1" applyBorder="1" applyAlignment="1">
      <alignment horizontal="center" wrapText="1"/>
    </xf>
    <xf numFmtId="164" fontId="8" fillId="0" borderId="23" xfId="0" applyNumberFormat="1" applyFont="1" applyFill="1" applyBorder="1" applyAlignment="1">
      <alignment wrapText="1"/>
    </xf>
    <xf numFmtId="0" fontId="20" fillId="10" borderId="1" xfId="0" applyFont="1" applyFill="1" applyBorder="1" applyAlignment="1">
      <alignment wrapText="1"/>
    </xf>
    <xf numFmtId="164" fontId="20" fillId="0" borderId="23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 wrapText="1"/>
    </xf>
    <xf numFmtId="164" fontId="9" fillId="0" borderId="23" xfId="0" applyNumberFormat="1" applyFont="1" applyFill="1" applyBorder="1" applyAlignment="1">
      <alignment horizontal="center" wrapText="1"/>
    </xf>
    <xf numFmtId="164" fontId="20" fillId="10" borderId="1" xfId="0" applyNumberFormat="1" applyFont="1" applyFill="1" applyBorder="1" applyAlignment="1" applyProtection="1">
      <alignment horizontal="center" wrapText="1"/>
    </xf>
    <xf numFmtId="164" fontId="1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wrapText="1"/>
    </xf>
    <xf numFmtId="164" fontId="9" fillId="0" borderId="25" xfId="0" applyNumberFormat="1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164" fontId="8" fillId="0" borderId="27" xfId="0" applyNumberFormat="1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164" fontId="9" fillId="0" borderId="29" xfId="0" applyNumberFormat="1" applyFont="1" applyFill="1" applyBorder="1" applyAlignment="1">
      <alignment wrapText="1"/>
    </xf>
    <xf numFmtId="0" fontId="9" fillId="10" borderId="30" xfId="0" applyFont="1" applyFill="1" applyBorder="1" applyAlignment="1">
      <alignment wrapText="1"/>
    </xf>
    <xf numFmtId="164" fontId="9" fillId="0" borderId="31" xfId="0" applyNumberFormat="1" applyFont="1" applyFill="1" applyBorder="1" applyAlignment="1">
      <alignment wrapText="1"/>
    </xf>
    <xf numFmtId="0" fontId="19" fillId="0" borderId="32" xfId="0" applyFont="1" applyFill="1" applyBorder="1" applyAlignment="1">
      <alignment wrapText="1"/>
    </xf>
    <xf numFmtId="164" fontId="19" fillId="0" borderId="33" xfId="0" applyNumberFormat="1" applyFont="1" applyFill="1" applyBorder="1" applyAlignment="1">
      <alignment wrapText="1"/>
    </xf>
    <xf numFmtId="38" fontId="15" fillId="0" borderId="23" xfId="0" applyNumberFormat="1" applyFont="1" applyFill="1" applyBorder="1" applyAlignment="1">
      <alignment wrapText="1"/>
    </xf>
    <xf numFmtId="164" fontId="8" fillId="0" borderId="24" xfId="0" applyNumberFormat="1" applyFont="1" applyFill="1" applyBorder="1" applyAlignment="1">
      <alignment wrapText="1"/>
    </xf>
    <xf numFmtId="38" fontId="15" fillId="0" borderId="25" xfId="0" applyNumberFormat="1" applyFont="1" applyFill="1" applyBorder="1" applyAlignment="1">
      <alignment wrapText="1"/>
    </xf>
    <xf numFmtId="164" fontId="8" fillId="0" borderId="26" xfId="0" applyNumberFormat="1" applyFont="1" applyFill="1" applyBorder="1" applyAlignment="1">
      <alignment wrapText="1"/>
    </xf>
    <xf numFmtId="38" fontId="15" fillId="0" borderId="27" xfId="0" applyNumberFormat="1" applyFont="1" applyFill="1" applyBorder="1" applyAlignment="1">
      <alignment wrapText="1"/>
    </xf>
    <xf numFmtId="0" fontId="9" fillId="10" borderId="28" xfId="0" applyFont="1" applyFill="1" applyBorder="1" applyAlignment="1">
      <alignment wrapText="1"/>
    </xf>
    <xf numFmtId="38" fontId="21" fillId="0" borderId="21" xfId="0" applyNumberFormat="1" applyFont="1" applyFill="1" applyBorder="1" applyAlignment="1">
      <alignment wrapText="1"/>
    </xf>
    <xf numFmtId="164" fontId="19" fillId="0" borderId="29" xfId="0" applyNumberFormat="1" applyFont="1" applyFill="1" applyBorder="1" applyAlignment="1">
      <alignment wrapText="1"/>
    </xf>
    <xf numFmtId="38" fontId="14" fillId="0" borderId="21" xfId="0" applyNumberFormat="1" applyFont="1" applyFill="1" applyBorder="1" applyAlignment="1">
      <alignment wrapText="1"/>
    </xf>
    <xf numFmtId="0" fontId="9" fillId="0" borderId="34" xfId="0" applyFont="1" applyFill="1" applyBorder="1" applyAlignment="1">
      <alignment horizontal="center" wrapText="1"/>
    </xf>
    <xf numFmtId="0" fontId="14" fillId="10" borderId="32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 wrapText="1"/>
    </xf>
    <xf numFmtId="164" fontId="8" fillId="11" borderId="1" xfId="0" applyNumberFormat="1" applyFont="1" applyFill="1" applyBorder="1" applyAlignment="1">
      <alignment wrapText="1"/>
    </xf>
    <xf numFmtId="164" fontId="8" fillId="0" borderId="25" xfId="0" applyNumberFormat="1" applyFont="1" applyFill="1" applyBorder="1" applyAlignment="1">
      <alignment wrapText="1"/>
    </xf>
    <xf numFmtId="164" fontId="8" fillId="0" borderId="29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164" fontId="9" fillId="0" borderId="21" xfId="0" applyNumberFormat="1" applyFont="1" applyFill="1" applyBorder="1" applyAlignment="1" applyProtection="1">
      <alignment horizontal="center" wrapText="1"/>
    </xf>
    <xf numFmtId="0" fontId="8" fillId="0" borderId="0" xfId="0" applyFont="1" applyAlignment="1" applyProtection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 applyProtection="1">
      <alignment horizontal="left" wrapText="1"/>
    </xf>
    <xf numFmtId="0" fontId="8" fillId="0" borderId="0" xfId="0" applyFont="1" applyBorder="1" applyAlignment="1" applyProtection="1">
      <alignment wrapText="1"/>
    </xf>
    <xf numFmtId="164" fontId="9" fillId="0" borderId="0" xfId="0" applyNumberFormat="1" applyFont="1" applyFill="1" applyBorder="1" applyAlignment="1" applyProtection="1">
      <alignment horizontal="right" wrapText="1"/>
    </xf>
    <xf numFmtId="0" fontId="9" fillId="0" borderId="35" xfId="0" applyFont="1" applyBorder="1" applyAlignment="1">
      <alignment wrapText="1"/>
    </xf>
    <xf numFmtId="164" fontId="9" fillId="0" borderId="2" xfId="0" applyNumberFormat="1" applyFont="1" applyFill="1" applyBorder="1" applyAlignment="1">
      <alignment wrapText="1"/>
    </xf>
    <xf numFmtId="9" fontId="8" fillId="0" borderId="0" xfId="8" applyFont="1" applyFill="1" applyBorder="1" applyAlignment="1" applyProtection="1">
      <alignment wrapText="1"/>
    </xf>
    <xf numFmtId="0" fontId="9" fillId="0" borderId="36" xfId="0" applyFont="1" applyFill="1" applyBorder="1" applyAlignment="1" applyProtection="1">
      <alignment horizontal="left" wrapText="1"/>
    </xf>
    <xf numFmtId="0" fontId="9" fillId="12" borderId="36" xfId="0" applyFont="1" applyFill="1" applyBorder="1" applyAlignment="1" applyProtection="1">
      <alignment horizontal="left" wrapText="1"/>
    </xf>
    <xf numFmtId="3" fontId="9" fillId="0" borderId="37" xfId="0" applyNumberFormat="1" applyFont="1" applyFill="1" applyBorder="1" applyAlignment="1" applyProtection="1">
      <alignment wrapText="1"/>
    </xf>
    <xf numFmtId="0" fontId="9" fillId="0" borderId="35" xfId="0" applyFont="1" applyFill="1" applyBorder="1" applyAlignment="1" applyProtection="1">
      <alignment horizontal="left" wrapText="1"/>
    </xf>
    <xf numFmtId="0" fontId="9" fillId="12" borderId="35" xfId="0" applyFont="1" applyFill="1" applyBorder="1" applyAlignment="1" applyProtection="1">
      <alignment horizontal="left" wrapText="1"/>
    </xf>
    <xf numFmtId="3" fontId="9" fillId="0" borderId="38" xfId="0" applyNumberFormat="1" applyFont="1" applyFill="1" applyBorder="1" applyAlignment="1" applyProtection="1">
      <alignment wrapText="1"/>
    </xf>
    <xf numFmtId="0" fontId="8" fillId="0" borderId="39" xfId="0" applyFont="1" applyFill="1" applyBorder="1" applyAlignment="1" applyProtection="1">
      <alignment horizontal="left" wrapText="1"/>
    </xf>
    <xf numFmtId="0" fontId="8" fillId="0" borderId="39" xfId="0" applyFont="1" applyBorder="1" applyAlignment="1" applyProtection="1">
      <alignment horizontal="left" wrapText="1"/>
    </xf>
    <xf numFmtId="3" fontId="8" fillId="0" borderId="0" xfId="0" applyNumberFormat="1" applyFont="1" applyFill="1" applyBorder="1" applyAlignment="1" applyProtection="1">
      <alignment wrapText="1"/>
    </xf>
    <xf numFmtId="0" fontId="9" fillId="0" borderId="40" xfId="0" applyFont="1" applyFill="1" applyBorder="1" applyAlignment="1" applyProtection="1">
      <alignment horizontal="left" wrapText="1"/>
    </xf>
    <xf numFmtId="0" fontId="9" fillId="12" borderId="40" xfId="0" applyFont="1" applyFill="1" applyBorder="1" applyAlignment="1" applyProtection="1">
      <alignment horizontal="left" wrapText="1"/>
    </xf>
    <xf numFmtId="3" fontId="9" fillId="0" borderId="41" xfId="0" applyNumberFormat="1" applyFont="1" applyFill="1" applyBorder="1" applyAlignment="1" applyProtection="1">
      <alignment wrapText="1"/>
    </xf>
    <xf numFmtId="0" fontId="8" fillId="0" borderId="40" xfId="0" applyFont="1" applyFill="1" applyBorder="1" applyAlignment="1" applyProtection="1">
      <alignment horizontal="left" wrapText="1"/>
    </xf>
    <xf numFmtId="0" fontId="8" fillId="0" borderId="40" xfId="0" applyFont="1" applyBorder="1" applyAlignment="1" applyProtection="1">
      <alignment horizontal="left" wrapText="1"/>
    </xf>
    <xf numFmtId="3" fontId="8" fillId="0" borderId="41" xfId="0" applyNumberFormat="1" applyFont="1" applyFill="1" applyBorder="1" applyAlignment="1" applyProtection="1">
      <alignment wrapText="1"/>
    </xf>
    <xf numFmtId="0" fontId="9" fillId="0" borderId="40" xfId="0" applyFont="1" applyBorder="1" applyAlignment="1" applyProtection="1">
      <alignment horizontal="left" wrapText="1"/>
    </xf>
    <xf numFmtId="0" fontId="9" fillId="0" borderId="39" xfId="0" applyFont="1" applyFill="1" applyBorder="1" applyAlignment="1" applyProtection="1">
      <alignment horizontal="left" wrapText="1"/>
    </xf>
    <xf numFmtId="49" fontId="9" fillId="0" borderId="35" xfId="0" applyNumberFormat="1" applyFont="1" applyFill="1" applyBorder="1" applyAlignment="1" applyProtection="1">
      <alignment horizontal="left" wrapText="1"/>
    </xf>
    <xf numFmtId="164" fontId="9" fillId="0" borderId="42" xfId="0" applyNumberFormat="1" applyFont="1" applyFill="1" applyBorder="1" applyAlignment="1" applyProtection="1">
      <alignment horizontal="left" wrapText="1"/>
    </xf>
    <xf numFmtId="164" fontId="9" fillId="12" borderId="42" xfId="0" applyNumberFormat="1" applyFont="1" applyFill="1" applyBorder="1" applyAlignment="1" applyProtection="1">
      <alignment horizontal="left" wrapText="1"/>
    </xf>
    <xf numFmtId="164" fontId="9" fillId="0" borderId="38" xfId="0" applyNumberFormat="1" applyFont="1" applyFill="1" applyBorder="1" applyAlignment="1" applyProtection="1">
      <alignment wrapText="1"/>
    </xf>
    <xf numFmtId="164" fontId="9" fillId="0" borderId="35" xfId="0" applyNumberFormat="1" applyFont="1" applyFill="1" applyBorder="1" applyAlignment="1" applyProtection="1">
      <alignment horizontal="left" wrapText="1"/>
    </xf>
    <xf numFmtId="164" fontId="9" fillId="12" borderId="35" xfId="0" applyNumberFormat="1" applyFont="1" applyFill="1" applyBorder="1" applyAlignment="1" applyProtection="1">
      <alignment horizontal="left" wrapText="1"/>
    </xf>
    <xf numFmtId="0" fontId="9" fillId="0" borderId="3" xfId="0" applyFont="1" applyFill="1" applyBorder="1" applyAlignment="1" applyProtection="1">
      <alignment horizontal="left" wrapText="1"/>
    </xf>
    <xf numFmtId="0" fontId="8" fillId="0" borderId="3" xfId="0" applyFont="1" applyFill="1" applyBorder="1" applyAlignment="1" applyProtection="1">
      <alignment horizontal="left" wrapText="1"/>
    </xf>
    <xf numFmtId="164" fontId="8" fillId="0" borderId="43" xfId="0" applyNumberFormat="1" applyFont="1" applyFill="1" applyBorder="1" applyAlignment="1" applyProtection="1">
      <alignment wrapText="1"/>
    </xf>
    <xf numFmtId="49" fontId="8" fillId="0" borderId="1" xfId="0" applyNumberFormat="1" applyFont="1" applyFill="1" applyBorder="1" applyAlignment="1" applyProtection="1">
      <alignment horizontal="left" wrapText="1"/>
    </xf>
    <xf numFmtId="164" fontId="8" fillId="0" borderId="23" xfId="0" applyNumberFormat="1" applyFont="1" applyFill="1" applyBorder="1" applyAlignment="1" applyProtection="1">
      <alignment wrapText="1"/>
    </xf>
    <xf numFmtId="49" fontId="9" fillId="0" borderId="1" xfId="0" applyNumberFormat="1" applyFont="1" applyFill="1" applyBorder="1" applyAlignment="1" applyProtection="1">
      <alignment horizontal="left" wrapText="1"/>
    </xf>
    <xf numFmtId="49" fontId="9" fillId="12" borderId="1" xfId="0" applyNumberFormat="1" applyFont="1" applyFill="1" applyBorder="1" applyAlignment="1" applyProtection="1">
      <alignment horizontal="left" wrapText="1"/>
    </xf>
    <xf numFmtId="0" fontId="9" fillId="12" borderId="1" xfId="0" applyFont="1" applyFill="1" applyBorder="1" applyAlignment="1" applyProtection="1">
      <alignment horizontal="left" wrapText="1"/>
    </xf>
    <xf numFmtId="164" fontId="9" fillId="0" borderId="23" xfId="0" applyNumberFormat="1" applyFont="1" applyFill="1" applyBorder="1" applyAlignment="1" applyProtection="1">
      <alignment horizontal="right" wrapText="1"/>
    </xf>
    <xf numFmtId="164" fontId="9" fillId="0" borderId="23" xfId="0" applyNumberFormat="1" applyFont="1" applyFill="1" applyBorder="1" applyAlignment="1" applyProtection="1">
      <alignment wrapText="1"/>
    </xf>
    <xf numFmtId="164" fontId="8" fillId="0" borderId="23" xfId="0" applyNumberFormat="1" applyFont="1" applyFill="1" applyBorder="1" applyAlignment="1" applyProtection="1">
      <alignment horizontal="fill" wrapText="1"/>
    </xf>
    <xf numFmtId="0" fontId="14" fillId="0" borderId="0" xfId="0" applyFont="1" applyFill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23" fillId="0" borderId="0" xfId="0" applyFont="1" applyFill="1" applyAlignment="1" applyProtection="1">
      <alignment horizontal="left" wrapText="1"/>
    </xf>
    <xf numFmtId="0" fontId="8" fillId="0" borderId="0" xfId="0" applyFont="1" applyAlignment="1" applyProtection="1">
      <alignment wrapText="1"/>
    </xf>
    <xf numFmtId="0" fontId="9" fillId="0" borderId="36" xfId="0" applyFont="1" applyFill="1" applyBorder="1" applyAlignment="1" applyProtection="1">
      <alignment horizontal="left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left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left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9" fillId="0" borderId="44" xfId="0" applyNumberFormat="1" applyFont="1" applyBorder="1" applyAlignment="1" applyProtection="1">
      <alignment horizontal="left" wrapText="1"/>
    </xf>
    <xf numFmtId="3" fontId="9" fillId="0" borderId="44" xfId="0" applyNumberFormat="1" applyFont="1" applyFill="1" applyBorder="1" applyAlignment="1" applyProtection="1">
      <alignment wrapText="1"/>
      <protection locked="0"/>
    </xf>
    <xf numFmtId="0" fontId="8" fillId="0" borderId="45" xfId="0" applyNumberFormat="1" applyFont="1" applyBorder="1" applyAlignment="1" applyProtection="1">
      <alignment horizontal="left" wrapText="1"/>
    </xf>
    <xf numFmtId="3" fontId="8" fillId="0" borderId="45" xfId="0" applyNumberFormat="1" applyFont="1" applyFill="1" applyBorder="1" applyAlignment="1" applyProtection="1">
      <alignment wrapText="1"/>
      <protection locked="0"/>
    </xf>
    <xf numFmtId="0" fontId="8" fillId="0" borderId="39" xfId="0" applyNumberFormat="1" applyFont="1" applyFill="1" applyBorder="1" applyAlignment="1" applyProtection="1">
      <alignment horizontal="left" wrapText="1"/>
    </xf>
    <xf numFmtId="49" fontId="8" fillId="0" borderId="42" xfId="0" applyNumberFormat="1" applyFont="1" applyFill="1" applyBorder="1" applyAlignment="1" applyProtection="1">
      <alignment horizontal="left" wrapText="1"/>
    </xf>
    <xf numFmtId="0" fontId="8" fillId="0" borderId="46" xfId="0" applyNumberFormat="1" applyFont="1" applyBorder="1" applyAlignment="1" applyProtection="1">
      <alignment horizontal="left" wrapText="1"/>
    </xf>
    <xf numFmtId="3" fontId="8" fillId="0" borderId="46" xfId="0" applyNumberFormat="1" applyFont="1" applyFill="1" applyBorder="1" applyAlignment="1" applyProtection="1">
      <alignment wrapText="1"/>
      <protection locked="0"/>
    </xf>
    <xf numFmtId="0" fontId="12" fillId="0" borderId="0" xfId="0" applyFont="1" applyAlignment="1">
      <alignment horizontal="left" wrapText="1"/>
    </xf>
    <xf numFmtId="0" fontId="9" fillId="6" borderId="1" xfId="0" applyFont="1" applyFill="1" applyBorder="1" applyAlignment="1" applyProtection="1">
      <alignment horizontal="left" wrapText="1"/>
    </xf>
    <xf numFmtId="0" fontId="9" fillId="6" borderId="1" xfId="0" applyFont="1" applyFill="1" applyBorder="1" applyAlignment="1">
      <alignment horizontal="center" wrapText="1"/>
    </xf>
    <xf numFmtId="49" fontId="9" fillId="6" borderId="1" xfId="0" applyNumberFormat="1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49" fontId="9" fillId="6" borderId="1" xfId="0" applyNumberFormat="1" applyFont="1" applyFill="1" applyBorder="1" applyAlignment="1">
      <alignment horizontal="left" wrapText="1"/>
    </xf>
    <xf numFmtId="164" fontId="9" fillId="6" borderId="1" xfId="0" applyNumberFormat="1" applyFont="1" applyFill="1" applyBorder="1" applyAlignment="1" applyProtection="1">
      <alignment horizontal="left" wrapText="1"/>
    </xf>
    <xf numFmtId="164" fontId="9" fillId="6" borderId="1" xfId="0" applyNumberFormat="1" applyFont="1" applyFill="1" applyBorder="1" applyAlignment="1" applyProtection="1">
      <alignment wrapText="1"/>
    </xf>
  </cellXfs>
  <cellStyles count="9">
    <cellStyle name="Millares" xfId="4" builtinId="3"/>
    <cellStyle name="Millares [0]" xfId="5" builtinId="6"/>
    <cellStyle name="Moneda" xfId="6" builtinId="4"/>
    <cellStyle name="Moneda [0]" xfId="7" builtinId="7"/>
    <cellStyle name="Moneda 2" xfId="1"/>
    <cellStyle name="Normal" xfId="0" builtinId="0"/>
    <cellStyle name="Normal 2" xfId="3"/>
    <cellStyle name="Normal 2 2" xfId="2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</a:t>
            </a:r>
            <a:r>
              <a:rPr lang="es-CO" b="1" baseline="0"/>
              <a:t> DE INFRAESTRUCTURA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INFRAESTRUCTURA!$D$5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INFRAESTRUCTURA!$B$6:$B$12</c:f>
              <c:strCache>
                <c:ptCount val="7"/>
                <c:pt idx="0">
                  <c:v>COMPONENTE:  GOBIERNO LEGAL Y EFECTIVO</c:v>
                </c:pt>
                <c:pt idx="1">
                  <c:v>COMPONENTE:  LOS CAMINOS DE LA VIDA</c:v>
                </c:pt>
                <c:pt idx="2">
                  <c:v>COMPONENTE: HOGARES FELICES</c:v>
                </c:pt>
                <c:pt idx="3">
                  <c:v>COMPONENTE: SALUD PULICA: SALUD PARA TODOS Y CON TODOS</c:v>
                </c:pt>
                <c:pt idx="4">
                  <c:v>COMPONENTE:  RED DE ESPACIO PÚBLICO</c:v>
                </c:pt>
                <c:pt idx="5">
                  <c:v>COMPONENTE:  MOVILIDAD</c:v>
                </c:pt>
                <c:pt idx="6">
                  <c:v>COMPONENTE:  SERVICIOS PÚBLICOS</c:v>
                </c:pt>
              </c:strCache>
            </c:strRef>
          </c:cat>
          <c:val>
            <c:numRef>
              <c:f>INFRAESTRUCTURA!$D$6:$D$12</c:f>
              <c:numCache>
                <c:formatCode>General</c:formatCode>
                <c:ptCount val="7"/>
                <c:pt idx="0" formatCode="#,##0">
                  <c:v>1500000000</c:v>
                </c:pt>
                <c:pt idx="3" formatCode="_-* #,##0_-;\-* #,##0_-;_-* &quot;-&quot;??_-;_-@_-">
                  <c:v>1000000000</c:v>
                </c:pt>
                <c:pt idx="4" formatCode="#,##0">
                  <c:v>34000000622</c:v>
                </c:pt>
                <c:pt idx="5" formatCode="#,##0">
                  <c:v>5037824000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A-4164-91C4-53613461D05F}"/>
            </c:ext>
          </c:extLst>
        </c:ser>
        <c:ser>
          <c:idx val="1"/>
          <c:order val="1"/>
          <c:tx>
            <c:strRef>
              <c:f>INFRAESTRUCTURA!$E$5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INFRAESTRUCTURA!$B$6:$B$12</c:f>
              <c:strCache>
                <c:ptCount val="7"/>
                <c:pt idx="0">
                  <c:v>COMPONENTE:  GOBIERNO LEGAL Y EFECTIVO</c:v>
                </c:pt>
                <c:pt idx="1">
                  <c:v>COMPONENTE:  LOS CAMINOS DE LA VIDA</c:v>
                </c:pt>
                <c:pt idx="2">
                  <c:v>COMPONENTE: HOGARES FELICES</c:v>
                </c:pt>
                <c:pt idx="3">
                  <c:v>COMPONENTE: SALUD PULICA: SALUD PARA TODOS Y CON TODOS</c:v>
                </c:pt>
                <c:pt idx="4">
                  <c:v>COMPONENTE:  RED DE ESPACIO PÚBLICO</c:v>
                </c:pt>
                <c:pt idx="5">
                  <c:v>COMPONENTE:  MOVILIDAD</c:v>
                </c:pt>
                <c:pt idx="6">
                  <c:v>COMPONENTE:  SERVICIOS PÚBLICOS</c:v>
                </c:pt>
              </c:strCache>
            </c:strRef>
          </c:cat>
          <c:val>
            <c:numRef>
              <c:f>INFRAESTRUCTURA!$E$6:$E$12</c:f>
              <c:numCache>
                <c:formatCode>#,##0</c:formatCode>
                <c:ptCount val="7"/>
                <c:pt idx="4">
                  <c:v>150000000</c:v>
                </c:pt>
                <c:pt idx="6">
                  <c:v>3372324680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A-4164-91C4-53613461D05F}"/>
            </c:ext>
          </c:extLst>
        </c:ser>
        <c:ser>
          <c:idx val="2"/>
          <c:order val="2"/>
          <c:tx>
            <c:strRef>
              <c:f>INFRAESTRUCTURA!$F$5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INFRAESTRUCTURA!$B$6:$B$12</c:f>
              <c:strCache>
                <c:ptCount val="7"/>
                <c:pt idx="0">
                  <c:v>COMPONENTE:  GOBIERNO LEGAL Y EFECTIVO</c:v>
                </c:pt>
                <c:pt idx="1">
                  <c:v>COMPONENTE:  LOS CAMINOS DE LA VIDA</c:v>
                </c:pt>
                <c:pt idx="2">
                  <c:v>COMPONENTE: HOGARES FELICES</c:v>
                </c:pt>
                <c:pt idx="3">
                  <c:v>COMPONENTE: SALUD PULICA: SALUD PARA TODOS Y CON TODOS</c:v>
                </c:pt>
                <c:pt idx="4">
                  <c:v>COMPONENTE:  RED DE ESPACIO PÚBLICO</c:v>
                </c:pt>
                <c:pt idx="5">
                  <c:v>COMPONENTE:  MOVILIDAD</c:v>
                </c:pt>
                <c:pt idx="6">
                  <c:v>COMPONENTE:  SERVICIOS PÚBLICOS</c:v>
                </c:pt>
              </c:strCache>
            </c:strRef>
          </c:cat>
          <c:val>
            <c:numRef>
              <c:f>INFRAESTRUCTURA!$F$6:$F$12</c:f>
              <c:numCache>
                <c:formatCode>#,##0</c:formatCode>
                <c:ptCount val="7"/>
                <c:pt idx="1">
                  <c:v>3090793988</c:v>
                </c:pt>
                <c:pt idx="2">
                  <c:v>1000</c:v>
                </c:pt>
                <c:pt idx="4">
                  <c:v>1513003000</c:v>
                </c:pt>
                <c:pt idx="5">
                  <c:v>6020000000</c:v>
                </c:pt>
                <c:pt idx="6">
                  <c:v>39798882951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A-4164-91C4-53613461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2992"/>
        <c:axId val="41174528"/>
      </c:barChart>
      <c:catAx>
        <c:axId val="4117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74528"/>
        <c:crosses val="autoZero"/>
        <c:auto val="1"/>
        <c:lblAlgn val="ctr"/>
        <c:lblOffset val="100"/>
        <c:noMultiLvlLbl val="0"/>
      </c:catAx>
      <c:valAx>
        <c:axId val="411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7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INSTITUTO MUNICIPAL DEL EMPLEO "IMEBU"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IMEBU!$D$5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IMEBU!$B$6</c:f>
              <c:strCache>
                <c:ptCount val="1"/>
                <c:pt idx="0">
                  <c:v>COMPONENTE: FORTALECIMEINTO EMPRESARIAL</c:v>
                </c:pt>
              </c:strCache>
            </c:strRef>
          </c:cat>
          <c:val>
            <c:numRef>
              <c:f>IMEBU!$D$6</c:f>
              <c:numCache>
                <c:formatCode>#,##0_ ;[Red]\-#,##0\ </c:formatCode>
                <c:ptCount val="1"/>
                <c:pt idx="0">
                  <c:v>2145785000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1-47A9-94DD-B317D7C3C158}"/>
            </c:ext>
          </c:extLst>
        </c:ser>
        <c:ser>
          <c:idx val="1"/>
          <c:order val="1"/>
          <c:tx>
            <c:strRef>
              <c:f>IMEBU!$E$5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IMEBU!$B$6</c:f>
              <c:strCache>
                <c:ptCount val="1"/>
                <c:pt idx="0">
                  <c:v>COMPONENTE: FORTALECIMEINTO EMPRESARIAL</c:v>
                </c:pt>
              </c:strCache>
            </c:strRef>
          </c:cat>
          <c:val>
            <c:numRef>
              <c:f>IMEBU!$E$6</c:f>
              <c:numCache>
                <c:formatCode>#,##0_ ;[Red]\-#,##0\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501-47A9-94DD-B317D7C3C158}"/>
            </c:ext>
          </c:extLst>
        </c:ser>
        <c:ser>
          <c:idx val="2"/>
          <c:order val="2"/>
          <c:tx>
            <c:strRef>
              <c:f>IMEBU!$F$5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IMEBU!$B$6</c:f>
              <c:strCache>
                <c:ptCount val="1"/>
                <c:pt idx="0">
                  <c:v>COMPONENTE: FORTALECIMEINTO EMPRESARIAL</c:v>
                </c:pt>
              </c:strCache>
            </c:strRef>
          </c:cat>
          <c:val>
            <c:numRef>
              <c:f>IMEBU!$F$6</c:f>
              <c:numCache>
                <c:formatCode>#,##0_ ;[Red]\-#,##0\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501-47A9-94DD-B317D7C3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22912"/>
        <c:axId val="56024448"/>
      </c:barChart>
      <c:catAx>
        <c:axId val="560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24448"/>
        <c:crosses val="autoZero"/>
        <c:auto val="1"/>
        <c:lblAlgn val="ctr"/>
        <c:lblOffset val="100"/>
        <c:noMultiLvlLbl val="0"/>
      </c:catAx>
      <c:valAx>
        <c:axId val="5602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INSTITUTO DE VIVIENDA DE INTERÉS SOCIAL Y REFORMA URBANA DEL MUNICIPIO DE BUCARAMANGA "INVISBU"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INVISBU!$D$5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INVISBU!$B$6</c:f>
              <c:strCache>
                <c:ptCount val="1"/>
                <c:pt idx="0">
                  <c:v>COMPONENTE: HOGARES FELICES</c:v>
                </c:pt>
              </c:strCache>
            </c:strRef>
          </c:cat>
          <c:val>
            <c:numRef>
              <c:f>INVISBU!$D$6</c:f>
              <c:numCache>
                <c:formatCode>#,##0_ ;[Red]\-#,##0\ </c:formatCode>
                <c:ptCount val="1"/>
                <c:pt idx="0">
                  <c:v>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D-4298-A3C1-F2A2A6843220}"/>
            </c:ext>
          </c:extLst>
        </c:ser>
        <c:ser>
          <c:idx val="1"/>
          <c:order val="1"/>
          <c:tx>
            <c:strRef>
              <c:f>INVISBU!$E$5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INVISBU!$B$6</c:f>
              <c:strCache>
                <c:ptCount val="1"/>
                <c:pt idx="0">
                  <c:v>COMPONENTE: HOGARES FELICES</c:v>
                </c:pt>
              </c:strCache>
            </c:strRef>
          </c:cat>
          <c:val>
            <c:numRef>
              <c:f>INVISBU!$E$6</c:f>
              <c:numCache>
                <c:formatCode>#,##0_ ;[Red]\-#,##0\ </c:formatCode>
                <c:ptCount val="1"/>
                <c:pt idx="0">
                  <c:v>1198595457.8327303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D-4298-A3C1-F2A2A6843220}"/>
            </c:ext>
          </c:extLst>
        </c:ser>
        <c:ser>
          <c:idx val="2"/>
          <c:order val="2"/>
          <c:tx>
            <c:strRef>
              <c:f>INVISBU!$F$5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INVISBU!$B$6</c:f>
              <c:strCache>
                <c:ptCount val="1"/>
                <c:pt idx="0">
                  <c:v>COMPONENTE: HOGARES FELICES</c:v>
                </c:pt>
              </c:strCache>
            </c:strRef>
          </c:cat>
          <c:val>
            <c:numRef>
              <c:f>INVISBU!$F$6</c:f>
              <c:numCache>
                <c:formatCode>#,##0_ ;[Red]\-#,##0\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59D-4298-A3C1-F2A2A684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34624"/>
        <c:axId val="55886976"/>
      </c:barChart>
      <c:catAx>
        <c:axId val="5543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886976"/>
        <c:crosses val="autoZero"/>
        <c:auto val="1"/>
        <c:lblAlgn val="ctr"/>
        <c:lblOffset val="100"/>
        <c:noMultiLvlLbl val="0"/>
      </c:catAx>
      <c:valAx>
        <c:axId val="5588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43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ADMINISTRATIVA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ADMINISTRATIVA!$D$5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ADMINISTRATIVA!$B$6:$B$7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MUNICIPAL EN LINEA</c:v>
                </c:pt>
              </c:strCache>
            </c:strRef>
          </c:cat>
          <c:val>
            <c:numRef>
              <c:f>ADMINISTRATIVA!$D$6:$D$7</c:f>
              <c:numCache>
                <c:formatCode>#,##0</c:formatCode>
                <c:ptCount val="2"/>
                <c:pt idx="0" formatCode="#,##0_ ;\-#,##0\ ">
                  <c:v>1250000000</c:v>
                </c:pt>
                <c:pt idx="1">
                  <c:v>4360000000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5-4CC7-9E64-68BA5C02CC0A}"/>
            </c:ext>
          </c:extLst>
        </c:ser>
        <c:ser>
          <c:idx val="1"/>
          <c:order val="1"/>
          <c:tx>
            <c:strRef>
              <c:f>ADMINISTRATIVA!$E$5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ADMINISTRATIVA!$B$6:$B$7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MUNICIPAL EN LINEA</c:v>
                </c:pt>
              </c:strCache>
            </c:strRef>
          </c:cat>
          <c:val>
            <c:numRef>
              <c:f>ADMINISTRATIVA!$E$6:$E$7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CC5-4CC7-9E64-68BA5C02CC0A}"/>
            </c:ext>
          </c:extLst>
        </c:ser>
        <c:ser>
          <c:idx val="2"/>
          <c:order val="2"/>
          <c:tx>
            <c:strRef>
              <c:f>ADMINISTRATIVA!$F$5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ADMINISTRATIVA!$B$6:$B$7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MUNICIPAL EN LINEA</c:v>
                </c:pt>
              </c:strCache>
            </c:strRef>
          </c:cat>
          <c:val>
            <c:numRef>
              <c:f>ADMINISTRATIVA!$F$6:$F$7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CC5-4CC7-9E64-68BA5C02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3120"/>
        <c:axId val="55654656"/>
      </c:barChart>
      <c:catAx>
        <c:axId val="556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654656"/>
        <c:crosses val="autoZero"/>
        <c:auto val="1"/>
        <c:lblAlgn val="ctr"/>
        <c:lblOffset val="100"/>
        <c:noMultiLvlLbl val="0"/>
      </c:catAx>
      <c:valAx>
        <c:axId val="5565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6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DE HACIENDA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HACIENDA!$D$5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HACIENDA!$B$6</c:f>
              <c:strCache>
                <c:ptCount val="1"/>
                <c:pt idx="0">
                  <c:v>COMPONENTE: GOBIERNO LEGAL Y EFECTIVO</c:v>
                </c:pt>
              </c:strCache>
            </c:strRef>
          </c:cat>
          <c:val>
            <c:numRef>
              <c:f>HACIENDA!$D$6</c:f>
              <c:numCache>
                <c:formatCode>#,##0_ ;[Red]\-#,##0\ </c:formatCode>
                <c:ptCount val="1"/>
                <c:pt idx="0">
                  <c:v>39209734207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9-40CF-918E-558293A764C8}"/>
            </c:ext>
          </c:extLst>
        </c:ser>
        <c:ser>
          <c:idx val="1"/>
          <c:order val="1"/>
          <c:tx>
            <c:strRef>
              <c:f>HACIENDA!$E$5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HACIENDA!$B$6</c:f>
              <c:strCache>
                <c:ptCount val="1"/>
                <c:pt idx="0">
                  <c:v>COMPONENTE: GOBIERNO LEGAL Y EFECTIVO</c:v>
                </c:pt>
              </c:strCache>
            </c:strRef>
          </c:cat>
          <c:val>
            <c:numRef>
              <c:f>HACIENDA!$E$6</c:f>
              <c:numCache>
                <c:formatCode>#,##0_ ;\-#,##0\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329-40CF-918E-558293A764C8}"/>
            </c:ext>
          </c:extLst>
        </c:ser>
        <c:ser>
          <c:idx val="2"/>
          <c:order val="2"/>
          <c:tx>
            <c:strRef>
              <c:f>HACIENDA!$F$5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HACIENDA!$B$6</c:f>
              <c:strCache>
                <c:ptCount val="1"/>
                <c:pt idx="0">
                  <c:v>COMPONENTE: GOBIERNO LEGAL Y EFECTIVO</c:v>
                </c:pt>
              </c:strCache>
            </c:strRef>
          </c:cat>
          <c:val>
            <c:numRef>
              <c:f>HACIENDA!$F$6</c:f>
              <c:numCache>
                <c:formatCode>#,##0_ ;\-#,##0\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29-40CF-918E-558293A7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27712"/>
        <c:axId val="56229248"/>
      </c:barChart>
      <c:catAx>
        <c:axId val="562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29248"/>
        <c:crosses val="autoZero"/>
        <c:auto val="1"/>
        <c:lblAlgn val="ctr"/>
        <c:lblOffset val="100"/>
        <c:noMultiLvlLbl val="0"/>
      </c:catAx>
      <c:valAx>
        <c:axId val="562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RECURSOS</a:t>
            </a:r>
            <a:r>
              <a:rPr lang="es-CO" b="1" baseline="0"/>
              <a:t> POR DEPENDENCIAS Y FUENTES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RESUMEN!$C$3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RESUMEN!$B$4:$B$16</c:f>
              <c:strCache>
                <c:ptCount val="13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</c:strCache>
            </c:strRef>
          </c:cat>
          <c:val>
            <c:numRef>
              <c:f>RESUMEN!$C$4:$C$16</c:f>
              <c:numCache>
                <c:formatCode>#,##0</c:formatCode>
                <c:ptCount val="13"/>
                <c:pt idx="0">
                  <c:v>41537824622</c:v>
                </c:pt>
                <c:pt idx="1">
                  <c:v>18370327732</c:v>
                </c:pt>
                <c:pt idx="2">
                  <c:v>45193508413</c:v>
                </c:pt>
                <c:pt idx="3">
                  <c:v>600000000</c:v>
                </c:pt>
                <c:pt idx="4">
                  <c:v>6539000000</c:v>
                </c:pt>
                <c:pt idx="5">
                  <c:v>9445785000</c:v>
                </c:pt>
                <c:pt idx="6">
                  <c:v>5000000000</c:v>
                </c:pt>
                <c:pt idx="7">
                  <c:v>5993000000</c:v>
                </c:pt>
                <c:pt idx="8">
                  <c:v>300000000</c:v>
                </c:pt>
                <c:pt idx="9">
                  <c:v>2145785000</c:v>
                </c:pt>
                <c:pt idx="10">
                  <c:v>7000000000</c:v>
                </c:pt>
                <c:pt idx="11">
                  <c:v>5610000000</c:v>
                </c:pt>
                <c:pt idx="12">
                  <c:v>39209734207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A-4E55-8053-1D0563CD436D}"/>
            </c:ext>
          </c:extLst>
        </c:ser>
        <c:ser>
          <c:idx val="1"/>
          <c:order val="1"/>
          <c:tx>
            <c:strRef>
              <c:f>RESUMEN!$D$3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RESUMEN!$B$4:$B$16</c:f>
              <c:strCache>
                <c:ptCount val="13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</c:strCache>
            </c:strRef>
          </c:cat>
          <c:val>
            <c:numRef>
              <c:f>RESUMEN!$D$4:$D$16</c:f>
              <c:numCache>
                <c:formatCode>#,##0</c:formatCode>
                <c:ptCount val="13"/>
                <c:pt idx="0">
                  <c:v>3522324680</c:v>
                </c:pt>
                <c:pt idx="1">
                  <c:v>74294000139</c:v>
                </c:pt>
                <c:pt idx="2">
                  <c:v>234822214721</c:v>
                </c:pt>
                <c:pt idx="3">
                  <c:v>2365754746</c:v>
                </c:pt>
                <c:pt idx="4">
                  <c:v>873911981</c:v>
                </c:pt>
                <c:pt idx="5">
                  <c:v>0</c:v>
                </c:pt>
                <c:pt idx="6">
                  <c:v>6479562836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1198595457.8327303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A-4E55-8053-1D0563CD436D}"/>
            </c:ext>
          </c:extLst>
        </c:ser>
        <c:ser>
          <c:idx val="2"/>
          <c:order val="2"/>
          <c:tx>
            <c:strRef>
              <c:f>RESUMEN!$E$3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RESUMEN!$B$4:$B$16</c:f>
              <c:strCache>
                <c:ptCount val="13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</c:strCache>
            </c:strRef>
          </c:cat>
          <c:val>
            <c:numRef>
              <c:f>RESUMEN!$E$4:$E$16</c:f>
              <c:numCache>
                <c:formatCode>#,##0</c:formatCode>
                <c:ptCount val="13"/>
                <c:pt idx="0">
                  <c:v>50422680939</c:v>
                </c:pt>
                <c:pt idx="1">
                  <c:v>93756996807</c:v>
                </c:pt>
                <c:pt idx="2">
                  <c:v>8225417375</c:v>
                </c:pt>
                <c:pt idx="3">
                  <c:v>70000000</c:v>
                </c:pt>
                <c:pt idx="4">
                  <c:v>300000000</c:v>
                </c:pt>
                <c:pt idx="5">
                  <c:v>7536424000</c:v>
                </c:pt>
                <c:pt idx="6">
                  <c:v>6020000000</c:v>
                </c:pt>
                <c:pt idx="7">
                  <c:v>325000000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A-4E55-8053-1D0563CD4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56278016"/>
        <c:axId val="56283904"/>
      </c:barChart>
      <c:catAx>
        <c:axId val="5627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83904"/>
        <c:crosses val="autoZero"/>
        <c:auto val="1"/>
        <c:lblAlgn val="ctr"/>
        <c:lblOffset val="100"/>
        <c:noMultiLvlLbl val="0"/>
      </c:catAx>
      <c:valAx>
        <c:axId val="562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7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TOTAL RECURSOS POR DEPENDENCIA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RESUMEN!$F$3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RESUMEN!$B$4:$B$16</c:f>
              <c:strCache>
                <c:ptCount val="13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</c:strCache>
            </c:strRef>
          </c:cat>
          <c:val>
            <c:numRef>
              <c:f>RESUMEN!$F$4:$F$16</c:f>
              <c:numCache>
                <c:formatCode>#,##0</c:formatCode>
                <c:ptCount val="13"/>
                <c:pt idx="0">
                  <c:v>95482830241</c:v>
                </c:pt>
                <c:pt idx="1">
                  <c:v>186421324678</c:v>
                </c:pt>
                <c:pt idx="2">
                  <c:v>288241140509</c:v>
                </c:pt>
                <c:pt idx="3">
                  <c:v>3035754746</c:v>
                </c:pt>
                <c:pt idx="4">
                  <c:v>7712911981</c:v>
                </c:pt>
                <c:pt idx="5">
                  <c:v>16982209000</c:v>
                </c:pt>
                <c:pt idx="6">
                  <c:v>17499562836</c:v>
                </c:pt>
                <c:pt idx="7">
                  <c:v>6318000000</c:v>
                </c:pt>
                <c:pt idx="8">
                  <c:v>300000000</c:v>
                </c:pt>
                <c:pt idx="9">
                  <c:v>2145785000</c:v>
                </c:pt>
                <c:pt idx="10">
                  <c:v>8198595457.8327303</c:v>
                </c:pt>
                <c:pt idx="11">
                  <c:v>5610000000</c:v>
                </c:pt>
                <c:pt idx="12">
                  <c:v>39209734207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B-4622-856B-EEF4E040F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PRESUPUESTO</a:t>
            </a:r>
            <a:r>
              <a:rPr lang="es-ES" baseline="0"/>
              <a:t> 2016-2017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RESUMEN!$C$69</c:f>
              <c:strCache>
                <c:ptCount val="1"/>
                <c:pt idx="0">
                  <c:v>TOTAL 2016</c:v>
                </c:pt>
              </c:strCache>
            </c:strRef>
          </c:tx>
          <c:invertIfNegative val="0"/>
          <c:cat>
            <c:strRef>
              <c:f>RESUMEN!$B$70:$B$83</c:f>
              <c:strCache>
                <c:ptCount val="14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  <c:pt idx="13">
                  <c:v>TOTAL</c:v>
                </c:pt>
              </c:strCache>
            </c:strRef>
          </c:cat>
          <c:val>
            <c:numRef>
              <c:f>RESUMEN!$C$70:$C$83</c:f>
              <c:numCache>
                <c:formatCode>#,##0</c:formatCode>
                <c:ptCount val="14"/>
                <c:pt idx="0">
                  <c:v>128946699163</c:v>
                </c:pt>
                <c:pt idx="1">
                  <c:v>158195653812</c:v>
                </c:pt>
                <c:pt idx="2">
                  <c:v>182161169165</c:v>
                </c:pt>
                <c:pt idx="3">
                  <c:v>1853739736</c:v>
                </c:pt>
                <c:pt idx="4">
                  <c:v>6880562604</c:v>
                </c:pt>
                <c:pt idx="5">
                  <c:v>8763444634</c:v>
                </c:pt>
                <c:pt idx="6">
                  <c:v>13610101000</c:v>
                </c:pt>
                <c:pt idx="7">
                  <c:v>7815348644</c:v>
                </c:pt>
                <c:pt idx="8">
                  <c:v>1319000000</c:v>
                </c:pt>
                <c:pt idx="9">
                  <c:v>2908599999</c:v>
                </c:pt>
                <c:pt idx="10">
                  <c:v>1948832284</c:v>
                </c:pt>
                <c:pt idx="11">
                  <c:v>3847000000</c:v>
                </c:pt>
                <c:pt idx="12">
                  <c:v>117317286742</c:v>
                </c:pt>
                <c:pt idx="13">
                  <c:v>635567437783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5-422F-81D8-6B0D09CCB389}"/>
            </c:ext>
          </c:extLst>
        </c:ser>
        <c:ser>
          <c:idx val="1"/>
          <c:order val="1"/>
          <c:tx>
            <c:strRef>
              <c:f>RESUMEN!$D$69</c:f>
              <c:strCache>
                <c:ptCount val="1"/>
                <c:pt idx="0">
                  <c:v>TOTAL 2017</c:v>
                </c:pt>
              </c:strCache>
            </c:strRef>
          </c:tx>
          <c:invertIfNegative val="0"/>
          <c:cat>
            <c:strRef>
              <c:f>RESUMEN!$B$70:$B$83</c:f>
              <c:strCache>
                <c:ptCount val="14"/>
                <c:pt idx="0">
                  <c:v>SECRETARÍA DE INFRAESTRUCTURA</c:v>
                </c:pt>
                <c:pt idx="1">
                  <c:v>SECRETARÍA DE  SALUD Y AMBIENTE</c:v>
                </c:pt>
                <c:pt idx="2">
                  <c:v>SECRETARÍA DE EDUCACIÓN</c:v>
                </c:pt>
                <c:pt idx="3">
                  <c:v>INDERBU</c:v>
                </c:pt>
                <c:pt idx="4">
                  <c:v>INSTITUTO MUNICIPAL DE CULTURA </c:v>
                </c:pt>
                <c:pt idx="5">
                  <c:v>SECRETARÍA DEL INTERIOR</c:v>
                </c:pt>
                <c:pt idx="6">
                  <c:v>SECRETARÍA DE  DESARROLLO SOCIAL</c:v>
                </c:pt>
                <c:pt idx="7">
                  <c:v>SECRETARIA DE PLANEACIÓN</c:v>
                </c:pt>
                <c:pt idx="8">
                  <c:v>SECRETARÍA JURÍDICA</c:v>
                </c:pt>
                <c:pt idx="9">
                  <c:v>INSTITUTO MUNICIPAL DEL EMPLEO </c:v>
                </c:pt>
                <c:pt idx="10">
                  <c:v>INVISBU</c:v>
                </c:pt>
                <c:pt idx="11">
                  <c:v>SECRETARÍA ADMINISTRATIVA</c:v>
                </c:pt>
                <c:pt idx="12">
                  <c:v>SECRETARÍA DE HACIENDA</c:v>
                </c:pt>
                <c:pt idx="13">
                  <c:v>TOTAL</c:v>
                </c:pt>
              </c:strCache>
            </c:strRef>
          </c:cat>
          <c:val>
            <c:numRef>
              <c:f>RESUMEN!$D$70:$D$83</c:f>
              <c:numCache>
                <c:formatCode>#,##0</c:formatCode>
                <c:ptCount val="14"/>
                <c:pt idx="0">
                  <c:v>95482830241</c:v>
                </c:pt>
                <c:pt idx="1">
                  <c:v>186421324678</c:v>
                </c:pt>
                <c:pt idx="2">
                  <c:v>288241140509</c:v>
                </c:pt>
                <c:pt idx="3">
                  <c:v>3035754746</c:v>
                </c:pt>
                <c:pt idx="4">
                  <c:v>7712911981</c:v>
                </c:pt>
                <c:pt idx="5">
                  <c:v>16982209000</c:v>
                </c:pt>
                <c:pt idx="6">
                  <c:v>17499562836</c:v>
                </c:pt>
                <c:pt idx="7">
                  <c:v>6318000000</c:v>
                </c:pt>
                <c:pt idx="8">
                  <c:v>300000000</c:v>
                </c:pt>
                <c:pt idx="9">
                  <c:v>2145785000</c:v>
                </c:pt>
                <c:pt idx="10">
                  <c:v>8198595457.8327303</c:v>
                </c:pt>
                <c:pt idx="11">
                  <c:v>5610000000</c:v>
                </c:pt>
                <c:pt idx="12">
                  <c:v>39209734207</c:v>
                </c:pt>
                <c:pt idx="13">
                  <c:v>677157848655.83276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5-422F-81D8-6B0D09CC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36896"/>
        <c:axId val="57538432"/>
      </c:barChart>
      <c:catAx>
        <c:axId val="5753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57538432"/>
        <c:crosses val="autoZero"/>
        <c:auto val="1"/>
        <c:lblAlgn val="ctr"/>
        <c:lblOffset val="100"/>
        <c:noMultiLvlLbl val="0"/>
      </c:catAx>
      <c:valAx>
        <c:axId val="575384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5753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DE SALUD Y AMBIENTE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'SALUD Y AMBIENTE'!$D$5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6777951567931872E-3"/>
                  <c:y val="-1.7497812773403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6E-48CE-AE39-F9B72BE3B827}"/>
                </c:ext>
              </c:extLst>
            </c:dLbl>
            <c:dLbl>
              <c:idx val="2"/>
              <c:layout>
                <c:manualLayout>
                  <c:x val="2.2259317189310759E-2"/>
                  <c:y val="2.0997375328083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E-48CE-AE39-F9B72BE3B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'SALUD Y AMBIENTE'!$B$6:$B$12</c:f>
              <c:strCache>
                <c:ptCount val="7"/>
                <c:pt idx="0">
                  <c:v>COMPONENTE: ESPACIOS VERDES PARA LA DEMOCRACIA</c:v>
                </c:pt>
                <c:pt idx="1">
                  <c:v>COMPONENTE:  AMBIENTE PARA LA CIUDADANIA</c:v>
                </c:pt>
                <c:pt idx="2">
                  <c:v>COMPONENTE: GOBIERNO LEGAL Y EFECTIVO</c:v>
                </c:pt>
                <c:pt idx="3">
                  <c:v>COMPONENTE: ATENCION PRIORITARIA Y FOCALIZADA A GRUPOS DE POBLACION VULNERABLE</c:v>
                </c:pt>
                <c:pt idx="4">
                  <c:v>COMPONENTE: LOS CAMINOS DE LA VIDA</c:v>
                </c:pt>
                <c:pt idx="5">
                  <c:v>COMPONENTE: GESTION DEL RIESGO</c:v>
                </c:pt>
                <c:pt idx="6">
                  <c:v>COMPONENTE: SALUD PUBLICA SALUD PARA TODOS Y CON TODOS</c:v>
                </c:pt>
              </c:strCache>
            </c:strRef>
          </c:cat>
          <c:val>
            <c:numRef>
              <c:f>'SALUD Y AMBIENTE'!$D$6:$D$12</c:f>
              <c:numCache>
                <c:formatCode>#,##0</c:formatCode>
                <c:ptCount val="7"/>
                <c:pt idx="0">
                  <c:v>3422431914</c:v>
                </c:pt>
                <c:pt idx="1">
                  <c:v>2730611794</c:v>
                </c:pt>
                <c:pt idx="2">
                  <c:v>100000000</c:v>
                </c:pt>
                <c:pt idx="6">
                  <c:v>12117284024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E-48CE-AE39-F9B72BE3B827}"/>
            </c:ext>
          </c:extLst>
        </c:ser>
        <c:ser>
          <c:idx val="1"/>
          <c:order val="1"/>
          <c:tx>
            <c:strRef>
              <c:f>'SALUD Y AMBIENTE'!$E$5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'SALUD Y AMBIENTE'!$B$6:$B$12</c:f>
              <c:strCache>
                <c:ptCount val="7"/>
                <c:pt idx="0">
                  <c:v>COMPONENTE: ESPACIOS VERDES PARA LA DEMOCRACIA</c:v>
                </c:pt>
                <c:pt idx="1">
                  <c:v>COMPONENTE:  AMBIENTE PARA LA CIUDADANIA</c:v>
                </c:pt>
                <c:pt idx="2">
                  <c:v>COMPONENTE: GOBIERNO LEGAL Y EFECTIVO</c:v>
                </c:pt>
                <c:pt idx="3">
                  <c:v>COMPONENTE: ATENCION PRIORITARIA Y FOCALIZADA A GRUPOS DE POBLACION VULNERABLE</c:v>
                </c:pt>
                <c:pt idx="4">
                  <c:v>COMPONENTE: LOS CAMINOS DE LA VIDA</c:v>
                </c:pt>
                <c:pt idx="5">
                  <c:v>COMPONENTE: GESTION DEL RIESGO</c:v>
                </c:pt>
                <c:pt idx="6">
                  <c:v>COMPONENTE: SALUD PUBLICA SALUD PARA TODOS Y CON TODOS</c:v>
                </c:pt>
              </c:strCache>
            </c:strRef>
          </c:cat>
          <c:val>
            <c:numRef>
              <c:f>'SALUD Y AMBIENTE'!$E$6:$E$12</c:f>
              <c:numCache>
                <c:formatCode>#,##0</c:formatCode>
                <c:ptCount val="7"/>
                <c:pt idx="3">
                  <c:v>476180000</c:v>
                </c:pt>
                <c:pt idx="4">
                  <c:v>295675684</c:v>
                </c:pt>
                <c:pt idx="5" formatCode="#,##0_ ;[Red]\-#,##0\ ">
                  <c:v>39600000</c:v>
                </c:pt>
                <c:pt idx="6">
                  <c:v>73482544455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E-48CE-AE39-F9B72BE3B827}"/>
            </c:ext>
          </c:extLst>
        </c:ser>
        <c:ser>
          <c:idx val="2"/>
          <c:order val="2"/>
          <c:tx>
            <c:strRef>
              <c:f>'SALUD Y AMBIENTE'!$F$5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'SALUD Y AMBIENTE'!$B$6:$B$12</c:f>
              <c:strCache>
                <c:ptCount val="7"/>
                <c:pt idx="0">
                  <c:v>COMPONENTE: ESPACIOS VERDES PARA LA DEMOCRACIA</c:v>
                </c:pt>
                <c:pt idx="1">
                  <c:v>COMPONENTE:  AMBIENTE PARA LA CIUDADANIA</c:v>
                </c:pt>
                <c:pt idx="2">
                  <c:v>COMPONENTE: GOBIERNO LEGAL Y EFECTIVO</c:v>
                </c:pt>
                <c:pt idx="3">
                  <c:v>COMPONENTE: ATENCION PRIORITARIA Y FOCALIZADA A GRUPOS DE POBLACION VULNERABLE</c:v>
                </c:pt>
                <c:pt idx="4">
                  <c:v>COMPONENTE: LOS CAMINOS DE LA VIDA</c:v>
                </c:pt>
                <c:pt idx="5">
                  <c:v>COMPONENTE: GESTION DEL RIESGO</c:v>
                </c:pt>
                <c:pt idx="6">
                  <c:v>COMPONENTE: SALUD PUBLICA SALUD PARA TODOS Y CON TODOS</c:v>
                </c:pt>
              </c:strCache>
            </c:strRef>
          </c:cat>
          <c:val>
            <c:numRef>
              <c:f>'SALUD Y AMBIENTE'!$F$6:$F$12</c:f>
              <c:numCache>
                <c:formatCode>#,##0</c:formatCode>
                <c:ptCount val="7"/>
                <c:pt idx="1">
                  <c:v>615800619</c:v>
                </c:pt>
                <c:pt idx="6">
                  <c:v>93141196188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6E-48CE-AE39-F9B72BE3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85120"/>
        <c:axId val="43315584"/>
      </c:barChart>
      <c:catAx>
        <c:axId val="4328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15584"/>
        <c:crosses val="autoZero"/>
        <c:auto val="1"/>
        <c:lblAlgn val="ctr"/>
        <c:lblOffset val="100"/>
        <c:noMultiLvlLbl val="0"/>
      </c:catAx>
      <c:valAx>
        <c:axId val="4331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28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DE EDUCACIÓN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EDUCACIÓN!$D$5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EDUCACIÓN!$B$6</c:f>
              <c:strCache>
                <c:ptCount val="1"/>
                <c:pt idx="0">
                  <c:v>COMPONENTE: EDUCACION BUCARAMANGA EDUCADA, CULTA E INNOVADORA</c:v>
                </c:pt>
              </c:strCache>
            </c:strRef>
          </c:cat>
          <c:val>
            <c:numRef>
              <c:f>EDUCACIÓN!$D$6</c:f>
              <c:numCache>
                <c:formatCode>#,##0_ ;[Red]\-#,##0\ </c:formatCode>
                <c:ptCount val="1"/>
                <c:pt idx="0">
                  <c:v>45193508413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A-4235-B9E9-1519E351D97F}"/>
            </c:ext>
          </c:extLst>
        </c:ser>
        <c:ser>
          <c:idx val="1"/>
          <c:order val="1"/>
          <c:tx>
            <c:strRef>
              <c:f>EDUCACIÓN!$E$5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EDUCACIÓN!$B$6</c:f>
              <c:strCache>
                <c:ptCount val="1"/>
                <c:pt idx="0">
                  <c:v>COMPONENTE: EDUCACION BUCARAMANGA EDUCADA, CULTA E INNOVADORA</c:v>
                </c:pt>
              </c:strCache>
            </c:strRef>
          </c:cat>
          <c:val>
            <c:numRef>
              <c:f>EDUCACIÓN!$E$6</c:f>
              <c:numCache>
                <c:formatCode>#,##0</c:formatCode>
                <c:ptCount val="1"/>
                <c:pt idx="0">
                  <c:v>234822214721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A-4235-B9E9-1519E351D97F}"/>
            </c:ext>
          </c:extLst>
        </c:ser>
        <c:ser>
          <c:idx val="2"/>
          <c:order val="2"/>
          <c:tx>
            <c:strRef>
              <c:f>EDUCACIÓN!$F$5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EDUCACIÓN!$B$6</c:f>
              <c:strCache>
                <c:ptCount val="1"/>
                <c:pt idx="0">
                  <c:v>COMPONENTE: EDUCACION BUCARAMANGA EDUCADA, CULTA E INNOVADORA</c:v>
                </c:pt>
              </c:strCache>
            </c:strRef>
          </c:cat>
          <c:val>
            <c:numRef>
              <c:f>EDUCACIÓN!$F$6</c:f>
              <c:numCache>
                <c:formatCode>#,##0</c:formatCode>
                <c:ptCount val="1"/>
                <c:pt idx="0">
                  <c:v>8225417375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A-4235-B9E9-1519E351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62592"/>
        <c:axId val="54864128"/>
      </c:barChart>
      <c:catAx>
        <c:axId val="548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64128"/>
        <c:crosses val="autoZero"/>
        <c:auto val="1"/>
        <c:lblAlgn val="ctr"/>
        <c:lblOffset val="100"/>
        <c:noMultiLvlLbl val="0"/>
      </c:catAx>
      <c:valAx>
        <c:axId val="548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6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INSTITUTO DE LA JUVENTUD, EL DEPORTE Y LA RECREACION DE BUCARAMANGA "INDERBU"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INDERBU!$D$5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INDERBU!$B$6:$B$8</c:f>
              <c:strCache>
                <c:ptCount val="3"/>
                <c:pt idx="0">
                  <c:v>COMPONENTE: ATENCION PRIORITARIA Y FOCALIZADA A GRUPOS DE POBLACION VULNERABLE</c:v>
                </c:pt>
                <c:pt idx="1">
                  <c:v>COMPONENTE: LOS CAMINOS DE LA VIDA</c:v>
                </c:pt>
                <c:pt idx="2">
                  <c:v>COMPONENTE: ACTIVIDAD FISICA, EDUCACION FISICA, RECREACION Y DEPORTE</c:v>
                </c:pt>
              </c:strCache>
            </c:strRef>
          </c:cat>
          <c:val>
            <c:numRef>
              <c:f>INDERBU!$D$6:$D$8</c:f>
              <c:numCache>
                <c:formatCode>#,##0_ ;[Red]\-#,##0\ </c:formatCode>
                <c:ptCount val="3"/>
                <c:pt idx="0">
                  <c:v>94050000</c:v>
                </c:pt>
                <c:pt idx="1">
                  <c:v>166645000</c:v>
                </c:pt>
                <c:pt idx="2">
                  <c:v>339305000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A-44B0-BC98-22C131094473}"/>
            </c:ext>
          </c:extLst>
        </c:ser>
        <c:ser>
          <c:idx val="1"/>
          <c:order val="1"/>
          <c:tx>
            <c:strRef>
              <c:f>INDERBU!$E$5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431372549019607E-3"/>
                  <c:y val="-2.108036599056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A-44B0-BC98-22C131094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INDERBU!$B$6:$B$8</c:f>
              <c:strCache>
                <c:ptCount val="3"/>
                <c:pt idx="0">
                  <c:v>COMPONENTE: ATENCION PRIORITARIA Y FOCALIZADA A GRUPOS DE POBLACION VULNERABLE</c:v>
                </c:pt>
                <c:pt idx="1">
                  <c:v>COMPONENTE: LOS CAMINOS DE LA VIDA</c:v>
                </c:pt>
                <c:pt idx="2">
                  <c:v>COMPONENTE: ACTIVIDAD FISICA, EDUCACION FISICA, RECREACION Y DEPORTE</c:v>
                </c:pt>
              </c:strCache>
            </c:strRef>
          </c:cat>
          <c:val>
            <c:numRef>
              <c:f>INDERBU!$E$6:$E$8</c:f>
              <c:numCache>
                <c:formatCode>#,##0_ ;[Red]\-#,##0\ </c:formatCode>
                <c:ptCount val="3"/>
                <c:pt idx="0">
                  <c:v>85690000</c:v>
                </c:pt>
                <c:pt idx="1">
                  <c:v>386273839</c:v>
                </c:pt>
                <c:pt idx="2" formatCode="#,##0">
                  <c:v>1893790907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A-44B0-BC98-22C131094473}"/>
            </c:ext>
          </c:extLst>
        </c:ser>
        <c:ser>
          <c:idx val="2"/>
          <c:order val="2"/>
          <c:tx>
            <c:strRef>
              <c:f>INDERBU!$F$5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INDERBU!$B$6:$B$8</c:f>
              <c:strCache>
                <c:ptCount val="3"/>
                <c:pt idx="0">
                  <c:v>COMPONENTE: ATENCION PRIORITARIA Y FOCALIZADA A GRUPOS DE POBLACION VULNERABLE</c:v>
                </c:pt>
                <c:pt idx="1">
                  <c:v>COMPONENTE: LOS CAMINOS DE LA VIDA</c:v>
                </c:pt>
                <c:pt idx="2">
                  <c:v>COMPONENTE: ACTIVIDAD FISICA, EDUCACION FISICA, RECREACION Y DEPORTE</c:v>
                </c:pt>
              </c:strCache>
            </c:strRef>
          </c:cat>
          <c:val>
            <c:numRef>
              <c:f>INDERBU!$F$6:$F$8</c:f>
              <c:numCache>
                <c:formatCode>#,##0</c:formatCode>
                <c:ptCount val="3"/>
                <c:pt idx="2" formatCode="#,##0_ ;[Red]\-#,##0\ ">
                  <c:v>70000000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A-44B0-BC98-22C131094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3632"/>
        <c:axId val="55255424"/>
      </c:barChart>
      <c:catAx>
        <c:axId val="55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5424"/>
        <c:crosses val="autoZero"/>
        <c:auto val="1"/>
        <c:lblAlgn val="ctr"/>
        <c:lblOffset val="100"/>
        <c:noMultiLvlLbl val="0"/>
      </c:catAx>
      <c:valAx>
        <c:axId val="552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INSTITUTO MUNICIPAL DE CULTURA Y TURISMO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IMCT!$D$5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IMCT!$B$6</c:f>
              <c:strCache>
                <c:ptCount val="1"/>
                <c:pt idx="0">
                  <c:v>COMPONENTE: CIUDADANAS Y CIUDADANOS INTELIGENTES</c:v>
                </c:pt>
              </c:strCache>
            </c:strRef>
          </c:cat>
          <c:val>
            <c:numRef>
              <c:f>IMCT!$D$6</c:f>
              <c:numCache>
                <c:formatCode>#,##0_ ;[Red]\-#,##0\ </c:formatCode>
                <c:ptCount val="1"/>
                <c:pt idx="0">
                  <c:v>6539000000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0-41CD-B7C4-0FBA9C5DECF6}"/>
            </c:ext>
          </c:extLst>
        </c:ser>
        <c:ser>
          <c:idx val="1"/>
          <c:order val="1"/>
          <c:tx>
            <c:strRef>
              <c:f>IMCT!$E$5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IMCT!$B$6</c:f>
              <c:strCache>
                <c:ptCount val="1"/>
                <c:pt idx="0">
                  <c:v>COMPONENTE: CIUDADANAS Y CIUDADANOS INTELIGENTES</c:v>
                </c:pt>
              </c:strCache>
            </c:strRef>
          </c:cat>
          <c:val>
            <c:numRef>
              <c:f>IMCT!$E$6</c:f>
              <c:numCache>
                <c:formatCode>#,##0_ ;[Red]\-#,##0\ </c:formatCode>
                <c:ptCount val="1"/>
                <c:pt idx="0">
                  <c:v>873911981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0-41CD-B7C4-0FBA9C5DECF6}"/>
            </c:ext>
          </c:extLst>
        </c:ser>
        <c:ser>
          <c:idx val="2"/>
          <c:order val="2"/>
          <c:tx>
            <c:strRef>
              <c:f>IMCT!$F$5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IMCT!$B$6</c:f>
              <c:strCache>
                <c:ptCount val="1"/>
                <c:pt idx="0">
                  <c:v>COMPONENTE: CIUDADANAS Y CIUDADANOS INTELIGENTES</c:v>
                </c:pt>
              </c:strCache>
            </c:strRef>
          </c:cat>
          <c:val>
            <c:numRef>
              <c:f>IMCT!$F$6</c:f>
              <c:numCache>
                <c:formatCode>#,##0_ ;[Red]\-#,##0\ </c:formatCode>
                <c:ptCount val="1"/>
                <c:pt idx="0">
                  <c:v>300000000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F0-41CD-B7C4-0FBA9C5D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54880"/>
        <c:axId val="55356416"/>
      </c:barChart>
      <c:catAx>
        <c:axId val="5535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56416"/>
        <c:crosses val="autoZero"/>
        <c:auto val="1"/>
        <c:lblAlgn val="ctr"/>
        <c:lblOffset val="100"/>
        <c:noMultiLvlLbl val="0"/>
      </c:catAx>
      <c:valAx>
        <c:axId val="553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5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</a:t>
            </a:r>
            <a:r>
              <a:rPr lang="es-CO" b="1" baseline="0"/>
              <a:t> DEL INTERIOR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INTERIOR!$D$5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800738007380072E-3"/>
                  <c:y val="-1.2066363096817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50-424A-A05F-287207B53EFA}"/>
                </c:ext>
              </c:extLst>
            </c:dLbl>
            <c:dLbl>
              <c:idx val="2"/>
              <c:layout>
                <c:manualLayout>
                  <c:x val="0"/>
                  <c:y val="1.2066363096817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50-424A-A05F-287207B53E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INTERIOR!$B$6:$B$11</c:f>
              <c:strCache>
                <c:ptCount val="6"/>
                <c:pt idx="0">
                  <c:v>COMPONENTE: GOBIERNO PARTICIPATIVO Y ABIERTO</c:v>
                </c:pt>
                <c:pt idx="1">
                  <c:v>COMPONENTE: ATENCION PRIORITARIA Y FOCALIZADA A GRUPOS DE POBLACION VULNERABLE</c:v>
                </c:pt>
                <c:pt idx="2">
                  <c:v>COMPONENTE: LOS CAMINOS DE LA VIDA</c:v>
                </c:pt>
                <c:pt idx="3">
                  <c:v>COMPONENTE: GESTION DEL RIESGO</c:v>
                </c:pt>
                <c:pt idx="4">
                  <c:v>COMPONENTE: RED DE ESPACIO PUBLICO</c:v>
                </c:pt>
                <c:pt idx="5">
                  <c:v>COMPONENTE: SEGURIDAD Y CONVIVENCIA</c:v>
                </c:pt>
              </c:strCache>
            </c:strRef>
          </c:cat>
          <c:val>
            <c:numRef>
              <c:f>INTERIOR!$D$6:$D$11</c:f>
              <c:numCache>
                <c:formatCode>#,##0_ ;[Red]\-#,##0\ </c:formatCode>
                <c:ptCount val="6"/>
                <c:pt idx="0" formatCode="#,##0">
                  <c:v>2220000000</c:v>
                </c:pt>
                <c:pt idx="1">
                  <c:v>1100000000</c:v>
                </c:pt>
                <c:pt idx="2">
                  <c:v>1800000000</c:v>
                </c:pt>
                <c:pt idx="3">
                  <c:v>1140000000</c:v>
                </c:pt>
                <c:pt idx="4">
                  <c:v>800000000</c:v>
                </c:pt>
                <c:pt idx="5">
                  <c:v>2385785000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0-424A-A05F-287207B53EFA}"/>
            </c:ext>
          </c:extLst>
        </c:ser>
        <c:ser>
          <c:idx val="1"/>
          <c:order val="1"/>
          <c:tx>
            <c:strRef>
              <c:f>INTERIOR!$E$5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INTERIOR!$B$6:$B$11</c:f>
              <c:strCache>
                <c:ptCount val="6"/>
                <c:pt idx="0">
                  <c:v>COMPONENTE: GOBIERNO PARTICIPATIVO Y ABIERTO</c:v>
                </c:pt>
                <c:pt idx="1">
                  <c:v>COMPONENTE: ATENCION PRIORITARIA Y FOCALIZADA A GRUPOS DE POBLACION VULNERABLE</c:v>
                </c:pt>
                <c:pt idx="2">
                  <c:v>COMPONENTE: LOS CAMINOS DE LA VIDA</c:v>
                </c:pt>
                <c:pt idx="3">
                  <c:v>COMPONENTE: GESTION DEL RIESGO</c:v>
                </c:pt>
                <c:pt idx="4">
                  <c:v>COMPONENTE: RED DE ESPACIO PUBLICO</c:v>
                </c:pt>
                <c:pt idx="5">
                  <c:v>COMPONENTE: SEGURIDAD Y CONVIVENCIA</c:v>
                </c:pt>
              </c:strCache>
            </c:strRef>
          </c:cat>
          <c:val>
            <c:numRef>
              <c:f>INTERIOR!$E$6:$E$11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A450-424A-A05F-287207B53EFA}"/>
            </c:ext>
          </c:extLst>
        </c:ser>
        <c:ser>
          <c:idx val="2"/>
          <c:order val="2"/>
          <c:tx>
            <c:strRef>
              <c:f>INTERIOR!$F$5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600246002460025E-3"/>
                  <c:y val="8.0442420645451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50-424A-A05F-287207B53E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INTERIOR!$B$6:$B$11</c:f>
              <c:strCache>
                <c:ptCount val="6"/>
                <c:pt idx="0">
                  <c:v>COMPONENTE: GOBIERNO PARTICIPATIVO Y ABIERTO</c:v>
                </c:pt>
                <c:pt idx="1">
                  <c:v>COMPONENTE: ATENCION PRIORITARIA Y FOCALIZADA A GRUPOS DE POBLACION VULNERABLE</c:v>
                </c:pt>
                <c:pt idx="2">
                  <c:v>COMPONENTE: LOS CAMINOS DE LA VIDA</c:v>
                </c:pt>
                <c:pt idx="3">
                  <c:v>COMPONENTE: GESTION DEL RIESGO</c:v>
                </c:pt>
                <c:pt idx="4">
                  <c:v>COMPONENTE: RED DE ESPACIO PUBLICO</c:v>
                </c:pt>
                <c:pt idx="5">
                  <c:v>COMPONENTE: SEGURIDAD Y CONVIVENCIA</c:v>
                </c:pt>
              </c:strCache>
            </c:strRef>
          </c:cat>
          <c:val>
            <c:numRef>
              <c:f>INTERIOR!$F$6:$F$11</c:f>
              <c:numCache>
                <c:formatCode>#,##0</c:formatCode>
                <c:ptCount val="6"/>
                <c:pt idx="0">
                  <c:v>1000</c:v>
                </c:pt>
                <c:pt idx="1">
                  <c:v>10000</c:v>
                </c:pt>
                <c:pt idx="5" formatCode="#,##0_ ;[Red]\-#,##0\ ">
                  <c:v>7536413000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0-424A-A05F-287207B53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5072"/>
        <c:axId val="55396608"/>
      </c:barChart>
      <c:catAx>
        <c:axId val="553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96608"/>
        <c:crosses val="autoZero"/>
        <c:auto val="1"/>
        <c:lblAlgn val="ctr"/>
        <c:lblOffset val="100"/>
        <c:noMultiLvlLbl val="0"/>
      </c:catAx>
      <c:valAx>
        <c:axId val="5539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9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DE DESARROLLO SOCIAL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'DESARROLLO SOCIAL'!$D$5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3515579071134627E-3"/>
                  <c:y val="1.141226647911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6-4086-997F-90BA813DDCC7}"/>
                </c:ext>
              </c:extLst>
            </c:dLbl>
            <c:dLbl>
              <c:idx val="4"/>
              <c:layout>
                <c:manualLayout>
                  <c:x val="0"/>
                  <c:y val="1.141226647911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26-4086-997F-90BA813DD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'DESARROLLO SOCIAL'!$B$6:$B$11</c:f>
              <c:strCache>
                <c:ptCount val="6"/>
                <c:pt idx="0">
                  <c:v>COMPONENTE: GOBIERNO PARTICIPATIVO Y ABIERTO</c:v>
                </c:pt>
                <c:pt idx="1">
                  <c:v>COMPONENTE: GOBIERNO LEGAL Y EFECTIVO </c:v>
                </c:pt>
                <c:pt idx="2">
                  <c:v>COMPONENTE: LOS CAMINOS DE LA VIDA</c:v>
                </c:pt>
                <c:pt idx="3">
                  <c:v>COMPONENTE: MUJERES Y EQUIDAD DE GENERO</c:v>
                </c:pt>
                <c:pt idx="4">
                  <c:v>COMPONENTE: ATENCION PRIORITARIA Y FOCALIZADA A GRUPOS DE POBLACION VULNERABLE</c:v>
                </c:pt>
                <c:pt idx="5">
                  <c:v>COMPONENTE RURALIDAD CON EQUIDAD</c:v>
                </c:pt>
              </c:strCache>
            </c:strRef>
          </c:cat>
          <c:val>
            <c:numRef>
              <c:f>'DESARROLLO SOCIAL'!$D$6:$D$11</c:f>
              <c:numCache>
                <c:formatCode>#,##0</c:formatCode>
                <c:ptCount val="6"/>
                <c:pt idx="0">
                  <c:v>1100000000</c:v>
                </c:pt>
                <c:pt idx="1">
                  <c:v>350000000</c:v>
                </c:pt>
                <c:pt idx="2">
                  <c:v>1950000000</c:v>
                </c:pt>
                <c:pt idx="3">
                  <c:v>100000000</c:v>
                </c:pt>
                <c:pt idx="4">
                  <c:v>1020000000</c:v>
                </c:pt>
                <c:pt idx="5">
                  <c:v>480000000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6-4086-997F-90BA813DDCC7}"/>
            </c:ext>
          </c:extLst>
        </c:ser>
        <c:ser>
          <c:idx val="1"/>
          <c:order val="1"/>
          <c:tx>
            <c:strRef>
              <c:f>'DESARROLLO SOCIAL'!$E$5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8.6222793874421115E-17"/>
                  <c:y val="-1.5216355305490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6-4086-997F-90BA813DDCC7}"/>
                </c:ext>
              </c:extLst>
            </c:dLbl>
            <c:dLbl>
              <c:idx val="4"/>
              <c:layout>
                <c:manualLayout>
                  <c:x val="0"/>
                  <c:y val="-1.141226647911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26-4086-997F-90BA813DD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'DESARROLLO SOCIAL'!$B$6:$B$11</c:f>
              <c:strCache>
                <c:ptCount val="6"/>
                <c:pt idx="0">
                  <c:v>COMPONENTE: GOBIERNO PARTICIPATIVO Y ABIERTO</c:v>
                </c:pt>
                <c:pt idx="1">
                  <c:v>COMPONENTE: GOBIERNO LEGAL Y EFECTIVO </c:v>
                </c:pt>
                <c:pt idx="2">
                  <c:v>COMPONENTE: LOS CAMINOS DE LA VIDA</c:v>
                </c:pt>
                <c:pt idx="3">
                  <c:v>COMPONENTE: MUJERES Y EQUIDAD DE GENERO</c:v>
                </c:pt>
                <c:pt idx="4">
                  <c:v>COMPONENTE: ATENCION PRIORITARIA Y FOCALIZADA A GRUPOS DE POBLACION VULNERABLE</c:v>
                </c:pt>
                <c:pt idx="5">
                  <c:v>COMPONENTE RURALIDAD CON EQUIDAD</c:v>
                </c:pt>
              </c:strCache>
            </c:strRef>
          </c:cat>
          <c:val>
            <c:numRef>
              <c:f>'DESARROLLO SOCIAL'!$E$6:$E$11</c:f>
              <c:numCache>
                <c:formatCode>#,##0</c:formatCode>
                <c:ptCount val="6"/>
                <c:pt idx="2">
                  <c:v>4979562836</c:v>
                </c:pt>
                <c:pt idx="3">
                  <c:v>200000000</c:v>
                </c:pt>
                <c:pt idx="4">
                  <c:v>1300000000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6-4086-997F-90BA813DDCC7}"/>
            </c:ext>
          </c:extLst>
        </c:ser>
        <c:ser>
          <c:idx val="2"/>
          <c:order val="2"/>
          <c:tx>
            <c:strRef>
              <c:f>'DESARROLLO SOCIAL'!$F$5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'DESARROLLO SOCIAL'!$B$6:$B$11</c:f>
              <c:strCache>
                <c:ptCount val="6"/>
                <c:pt idx="0">
                  <c:v>COMPONENTE: GOBIERNO PARTICIPATIVO Y ABIERTO</c:v>
                </c:pt>
                <c:pt idx="1">
                  <c:v>COMPONENTE: GOBIERNO LEGAL Y EFECTIVO </c:v>
                </c:pt>
                <c:pt idx="2">
                  <c:v>COMPONENTE: LOS CAMINOS DE LA VIDA</c:v>
                </c:pt>
                <c:pt idx="3">
                  <c:v>COMPONENTE: MUJERES Y EQUIDAD DE GENERO</c:v>
                </c:pt>
                <c:pt idx="4">
                  <c:v>COMPONENTE: ATENCION PRIORITARIA Y FOCALIZADA A GRUPOS DE POBLACION VULNERABLE</c:v>
                </c:pt>
                <c:pt idx="5">
                  <c:v>COMPONENTE RURALIDAD CON EQUIDAD</c:v>
                </c:pt>
              </c:strCache>
            </c:strRef>
          </c:cat>
          <c:val>
            <c:numRef>
              <c:f>'DESARROLLO SOCIAL'!$F$6:$F$11</c:f>
              <c:numCache>
                <c:formatCode>#,##0</c:formatCode>
                <c:ptCount val="6"/>
                <c:pt idx="2">
                  <c:v>6020000000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6-4086-997F-90BA813DD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76832"/>
        <c:axId val="55590912"/>
      </c:barChart>
      <c:catAx>
        <c:axId val="5557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590912"/>
        <c:crosses val="autoZero"/>
        <c:auto val="1"/>
        <c:lblAlgn val="ctr"/>
        <c:lblOffset val="100"/>
        <c:noMultiLvlLbl val="0"/>
      </c:catAx>
      <c:valAx>
        <c:axId val="5559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57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</a:t>
            </a:r>
            <a:r>
              <a:rPr lang="es-CO" b="1" baseline="0"/>
              <a:t> DE PLANEACIÓN</a:t>
            </a:r>
            <a:endParaRPr lang="es-CO" b="1"/>
          </a:p>
        </c:rich>
      </c:tx>
      <c:layout>
        <c:manualLayout>
          <c:xMode val="edge"/>
          <c:yMode val="edge"/>
          <c:x val="0.3883029297954671"/>
          <c:y val="2.934433322223306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PLANEACIÓN!$D$5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PLANEACIÓN!$B$6:$B$8</c:f>
              <c:strCache>
                <c:ptCount val="3"/>
                <c:pt idx="0">
                  <c:v>COMPONENTE: GOBIERNO PARTICIPATIVO Y ABIERTO</c:v>
                </c:pt>
                <c:pt idx="1">
                  <c:v>COMPONENTE: GOBIERNO LEGAL Y EFECTIVO</c:v>
                </c:pt>
                <c:pt idx="2">
                  <c:v>COMPONENTE: GOBERNANZA URBANA</c:v>
                </c:pt>
              </c:strCache>
            </c:strRef>
          </c:cat>
          <c:val>
            <c:numRef>
              <c:f>PLANEACIÓN!$D$6:$D$8</c:f>
              <c:numCache>
                <c:formatCode>#,##0</c:formatCode>
                <c:ptCount val="3"/>
                <c:pt idx="0">
                  <c:v>20000000</c:v>
                </c:pt>
                <c:pt idx="1">
                  <c:v>1580000000</c:v>
                </c:pt>
                <c:pt idx="2">
                  <c:v>4393000000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FEC-B576-6DDD79AD889A}"/>
            </c:ext>
          </c:extLst>
        </c:ser>
        <c:ser>
          <c:idx val="1"/>
          <c:order val="1"/>
          <c:tx>
            <c:strRef>
              <c:f>PLANEACIÓN!$E$5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PLANEACIÓN!$B$6:$B$8</c:f>
              <c:strCache>
                <c:ptCount val="3"/>
                <c:pt idx="0">
                  <c:v>COMPONENTE: GOBIERNO PARTICIPATIVO Y ABIERTO</c:v>
                </c:pt>
                <c:pt idx="1">
                  <c:v>COMPONENTE: GOBIERNO LEGAL Y EFECTIVO</c:v>
                </c:pt>
                <c:pt idx="2">
                  <c:v>COMPONENTE: GOBERNANZA URBANA</c:v>
                </c:pt>
              </c:strCache>
            </c:strRef>
          </c:cat>
          <c:val>
            <c:numRef>
              <c:f>PLANEACIÓN!$E$6:$E$8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5250-4FEC-B576-6DDD79AD889A}"/>
            </c:ext>
          </c:extLst>
        </c:ser>
        <c:ser>
          <c:idx val="2"/>
          <c:order val="2"/>
          <c:tx>
            <c:strRef>
              <c:f>PLANEACIÓN!$F$5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PLANEACIÓN!$B$6:$B$8</c:f>
              <c:strCache>
                <c:ptCount val="3"/>
                <c:pt idx="0">
                  <c:v>COMPONENTE: GOBIERNO PARTICIPATIVO Y ABIERTO</c:v>
                </c:pt>
                <c:pt idx="1">
                  <c:v>COMPONENTE: GOBIERNO LEGAL Y EFECTIVO</c:v>
                </c:pt>
                <c:pt idx="2">
                  <c:v>COMPONENTE: GOBERNANZA URBANA</c:v>
                </c:pt>
              </c:strCache>
            </c:strRef>
          </c:cat>
          <c:val>
            <c:numRef>
              <c:f>PLANEACIÓN!$F$6:$F$8</c:f>
              <c:numCache>
                <c:formatCode>#,##0</c:formatCode>
                <c:ptCount val="3"/>
                <c:pt idx="1">
                  <c:v>325000000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0-4FEC-B576-6DDD79AD8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41824"/>
        <c:axId val="55747712"/>
      </c:barChart>
      <c:catAx>
        <c:axId val="557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747712"/>
        <c:crosses val="autoZero"/>
        <c:auto val="1"/>
        <c:lblAlgn val="ctr"/>
        <c:lblOffset val="100"/>
        <c:noMultiLvlLbl val="0"/>
      </c:catAx>
      <c:valAx>
        <c:axId val="557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7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SECRETARÍA JURÍDICA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JURÍDICA!$D$5</c:f>
              <c:strCache>
                <c:ptCount val="1"/>
                <c:pt idx="0">
                  <c:v>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JURÍDICA!$B$6:$B$7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LEGAL Y EFECTIVO</c:v>
                </c:pt>
              </c:strCache>
            </c:strRef>
          </c:cat>
          <c:val>
            <c:numRef>
              <c:f>JURÍDICA!$D$6:$D$7</c:f>
              <c:numCache>
                <c:formatCode>#,##0</c:formatCode>
                <c:ptCount val="2"/>
                <c:pt idx="0">
                  <c:v>200000000</c:v>
                </c:pt>
                <c:pt idx="1">
                  <c:v>100000000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2-463E-B19B-B02E9584B38B}"/>
            </c:ext>
          </c:extLst>
        </c:ser>
        <c:ser>
          <c:idx val="1"/>
          <c:order val="1"/>
          <c:tx>
            <c:strRef>
              <c:f>JURÍDICA!$E$5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JURÍDICA!$B$6:$B$7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LEGAL Y EFECTIVO</c:v>
                </c:pt>
              </c:strCache>
            </c:strRef>
          </c:cat>
          <c:val>
            <c:numRef>
              <c:f>JURÍDICA!$E$6:$E$7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D192-463E-B19B-B02E9584B38B}"/>
            </c:ext>
          </c:extLst>
        </c:ser>
        <c:ser>
          <c:idx val="2"/>
          <c:order val="2"/>
          <c:tx>
            <c:strRef>
              <c:f>JURÍDICA!$F$5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JURÍDICA!$B$6:$B$7</c:f>
              <c:strCache>
                <c:ptCount val="2"/>
                <c:pt idx="0">
                  <c:v>COMPONENTE: GOBIERNO PARTICIPATIVO Y ABIERTO</c:v>
                </c:pt>
                <c:pt idx="1">
                  <c:v>COMPONENTE: GOBIERNO LEGAL Y EFECTIVO</c:v>
                </c:pt>
              </c:strCache>
            </c:strRef>
          </c:cat>
          <c:val>
            <c:numRef>
              <c:f>JURÍDICA!$F$6:$F$7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D192-463E-B19B-B02E9584B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0208"/>
        <c:axId val="55871744"/>
      </c:barChart>
      <c:catAx>
        <c:axId val="5587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871744"/>
        <c:crosses val="autoZero"/>
        <c:auto val="1"/>
        <c:lblAlgn val="ctr"/>
        <c:lblOffset val="100"/>
        <c:noMultiLvlLbl val="0"/>
      </c:catAx>
      <c:valAx>
        <c:axId val="5587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87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109537</xdr:rowOff>
    </xdr:from>
    <xdr:to>
      <xdr:col>13</xdr:col>
      <xdr:colOff>400050</xdr:colOff>
      <xdr:row>17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1</xdr:row>
      <xdr:rowOff>166687</xdr:rowOff>
    </xdr:from>
    <xdr:to>
      <xdr:col>14</xdr:col>
      <xdr:colOff>209550</xdr:colOff>
      <xdr:row>19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676274</xdr:colOff>
      <xdr:row>1</xdr:row>
      <xdr:rowOff>14287</xdr:rowOff>
    </xdr:from>
    <xdr:to>
      <xdr:col>14</xdr:col>
      <xdr:colOff>76199</xdr:colOff>
      <xdr:row>15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0</xdr:row>
      <xdr:rowOff>185736</xdr:rowOff>
    </xdr:from>
    <xdr:to>
      <xdr:col>13</xdr:col>
      <xdr:colOff>66674</xdr:colOff>
      <xdr:row>17</xdr:row>
      <xdr:rowOff>190499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</xdr:row>
      <xdr:rowOff>4762</xdr:rowOff>
    </xdr:from>
    <xdr:to>
      <xdr:col>14</xdr:col>
      <xdr:colOff>438150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2285999</xdr:colOff>
      <xdr:row>17</xdr:row>
      <xdr:rowOff>157162</xdr:rowOff>
    </xdr:from>
    <xdr:to>
      <xdr:col>9</xdr:col>
      <xdr:colOff>66674</xdr:colOff>
      <xdr:row>39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1266825</xdr:colOff>
      <xdr:row>42</xdr:row>
      <xdr:rowOff>128587</xdr:rowOff>
    </xdr:from>
    <xdr:to>
      <xdr:col>5</xdr:col>
      <xdr:colOff>628650</xdr:colOff>
      <xdr:row>63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447674</xdr:colOff>
      <xdr:row>67</xdr:row>
      <xdr:rowOff>147637</xdr:rowOff>
    </xdr:from>
    <xdr:to>
      <xdr:col>10</xdr:col>
      <xdr:colOff>47624</xdr:colOff>
      <xdr:row>84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742949</xdr:colOff>
      <xdr:row>1</xdr:row>
      <xdr:rowOff>123825</xdr:rowOff>
    </xdr:from>
    <xdr:to>
      <xdr:col>14</xdr:col>
      <xdr:colOff>352425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685799</xdr:colOff>
      <xdr:row>1</xdr:row>
      <xdr:rowOff>0</xdr:rowOff>
    </xdr:from>
    <xdr:to>
      <xdr:col>15</xdr:col>
      <xdr:colOff>28574</xdr:colOff>
      <xdr:row>18</xdr:row>
      <xdr:rowOff>33337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33337</xdr:rowOff>
    </xdr:from>
    <xdr:to>
      <xdr:col>15</xdr:col>
      <xdr:colOff>581025</xdr:colOff>
      <xdr:row>16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80962</xdr:rowOff>
    </xdr:from>
    <xdr:to>
      <xdr:col>12</xdr:col>
      <xdr:colOff>409575</xdr:colOff>
      <xdr:row>15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185737</xdr:rowOff>
    </xdr:from>
    <xdr:to>
      <xdr:col>13</xdr:col>
      <xdr:colOff>95250</xdr:colOff>
      <xdr:row>15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0</xdr:row>
      <xdr:rowOff>166686</xdr:rowOff>
    </xdr:from>
    <xdr:to>
      <xdr:col>13</xdr:col>
      <xdr:colOff>466724</xdr:colOff>
      <xdr:row>17</xdr:row>
      <xdr:rowOff>57149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2</xdr:row>
      <xdr:rowOff>14287</xdr:rowOff>
    </xdr:from>
    <xdr:to>
      <xdr:col>14</xdr:col>
      <xdr:colOff>66674</xdr:colOff>
      <xdr:row>20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147636</xdr:rowOff>
    </xdr:from>
    <xdr:to>
      <xdr:col>13</xdr:col>
      <xdr:colOff>238124</xdr:colOff>
      <xdr:row>18</xdr:row>
      <xdr:rowOff>114299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2017\PRESUPUESTO%20DEFINITIVO%202017\PROYECCION%20NOMINA%20PLANTA,%20OFICIALES%20Y%20PRESPUESTO%202017%20SEP%2021%20DE%202016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2017\PROYECCION%20GASTOS%20DE%20PERSONAL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17/GASTO%20FUNCIONAMIENTO%20PROYECTADO%20A%20DICIEMBRE%20DE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2017\PRESUPUESTO%20DEFINITIVO%202017\PROYECCION%20DE%20GASTOS%20DE%20FUNCIONAMEINTO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%202012\PROYECTO%20DE%20PRESUPUESTO%202012\ANEXOADMONCENTRALPPTO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gutierrez\Mis%20documentos\MARCO%20FISCAL\MARCO%20FISCAL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ADOS 2017"/>
      <sheetName val="TRABAJADORES 2017"/>
      <sheetName val="PPTO 2017"/>
      <sheetName val="Hoja1"/>
      <sheetName val="INGRESOS"/>
      <sheetName val="GASTOS"/>
    </sheetNames>
    <sheetDataSet>
      <sheetData sheetId="0">
        <row r="15">
          <cell r="G15">
            <v>9367016346.7199993</v>
          </cell>
          <cell r="H15">
            <v>6625386394.5600014</v>
          </cell>
        </row>
        <row r="16">
          <cell r="G16">
            <v>0</v>
          </cell>
        </row>
        <row r="17">
          <cell r="G17">
            <v>52038979.703999996</v>
          </cell>
          <cell r="H17">
            <v>36807702.192000009</v>
          </cell>
        </row>
        <row r="18">
          <cell r="G18">
            <v>447157520.81550008</v>
          </cell>
          <cell r="H18">
            <v>353887253.95500004</v>
          </cell>
        </row>
        <row r="19">
          <cell r="G19">
            <v>390292347.78000003</v>
          </cell>
          <cell r="H19">
            <v>276057766.44</v>
          </cell>
        </row>
        <row r="20">
          <cell r="G20">
            <v>876286752.430125</v>
          </cell>
          <cell r="H20">
            <v>698156928.82724988</v>
          </cell>
        </row>
        <row r="21">
          <cell r="G21">
            <v>273204643.44600004</v>
          </cell>
          <cell r="H21">
            <v>193240436.50800002</v>
          </cell>
        </row>
        <row r="24">
          <cell r="H24">
            <v>55430520.480000004</v>
          </cell>
        </row>
        <row r="25">
          <cell r="H25">
            <v>13857630</v>
          </cell>
        </row>
        <row r="33">
          <cell r="G33">
            <v>1430470845.161953</v>
          </cell>
          <cell r="H33">
            <v>1147766990.9282813</v>
          </cell>
        </row>
        <row r="34">
          <cell r="G34">
            <v>972720174.71012807</v>
          </cell>
          <cell r="H34">
            <v>780481553.83123136</v>
          </cell>
        </row>
        <row r="35">
          <cell r="G35">
            <v>953265771.21592546</v>
          </cell>
          <cell r="H35">
            <v>764871922.7546066</v>
          </cell>
        </row>
        <row r="36">
          <cell r="G36">
            <v>343313002.83886868</v>
          </cell>
          <cell r="H36">
            <v>275464077.82278752</v>
          </cell>
        </row>
        <row r="37">
          <cell r="G37">
            <v>57218833.80647812</v>
          </cell>
          <cell r="H37">
            <v>45910679.637131251</v>
          </cell>
        </row>
        <row r="39">
          <cell r="G39">
            <v>114437667.61295624</v>
          </cell>
          <cell r="H39">
            <v>91821359.274262503</v>
          </cell>
        </row>
        <row r="40">
          <cell r="G40">
            <v>457750670.45182496</v>
          </cell>
          <cell r="H40">
            <v>367285437.09705001</v>
          </cell>
        </row>
        <row r="41">
          <cell r="G41">
            <v>278770158.30516142</v>
          </cell>
          <cell r="H41">
            <v>223676831.19210345</v>
          </cell>
        </row>
      </sheetData>
      <sheetData sheetId="1">
        <row r="29">
          <cell r="AD29">
            <v>505656538.09620011</v>
          </cell>
        </row>
        <row r="30">
          <cell r="AD30">
            <v>22377808</v>
          </cell>
        </row>
        <row r="31">
          <cell r="AD31">
            <v>44281499.372160003</v>
          </cell>
        </row>
        <row r="32">
          <cell r="AD32">
            <v>55900972.188071668</v>
          </cell>
        </row>
        <row r="33">
          <cell r="AD33">
            <v>21733251.2256</v>
          </cell>
        </row>
        <row r="34">
          <cell r="AD34">
            <v>67687326.259840012</v>
          </cell>
        </row>
        <row r="35">
          <cell r="AD35">
            <v>51399782.207646973</v>
          </cell>
        </row>
        <row r="36">
          <cell r="AD36">
            <v>96244744.831200019</v>
          </cell>
        </row>
        <row r="37">
          <cell r="AD37">
            <v>4754148.7056000009</v>
          </cell>
        </row>
        <row r="40">
          <cell r="AD40">
            <v>152504508.86078987</v>
          </cell>
        </row>
        <row r="53">
          <cell r="AD53">
            <v>103703066.02533711</v>
          </cell>
        </row>
        <row r="54">
          <cell r="AD54">
            <v>101629004.70483036</v>
          </cell>
        </row>
        <row r="56">
          <cell r="AD56">
            <v>36601082.126589566</v>
          </cell>
        </row>
        <row r="59">
          <cell r="AD59">
            <v>12200360.708863189</v>
          </cell>
        </row>
        <row r="60">
          <cell r="AD60">
            <v>6100180.3544315947</v>
          </cell>
        </row>
        <row r="67">
          <cell r="AD67">
            <v>48801442.835452758</v>
          </cell>
        </row>
        <row r="68">
          <cell r="AD68">
            <v>29720078.686790727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2 (2)"/>
      <sheetName val="DESPACHO"/>
      <sheetName val="Hoja3"/>
    </sheetNames>
    <sheetDataSet>
      <sheetData sheetId="0"/>
      <sheetData sheetId="1"/>
      <sheetData sheetId="2">
        <row r="12">
          <cell r="G12">
            <v>112256561.43166652</v>
          </cell>
          <cell r="H12">
            <v>52367719.01722195</v>
          </cell>
        </row>
        <row r="104">
          <cell r="AQ104">
            <v>119554118.37125418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-2016"/>
    </sheetNames>
    <sheetDataSet>
      <sheetData sheetId="0">
        <row r="14">
          <cell r="N14">
            <v>111370730684.37125</v>
          </cell>
        </row>
        <row r="56">
          <cell r="I56">
            <v>30000000</v>
          </cell>
        </row>
        <row r="57">
          <cell r="I57">
            <v>400000000</v>
          </cell>
        </row>
        <row r="58">
          <cell r="I58">
            <v>100000000</v>
          </cell>
        </row>
        <row r="59">
          <cell r="I59">
            <v>400000000</v>
          </cell>
        </row>
        <row r="60">
          <cell r="I60">
            <v>0</v>
          </cell>
        </row>
        <row r="61">
          <cell r="I61">
            <v>200000000</v>
          </cell>
        </row>
        <row r="62">
          <cell r="I62">
            <v>50000000</v>
          </cell>
        </row>
        <row r="63">
          <cell r="I63">
            <v>20000000</v>
          </cell>
        </row>
        <row r="64">
          <cell r="I64">
            <v>100000000</v>
          </cell>
        </row>
        <row r="65">
          <cell r="I65">
            <v>350000000</v>
          </cell>
        </row>
        <row r="66">
          <cell r="I66">
            <v>46000000</v>
          </cell>
        </row>
        <row r="68">
          <cell r="I68">
            <v>1049000000</v>
          </cell>
        </row>
        <row r="69">
          <cell r="I69">
            <v>375000000</v>
          </cell>
        </row>
        <row r="70">
          <cell r="I70">
            <v>0</v>
          </cell>
        </row>
        <row r="71">
          <cell r="I71">
            <v>50000000</v>
          </cell>
        </row>
        <row r="72">
          <cell r="I72">
            <v>50000000</v>
          </cell>
        </row>
        <row r="73">
          <cell r="I73">
            <v>5000000</v>
          </cell>
        </row>
        <row r="74">
          <cell r="I74">
            <v>300000000</v>
          </cell>
        </row>
        <row r="75">
          <cell r="I75">
            <v>2000000000</v>
          </cell>
        </row>
        <row r="76">
          <cell r="I76">
            <v>70000000</v>
          </cell>
        </row>
        <row r="77">
          <cell r="I77">
            <v>3200000000</v>
          </cell>
        </row>
        <row r="78">
          <cell r="I78">
            <v>936800000</v>
          </cell>
        </row>
        <row r="79">
          <cell r="I79">
            <v>110000000</v>
          </cell>
        </row>
        <row r="80">
          <cell r="I80">
            <v>150000000</v>
          </cell>
        </row>
        <row r="81">
          <cell r="I81">
            <v>0</v>
          </cell>
        </row>
        <row r="82">
          <cell r="I82">
            <v>3800000000</v>
          </cell>
        </row>
        <row r="83">
          <cell r="I83">
            <v>0</v>
          </cell>
        </row>
        <row r="84">
          <cell r="I84">
            <v>120000000</v>
          </cell>
        </row>
        <row r="85">
          <cell r="I85">
            <v>120000000</v>
          </cell>
        </row>
        <row r="87">
          <cell r="I87">
            <v>250000000</v>
          </cell>
        </row>
        <row r="88">
          <cell r="I88">
            <v>20000000</v>
          </cell>
        </row>
        <row r="89">
          <cell r="I89">
            <v>0</v>
          </cell>
        </row>
        <row r="92">
          <cell r="I92">
            <v>273800000</v>
          </cell>
        </row>
        <row r="93">
          <cell r="I93">
            <v>1500000000</v>
          </cell>
        </row>
        <row r="94">
          <cell r="I94">
            <v>1000000</v>
          </cell>
        </row>
        <row r="95">
          <cell r="I95">
            <v>0</v>
          </cell>
        </row>
        <row r="97">
          <cell r="I97">
            <v>2835000000</v>
          </cell>
        </row>
        <row r="98">
          <cell r="I98">
            <v>0</v>
          </cell>
        </row>
        <row r="99">
          <cell r="I99">
            <v>3121051000</v>
          </cell>
        </row>
        <row r="100">
          <cell r="I100">
            <v>2126501684</v>
          </cell>
        </row>
        <row r="101">
          <cell r="I101">
            <v>1675738000</v>
          </cell>
        </row>
        <row r="102">
          <cell r="I102">
            <v>4913972000</v>
          </cell>
        </row>
        <row r="103">
          <cell r="I103">
            <v>4067712000</v>
          </cell>
        </row>
        <row r="104">
          <cell r="I104">
            <v>1500000000</v>
          </cell>
        </row>
        <row r="105">
          <cell r="I105">
            <v>80525000</v>
          </cell>
        </row>
        <row r="107">
          <cell r="I107">
            <v>75600000</v>
          </cell>
        </row>
        <row r="108">
          <cell r="I108">
            <v>32400000.000000004</v>
          </cell>
        </row>
        <row r="110">
          <cell r="I110">
            <v>1000</v>
          </cell>
        </row>
        <row r="112">
          <cell r="I112">
            <v>24156281000</v>
          </cell>
        </row>
        <row r="113">
          <cell r="I113">
            <v>50000000</v>
          </cell>
        </row>
        <row r="115">
          <cell r="I115">
            <v>10000000</v>
          </cell>
        </row>
        <row r="116">
          <cell r="I116">
            <v>5000000000</v>
          </cell>
        </row>
        <row r="117">
          <cell r="I117">
            <v>5000000</v>
          </cell>
        </row>
        <row r="118">
          <cell r="I118">
            <v>40000000</v>
          </cell>
        </row>
        <row r="119">
          <cell r="I119">
            <v>10000000</v>
          </cell>
        </row>
        <row r="120">
          <cell r="I120">
            <v>1000</v>
          </cell>
        </row>
        <row r="121">
          <cell r="I121">
            <v>100000000</v>
          </cell>
        </row>
        <row r="122">
          <cell r="I122">
            <v>60000000</v>
          </cell>
        </row>
        <row r="123">
          <cell r="I123">
            <v>10000000</v>
          </cell>
        </row>
        <row r="124">
          <cell r="I124">
            <v>1000</v>
          </cell>
        </row>
        <row r="125">
          <cell r="I125">
            <v>1000</v>
          </cell>
        </row>
        <row r="126">
          <cell r="I126">
            <v>8000</v>
          </cell>
        </row>
        <row r="130">
          <cell r="I130">
            <v>1000000000</v>
          </cell>
        </row>
        <row r="131">
          <cell r="I131">
            <v>1000000000</v>
          </cell>
        </row>
        <row r="133">
          <cell r="I133">
            <v>15676645000</v>
          </cell>
        </row>
        <row r="134">
          <cell r="I134">
            <v>24803759000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>
        <row r="98">
          <cell r="I98">
            <v>2092354689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12"/>
      <sheetName val="traba12"/>
      <sheetName val="SGP"/>
      <sheetName val="Hoja1"/>
      <sheetName val="PROYECCION INGRESOS 2008"/>
      <sheetName val="FUENTES Y USOS 2012"/>
      <sheetName val="SECRETARIAS"/>
      <sheetName val="faltante"/>
      <sheetName val="Hoja5"/>
      <sheetName val="Gráfico2"/>
      <sheetName val="Gráfico1"/>
      <sheetName val="PRESUPUESTO2012"/>
      <sheetName val="Hoja4"/>
      <sheetName val="ingresos plan 2008"/>
      <sheetName val="fuentes y usos plan"/>
      <sheetName val="PLAN OPERATIVO 2008"/>
      <sheetName val="proyeccioning2007"/>
      <sheetName val="Hoja2"/>
      <sheetName val="INGRE2005PROYECC"/>
    </sheetNames>
    <sheetDataSet>
      <sheetData sheetId="0">
        <row r="14">
          <cell r="G14" t="str">
            <v>ADMIMISTRATIVOS</v>
          </cell>
        </row>
      </sheetData>
      <sheetData sheetId="1">
        <row r="26">
          <cell r="AD26">
            <v>2012</v>
          </cell>
        </row>
      </sheetData>
      <sheetData sheetId="2"/>
      <sheetData sheetId="3"/>
      <sheetData sheetId="4">
        <row r="14">
          <cell r="K14">
            <v>1200000000</v>
          </cell>
        </row>
        <row r="183">
          <cell r="K183">
            <v>141667056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>
        <row r="88">
          <cell r="C88">
            <v>1531953840</v>
          </cell>
        </row>
        <row r="95">
          <cell r="C95" t="e">
            <v>#REF!</v>
          </cell>
        </row>
      </sheetData>
      <sheetData sheetId="13">
        <row r="12">
          <cell r="F12">
            <v>450000000</v>
          </cell>
        </row>
        <row r="123">
          <cell r="F123">
            <v>141667056</v>
          </cell>
        </row>
      </sheetData>
      <sheetData sheetId="14"/>
      <sheetData sheetId="15"/>
      <sheetData sheetId="16">
        <row r="112">
          <cell r="I112">
            <v>20000000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Ingresos Proyecciones"/>
      <sheetName val="Gastos"/>
      <sheetName val="Gastos Proyecciones"/>
      <sheetName val="Balance Financiero"/>
      <sheetName val="Ley 617"/>
      <sheetName val="Capacidad de Pago"/>
      <sheetName val="Pasivo a Cancelar y Deuda"/>
      <sheetName val="Fuentes y Usos Seguimiento"/>
      <sheetName val="Fuentes y Usos Proyecciones"/>
      <sheetName val="Cuadros para Informe Municipios"/>
      <sheetName val="Variación Cuentas por Pagar"/>
      <sheetName val="Resumen Indicadores"/>
      <sheetName val="Gráf  Déf-Sup Primario"/>
      <sheetName val="Gráf Déf-Aho Corriente"/>
      <sheetName val="Gráf Déf-Sup Total"/>
      <sheetName val=" Gráf Comp Ing Tributarios"/>
      <sheetName val="Gráf Comp Gastos Funcionamien"/>
      <sheetName val=" Gráf Comp Ingresos"/>
      <sheetName val=" Gráf Comp Gastos"/>
      <sheetName val="Gráf Comp Transf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7">
          <cell r="G27">
            <v>57637533538.725403</v>
          </cell>
        </row>
        <row r="33">
          <cell r="H33">
            <v>8220500000</v>
          </cell>
        </row>
        <row r="59">
          <cell r="H59">
            <v>2000000000</v>
          </cell>
        </row>
        <row r="63">
          <cell r="H63">
            <v>3600000000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661"/>
  <sheetViews>
    <sheetView tabSelected="1" zoomScale="90" zoomScaleNormal="9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11.42578125" defaultRowHeight="15" x14ac:dyDescent="0.25"/>
  <cols>
    <col min="1" max="1" width="12.5703125" customWidth="1"/>
    <col min="2" max="2" width="55" customWidth="1"/>
    <col min="3" max="3" width="26.7109375" customWidth="1"/>
    <col min="4" max="22" width="11" customWidth="1"/>
  </cols>
  <sheetData>
    <row r="1" spans="1:4" s="53" customFormat="1" ht="40.5" customHeight="1" x14ac:dyDescent="0.25">
      <c r="A1" s="49"/>
      <c r="B1" s="50" t="s">
        <v>74</v>
      </c>
      <c r="C1" s="51">
        <v>333404992054</v>
      </c>
      <c r="D1" s="52"/>
    </row>
    <row r="2" spans="1:4" ht="15" customHeight="1" x14ac:dyDescent="0.25">
      <c r="A2" s="49"/>
      <c r="B2" s="50"/>
      <c r="C2" s="54">
        <v>146544229000.37125</v>
      </c>
      <c r="D2" s="56"/>
    </row>
    <row r="3" spans="1:4" ht="15.75" x14ac:dyDescent="0.25">
      <c r="A3" s="49"/>
      <c r="B3" s="50" t="s">
        <v>75</v>
      </c>
      <c r="C3" s="51">
        <v>40480403796.097702</v>
      </c>
      <c r="D3" s="56"/>
    </row>
    <row r="4" spans="1:4" ht="9" hidden="1" customHeight="1" x14ac:dyDescent="0.25">
      <c r="A4" s="49"/>
      <c r="B4" s="50"/>
      <c r="C4" s="59">
        <f>+C1-C2-C3</f>
        <v>146380359257.53107</v>
      </c>
      <c r="D4" s="56"/>
    </row>
    <row r="5" spans="1:4" ht="15.75" x14ac:dyDescent="0.25">
      <c r="A5" s="49"/>
      <c r="B5" s="50" t="s">
        <v>76</v>
      </c>
      <c r="C5" s="60"/>
      <c r="D5" s="56"/>
    </row>
    <row r="6" spans="1:4" ht="15.75" x14ac:dyDescent="0.25">
      <c r="A6" s="49"/>
      <c r="B6" s="61"/>
      <c r="C6" s="62"/>
      <c r="D6" s="56"/>
    </row>
    <row r="7" spans="1:4" ht="15.75" x14ac:dyDescent="0.25">
      <c r="A7" s="49"/>
      <c r="B7" s="63" t="s">
        <v>77</v>
      </c>
      <c r="C7" s="64" t="s">
        <v>78</v>
      </c>
      <c r="D7" s="56"/>
    </row>
    <row r="8" spans="1:4" ht="15.75" x14ac:dyDescent="0.25">
      <c r="A8" s="63" t="s">
        <v>79</v>
      </c>
      <c r="B8" s="63" t="s">
        <v>80</v>
      </c>
      <c r="C8" s="60"/>
      <c r="D8" s="56"/>
    </row>
    <row r="9" spans="1:4" ht="15.75" x14ac:dyDescent="0.25">
      <c r="A9" s="63" t="s">
        <v>81</v>
      </c>
      <c r="B9" s="63" t="s">
        <v>82</v>
      </c>
      <c r="C9" s="60"/>
      <c r="D9" s="56"/>
    </row>
    <row r="10" spans="1:4" ht="31.5" x14ac:dyDescent="0.25">
      <c r="A10" s="65">
        <v>2110</v>
      </c>
      <c r="B10" s="66" t="s">
        <v>83</v>
      </c>
      <c r="C10" s="60"/>
      <c r="D10" s="56"/>
    </row>
    <row r="11" spans="1:4" ht="15.75" x14ac:dyDescent="0.25">
      <c r="A11" s="67" t="s">
        <v>84</v>
      </c>
      <c r="B11" s="67" t="s">
        <v>85</v>
      </c>
      <c r="C11" s="60">
        <f>ROUND(+'[1]EMPLEADOS 2017'!G15+'[2]Hoja2 (2)'!$H$12,-4)</f>
        <v>9419380000</v>
      </c>
      <c r="D11" s="56"/>
    </row>
    <row r="12" spans="1:4" ht="15.75" x14ac:dyDescent="0.25">
      <c r="A12" s="67" t="s">
        <v>86</v>
      </c>
      <c r="B12" s="67" t="s">
        <v>87</v>
      </c>
      <c r="C12" s="60">
        <f>ROUND('[1]TRABAJADORES 2017'!AD29,-4)+40319000+59681000</f>
        <v>605660000</v>
      </c>
      <c r="D12" s="56"/>
    </row>
    <row r="13" spans="1:4" ht="15.75" x14ac:dyDescent="0.25">
      <c r="A13" s="67" t="s">
        <v>88</v>
      </c>
      <c r="B13" s="67" t="s">
        <v>89</v>
      </c>
      <c r="C13" s="60">
        <f>ROUND('[1]TRABAJADORES 2017'!AD30+'[1]EMPLEADOS 2017'!G16,-4)</f>
        <v>22380000</v>
      </c>
      <c r="D13" s="56"/>
    </row>
    <row r="14" spans="1:4" ht="15.75" x14ac:dyDescent="0.25">
      <c r="A14" s="67" t="s">
        <v>90</v>
      </c>
      <c r="B14" s="67" t="s">
        <v>91</v>
      </c>
      <c r="C14" s="60">
        <f>ROUND(+'[1]TRABAJADORES 2017'!AD31,-4)-26287000</f>
        <v>17993000</v>
      </c>
      <c r="D14" s="56"/>
    </row>
    <row r="15" spans="1:4" ht="15.75" x14ac:dyDescent="0.25">
      <c r="A15" s="67" t="s">
        <v>92</v>
      </c>
      <c r="B15" s="67" t="s">
        <v>93</v>
      </c>
      <c r="C15" s="60">
        <f>ROUND('[1]EMPLEADOS 2017'!G18+'[1]TRABAJADORES 2017'!AD32,-4)+18732000</f>
        <v>521792000</v>
      </c>
      <c r="D15" s="56"/>
    </row>
    <row r="16" spans="1:4" ht="15.75" x14ac:dyDescent="0.25">
      <c r="A16" s="67" t="s">
        <v>94</v>
      </c>
      <c r="B16" s="67" t="s">
        <v>95</v>
      </c>
      <c r="C16" s="60">
        <f>ROUND('[1]EMPLEADOS 2017'!G19+'[1]TRABAJADORES 2017'!AD34,-4)+394671000</f>
        <v>852651000</v>
      </c>
      <c r="D16" s="56"/>
    </row>
    <row r="17" spans="1:3" ht="15.75" x14ac:dyDescent="0.25">
      <c r="A17" s="67">
        <v>2110019</v>
      </c>
      <c r="B17" s="67" t="s">
        <v>96</v>
      </c>
      <c r="C17" s="60">
        <f>ROUND('[1]EMPLEADOS 2017'!G20+'[1]TRABAJADORES 2017'!AD35,-4)-6771000</f>
        <v>920919000</v>
      </c>
    </row>
    <row r="18" spans="1:3" ht="15.75" x14ac:dyDescent="0.25">
      <c r="A18" s="67" t="s">
        <v>97</v>
      </c>
      <c r="B18" s="67" t="s">
        <v>98</v>
      </c>
      <c r="C18" s="60">
        <f>ROUND('[1]TRABAJADORES 2017'!AD33,-3)+420000</f>
        <v>22153000</v>
      </c>
    </row>
    <row r="19" spans="1:3" ht="15.75" x14ac:dyDescent="0.25">
      <c r="A19" s="67" t="s">
        <v>99</v>
      </c>
      <c r="B19" s="67" t="s">
        <v>100</v>
      </c>
      <c r="C19" s="60">
        <v>72000000</v>
      </c>
    </row>
    <row r="20" spans="1:3" ht="15.75" x14ac:dyDescent="0.25">
      <c r="A20" s="67" t="s">
        <v>101</v>
      </c>
      <c r="B20" s="67" t="s">
        <v>102</v>
      </c>
      <c r="C20" s="60">
        <f>ROUND('[2]Hoja2 (2)'!$AQ$104+250000000,-3)+62446000</f>
        <v>432000000</v>
      </c>
    </row>
    <row r="21" spans="1:3" ht="15.75" x14ac:dyDescent="0.25">
      <c r="A21" s="67" t="s">
        <v>103</v>
      </c>
      <c r="B21" s="67" t="s">
        <v>104</v>
      </c>
      <c r="C21" s="60">
        <v>378000000</v>
      </c>
    </row>
    <row r="22" spans="1:3" ht="15.75" x14ac:dyDescent="0.25">
      <c r="A22" s="67" t="s">
        <v>105</v>
      </c>
      <c r="B22" s="67" t="s">
        <v>106</v>
      </c>
      <c r="C22" s="60">
        <v>432000000</v>
      </c>
    </row>
    <row r="23" spans="1:3" ht="15.75" x14ac:dyDescent="0.25">
      <c r="A23" s="67" t="s">
        <v>107</v>
      </c>
      <c r="B23" s="67" t="s">
        <v>108</v>
      </c>
      <c r="C23" s="60">
        <f>ROUND('[1]TRABAJADORES 2017'!AD36,-3)-28253000</f>
        <v>67992000</v>
      </c>
    </row>
    <row r="24" spans="1:3" ht="15.75" x14ac:dyDescent="0.25">
      <c r="A24" s="67" t="s">
        <v>109</v>
      </c>
      <c r="B24" s="67" t="s">
        <v>110</v>
      </c>
      <c r="C24" s="60">
        <v>37800000</v>
      </c>
    </row>
    <row r="25" spans="1:3" ht="30.75" x14ac:dyDescent="0.25">
      <c r="A25" s="67">
        <v>2110026</v>
      </c>
      <c r="B25" s="67" t="s">
        <v>111</v>
      </c>
      <c r="C25" s="60">
        <f>ROUND('[1]EMPLEADOS 2017'!G21,-4)+3143000</f>
        <v>276343000</v>
      </c>
    </row>
    <row r="26" spans="1:3" ht="15.75" x14ac:dyDescent="0.25">
      <c r="A26" s="67">
        <v>2110029</v>
      </c>
      <c r="B26" s="67" t="s">
        <v>112</v>
      </c>
      <c r="C26" s="60">
        <f>ROUND('[1]EMPLEADOS 2017'!G17,-4)-2045000</f>
        <v>49995000</v>
      </c>
    </row>
    <row r="27" spans="1:3" ht="15.75" x14ac:dyDescent="0.25">
      <c r="A27" s="67">
        <v>2110027</v>
      </c>
      <c r="B27" s="67" t="s">
        <v>113</v>
      </c>
      <c r="C27" s="60">
        <v>54000000</v>
      </c>
    </row>
    <row r="28" spans="1:3" ht="15.75" x14ac:dyDescent="0.25">
      <c r="A28" s="67">
        <v>2110028</v>
      </c>
      <c r="B28" s="67" t="s">
        <v>114</v>
      </c>
      <c r="C28" s="60">
        <f>ROUND('[1]TRABAJADORES 2017'!AD37+20000000,-3)-15930000</f>
        <v>8824000</v>
      </c>
    </row>
    <row r="29" spans="1:3" ht="15.75" x14ac:dyDescent="0.25">
      <c r="A29" s="49"/>
      <c r="B29" s="63" t="s">
        <v>115</v>
      </c>
      <c r="C29" s="69">
        <f>SUM(C11:C28)</f>
        <v>14191882000</v>
      </c>
    </row>
    <row r="30" spans="1:3" ht="15.75" x14ac:dyDescent="0.25">
      <c r="A30" s="63">
        <v>2111</v>
      </c>
      <c r="B30" s="63" t="s">
        <v>116</v>
      </c>
      <c r="C30" s="60"/>
    </row>
    <row r="31" spans="1:3" ht="15.75" x14ac:dyDescent="0.25">
      <c r="A31" s="67">
        <v>2111013</v>
      </c>
      <c r="B31" s="67" t="s">
        <v>117</v>
      </c>
      <c r="C31" s="60">
        <v>270000000</v>
      </c>
    </row>
    <row r="32" spans="1:3" ht="15.75" x14ac:dyDescent="0.25">
      <c r="A32" s="49"/>
      <c r="B32" s="63" t="s">
        <v>115</v>
      </c>
      <c r="C32" s="69">
        <f>SUM(C31:C31)</f>
        <v>270000000</v>
      </c>
    </row>
    <row r="33" spans="1:3" ht="31.5" x14ac:dyDescent="0.25">
      <c r="A33" s="63">
        <v>2112</v>
      </c>
      <c r="B33" s="63" t="s">
        <v>118</v>
      </c>
      <c r="C33" s="60"/>
    </row>
    <row r="34" spans="1:3" ht="15.75" x14ac:dyDescent="0.25">
      <c r="A34" s="67">
        <v>2112105</v>
      </c>
      <c r="B34" s="67" t="s">
        <v>119</v>
      </c>
      <c r="C34" s="60">
        <f>ROUND('[1]EMPLEADOS 2017'!G40+'[1]TRABAJADORES 2017'!AD67,-4)+41924000</f>
        <v>548474000</v>
      </c>
    </row>
    <row r="35" spans="1:3" ht="15.75" x14ac:dyDescent="0.25">
      <c r="A35" s="67">
        <v>2112126</v>
      </c>
      <c r="B35" s="67" t="s">
        <v>120</v>
      </c>
      <c r="C35" s="60">
        <f>ROUND('[1]EMPLEADOS 2017'!G34,-3)-184312000</f>
        <v>788408000</v>
      </c>
    </row>
    <row r="36" spans="1:3" ht="15.75" x14ac:dyDescent="0.25">
      <c r="A36" s="67">
        <v>2112127</v>
      </c>
      <c r="B36" s="67" t="s">
        <v>121</v>
      </c>
      <c r="C36" s="60">
        <f>ROUND('[1]EMPLEADOS 2017'!G33,-4)-317424000</f>
        <v>1113046000</v>
      </c>
    </row>
    <row r="37" spans="1:3" ht="15.75" x14ac:dyDescent="0.25">
      <c r="A37" s="67">
        <v>2112128</v>
      </c>
      <c r="B37" s="67" t="s">
        <v>122</v>
      </c>
      <c r="C37" s="60">
        <f>+ROUND('[1]EMPLEADOS 2017'!G41+'[1]TRABAJADORES 2017'!AD68,-4)-83840000</f>
        <v>224650000</v>
      </c>
    </row>
    <row r="38" spans="1:3" ht="15.75" x14ac:dyDescent="0.25">
      <c r="A38" s="67">
        <v>2112134</v>
      </c>
      <c r="B38" s="67" t="s">
        <v>123</v>
      </c>
      <c r="C38" s="60">
        <f>+ROUND('[1]EMPLEADOS 2017'!G35+'[1]TRABAJADORES 2017'!AD54,-4)</f>
        <v>1054890000</v>
      </c>
    </row>
    <row r="39" spans="1:3" ht="15.75" x14ac:dyDescent="0.25">
      <c r="A39" s="63"/>
      <c r="B39" s="63" t="s">
        <v>115</v>
      </c>
      <c r="C39" s="69">
        <f>SUM(C34:C38)</f>
        <v>3729468000</v>
      </c>
    </row>
    <row r="40" spans="1:3" ht="15.75" x14ac:dyDescent="0.25">
      <c r="A40" s="49"/>
      <c r="B40" s="70"/>
      <c r="C40" s="60"/>
    </row>
    <row r="41" spans="1:3" ht="31.5" x14ac:dyDescent="0.25">
      <c r="A41" s="63">
        <v>2113</v>
      </c>
      <c r="B41" s="63" t="s">
        <v>124</v>
      </c>
      <c r="C41" s="60"/>
    </row>
    <row r="42" spans="1:3" ht="30.75" x14ac:dyDescent="0.25">
      <c r="A42" s="67">
        <v>2113107</v>
      </c>
      <c r="B42" s="67" t="s">
        <v>125</v>
      </c>
      <c r="C42" s="60">
        <f>ROUND('[1]EMPLEADOS 2017'!G39+'[1]TRABAJADORES 2017'!AD59,-4)+10479000</f>
        <v>137119000</v>
      </c>
    </row>
    <row r="43" spans="1:3" ht="15.75" x14ac:dyDescent="0.25">
      <c r="A43" s="67">
        <v>2113108</v>
      </c>
      <c r="B43" s="67" t="s">
        <v>126</v>
      </c>
      <c r="C43" s="60">
        <f>ROUND('[1]EMPLEADOS 2017'!G37+'[1]TRABAJADORES 2017'!AD60,-4)+5240000</f>
        <v>68560000</v>
      </c>
    </row>
    <row r="44" spans="1:3" ht="15.75" x14ac:dyDescent="0.25">
      <c r="A44" s="67">
        <v>2113109</v>
      </c>
      <c r="B44" s="67" t="s">
        <v>127</v>
      </c>
      <c r="C44" s="60">
        <f>+C43</f>
        <v>68560000</v>
      </c>
    </row>
    <row r="45" spans="1:3" ht="15.75" x14ac:dyDescent="0.25">
      <c r="A45" s="67">
        <v>2113110</v>
      </c>
      <c r="B45" s="67" t="s">
        <v>128</v>
      </c>
      <c r="C45" s="60">
        <f>ROUND('[1]EMPLEADOS 2017'!G36+'[1]TRABAJADORES 2017'!AD56,-4)+31446000</f>
        <v>411356000</v>
      </c>
    </row>
    <row r="46" spans="1:3" ht="15.75" x14ac:dyDescent="0.25">
      <c r="A46" s="67">
        <v>2113126</v>
      </c>
      <c r="B46" s="67" t="s">
        <v>120</v>
      </c>
      <c r="C46" s="60">
        <f>ROUND('[1]TRABAJADORES 2017'!AD53,-3)+246297000</f>
        <v>350000000</v>
      </c>
    </row>
    <row r="47" spans="1:3" ht="15.75" x14ac:dyDescent="0.25">
      <c r="A47" s="67">
        <v>2113127</v>
      </c>
      <c r="B47" s="67" t="s">
        <v>121</v>
      </c>
      <c r="C47" s="60">
        <f>ROUND('[1]TRABAJADORES 2017'!AD40,-3)+247495000</f>
        <v>400000000</v>
      </c>
    </row>
    <row r="48" spans="1:3" ht="15.75" x14ac:dyDescent="0.25">
      <c r="A48" s="67">
        <v>2113128</v>
      </c>
      <c r="B48" s="67" t="s">
        <v>122</v>
      </c>
      <c r="C48" s="60">
        <v>100000000</v>
      </c>
    </row>
    <row r="49" spans="1:3" ht="15.75" x14ac:dyDescent="0.25">
      <c r="A49" s="67">
        <v>2113134</v>
      </c>
      <c r="B49" s="67" t="s">
        <v>129</v>
      </c>
      <c r="C49" s="60">
        <v>350000000</v>
      </c>
    </row>
    <row r="50" spans="1:3" ht="15.75" x14ac:dyDescent="0.25">
      <c r="A50" s="67"/>
      <c r="B50" s="63" t="s">
        <v>130</v>
      </c>
      <c r="C50" s="69">
        <f>SUM(C42:C49)</f>
        <v>1885595000</v>
      </c>
    </row>
    <row r="51" spans="1:3" ht="15.75" x14ac:dyDescent="0.25">
      <c r="A51" s="49"/>
      <c r="B51" s="65" t="s">
        <v>131</v>
      </c>
      <c r="C51" s="69">
        <f>+C50+C39+C32+C29</f>
        <v>20076945000</v>
      </c>
    </row>
    <row r="52" spans="1:3" ht="15.75" x14ac:dyDescent="0.25">
      <c r="A52" s="67"/>
      <c r="B52" s="67"/>
      <c r="C52" s="60"/>
    </row>
    <row r="53" spans="1:3" ht="15.75" x14ac:dyDescent="0.25">
      <c r="A53" s="63" t="s">
        <v>132</v>
      </c>
      <c r="B53" s="63" t="s">
        <v>133</v>
      </c>
      <c r="C53" s="60"/>
    </row>
    <row r="54" spans="1:3" ht="15.75" x14ac:dyDescent="0.25">
      <c r="A54" s="63">
        <v>2120</v>
      </c>
      <c r="B54" s="63" t="s">
        <v>134</v>
      </c>
      <c r="C54" s="60"/>
    </row>
    <row r="55" spans="1:3" ht="15.75" x14ac:dyDescent="0.25">
      <c r="A55" s="67" t="s">
        <v>135</v>
      </c>
      <c r="B55" s="67" t="s">
        <v>136</v>
      </c>
      <c r="C55" s="60">
        <f>+'[3]SEPTIEMBRE-2016'!$I$56</f>
        <v>30000000</v>
      </c>
    </row>
    <row r="56" spans="1:3" ht="15.75" x14ac:dyDescent="0.25">
      <c r="A56" s="67" t="s">
        <v>137</v>
      </c>
      <c r="B56" s="67" t="s">
        <v>138</v>
      </c>
      <c r="C56" s="60">
        <f>+'[3]SEPTIEMBRE-2016'!$I$57</f>
        <v>400000000</v>
      </c>
    </row>
    <row r="57" spans="1:3" ht="15.75" x14ac:dyDescent="0.25">
      <c r="A57" s="67" t="s">
        <v>139</v>
      </c>
      <c r="B57" s="67" t="s">
        <v>140</v>
      </c>
      <c r="C57" s="60">
        <v>0</v>
      </c>
    </row>
    <row r="58" spans="1:3" ht="15.75" x14ac:dyDescent="0.25">
      <c r="A58" s="67">
        <v>2120042</v>
      </c>
      <c r="B58" s="67" t="s">
        <v>141</v>
      </c>
      <c r="C58" s="60">
        <f>+'[3]SEPTIEMBRE-2016'!$I$60</f>
        <v>0</v>
      </c>
    </row>
    <row r="59" spans="1:3" ht="15.75" x14ac:dyDescent="0.25">
      <c r="A59" s="67" t="s">
        <v>142</v>
      </c>
      <c r="B59" s="67" t="s">
        <v>143</v>
      </c>
      <c r="C59" s="60">
        <f>+'[3]SEPTIEMBRE-2016'!$I$59</f>
        <v>400000000</v>
      </c>
    </row>
    <row r="60" spans="1:3" ht="15.75" x14ac:dyDescent="0.25">
      <c r="A60" s="67" t="s">
        <v>144</v>
      </c>
      <c r="B60" s="67" t="s">
        <v>145</v>
      </c>
      <c r="C60" s="60">
        <f>+'[3]SEPTIEMBRE-2016'!$I$61</f>
        <v>200000000</v>
      </c>
    </row>
    <row r="61" spans="1:3" ht="15.75" x14ac:dyDescent="0.25">
      <c r="A61" s="67" t="s">
        <v>146</v>
      </c>
      <c r="B61" s="67" t="s">
        <v>147</v>
      </c>
      <c r="C61" s="60">
        <f>+'[3]SEPTIEMBRE-2016'!$I$62</f>
        <v>50000000</v>
      </c>
    </row>
    <row r="62" spans="1:3" ht="15.75" x14ac:dyDescent="0.25">
      <c r="A62" s="67" t="s">
        <v>148</v>
      </c>
      <c r="B62" s="67" t="s">
        <v>149</v>
      </c>
      <c r="C62" s="60">
        <f>+'[3]SEPTIEMBRE-2016'!$I$63</f>
        <v>20000000</v>
      </c>
    </row>
    <row r="63" spans="1:3" ht="15.75" x14ac:dyDescent="0.25">
      <c r="A63" s="67" t="s">
        <v>150</v>
      </c>
      <c r="B63" s="67" t="s">
        <v>151</v>
      </c>
      <c r="C63" s="60">
        <f>+'[3]SEPTIEMBRE-2016'!$I$64</f>
        <v>100000000</v>
      </c>
    </row>
    <row r="64" spans="1:3" ht="15.75" x14ac:dyDescent="0.25">
      <c r="A64" s="67" t="s">
        <v>152</v>
      </c>
      <c r="B64" s="67" t="s">
        <v>153</v>
      </c>
      <c r="C64" s="60">
        <f>+'[3]SEPTIEMBRE-2016'!$I$65-150000000</f>
        <v>200000000</v>
      </c>
    </row>
    <row r="65" spans="1:3" ht="15.75" x14ac:dyDescent="0.25">
      <c r="A65" s="67" t="s">
        <v>154</v>
      </c>
      <c r="B65" s="67" t="s">
        <v>155</v>
      </c>
      <c r="C65" s="60">
        <f>+'[3]SEPTIEMBRE-2016'!$I$66</f>
        <v>46000000</v>
      </c>
    </row>
    <row r="66" spans="1:3" ht="15.75" x14ac:dyDescent="0.25">
      <c r="A66" s="67"/>
      <c r="B66" s="63" t="s">
        <v>115</v>
      </c>
      <c r="C66" s="69">
        <f>SUM(C55:C65)</f>
        <v>1446000000</v>
      </c>
    </row>
    <row r="67" spans="1:3" ht="15.75" x14ac:dyDescent="0.25">
      <c r="A67" s="49"/>
      <c r="B67" s="61"/>
      <c r="C67" s="60"/>
    </row>
    <row r="68" spans="1:3" ht="15.75" x14ac:dyDescent="0.25">
      <c r="A68" s="63">
        <v>2121</v>
      </c>
      <c r="B68" s="63" t="s">
        <v>156</v>
      </c>
      <c r="C68" s="60"/>
    </row>
    <row r="69" spans="1:3" ht="15.75" x14ac:dyDescent="0.25">
      <c r="A69" s="67">
        <v>2121036</v>
      </c>
      <c r="B69" s="67" t="s">
        <v>157</v>
      </c>
      <c r="C69" s="60">
        <f>+'[3]SEPTIEMBRE-2016'!$I$68</f>
        <v>1049000000</v>
      </c>
    </row>
    <row r="70" spans="1:3" ht="15.75" x14ac:dyDescent="0.25">
      <c r="A70" s="67">
        <v>2121037</v>
      </c>
      <c r="B70" s="67" t="s">
        <v>158</v>
      </c>
      <c r="C70" s="60">
        <f>+'[3]SEPTIEMBRE-2016'!$I$69</f>
        <v>375000000</v>
      </c>
    </row>
    <row r="71" spans="1:3" ht="15.75" x14ac:dyDescent="0.25">
      <c r="A71" s="67">
        <v>2121040</v>
      </c>
      <c r="B71" s="67" t="s">
        <v>159</v>
      </c>
      <c r="C71" s="60">
        <f>+'[3]SEPTIEMBRE-2016'!$I$70</f>
        <v>0</v>
      </c>
    </row>
    <row r="72" spans="1:3" ht="15.75" x14ac:dyDescent="0.25">
      <c r="A72" s="67">
        <v>2121041</v>
      </c>
      <c r="B72" s="67" t="s">
        <v>160</v>
      </c>
      <c r="C72" s="60">
        <f>+'[3]SEPTIEMBRE-2016'!$I$71-40000000</f>
        <v>10000000</v>
      </c>
    </row>
    <row r="73" spans="1:3" ht="15.75" x14ac:dyDescent="0.25">
      <c r="A73" s="67">
        <v>2121046</v>
      </c>
      <c r="B73" s="67" t="s">
        <v>161</v>
      </c>
      <c r="C73" s="60">
        <f>+'[3]SEPTIEMBRE-2016'!$I$72</f>
        <v>50000000</v>
      </c>
    </row>
    <row r="74" spans="1:3" ht="15.75" x14ac:dyDescent="0.25">
      <c r="A74" s="67">
        <v>2121048</v>
      </c>
      <c r="B74" s="67" t="s">
        <v>162</v>
      </c>
      <c r="C74" s="60">
        <f>+'[3]SEPTIEMBRE-2016'!$I$73</f>
        <v>5000000</v>
      </c>
    </row>
    <row r="75" spans="1:3" ht="15.75" x14ac:dyDescent="0.25">
      <c r="A75" s="67">
        <v>2121052</v>
      </c>
      <c r="B75" s="67" t="s">
        <v>163</v>
      </c>
      <c r="C75" s="60">
        <f>+'[3]SEPTIEMBRE-2016'!$I$74</f>
        <v>300000000</v>
      </c>
    </row>
    <row r="76" spans="1:3" ht="15.75" x14ac:dyDescent="0.25">
      <c r="A76" s="67">
        <v>2121053</v>
      </c>
      <c r="B76" s="67" t="s">
        <v>164</v>
      </c>
      <c r="C76" s="60">
        <f>+'[3]SEPTIEMBRE-2016'!$I$75</f>
        <v>2000000000</v>
      </c>
    </row>
    <row r="77" spans="1:3" ht="15.75" x14ac:dyDescent="0.25">
      <c r="A77" s="67">
        <v>2121054</v>
      </c>
      <c r="B77" s="67" t="s">
        <v>165</v>
      </c>
      <c r="C77" s="60">
        <f>+'[3]SEPTIEMBRE-2016'!$I$76</f>
        <v>70000000</v>
      </c>
    </row>
    <row r="78" spans="1:3" ht="15.75" x14ac:dyDescent="0.25">
      <c r="A78" s="67">
        <v>2121055</v>
      </c>
      <c r="B78" s="67" t="s">
        <v>166</v>
      </c>
      <c r="C78" s="60">
        <f>+'[3]SEPTIEMBRE-2016'!$I$77</f>
        <v>3200000000</v>
      </c>
    </row>
    <row r="79" spans="1:3" ht="15.75" x14ac:dyDescent="0.25">
      <c r="A79" s="67">
        <v>2121062</v>
      </c>
      <c r="B79" s="67" t="s">
        <v>167</v>
      </c>
      <c r="C79" s="60">
        <f>+'[3]SEPTIEMBRE-2016'!$I$78</f>
        <v>936800000</v>
      </c>
    </row>
    <row r="80" spans="1:3" ht="15.75" x14ac:dyDescent="0.25">
      <c r="A80" s="67">
        <v>2121066</v>
      </c>
      <c r="B80" s="67" t="s">
        <v>168</v>
      </c>
      <c r="C80" s="60">
        <f>+'[3]SEPTIEMBRE-2016'!$I$79</f>
        <v>110000000</v>
      </c>
    </row>
    <row r="81" spans="1:3" ht="30.75" x14ac:dyDescent="0.25">
      <c r="A81" s="67">
        <v>2121067</v>
      </c>
      <c r="B81" s="67" t="s">
        <v>169</v>
      </c>
      <c r="C81" s="60">
        <f>+'[3]SEPTIEMBRE-2016'!$I$80</f>
        <v>150000000</v>
      </c>
    </row>
    <row r="82" spans="1:3" ht="15.75" x14ac:dyDescent="0.25">
      <c r="A82" s="67">
        <v>2121070</v>
      </c>
      <c r="B82" s="67" t="s">
        <v>170</v>
      </c>
      <c r="C82" s="60">
        <f>+'[3]SEPTIEMBRE-2016'!$I$81</f>
        <v>0</v>
      </c>
    </row>
    <row r="83" spans="1:3" ht="15.75" x14ac:dyDescent="0.25">
      <c r="A83" s="67">
        <v>2121072</v>
      </c>
      <c r="B83" s="67" t="s">
        <v>171</v>
      </c>
      <c r="C83" s="60">
        <f>+'[3]SEPTIEMBRE-2016'!$I$82</f>
        <v>3800000000</v>
      </c>
    </row>
    <row r="84" spans="1:3" ht="15.75" x14ac:dyDescent="0.25">
      <c r="A84" s="67">
        <v>2121074</v>
      </c>
      <c r="B84" s="67" t="s">
        <v>172</v>
      </c>
      <c r="C84" s="60">
        <f>+'[3]SEPTIEMBRE-2016'!$I$83</f>
        <v>0</v>
      </c>
    </row>
    <row r="85" spans="1:3" ht="15.75" x14ac:dyDescent="0.25">
      <c r="A85" s="67">
        <v>2121076</v>
      </c>
      <c r="B85" s="67" t="s">
        <v>173</v>
      </c>
      <c r="C85" s="60">
        <f>+'[3]SEPTIEMBRE-2016'!$I$84-60000000</f>
        <v>60000000</v>
      </c>
    </row>
    <row r="86" spans="1:3" ht="15.75" x14ac:dyDescent="0.25">
      <c r="A86" s="67">
        <v>2121078</v>
      </c>
      <c r="B86" s="61" t="s">
        <v>174</v>
      </c>
      <c r="C86" s="60">
        <f>+'[3]SEPTIEMBRE-2016'!$I$85</f>
        <v>120000000</v>
      </c>
    </row>
    <row r="87" spans="1:3" ht="15.75" x14ac:dyDescent="0.25">
      <c r="A87" s="49"/>
      <c r="B87" s="63" t="s">
        <v>115</v>
      </c>
      <c r="C87" s="69">
        <f>SUM(C69:C86)</f>
        <v>12235800000</v>
      </c>
    </row>
    <row r="88" spans="1:3" ht="15.75" x14ac:dyDescent="0.25">
      <c r="A88" s="49"/>
      <c r="B88" s="63"/>
      <c r="C88" s="69"/>
    </row>
    <row r="89" spans="1:3" ht="15.75" x14ac:dyDescent="0.25">
      <c r="A89" s="65">
        <v>2122</v>
      </c>
      <c r="B89" s="63" t="s">
        <v>175</v>
      </c>
      <c r="C89" s="60"/>
    </row>
    <row r="90" spans="1:3" ht="15.75" x14ac:dyDescent="0.25">
      <c r="A90" s="49">
        <v>2122044</v>
      </c>
      <c r="B90" s="67" t="s">
        <v>176</v>
      </c>
      <c r="C90" s="60">
        <f>+'[3]SEPTIEMBRE-2016'!$I$87</f>
        <v>250000000</v>
      </c>
    </row>
    <row r="91" spans="1:3" ht="15.75" x14ac:dyDescent="0.25">
      <c r="A91" s="49">
        <v>2122049</v>
      </c>
      <c r="B91" s="67" t="s">
        <v>177</v>
      </c>
      <c r="C91" s="60">
        <f>+'[3]SEPTIEMBRE-2016'!$I$88</f>
        <v>20000000</v>
      </c>
    </row>
    <row r="92" spans="1:3" ht="15.75" x14ac:dyDescent="0.25">
      <c r="A92" s="49">
        <v>2122050</v>
      </c>
      <c r="B92" s="67" t="s">
        <v>178</v>
      </c>
      <c r="C92" s="60">
        <f>+'[3]SEPTIEMBRE-2016'!$I$89</f>
        <v>0</v>
      </c>
    </row>
    <row r="93" spans="1:3" ht="15.75" x14ac:dyDescent="0.25">
      <c r="A93" s="49"/>
      <c r="B93" s="63" t="s">
        <v>115</v>
      </c>
      <c r="C93" s="69">
        <f>SUM(C90:C92)</f>
        <v>270000000</v>
      </c>
    </row>
    <row r="94" spans="1:3" ht="15.75" x14ac:dyDescent="0.25">
      <c r="A94" s="49"/>
      <c r="B94" s="65" t="s">
        <v>179</v>
      </c>
      <c r="C94" s="69">
        <f>+C93+C87+C66</f>
        <v>13951800000</v>
      </c>
    </row>
    <row r="95" spans="1:3" ht="15.75" x14ac:dyDescent="0.25">
      <c r="A95" s="49"/>
      <c r="B95" s="70"/>
      <c r="C95" s="60"/>
    </row>
    <row r="96" spans="1:3" ht="31.5" x14ac:dyDescent="0.25">
      <c r="A96" s="63">
        <v>2132</v>
      </c>
      <c r="B96" s="63" t="s">
        <v>180</v>
      </c>
      <c r="C96" s="60"/>
    </row>
    <row r="97" spans="1:3" ht="15.75" x14ac:dyDescent="0.25">
      <c r="A97" s="67">
        <v>2132021</v>
      </c>
      <c r="B97" s="67" t="s">
        <v>181</v>
      </c>
      <c r="C97" s="60">
        <f>+'[3]SEPTIEMBRE-2016'!$I$112</f>
        <v>24156281000</v>
      </c>
    </row>
    <row r="98" spans="1:3" ht="15.75" x14ac:dyDescent="0.25">
      <c r="A98" s="67">
        <v>2132022</v>
      </c>
      <c r="B98" s="67" t="s">
        <v>182</v>
      </c>
      <c r="C98" s="60">
        <f>+'[3]SEPTIEMBRE-2016'!$I$113</f>
        <v>50000000</v>
      </c>
    </row>
    <row r="99" spans="1:3" ht="15.75" x14ac:dyDescent="0.25">
      <c r="A99" s="63"/>
      <c r="B99" s="63" t="s">
        <v>183</v>
      </c>
      <c r="C99" s="69">
        <f>SUM(C97:C98)</f>
        <v>24206281000</v>
      </c>
    </row>
    <row r="100" spans="1:3" ht="15.75" x14ac:dyDescent="0.25">
      <c r="A100" s="63"/>
      <c r="B100" s="63"/>
      <c r="C100" s="60"/>
    </row>
    <row r="101" spans="1:3" ht="15.75" x14ac:dyDescent="0.25">
      <c r="A101" s="63">
        <v>2133</v>
      </c>
      <c r="B101" s="63" t="s">
        <v>184</v>
      </c>
      <c r="C101" s="60"/>
    </row>
    <row r="102" spans="1:3" ht="15.75" x14ac:dyDescent="0.25">
      <c r="A102" s="67">
        <v>2133047</v>
      </c>
      <c r="B102" s="67" t="s">
        <v>185</v>
      </c>
      <c r="C102" s="60">
        <f>+'[3]SEPTIEMBRE-2016'!$I$115</f>
        <v>10000000</v>
      </c>
    </row>
    <row r="103" spans="1:3" ht="15.75" x14ac:dyDescent="0.25">
      <c r="A103" s="67">
        <v>2133069</v>
      </c>
      <c r="B103" s="67" t="s">
        <v>186</v>
      </c>
      <c r="C103" s="60">
        <f>+'[3]SEPTIEMBRE-2016'!$I$116</f>
        <v>5000000000</v>
      </c>
    </row>
    <row r="104" spans="1:3" ht="15.75" x14ac:dyDescent="0.25">
      <c r="A104" s="67">
        <v>2133079</v>
      </c>
      <c r="B104" s="67" t="s">
        <v>187</v>
      </c>
      <c r="C104" s="60">
        <f>+'[3]SEPTIEMBRE-2016'!$I$117</f>
        <v>5000000</v>
      </c>
    </row>
    <row r="105" spans="1:3" ht="15.75" x14ac:dyDescent="0.25">
      <c r="A105" s="67">
        <v>2133080</v>
      </c>
      <c r="B105" s="67" t="s">
        <v>188</v>
      </c>
      <c r="C105" s="60">
        <f>+'[3]SEPTIEMBRE-2016'!$I$118</f>
        <v>40000000</v>
      </c>
    </row>
    <row r="106" spans="1:3" ht="15.75" x14ac:dyDescent="0.25">
      <c r="A106" s="67">
        <v>2133081</v>
      </c>
      <c r="B106" s="67" t="s">
        <v>189</v>
      </c>
      <c r="C106" s="60">
        <f>+'[3]SEPTIEMBRE-2016'!$I$119</f>
        <v>10000000</v>
      </c>
    </row>
    <row r="107" spans="1:3" ht="15.75" x14ac:dyDescent="0.25">
      <c r="A107" s="67">
        <v>2133083</v>
      </c>
      <c r="B107" s="67" t="s">
        <v>190</v>
      </c>
      <c r="C107" s="60">
        <f>+'[3]SEPTIEMBRE-2016'!$I$120</f>
        <v>1000</v>
      </c>
    </row>
    <row r="108" spans="1:3" ht="15.75" x14ac:dyDescent="0.25">
      <c r="A108" s="67">
        <v>2133084</v>
      </c>
      <c r="B108" s="67" t="s">
        <v>191</v>
      </c>
      <c r="C108" s="60">
        <f>+'[3]SEPTIEMBRE-2016'!$I$121</f>
        <v>100000000</v>
      </c>
    </row>
    <row r="109" spans="1:3" ht="30.75" x14ac:dyDescent="0.25">
      <c r="A109" s="67">
        <v>2133085</v>
      </c>
      <c r="B109" s="67" t="s">
        <v>192</v>
      </c>
      <c r="C109" s="60">
        <f>+'[3]SEPTIEMBRE-2016'!$I$122</f>
        <v>60000000</v>
      </c>
    </row>
    <row r="110" spans="1:3" ht="15.75" x14ac:dyDescent="0.25">
      <c r="A110" s="67">
        <v>2133111</v>
      </c>
      <c r="B110" s="67" t="s">
        <v>193</v>
      </c>
      <c r="C110" s="60">
        <f>+'[3]SEPTIEMBRE-2016'!$I$123</f>
        <v>10000000</v>
      </c>
    </row>
    <row r="111" spans="1:3" ht="15.75" x14ac:dyDescent="0.25">
      <c r="A111" s="49"/>
      <c r="B111" s="63" t="s">
        <v>115</v>
      </c>
      <c r="C111" s="69">
        <f>SUM(C102:C110)</f>
        <v>5235001000</v>
      </c>
    </row>
    <row r="112" spans="1:3" ht="15.75" x14ac:dyDescent="0.25">
      <c r="A112" s="49"/>
      <c r="B112" s="63" t="s">
        <v>194</v>
      </c>
      <c r="C112" s="69">
        <f>+C111+C99</f>
        <v>29441282000</v>
      </c>
    </row>
    <row r="113" spans="1:3" ht="15.75" x14ac:dyDescent="0.25">
      <c r="A113" s="49"/>
      <c r="B113" s="63" t="s">
        <v>195</v>
      </c>
      <c r="C113" s="69">
        <f>+C112+C94+C51</f>
        <v>63470027000</v>
      </c>
    </row>
    <row r="114" spans="1:3" ht="15.75" x14ac:dyDescent="0.25">
      <c r="A114" s="71"/>
      <c r="B114" s="72"/>
      <c r="C114" s="73"/>
    </row>
    <row r="115" spans="1:3" ht="15.75" x14ac:dyDescent="0.25">
      <c r="A115" s="49"/>
      <c r="B115" s="50" t="s">
        <v>196</v>
      </c>
      <c r="C115" s="60"/>
    </row>
    <row r="116" spans="1:3" ht="15.75" x14ac:dyDescent="0.25">
      <c r="A116" s="49"/>
      <c r="B116" s="50" t="s">
        <v>74</v>
      </c>
      <c r="C116" s="60"/>
    </row>
    <row r="117" spans="1:3" ht="15.75" x14ac:dyDescent="0.25">
      <c r="A117" s="49"/>
      <c r="B117" s="50" t="s">
        <v>197</v>
      </c>
      <c r="C117" s="60"/>
    </row>
    <row r="118" spans="1:3" ht="15.75" x14ac:dyDescent="0.25">
      <c r="A118" s="49"/>
      <c r="B118" s="50"/>
      <c r="C118" s="60"/>
    </row>
    <row r="119" spans="1:3" ht="15.75" x14ac:dyDescent="0.25">
      <c r="A119" s="49"/>
      <c r="B119" s="74" t="s">
        <v>198</v>
      </c>
      <c r="C119" s="62"/>
    </row>
    <row r="120" spans="1:3" ht="15.75" x14ac:dyDescent="0.25">
      <c r="A120" s="49"/>
      <c r="B120" s="63" t="s">
        <v>77</v>
      </c>
      <c r="C120" s="64" t="s">
        <v>78</v>
      </c>
    </row>
    <row r="121" spans="1:3" ht="15.75" x14ac:dyDescent="0.25">
      <c r="A121" s="63" t="s">
        <v>79</v>
      </c>
      <c r="B121" s="63" t="s">
        <v>80</v>
      </c>
      <c r="C121" s="60"/>
    </row>
    <row r="122" spans="1:3" ht="15.75" x14ac:dyDescent="0.25">
      <c r="A122" s="63" t="s">
        <v>81</v>
      </c>
      <c r="B122" s="63" t="s">
        <v>82</v>
      </c>
      <c r="C122" s="60"/>
    </row>
    <row r="123" spans="1:3" ht="31.5" x14ac:dyDescent="0.25">
      <c r="A123" s="65">
        <v>2110</v>
      </c>
      <c r="B123" s="66" t="s">
        <v>83</v>
      </c>
      <c r="C123" s="60"/>
    </row>
    <row r="124" spans="1:3" ht="15.75" x14ac:dyDescent="0.25">
      <c r="A124" s="67" t="s">
        <v>84</v>
      </c>
      <c r="B124" s="67" t="s">
        <v>85</v>
      </c>
      <c r="C124" s="60">
        <f>ROUND('[1]EMPLEADOS 2017'!H15+'[2]Hoja2 (2)'!$G$12,-3)</f>
        <v>6737643000</v>
      </c>
    </row>
    <row r="125" spans="1:3" ht="15.75" x14ac:dyDescent="0.25">
      <c r="A125" s="67" t="s">
        <v>88</v>
      </c>
      <c r="B125" s="67" t="s">
        <v>89</v>
      </c>
      <c r="C125" s="60">
        <v>0</v>
      </c>
    </row>
    <row r="126" spans="1:3" ht="15.75" x14ac:dyDescent="0.25">
      <c r="A126" s="67" t="s">
        <v>92</v>
      </c>
      <c r="B126" s="67" t="s">
        <v>93</v>
      </c>
      <c r="C126" s="60">
        <f>ROUND('[1]EMPLEADOS 2017'!H18,-3)-18632000</f>
        <v>335255000</v>
      </c>
    </row>
    <row r="127" spans="1:3" ht="15.75" x14ac:dyDescent="0.25">
      <c r="A127" s="67" t="s">
        <v>94</v>
      </c>
      <c r="B127" s="67" t="s">
        <v>95</v>
      </c>
      <c r="C127" s="60">
        <f>ROUND('[1]EMPLEADOS 2017'!H19,-3)+285035000</f>
        <v>561093000</v>
      </c>
    </row>
    <row r="128" spans="1:3" ht="15.75" x14ac:dyDescent="0.25">
      <c r="A128" s="67">
        <v>2110019</v>
      </c>
      <c r="B128" s="67" t="s">
        <v>199</v>
      </c>
      <c r="C128" s="60">
        <f>ROUND('[1]EMPLEADOS 2017'!H20,-3)-62368000</f>
        <v>635789000</v>
      </c>
    </row>
    <row r="129" spans="1:3" ht="15.75" x14ac:dyDescent="0.25">
      <c r="A129" s="67" t="s">
        <v>101</v>
      </c>
      <c r="B129" s="67" t="s">
        <v>102</v>
      </c>
      <c r="C129" s="60">
        <f>+'[2]Hoja2 (2)'!$AQ$104-65554118</f>
        <v>54000000.371254176</v>
      </c>
    </row>
    <row r="130" spans="1:3" ht="15.75" x14ac:dyDescent="0.25">
      <c r="A130" s="67" t="s">
        <v>103</v>
      </c>
      <c r="B130" s="67" t="s">
        <v>104</v>
      </c>
      <c r="C130" s="60">
        <v>162000000</v>
      </c>
    </row>
    <row r="131" spans="1:3" ht="15.75" x14ac:dyDescent="0.25">
      <c r="A131" s="67">
        <v>2110026</v>
      </c>
      <c r="B131" s="67" t="s">
        <v>200</v>
      </c>
      <c r="C131" s="60">
        <f>ROUND(+'[1]EMPLEADOS 2017'!H21,-4)+9737000</f>
        <v>202977000</v>
      </c>
    </row>
    <row r="132" spans="1:3" ht="15.75" x14ac:dyDescent="0.25">
      <c r="A132" s="67">
        <v>2110029</v>
      </c>
      <c r="B132" s="67" t="s">
        <v>201</v>
      </c>
      <c r="C132" s="60">
        <f>ROUND(+'[1]EMPLEADOS 2017'!H17,-4)-464000</f>
        <v>36346000</v>
      </c>
    </row>
    <row r="133" spans="1:3" ht="15.75" x14ac:dyDescent="0.25">
      <c r="A133" s="67">
        <v>2110027</v>
      </c>
      <c r="B133" s="67" t="s">
        <v>202</v>
      </c>
      <c r="C133" s="60">
        <v>198246000</v>
      </c>
    </row>
    <row r="134" spans="1:3" ht="15.75" x14ac:dyDescent="0.25">
      <c r="A134" s="67">
        <v>2110028</v>
      </c>
      <c r="B134" s="67" t="s">
        <v>114</v>
      </c>
      <c r="C134" s="60">
        <v>0</v>
      </c>
    </row>
    <row r="135" spans="1:3" ht="15.75" x14ac:dyDescent="0.25">
      <c r="A135" s="67">
        <v>2110030</v>
      </c>
      <c r="B135" s="67" t="s">
        <v>203</v>
      </c>
      <c r="C135" s="60">
        <f>ROUND('[1]EMPLEADOS 2017'!H24,-3)</f>
        <v>55431000</v>
      </c>
    </row>
    <row r="136" spans="1:3" ht="15.75" x14ac:dyDescent="0.25">
      <c r="A136" s="75">
        <v>2110032</v>
      </c>
      <c r="B136" s="67" t="s">
        <v>204</v>
      </c>
      <c r="C136" s="60">
        <f>ROUND('[1]EMPLEADOS 2017'!H25,-3)+13857000</f>
        <v>27715000</v>
      </c>
    </row>
    <row r="137" spans="1:3" ht="15.75" x14ac:dyDescent="0.25">
      <c r="A137" s="49"/>
      <c r="B137" s="63" t="s">
        <v>115</v>
      </c>
      <c r="C137" s="69">
        <f>SUM(C124:C136)</f>
        <v>9006495000.371254</v>
      </c>
    </row>
    <row r="138" spans="1:3" ht="15.75" x14ac:dyDescent="0.25">
      <c r="A138" s="49"/>
      <c r="B138" s="70"/>
      <c r="C138" s="60"/>
    </row>
    <row r="139" spans="1:3" ht="15.75" x14ac:dyDescent="0.25">
      <c r="A139" s="63">
        <v>2111</v>
      </c>
      <c r="B139" s="63" t="s">
        <v>116</v>
      </c>
      <c r="C139" s="60"/>
    </row>
    <row r="140" spans="1:3" ht="15.75" x14ac:dyDescent="0.25">
      <c r="A140" s="67">
        <v>2111061</v>
      </c>
      <c r="B140" s="67" t="s">
        <v>205</v>
      </c>
      <c r="C140" s="60">
        <f>8119927000+900000000</f>
        <v>9019927000</v>
      </c>
    </row>
    <row r="141" spans="1:3" ht="15.75" x14ac:dyDescent="0.25">
      <c r="A141" s="67">
        <v>2111031</v>
      </c>
      <c r="B141" s="67" t="s">
        <v>206</v>
      </c>
      <c r="C141" s="60">
        <v>0</v>
      </c>
    </row>
    <row r="142" spans="1:3" ht="15.75" x14ac:dyDescent="0.25">
      <c r="A142" s="67">
        <v>2111028</v>
      </c>
      <c r="B142" s="67" t="s">
        <v>207</v>
      </c>
      <c r="C142" s="60">
        <f>2822429000+100000000</f>
        <v>2922429000</v>
      </c>
    </row>
    <row r="143" spans="1:3" ht="15.75" x14ac:dyDescent="0.25">
      <c r="A143" s="49"/>
      <c r="B143" s="63" t="s">
        <v>115</v>
      </c>
      <c r="C143" s="69">
        <f>SUM(C140:C142)</f>
        <v>11942356000</v>
      </c>
    </row>
    <row r="144" spans="1:3" ht="15.75" x14ac:dyDescent="0.25">
      <c r="A144" s="49"/>
      <c r="B144" s="70"/>
      <c r="C144" s="60"/>
    </row>
    <row r="145" spans="1:3" ht="31.5" x14ac:dyDescent="0.25">
      <c r="A145" s="63">
        <v>2112</v>
      </c>
      <c r="B145" s="63" t="s">
        <v>118</v>
      </c>
      <c r="C145" s="60"/>
    </row>
    <row r="146" spans="1:3" ht="15.75" x14ac:dyDescent="0.25">
      <c r="A146" s="67">
        <v>2112105</v>
      </c>
      <c r="B146" s="67" t="s">
        <v>119</v>
      </c>
      <c r="C146" s="60">
        <f>ROUND('[1]EMPLEADOS 2017'!H40,-3)-22769000</f>
        <v>344516000</v>
      </c>
    </row>
    <row r="147" spans="1:3" ht="15.75" x14ac:dyDescent="0.25">
      <c r="A147" s="67">
        <v>2112126</v>
      </c>
      <c r="B147" s="67" t="s">
        <v>120</v>
      </c>
      <c r="C147" s="60">
        <f>ROUND('[1]EMPLEADOS 2017'!H34,-3)-207133000</f>
        <v>573349000</v>
      </c>
    </row>
    <row r="148" spans="1:3" ht="15.75" x14ac:dyDescent="0.25">
      <c r="A148" s="67">
        <v>2112127</v>
      </c>
      <c r="B148" s="67" t="s">
        <v>121</v>
      </c>
      <c r="C148" s="60">
        <f>ROUND('[1]EMPLEADOS 2017'!H33,-3)-338334000</f>
        <v>809433000</v>
      </c>
    </row>
    <row r="149" spans="1:3" ht="15.75" x14ac:dyDescent="0.25">
      <c r="A149" s="67">
        <v>2112128</v>
      </c>
      <c r="B149" s="67" t="s">
        <v>122</v>
      </c>
      <c r="C149" s="60">
        <f>ROUND('[1]EMPLEADOS 2017'!H41,-3)-60306000</f>
        <v>163371000</v>
      </c>
    </row>
    <row r="150" spans="1:3" ht="15.75" x14ac:dyDescent="0.25">
      <c r="A150" s="67">
        <v>2112134</v>
      </c>
      <c r="B150" s="67" t="s">
        <v>208</v>
      </c>
      <c r="C150" s="60">
        <f>ROUND('[1]EMPLEADOS 2017'!H35,-3)</f>
        <v>764872000</v>
      </c>
    </row>
    <row r="151" spans="1:3" ht="15.75" x14ac:dyDescent="0.25">
      <c r="A151" s="63"/>
      <c r="B151" s="63" t="s">
        <v>115</v>
      </c>
      <c r="C151" s="69">
        <f>SUM(C146:C150)</f>
        <v>2655541000</v>
      </c>
    </row>
    <row r="152" spans="1:3" ht="31.5" x14ac:dyDescent="0.25">
      <c r="A152" s="63">
        <v>2113</v>
      </c>
      <c r="B152" s="63" t="s">
        <v>124</v>
      </c>
      <c r="C152" s="60"/>
    </row>
    <row r="153" spans="1:3" ht="30.75" x14ac:dyDescent="0.25">
      <c r="A153" s="67">
        <v>2113107</v>
      </c>
      <c r="B153" s="67" t="s">
        <v>125</v>
      </c>
      <c r="C153" s="60">
        <f>ROUND('[1]EMPLEADOS 2017'!H39,-3)-5692000</f>
        <v>86129000</v>
      </c>
    </row>
    <row r="154" spans="1:3" ht="15.75" x14ac:dyDescent="0.25">
      <c r="A154" s="67">
        <v>2113108</v>
      </c>
      <c r="B154" s="67" t="s">
        <v>126</v>
      </c>
      <c r="C154" s="60">
        <f>ROUND(+'[1]EMPLEADOS 2017'!H37,-3)-2846000</f>
        <v>43065000</v>
      </c>
    </row>
    <row r="155" spans="1:3" ht="15.75" x14ac:dyDescent="0.25">
      <c r="A155" s="67">
        <v>2113109</v>
      </c>
      <c r="B155" s="67" t="s">
        <v>127</v>
      </c>
      <c r="C155" s="60">
        <f>+C154</f>
        <v>43065000</v>
      </c>
    </row>
    <row r="156" spans="1:3" ht="15.75" x14ac:dyDescent="0.25">
      <c r="A156" s="67">
        <v>2113110</v>
      </c>
      <c r="B156" s="67" t="s">
        <v>128</v>
      </c>
      <c r="C156" s="60">
        <f>ROUND(+'[1]EMPLEADOS 2017'!H36,-3)-17077000</f>
        <v>258387000</v>
      </c>
    </row>
    <row r="157" spans="1:3" ht="15.75" x14ac:dyDescent="0.25">
      <c r="A157" s="67">
        <v>2113126</v>
      </c>
      <c r="B157" s="67" t="s">
        <v>120</v>
      </c>
      <c r="C157" s="60">
        <v>10000000</v>
      </c>
    </row>
    <row r="158" spans="1:3" ht="15.75" x14ac:dyDescent="0.25">
      <c r="A158" s="67">
        <v>2113127</v>
      </c>
      <c r="B158" s="67" t="s">
        <v>121</v>
      </c>
      <c r="C158" s="60">
        <v>50000000</v>
      </c>
    </row>
    <row r="159" spans="1:3" ht="15.75" x14ac:dyDescent="0.25">
      <c r="A159" s="67">
        <v>2113128</v>
      </c>
      <c r="B159" s="67" t="s">
        <v>122</v>
      </c>
      <c r="C159" s="60">
        <v>10000000</v>
      </c>
    </row>
    <row r="160" spans="1:3" ht="15.75" x14ac:dyDescent="0.25">
      <c r="A160" s="67">
        <v>2113134</v>
      </c>
      <c r="B160" s="67" t="s">
        <v>129</v>
      </c>
      <c r="C160" s="60">
        <v>150000000</v>
      </c>
    </row>
    <row r="161" spans="1:3" ht="15.75" x14ac:dyDescent="0.25">
      <c r="A161" s="67"/>
      <c r="B161" s="63" t="s">
        <v>130</v>
      </c>
      <c r="C161" s="69">
        <f>SUM(C153:C160)</f>
        <v>650646000</v>
      </c>
    </row>
    <row r="162" spans="1:3" ht="15.75" x14ac:dyDescent="0.25">
      <c r="A162" s="49"/>
      <c r="B162" s="65" t="s">
        <v>131</v>
      </c>
      <c r="C162" s="69">
        <f>+C161+C151+C143+C137</f>
        <v>24255038000.371254</v>
      </c>
    </row>
    <row r="163" spans="1:3" ht="15.75" x14ac:dyDescent="0.25">
      <c r="A163" s="49"/>
      <c r="B163" s="65"/>
      <c r="C163" s="69"/>
    </row>
    <row r="164" spans="1:3" ht="15.75" x14ac:dyDescent="0.25">
      <c r="A164" s="49"/>
      <c r="B164" s="65"/>
      <c r="C164" s="69"/>
    </row>
    <row r="165" spans="1:3" ht="15.75" x14ac:dyDescent="0.25">
      <c r="A165" s="63" t="s">
        <v>132</v>
      </c>
      <c r="B165" s="63" t="s">
        <v>133</v>
      </c>
      <c r="C165" s="64"/>
    </row>
    <row r="166" spans="1:3" ht="15.75" x14ac:dyDescent="0.25">
      <c r="A166" s="63">
        <v>2121</v>
      </c>
      <c r="B166" s="63" t="s">
        <v>156</v>
      </c>
      <c r="C166" s="64"/>
    </row>
    <row r="167" spans="1:3" ht="15.75" x14ac:dyDescent="0.25">
      <c r="A167" s="67">
        <v>2121040</v>
      </c>
      <c r="B167" s="67" t="s">
        <v>159</v>
      </c>
      <c r="C167" s="60">
        <v>0</v>
      </c>
    </row>
    <row r="168" spans="1:3" ht="15.75" x14ac:dyDescent="0.25">
      <c r="A168" s="67">
        <v>2121041</v>
      </c>
      <c r="B168" s="67" t="s">
        <v>160</v>
      </c>
      <c r="C168" s="60">
        <v>40000000</v>
      </c>
    </row>
    <row r="169" spans="1:3" ht="15.75" x14ac:dyDescent="0.25">
      <c r="A169" s="67">
        <v>2121076</v>
      </c>
      <c r="B169" s="67" t="s">
        <v>173</v>
      </c>
      <c r="C169" s="60">
        <v>60000000</v>
      </c>
    </row>
    <row r="170" spans="1:3" ht="15.75" x14ac:dyDescent="0.25">
      <c r="A170" s="49"/>
      <c r="B170" s="63" t="s">
        <v>115</v>
      </c>
      <c r="C170" s="69">
        <f>SUM(C167:C169)</f>
        <v>100000000</v>
      </c>
    </row>
    <row r="171" spans="1:3" ht="15.75" x14ac:dyDescent="0.25">
      <c r="A171" s="49"/>
      <c r="B171" s="65" t="s">
        <v>179</v>
      </c>
      <c r="C171" s="69">
        <f>+C170</f>
        <v>100000000</v>
      </c>
    </row>
    <row r="172" spans="1:3" ht="15.75" x14ac:dyDescent="0.25">
      <c r="A172" s="49"/>
      <c r="B172" s="63" t="s">
        <v>209</v>
      </c>
      <c r="C172" s="69">
        <f>+C171+C162</f>
        <v>24355038000.371254</v>
      </c>
    </row>
    <row r="173" spans="1:3" ht="15.75" x14ac:dyDescent="0.25">
      <c r="A173" s="71"/>
      <c r="B173" s="72"/>
      <c r="C173" s="73"/>
    </row>
    <row r="174" spans="1:3" ht="15.75" x14ac:dyDescent="0.25">
      <c r="A174" s="49"/>
      <c r="B174" s="63"/>
      <c r="C174" s="69"/>
    </row>
    <row r="175" spans="1:3" ht="15.75" x14ac:dyDescent="0.25">
      <c r="A175" s="63">
        <v>22</v>
      </c>
      <c r="B175" s="63" t="s">
        <v>210</v>
      </c>
      <c r="C175" s="62"/>
    </row>
    <row r="176" spans="1:3" ht="15.75" x14ac:dyDescent="0.25">
      <c r="A176" s="65">
        <v>221</v>
      </c>
      <c r="B176" s="66" t="s">
        <v>211</v>
      </c>
      <c r="C176" s="64"/>
    </row>
    <row r="177" spans="1:3" ht="15.75" x14ac:dyDescent="0.25">
      <c r="A177" s="65">
        <v>2210</v>
      </c>
      <c r="B177" s="66" t="s">
        <v>211</v>
      </c>
      <c r="C177" s="64"/>
    </row>
    <row r="178" spans="1:3" ht="15.75" x14ac:dyDescent="0.25">
      <c r="A178" s="65"/>
      <c r="B178" s="66"/>
      <c r="C178" s="64"/>
    </row>
    <row r="179" spans="1:3" ht="15.75" x14ac:dyDescent="0.25">
      <c r="A179" s="65"/>
      <c r="B179" s="304" t="s">
        <v>212</v>
      </c>
      <c r="C179" s="64"/>
    </row>
    <row r="180" spans="1:3" ht="15.75" x14ac:dyDescent="0.25">
      <c r="A180" s="65"/>
      <c r="B180" s="74"/>
      <c r="C180" s="64"/>
    </row>
    <row r="181" spans="1:3" ht="15.75" x14ac:dyDescent="0.25">
      <c r="A181" s="76"/>
      <c r="B181" s="77" t="s">
        <v>212</v>
      </c>
      <c r="C181" s="78"/>
    </row>
    <row r="182" spans="1:3" ht="31.5" x14ac:dyDescent="0.25">
      <c r="A182" s="76"/>
      <c r="B182" s="77" t="s">
        <v>213</v>
      </c>
      <c r="C182" s="78"/>
    </row>
    <row r="183" spans="1:3" ht="31.5" x14ac:dyDescent="0.25">
      <c r="A183" s="76"/>
      <c r="B183" s="77" t="s">
        <v>0</v>
      </c>
      <c r="C183" s="78"/>
    </row>
    <row r="184" spans="1:3" ht="15.75" x14ac:dyDescent="0.25">
      <c r="A184" s="76"/>
      <c r="B184" s="77" t="s">
        <v>214</v>
      </c>
      <c r="C184" s="78"/>
    </row>
    <row r="185" spans="1:3" ht="31.5" x14ac:dyDescent="0.25">
      <c r="A185" s="76"/>
      <c r="B185" s="77" t="s">
        <v>215</v>
      </c>
      <c r="C185" s="78"/>
    </row>
    <row r="186" spans="1:3" ht="15.75" x14ac:dyDescent="0.25">
      <c r="A186" s="79">
        <v>2210289</v>
      </c>
      <c r="B186" s="77" t="s">
        <v>216</v>
      </c>
      <c r="C186" s="80"/>
    </row>
    <row r="187" spans="1:3" x14ac:dyDescent="0.25">
      <c r="A187" s="76">
        <v>22102891</v>
      </c>
      <c r="B187" s="81" t="s">
        <v>217</v>
      </c>
      <c r="C187" s="82">
        <v>1500000000</v>
      </c>
    </row>
    <row r="188" spans="1:3" ht="15.75" x14ac:dyDescent="0.25">
      <c r="A188" s="76"/>
      <c r="B188" s="83"/>
      <c r="C188" s="78"/>
    </row>
    <row r="189" spans="1:3" ht="15.75" x14ac:dyDescent="0.25">
      <c r="A189" s="76"/>
      <c r="B189" s="77" t="s">
        <v>218</v>
      </c>
      <c r="C189" s="78"/>
    </row>
    <row r="190" spans="1:3" ht="15.75" x14ac:dyDescent="0.25">
      <c r="A190" s="76"/>
      <c r="B190" s="77" t="s">
        <v>1</v>
      </c>
      <c r="C190" s="78"/>
    </row>
    <row r="191" spans="1:3" ht="31.5" x14ac:dyDescent="0.25">
      <c r="A191" s="76"/>
      <c r="B191" s="84" t="s">
        <v>219</v>
      </c>
      <c r="C191" s="78"/>
    </row>
    <row r="192" spans="1:3" ht="15.75" x14ac:dyDescent="0.25">
      <c r="A192" s="76"/>
      <c r="B192" s="77" t="s">
        <v>220</v>
      </c>
      <c r="C192" s="78"/>
    </row>
    <row r="193" spans="1:3" ht="31.5" x14ac:dyDescent="0.25">
      <c r="A193" s="79">
        <v>2210333</v>
      </c>
      <c r="B193" s="77" t="s">
        <v>221</v>
      </c>
      <c r="C193" s="85"/>
    </row>
    <row r="194" spans="1:3" ht="30.75" x14ac:dyDescent="0.25">
      <c r="A194" s="49">
        <v>22103334</v>
      </c>
      <c r="B194" s="61" t="s">
        <v>222</v>
      </c>
      <c r="C194" s="86">
        <v>927238196.30999994</v>
      </c>
    </row>
    <row r="195" spans="1:3" ht="30.75" x14ac:dyDescent="0.25">
      <c r="A195" s="49">
        <v>22103335</v>
      </c>
      <c r="B195" s="61" t="s">
        <v>223</v>
      </c>
      <c r="C195" s="86">
        <v>2163555791.4099998</v>
      </c>
    </row>
    <row r="196" spans="1:3" ht="15.75" x14ac:dyDescent="0.25">
      <c r="A196" s="49"/>
      <c r="B196" s="61"/>
      <c r="C196" s="87"/>
    </row>
    <row r="197" spans="1:3" ht="15.75" x14ac:dyDescent="0.25">
      <c r="A197" s="49"/>
      <c r="B197" s="66" t="s">
        <v>2</v>
      </c>
      <c r="C197" s="87"/>
    </row>
    <row r="198" spans="1:3" ht="31.5" x14ac:dyDescent="0.25">
      <c r="A198" s="88"/>
      <c r="B198" s="89" t="s">
        <v>224</v>
      </c>
      <c r="C198" s="90"/>
    </row>
    <row r="199" spans="1:3" ht="31.5" x14ac:dyDescent="0.25">
      <c r="A199" s="88">
        <v>2210286</v>
      </c>
      <c r="B199" s="89" t="s">
        <v>225</v>
      </c>
      <c r="C199" s="90"/>
    </row>
    <row r="200" spans="1:3" x14ac:dyDescent="0.25">
      <c r="A200" s="76" t="s">
        <v>226</v>
      </c>
      <c r="B200" s="85" t="s">
        <v>227</v>
      </c>
      <c r="C200" s="91">
        <v>1000</v>
      </c>
    </row>
    <row r="201" spans="1:3" ht="15.75" x14ac:dyDescent="0.25">
      <c r="A201" s="49"/>
      <c r="B201" s="61"/>
      <c r="C201" s="87"/>
    </row>
    <row r="202" spans="1:3" ht="15.75" x14ac:dyDescent="0.25">
      <c r="A202" s="49"/>
      <c r="B202" s="66" t="s">
        <v>228</v>
      </c>
      <c r="C202" s="87"/>
    </row>
    <row r="203" spans="1:3" ht="31.5" x14ac:dyDescent="0.25">
      <c r="A203" s="49"/>
      <c r="B203" s="66" t="s">
        <v>71</v>
      </c>
      <c r="C203" s="87"/>
    </row>
    <row r="204" spans="1:3" ht="15.75" x14ac:dyDescent="0.25">
      <c r="A204" s="49"/>
      <c r="B204" s="66" t="s">
        <v>229</v>
      </c>
      <c r="C204" s="87"/>
    </row>
    <row r="205" spans="1:3" ht="15.75" x14ac:dyDescent="0.25">
      <c r="A205" s="49"/>
      <c r="B205" s="66" t="s">
        <v>230</v>
      </c>
      <c r="C205" s="87"/>
    </row>
    <row r="206" spans="1:3" ht="33" customHeight="1" x14ac:dyDescent="0.25">
      <c r="A206" s="65">
        <v>2210304</v>
      </c>
      <c r="B206" s="66" t="s">
        <v>231</v>
      </c>
      <c r="C206" s="87"/>
    </row>
    <row r="207" spans="1:3" ht="15.75" x14ac:dyDescent="0.25">
      <c r="A207" s="49">
        <v>22103041</v>
      </c>
      <c r="B207" s="61" t="s">
        <v>232</v>
      </c>
      <c r="C207" s="86">
        <v>1000000000</v>
      </c>
    </row>
    <row r="208" spans="1:3" ht="15.75" x14ac:dyDescent="0.25">
      <c r="A208" s="76"/>
      <c r="B208" s="77" t="s">
        <v>3</v>
      </c>
      <c r="C208" s="78"/>
    </row>
    <row r="209" spans="1:3" ht="15.75" x14ac:dyDescent="0.25">
      <c r="A209" s="76"/>
      <c r="B209" s="83" t="s">
        <v>233</v>
      </c>
      <c r="C209" s="78"/>
    </row>
    <row r="210" spans="1:3" ht="31.5" x14ac:dyDescent="0.25">
      <c r="A210" s="76"/>
      <c r="B210" s="77" t="s">
        <v>234</v>
      </c>
      <c r="C210" s="78"/>
    </row>
    <row r="211" spans="1:3" ht="31.5" x14ac:dyDescent="0.25">
      <c r="A211" s="79">
        <v>2210330</v>
      </c>
      <c r="B211" s="83" t="s">
        <v>235</v>
      </c>
      <c r="C211" s="85"/>
    </row>
    <row r="212" spans="1:3" x14ac:dyDescent="0.25">
      <c r="A212" s="76">
        <v>22103301</v>
      </c>
      <c r="B212" s="92" t="s">
        <v>217</v>
      </c>
      <c r="C212" s="82">
        <v>10000000000</v>
      </c>
    </row>
    <row r="213" spans="1:3" ht="15.75" x14ac:dyDescent="0.25">
      <c r="A213" s="76"/>
      <c r="B213" s="77"/>
      <c r="C213" s="78"/>
    </row>
    <row r="214" spans="1:3" ht="15.75" x14ac:dyDescent="0.25">
      <c r="A214" s="76"/>
      <c r="B214" s="77" t="s">
        <v>229</v>
      </c>
      <c r="C214" s="78"/>
    </row>
    <row r="215" spans="1:3" ht="15.75" x14ac:dyDescent="0.25">
      <c r="A215" s="79">
        <v>2210196</v>
      </c>
      <c r="B215" s="77" t="s">
        <v>236</v>
      </c>
      <c r="C215" s="85"/>
    </row>
    <row r="216" spans="1:3" x14ac:dyDescent="0.25">
      <c r="A216" s="76">
        <v>22101961</v>
      </c>
      <c r="B216" s="81" t="s">
        <v>217</v>
      </c>
      <c r="C216" s="82">
        <v>16000000622</v>
      </c>
    </row>
    <row r="217" spans="1:3" ht="30" x14ac:dyDescent="0.25">
      <c r="A217" s="76">
        <v>22101963</v>
      </c>
      <c r="B217" s="92" t="s">
        <v>237</v>
      </c>
      <c r="C217" s="82">
        <v>150000000</v>
      </c>
    </row>
    <row r="218" spans="1:3" ht="29.25" customHeight="1" x14ac:dyDescent="0.25">
      <c r="A218" s="79">
        <v>2210606</v>
      </c>
      <c r="B218" s="83" t="s">
        <v>238</v>
      </c>
      <c r="C218" s="85"/>
    </row>
    <row r="219" spans="1:3" x14ac:dyDescent="0.25">
      <c r="A219" s="76">
        <v>22106061</v>
      </c>
      <c r="B219" s="92" t="s">
        <v>217</v>
      </c>
      <c r="C219" s="82">
        <v>6000000000</v>
      </c>
    </row>
    <row r="220" spans="1:3" x14ac:dyDescent="0.25">
      <c r="A220" s="76">
        <v>22106062</v>
      </c>
      <c r="B220" s="92" t="s">
        <v>239</v>
      </c>
      <c r="C220" s="82">
        <v>1000000</v>
      </c>
    </row>
    <row r="221" spans="1:3" ht="31.5" x14ac:dyDescent="0.25">
      <c r="A221" s="79">
        <v>2210818</v>
      </c>
      <c r="B221" s="83" t="s">
        <v>240</v>
      </c>
      <c r="C221" s="85"/>
    </row>
    <row r="222" spans="1:3" x14ac:dyDescent="0.25">
      <c r="A222" s="76">
        <v>22108181</v>
      </c>
      <c r="B222" s="92" t="s">
        <v>217</v>
      </c>
      <c r="C222" s="82">
        <v>2000000000</v>
      </c>
    </row>
    <row r="223" spans="1:3" ht="63" x14ac:dyDescent="0.25">
      <c r="A223" s="79">
        <v>2210231</v>
      </c>
      <c r="B223" s="83" t="s">
        <v>241</v>
      </c>
      <c r="C223" s="85"/>
    </row>
    <row r="224" spans="1:3" ht="30" x14ac:dyDescent="0.25">
      <c r="A224" s="76">
        <v>22102311</v>
      </c>
      <c r="B224" s="92" t="s">
        <v>242</v>
      </c>
      <c r="C224" s="82">
        <v>1500000000</v>
      </c>
    </row>
    <row r="225" spans="1:3" ht="30" x14ac:dyDescent="0.25">
      <c r="A225" s="76">
        <v>22102317</v>
      </c>
      <c r="B225" s="92" t="s">
        <v>243</v>
      </c>
      <c r="C225" s="82">
        <v>1000</v>
      </c>
    </row>
    <row r="226" spans="1:3" ht="33" customHeight="1" x14ac:dyDescent="0.25">
      <c r="A226" s="79">
        <v>2210232</v>
      </c>
      <c r="B226" s="83" t="s">
        <v>244</v>
      </c>
      <c r="C226" s="85"/>
    </row>
    <row r="227" spans="1:3" x14ac:dyDescent="0.25">
      <c r="A227" s="76">
        <v>22102321</v>
      </c>
      <c r="B227" s="92" t="s">
        <v>245</v>
      </c>
      <c r="C227" s="82">
        <v>1000</v>
      </c>
    </row>
    <row r="228" spans="1:3" x14ac:dyDescent="0.25">
      <c r="A228" s="76">
        <v>22102327</v>
      </c>
      <c r="B228" s="92" t="s">
        <v>246</v>
      </c>
      <c r="C228" s="82">
        <v>0</v>
      </c>
    </row>
    <row r="229" spans="1:3" ht="47.25" x14ac:dyDescent="0.25">
      <c r="A229" s="79">
        <v>2210950</v>
      </c>
      <c r="B229" s="83" t="s">
        <v>247</v>
      </c>
      <c r="C229" s="85"/>
    </row>
    <row r="230" spans="1:3" x14ac:dyDescent="0.25">
      <c r="A230" s="76">
        <v>22109501</v>
      </c>
      <c r="B230" s="92" t="s">
        <v>248</v>
      </c>
      <c r="C230" s="82">
        <v>12000000</v>
      </c>
    </row>
    <row r="231" spans="1:3" x14ac:dyDescent="0.25">
      <c r="A231" s="76">
        <v>22109507</v>
      </c>
      <c r="B231" s="92" t="s">
        <v>246</v>
      </c>
      <c r="C231" s="82">
        <v>1000</v>
      </c>
    </row>
    <row r="232" spans="1:3" ht="15.75" x14ac:dyDescent="0.25">
      <c r="A232" s="76"/>
      <c r="B232" s="83"/>
      <c r="C232" s="82"/>
    </row>
    <row r="233" spans="1:3" ht="27.75" customHeight="1" x14ac:dyDescent="0.25">
      <c r="A233" s="76"/>
      <c r="B233" s="77" t="s">
        <v>249</v>
      </c>
      <c r="C233" s="82"/>
    </row>
    <row r="234" spans="1:3" ht="15.75" x14ac:dyDescent="0.25">
      <c r="A234" s="76"/>
      <c r="B234" s="77" t="s">
        <v>4</v>
      </c>
      <c r="C234" s="78"/>
    </row>
    <row r="235" spans="1:3" ht="15.75" x14ac:dyDescent="0.25">
      <c r="A235" s="76"/>
      <c r="B235" s="77" t="s">
        <v>250</v>
      </c>
      <c r="C235" s="78"/>
    </row>
    <row r="236" spans="1:3" ht="31.5" x14ac:dyDescent="0.25">
      <c r="A236" s="76"/>
      <c r="B236" s="77" t="s">
        <v>251</v>
      </c>
      <c r="C236" s="78"/>
    </row>
    <row r="237" spans="1:3" ht="31.5" x14ac:dyDescent="0.25">
      <c r="A237" s="79">
        <v>2210275</v>
      </c>
      <c r="B237" s="83" t="s">
        <v>252</v>
      </c>
      <c r="C237" s="85"/>
    </row>
    <row r="238" spans="1:3" x14ac:dyDescent="0.25">
      <c r="A238" s="76">
        <v>22102751</v>
      </c>
      <c r="B238" s="92" t="s">
        <v>217</v>
      </c>
      <c r="C238" s="82">
        <f>3000000000-462176000</f>
        <v>2537824000</v>
      </c>
    </row>
    <row r="239" spans="1:3" ht="15.75" x14ac:dyDescent="0.25">
      <c r="A239" s="76"/>
      <c r="B239" s="83"/>
      <c r="C239" s="82"/>
    </row>
    <row r="240" spans="1:3" ht="31.5" x14ac:dyDescent="0.25">
      <c r="A240" s="76"/>
      <c r="B240" s="77" t="s">
        <v>253</v>
      </c>
      <c r="C240" s="82"/>
    </row>
    <row r="241" spans="1:3" ht="15.75" x14ac:dyDescent="0.25">
      <c r="A241" s="79">
        <v>2210662</v>
      </c>
      <c r="B241" s="83" t="s">
        <v>254</v>
      </c>
      <c r="C241" s="85"/>
    </row>
    <row r="242" spans="1:3" x14ac:dyDescent="0.25">
      <c r="A242" s="76">
        <v>22106621</v>
      </c>
      <c r="B242" s="92" t="s">
        <v>217</v>
      </c>
      <c r="C242" s="82">
        <v>2000000000</v>
      </c>
    </row>
    <row r="243" spans="1:3" ht="30" x14ac:dyDescent="0.25">
      <c r="A243" s="76">
        <v>22106623</v>
      </c>
      <c r="B243" s="92" t="s">
        <v>255</v>
      </c>
      <c r="C243" s="82"/>
    </row>
    <row r="244" spans="1:3" ht="15.75" x14ac:dyDescent="0.25">
      <c r="A244" s="79">
        <v>2210522</v>
      </c>
      <c r="B244" s="83" t="s">
        <v>256</v>
      </c>
      <c r="C244" s="85"/>
    </row>
    <row r="245" spans="1:3" x14ac:dyDescent="0.25">
      <c r="A245" s="76">
        <v>22105225</v>
      </c>
      <c r="B245" s="92" t="s">
        <v>257</v>
      </c>
      <c r="C245" s="82">
        <v>6000000000</v>
      </c>
    </row>
    <row r="246" spans="1:3" ht="30.75" customHeight="1" x14ac:dyDescent="0.25">
      <c r="A246" s="76">
        <v>22105228</v>
      </c>
      <c r="B246" s="92" t="s">
        <v>258</v>
      </c>
      <c r="C246" s="82">
        <v>20000000</v>
      </c>
    </row>
    <row r="247" spans="1:3" ht="15.75" x14ac:dyDescent="0.25">
      <c r="A247" s="76"/>
      <c r="B247" s="83"/>
      <c r="C247" s="82"/>
    </row>
    <row r="248" spans="1:3" ht="27.75" customHeight="1" x14ac:dyDescent="0.25">
      <c r="A248" s="76"/>
      <c r="B248" s="77" t="s">
        <v>259</v>
      </c>
      <c r="C248" s="82"/>
    </row>
    <row r="249" spans="1:3" ht="15.75" x14ac:dyDescent="0.25">
      <c r="A249" s="79">
        <v>2210661</v>
      </c>
      <c r="B249" s="83" t="s">
        <v>260</v>
      </c>
      <c r="C249" s="85"/>
    </row>
    <row r="250" spans="1:3" x14ac:dyDescent="0.25">
      <c r="A250" s="76">
        <v>22106611</v>
      </c>
      <c r="B250" s="92" t="s">
        <v>217</v>
      </c>
      <c r="C250" s="82">
        <v>500000000</v>
      </c>
    </row>
    <row r="251" spans="1:3" ht="15.75" x14ac:dyDescent="0.25">
      <c r="A251" s="76"/>
      <c r="B251" s="83"/>
      <c r="C251" s="78"/>
    </row>
    <row r="252" spans="1:3" ht="15.75" x14ac:dyDescent="0.25">
      <c r="A252" s="76"/>
      <c r="B252" s="77" t="s">
        <v>5</v>
      </c>
      <c r="C252" s="78"/>
    </row>
    <row r="253" spans="1:3" ht="31.5" x14ac:dyDescent="0.25">
      <c r="A253" s="76"/>
      <c r="B253" s="77" t="s">
        <v>261</v>
      </c>
      <c r="C253" s="78"/>
    </row>
    <row r="254" spans="1:3" ht="31.5" x14ac:dyDescent="0.25">
      <c r="A254" s="76"/>
      <c r="B254" s="77" t="s">
        <v>262</v>
      </c>
      <c r="C254" s="78"/>
    </row>
    <row r="255" spans="1:3" ht="31.5" x14ac:dyDescent="0.25">
      <c r="A255" s="88">
        <v>2210750</v>
      </c>
      <c r="B255" s="89" t="s">
        <v>263</v>
      </c>
      <c r="C255" s="85"/>
    </row>
    <row r="256" spans="1:3" ht="30" x14ac:dyDescent="0.25">
      <c r="A256" s="93">
        <v>22107503</v>
      </c>
      <c r="B256" s="85" t="s">
        <v>264</v>
      </c>
      <c r="C256" s="90">
        <v>1926313812</v>
      </c>
    </row>
    <row r="257" spans="1:3" ht="30" x14ac:dyDescent="0.25">
      <c r="A257" s="93">
        <v>22107507</v>
      </c>
      <c r="B257" s="76" t="s">
        <v>265</v>
      </c>
      <c r="C257" s="90">
        <v>20000000</v>
      </c>
    </row>
    <row r="258" spans="1:3" ht="31.5" x14ac:dyDescent="0.25">
      <c r="A258" s="88">
        <v>2210751</v>
      </c>
      <c r="B258" s="89" t="s">
        <v>266</v>
      </c>
      <c r="C258" s="90"/>
    </row>
    <row r="259" spans="1:3" ht="30" x14ac:dyDescent="0.25">
      <c r="A259" s="93">
        <v>22107513</v>
      </c>
      <c r="B259" s="85" t="s">
        <v>264</v>
      </c>
      <c r="C259" s="90">
        <v>404863036</v>
      </c>
    </row>
    <row r="260" spans="1:3" ht="15.75" x14ac:dyDescent="0.25">
      <c r="A260" s="88">
        <v>2210752</v>
      </c>
      <c r="B260" s="89" t="s">
        <v>267</v>
      </c>
      <c r="C260" s="90"/>
    </row>
    <row r="261" spans="1:3" ht="30" x14ac:dyDescent="0.25">
      <c r="A261" s="93">
        <v>22107523</v>
      </c>
      <c r="B261" s="85" t="s">
        <v>264</v>
      </c>
      <c r="C261" s="90">
        <f>639480970+106709747+294957115</f>
        <v>1041147832</v>
      </c>
    </row>
    <row r="262" spans="1:3" x14ac:dyDescent="0.25">
      <c r="A262" s="93"/>
      <c r="B262" s="85"/>
      <c r="C262" s="90"/>
    </row>
    <row r="263" spans="1:3" ht="31.5" x14ac:dyDescent="0.25">
      <c r="A263" s="76"/>
      <c r="B263" s="83" t="s">
        <v>268</v>
      </c>
      <c r="C263" s="78"/>
    </row>
    <row r="264" spans="1:3" ht="31.5" x14ac:dyDescent="0.25">
      <c r="A264" s="76"/>
      <c r="B264" s="77" t="s">
        <v>269</v>
      </c>
      <c r="C264" s="78"/>
    </row>
    <row r="265" spans="1:3" ht="31.5" x14ac:dyDescent="0.25">
      <c r="A265" s="79">
        <v>2210666</v>
      </c>
      <c r="B265" s="84" t="s">
        <v>270</v>
      </c>
      <c r="C265" s="85"/>
    </row>
    <row r="266" spans="1:3" x14ac:dyDescent="0.25">
      <c r="A266" s="76">
        <v>22106661</v>
      </c>
      <c r="B266" s="92" t="s">
        <v>271</v>
      </c>
      <c r="C266" s="82">
        <f>17812882951+41000000</f>
        <v>17853882951</v>
      </c>
    </row>
    <row r="267" spans="1:3" ht="30" x14ac:dyDescent="0.25">
      <c r="A267" s="76">
        <v>22106665</v>
      </c>
      <c r="B267" s="92" t="s">
        <v>272</v>
      </c>
      <c r="C267" s="82">
        <v>6625000000</v>
      </c>
    </row>
    <row r="268" spans="1:3" ht="30" x14ac:dyDescent="0.25">
      <c r="A268" s="76">
        <v>22106666</v>
      </c>
      <c r="B268" s="92" t="s">
        <v>273</v>
      </c>
      <c r="C268" s="82">
        <v>14500000000</v>
      </c>
    </row>
    <row r="269" spans="1:3" x14ac:dyDescent="0.25">
      <c r="A269" s="76">
        <v>22106667</v>
      </c>
      <c r="B269" s="92" t="s">
        <v>274</v>
      </c>
      <c r="C269" s="82">
        <v>800000000</v>
      </c>
    </row>
    <row r="270" spans="1:3" ht="15.75" x14ac:dyDescent="0.25">
      <c r="A270" s="76"/>
      <c r="B270" s="92"/>
      <c r="C270" s="78"/>
    </row>
    <row r="271" spans="1:3" ht="15.75" x14ac:dyDescent="0.25">
      <c r="A271" s="94"/>
      <c r="B271" s="61"/>
      <c r="C271" s="60"/>
    </row>
    <row r="272" spans="1:3" ht="15.75" x14ac:dyDescent="0.25">
      <c r="A272" s="63"/>
      <c r="B272" s="66" t="s">
        <v>275</v>
      </c>
      <c r="C272" s="69">
        <f>SUM(C186:C271)</f>
        <v>95482830240.720001</v>
      </c>
    </row>
    <row r="273" spans="1:3" ht="15.75" x14ac:dyDescent="0.25">
      <c r="A273" s="63"/>
      <c r="B273" s="66"/>
      <c r="C273" s="60"/>
    </row>
    <row r="274" spans="1:3" ht="15.75" x14ac:dyDescent="0.25">
      <c r="A274" s="95"/>
      <c r="B274" s="96"/>
      <c r="C274" s="97"/>
    </row>
    <row r="275" spans="1:3" ht="15.75" x14ac:dyDescent="0.25">
      <c r="A275" s="98"/>
      <c r="B275" s="304" t="s">
        <v>6</v>
      </c>
      <c r="C275" s="60"/>
    </row>
    <row r="276" spans="1:3" ht="15.75" x14ac:dyDescent="0.25">
      <c r="A276" s="98"/>
      <c r="B276" s="74"/>
      <c r="C276" s="60"/>
    </row>
    <row r="277" spans="1:3" ht="31.5" x14ac:dyDescent="0.25">
      <c r="A277" s="98"/>
      <c r="B277" s="99" t="s">
        <v>276</v>
      </c>
      <c r="C277" s="60"/>
    </row>
    <row r="278" spans="1:3" ht="31.5" x14ac:dyDescent="0.25">
      <c r="A278" s="98"/>
      <c r="B278" s="99" t="s">
        <v>7</v>
      </c>
      <c r="C278" s="60"/>
    </row>
    <row r="279" spans="1:3" ht="15.75" x14ac:dyDescent="0.25">
      <c r="A279" s="98"/>
      <c r="B279" s="99" t="s">
        <v>277</v>
      </c>
      <c r="C279" s="60"/>
    </row>
    <row r="280" spans="1:3" ht="15.75" x14ac:dyDescent="0.25">
      <c r="A280" s="98"/>
      <c r="B280" s="99" t="s">
        <v>278</v>
      </c>
      <c r="C280" s="60"/>
    </row>
    <row r="281" spans="1:3" ht="63" x14ac:dyDescent="0.25">
      <c r="A281" s="100">
        <v>2210204</v>
      </c>
      <c r="B281" s="101" t="s">
        <v>279</v>
      </c>
      <c r="C281" s="102"/>
    </row>
    <row r="282" spans="1:3" ht="15.75" x14ac:dyDescent="0.25">
      <c r="A282" s="103">
        <v>22102041</v>
      </c>
      <c r="B282" s="104" t="s">
        <v>217</v>
      </c>
      <c r="C282" s="102">
        <v>3321049914</v>
      </c>
    </row>
    <row r="283" spans="1:3" ht="15.75" x14ac:dyDescent="0.25">
      <c r="A283" s="105">
        <v>2210171</v>
      </c>
      <c r="B283" s="84" t="s">
        <v>280</v>
      </c>
      <c r="C283" s="102"/>
    </row>
    <row r="284" spans="1:3" ht="15.75" x14ac:dyDescent="0.25">
      <c r="A284" s="103" t="s">
        <v>281</v>
      </c>
      <c r="B284" s="104" t="s">
        <v>217</v>
      </c>
      <c r="C284" s="102">
        <v>101382000</v>
      </c>
    </row>
    <row r="285" spans="1:3" ht="15.75" x14ac:dyDescent="0.25">
      <c r="A285" s="103"/>
      <c r="B285" s="104"/>
      <c r="C285" s="102"/>
    </row>
    <row r="286" spans="1:3" ht="31.5" x14ac:dyDescent="0.25">
      <c r="A286" s="103"/>
      <c r="B286" s="106" t="s">
        <v>8</v>
      </c>
      <c r="C286" s="102"/>
    </row>
    <row r="287" spans="1:3" ht="15.75" x14ac:dyDescent="0.25">
      <c r="A287" s="103"/>
      <c r="B287" s="106" t="s">
        <v>277</v>
      </c>
      <c r="C287" s="102"/>
    </row>
    <row r="288" spans="1:3" ht="15.75" x14ac:dyDescent="0.25">
      <c r="A288" s="103"/>
      <c r="B288" s="106" t="s">
        <v>282</v>
      </c>
      <c r="C288" s="102"/>
    </row>
    <row r="289" spans="1:3" ht="31.5" x14ac:dyDescent="0.25">
      <c r="A289" s="63">
        <v>2210261</v>
      </c>
      <c r="B289" s="84" t="s">
        <v>283</v>
      </c>
      <c r="C289" s="102"/>
    </row>
    <row r="290" spans="1:3" ht="15.75" x14ac:dyDescent="0.25">
      <c r="A290" s="103" t="s">
        <v>284</v>
      </c>
      <c r="B290" s="107" t="s">
        <v>217</v>
      </c>
      <c r="C290" s="102">
        <v>1330556327</v>
      </c>
    </row>
    <row r="291" spans="1:3" ht="15.75" x14ac:dyDescent="0.25">
      <c r="A291" s="103"/>
      <c r="B291" s="104" t="s">
        <v>285</v>
      </c>
      <c r="C291" s="102">
        <v>303041910</v>
      </c>
    </row>
    <row r="292" spans="1:3" ht="15.75" x14ac:dyDescent="0.25">
      <c r="A292" s="103"/>
      <c r="B292" s="84" t="s">
        <v>286</v>
      </c>
      <c r="C292" s="102"/>
    </row>
    <row r="293" spans="1:3" ht="15.75" x14ac:dyDescent="0.25">
      <c r="A293" s="63">
        <v>2210278</v>
      </c>
      <c r="B293" s="84" t="s">
        <v>287</v>
      </c>
      <c r="C293" s="102"/>
    </row>
    <row r="294" spans="1:3" ht="15.75" x14ac:dyDescent="0.25">
      <c r="A294" s="103" t="s">
        <v>288</v>
      </c>
      <c r="B294" s="107" t="s">
        <v>289</v>
      </c>
      <c r="C294" s="102">
        <v>54600000</v>
      </c>
    </row>
    <row r="295" spans="1:3" ht="15.75" x14ac:dyDescent="0.25">
      <c r="A295" s="103"/>
      <c r="B295" s="107"/>
      <c r="C295" s="102"/>
    </row>
    <row r="296" spans="1:3" ht="31.5" x14ac:dyDescent="0.25">
      <c r="A296" s="103"/>
      <c r="B296" s="84" t="s">
        <v>290</v>
      </c>
      <c r="C296" s="102"/>
    </row>
    <row r="297" spans="1:3" ht="31.5" x14ac:dyDescent="0.25">
      <c r="A297" s="63">
        <v>1110483</v>
      </c>
      <c r="B297" s="84" t="s">
        <v>291</v>
      </c>
      <c r="C297" s="102"/>
    </row>
    <row r="298" spans="1:3" ht="15.75" x14ac:dyDescent="0.25">
      <c r="A298" s="103" t="s">
        <v>292</v>
      </c>
      <c r="B298" s="107" t="s">
        <v>293</v>
      </c>
      <c r="C298" s="102">
        <v>1331993794</v>
      </c>
    </row>
    <row r="299" spans="1:3" ht="60" customHeight="1" x14ac:dyDescent="0.25">
      <c r="A299" s="105">
        <v>2210295</v>
      </c>
      <c r="B299" s="108" t="s">
        <v>294</v>
      </c>
      <c r="C299" s="102"/>
    </row>
    <row r="300" spans="1:3" ht="15.75" x14ac:dyDescent="0.25">
      <c r="A300" s="103">
        <v>22102951</v>
      </c>
      <c r="B300" s="104" t="s">
        <v>295</v>
      </c>
      <c r="C300" s="109">
        <v>45000000</v>
      </c>
    </row>
    <row r="301" spans="1:3" ht="31.5" x14ac:dyDescent="0.25">
      <c r="A301" s="105">
        <v>2210919</v>
      </c>
      <c r="B301" s="106" t="s">
        <v>296</v>
      </c>
      <c r="C301" s="102">
        <v>0</v>
      </c>
    </row>
    <row r="302" spans="1:3" ht="15.75" x14ac:dyDescent="0.25">
      <c r="A302" s="103" t="s">
        <v>297</v>
      </c>
      <c r="B302" s="104" t="s">
        <v>295</v>
      </c>
      <c r="C302" s="102">
        <v>23061673</v>
      </c>
    </row>
    <row r="303" spans="1:3" ht="15.75" x14ac:dyDescent="0.25">
      <c r="A303" s="103">
        <v>22109192</v>
      </c>
      <c r="B303" s="104" t="s">
        <v>285</v>
      </c>
      <c r="C303" s="102">
        <f>258158327-235567619+382-C304</f>
        <v>18591090</v>
      </c>
    </row>
    <row r="304" spans="1:3" ht="15.75" x14ac:dyDescent="0.25">
      <c r="A304" s="103">
        <v>22109194</v>
      </c>
      <c r="B304" s="104" t="s">
        <v>298</v>
      </c>
      <c r="C304" s="102">
        <v>4000000</v>
      </c>
    </row>
    <row r="305" spans="1:3" ht="15.75" x14ac:dyDescent="0.25">
      <c r="A305" s="103">
        <v>22109195</v>
      </c>
      <c r="B305" s="104" t="s">
        <v>299</v>
      </c>
      <c r="C305" s="102">
        <v>235567619</v>
      </c>
    </row>
    <row r="306" spans="1:3" ht="15.75" x14ac:dyDescent="0.25">
      <c r="A306" s="110"/>
      <c r="B306" s="61"/>
      <c r="C306" s="60"/>
    </row>
    <row r="307" spans="1:3" ht="15.75" x14ac:dyDescent="0.25">
      <c r="A307" s="110"/>
      <c r="B307" s="66" t="s">
        <v>300</v>
      </c>
      <c r="C307" s="60"/>
    </row>
    <row r="308" spans="1:3" ht="15.75" x14ac:dyDescent="0.25">
      <c r="A308" s="98"/>
      <c r="B308" s="111" t="s">
        <v>301</v>
      </c>
      <c r="C308" s="60"/>
    </row>
    <row r="309" spans="1:3" ht="15.75" x14ac:dyDescent="0.25">
      <c r="A309" s="98"/>
      <c r="B309" s="66"/>
      <c r="C309" s="60"/>
    </row>
    <row r="310" spans="1:3" ht="31.5" x14ac:dyDescent="0.25">
      <c r="A310" s="75"/>
      <c r="B310" s="99" t="s">
        <v>213</v>
      </c>
      <c r="C310" s="60"/>
    </row>
    <row r="311" spans="1:3" ht="31.5" x14ac:dyDescent="0.25">
      <c r="A311" s="75"/>
      <c r="B311" s="99" t="s">
        <v>9</v>
      </c>
      <c r="C311" s="60"/>
    </row>
    <row r="312" spans="1:3" ht="15.75" x14ac:dyDescent="0.25">
      <c r="A312" s="75"/>
      <c r="B312" s="99" t="s">
        <v>302</v>
      </c>
      <c r="C312" s="60"/>
    </row>
    <row r="313" spans="1:3" ht="31.5" x14ac:dyDescent="0.25">
      <c r="A313" s="75"/>
      <c r="B313" s="99" t="s">
        <v>303</v>
      </c>
      <c r="C313" s="62"/>
    </row>
    <row r="314" spans="1:3" ht="15.75" x14ac:dyDescent="0.25">
      <c r="A314" s="112">
        <v>2210019</v>
      </c>
      <c r="B314" s="99" t="s">
        <v>304</v>
      </c>
      <c r="C314" s="113"/>
    </row>
    <row r="315" spans="1:3" ht="15.75" x14ac:dyDescent="0.25">
      <c r="A315" s="114" t="s">
        <v>305</v>
      </c>
      <c r="B315" s="115" t="s">
        <v>217</v>
      </c>
      <c r="C315" s="113">
        <v>100000000</v>
      </c>
    </row>
    <row r="316" spans="1:3" ht="15.75" x14ac:dyDescent="0.25">
      <c r="A316" s="114"/>
      <c r="B316" s="115"/>
      <c r="C316" s="113"/>
    </row>
    <row r="317" spans="1:3" ht="15.75" x14ac:dyDescent="0.25">
      <c r="A317" s="75"/>
      <c r="B317" s="99" t="s">
        <v>218</v>
      </c>
      <c r="C317" s="113"/>
    </row>
    <row r="318" spans="1:3" ht="47.25" x14ac:dyDescent="0.25">
      <c r="A318" s="75"/>
      <c r="B318" s="99" t="s">
        <v>10</v>
      </c>
      <c r="C318" s="113"/>
    </row>
    <row r="319" spans="1:3" ht="15.75" x14ac:dyDescent="0.25">
      <c r="A319" s="75"/>
      <c r="B319" s="99" t="s">
        <v>306</v>
      </c>
      <c r="C319" s="62"/>
    </row>
    <row r="320" spans="1:3" ht="15.75" x14ac:dyDescent="0.25">
      <c r="A320" s="75"/>
      <c r="B320" s="99" t="s">
        <v>307</v>
      </c>
      <c r="C320" s="62"/>
    </row>
    <row r="321" spans="1:3" ht="15.75" x14ac:dyDescent="0.25">
      <c r="A321" s="112">
        <v>2210273</v>
      </c>
      <c r="B321" s="99" t="s">
        <v>308</v>
      </c>
      <c r="C321" s="113"/>
    </row>
    <row r="322" spans="1:3" ht="15.75" x14ac:dyDescent="0.25">
      <c r="A322" s="114" t="s">
        <v>309</v>
      </c>
      <c r="B322" s="115" t="s">
        <v>310</v>
      </c>
      <c r="C322" s="113">
        <v>168750000</v>
      </c>
    </row>
    <row r="323" spans="1:3" ht="31.5" x14ac:dyDescent="0.25">
      <c r="A323" s="75"/>
      <c r="B323" s="99" t="s">
        <v>311</v>
      </c>
      <c r="C323" s="113"/>
    </row>
    <row r="324" spans="1:3" ht="15.75" x14ac:dyDescent="0.25">
      <c r="A324" s="112">
        <v>2210917</v>
      </c>
      <c r="B324" s="99" t="s">
        <v>312</v>
      </c>
      <c r="C324" s="113"/>
    </row>
    <row r="325" spans="1:3" ht="15.75" x14ac:dyDescent="0.25">
      <c r="A325" s="114" t="s">
        <v>313</v>
      </c>
      <c r="B325" s="115" t="s">
        <v>310</v>
      </c>
      <c r="C325" s="113">
        <v>307430000</v>
      </c>
    </row>
    <row r="326" spans="1:3" ht="15.75" x14ac:dyDescent="0.25">
      <c r="A326" s="114"/>
      <c r="B326" s="115"/>
      <c r="C326" s="113"/>
    </row>
    <row r="327" spans="1:3" ht="15.75" x14ac:dyDescent="0.25">
      <c r="A327" s="75"/>
      <c r="B327" s="99" t="s">
        <v>11</v>
      </c>
      <c r="C327" s="113"/>
    </row>
    <row r="328" spans="1:3" ht="15.75" x14ac:dyDescent="0.25">
      <c r="A328" s="75"/>
      <c r="B328" s="99" t="s">
        <v>306</v>
      </c>
      <c r="C328" s="113"/>
    </row>
    <row r="329" spans="1:3" ht="15.75" x14ac:dyDescent="0.25">
      <c r="A329" s="75"/>
      <c r="B329" s="99" t="s">
        <v>314</v>
      </c>
      <c r="C329" s="113"/>
    </row>
    <row r="330" spans="1:3" ht="15.75" x14ac:dyDescent="0.25">
      <c r="A330" s="112">
        <v>2210994</v>
      </c>
      <c r="B330" s="99" t="s">
        <v>315</v>
      </c>
      <c r="C330" s="113"/>
    </row>
    <row r="331" spans="1:3" ht="15.75" x14ac:dyDescent="0.25">
      <c r="A331" s="114" t="s">
        <v>316</v>
      </c>
      <c r="B331" s="115" t="s">
        <v>310</v>
      </c>
      <c r="C331" s="60">
        <v>161500000</v>
      </c>
    </row>
    <row r="332" spans="1:3" ht="15.75" x14ac:dyDescent="0.25">
      <c r="A332" s="75"/>
      <c r="B332" s="99" t="s">
        <v>317</v>
      </c>
      <c r="C332" s="69"/>
    </row>
    <row r="333" spans="1:3" ht="31.5" x14ac:dyDescent="0.25">
      <c r="A333" s="112">
        <v>2210244</v>
      </c>
      <c r="B333" s="99" t="s">
        <v>318</v>
      </c>
      <c r="C333" s="60"/>
    </row>
    <row r="334" spans="1:3" ht="15.75" x14ac:dyDescent="0.25">
      <c r="A334" s="114" t="s">
        <v>319</v>
      </c>
      <c r="B334" s="115" t="s">
        <v>310</v>
      </c>
      <c r="C334" s="60">
        <v>134175684</v>
      </c>
    </row>
    <row r="335" spans="1:3" ht="15.75" x14ac:dyDescent="0.25">
      <c r="A335" s="114" t="s">
        <v>320</v>
      </c>
      <c r="B335" s="115" t="s">
        <v>321</v>
      </c>
      <c r="C335" s="60">
        <v>0</v>
      </c>
    </row>
    <row r="336" spans="1:3" ht="15.75" x14ac:dyDescent="0.25">
      <c r="A336" s="114"/>
      <c r="B336" s="115"/>
      <c r="C336" s="60"/>
    </row>
    <row r="337" spans="1:3" ht="31.5" x14ac:dyDescent="0.25">
      <c r="A337" s="75"/>
      <c r="B337" s="99" t="s">
        <v>322</v>
      </c>
      <c r="C337" s="60"/>
    </row>
    <row r="338" spans="1:3" ht="15.75" x14ac:dyDescent="0.25">
      <c r="A338" s="75"/>
      <c r="B338" s="99" t="s">
        <v>12</v>
      </c>
      <c r="C338" s="60"/>
    </row>
    <row r="339" spans="1:3" ht="15.75" x14ac:dyDescent="0.25">
      <c r="A339" s="75"/>
      <c r="B339" s="99" t="s">
        <v>306</v>
      </c>
      <c r="C339" s="60"/>
    </row>
    <row r="340" spans="1:3" ht="31.5" x14ac:dyDescent="0.25">
      <c r="A340" s="75"/>
      <c r="B340" s="99" t="s">
        <v>323</v>
      </c>
      <c r="C340" s="60"/>
    </row>
    <row r="341" spans="1:3" ht="31.5" x14ac:dyDescent="0.25">
      <c r="A341" s="112">
        <v>2210240</v>
      </c>
      <c r="B341" s="99" t="s">
        <v>324</v>
      </c>
      <c r="C341" s="60"/>
    </row>
    <row r="342" spans="1:3" ht="15.75" x14ac:dyDescent="0.25">
      <c r="A342" s="114" t="s">
        <v>325</v>
      </c>
      <c r="B342" s="115" t="s">
        <v>310</v>
      </c>
      <c r="C342" s="60">
        <v>39600000</v>
      </c>
    </row>
    <row r="343" spans="1:3" ht="15.75" x14ac:dyDescent="0.25">
      <c r="A343" s="114"/>
      <c r="B343" s="115"/>
      <c r="C343" s="60"/>
    </row>
    <row r="344" spans="1:3" ht="15.75" x14ac:dyDescent="0.25">
      <c r="A344" s="75"/>
      <c r="B344" s="99" t="s">
        <v>228</v>
      </c>
      <c r="C344" s="60"/>
    </row>
    <row r="345" spans="1:3" ht="31.5" x14ac:dyDescent="0.25">
      <c r="A345" s="75"/>
      <c r="B345" s="99" t="s">
        <v>13</v>
      </c>
      <c r="C345" s="60"/>
    </row>
    <row r="346" spans="1:3" ht="15.75" x14ac:dyDescent="0.25">
      <c r="A346" s="75"/>
      <c r="B346" s="99" t="s">
        <v>306</v>
      </c>
      <c r="C346" s="60"/>
    </row>
    <row r="347" spans="1:3" ht="15.75" x14ac:dyDescent="0.25">
      <c r="A347" s="75"/>
      <c r="B347" s="99" t="s">
        <v>230</v>
      </c>
      <c r="C347" s="60"/>
    </row>
    <row r="348" spans="1:3" ht="15.75" x14ac:dyDescent="0.25">
      <c r="A348" s="112">
        <v>2210206</v>
      </c>
      <c r="B348" s="99" t="s">
        <v>326</v>
      </c>
      <c r="C348" s="60"/>
    </row>
    <row r="349" spans="1:3" ht="15.75" x14ac:dyDescent="0.25">
      <c r="A349" s="116">
        <v>22102061</v>
      </c>
      <c r="B349" s="117" t="s">
        <v>217</v>
      </c>
      <c r="C349" s="60">
        <v>276161078</v>
      </c>
    </row>
    <row r="350" spans="1:3" ht="15.75" x14ac:dyDescent="0.25">
      <c r="A350" s="114" t="s">
        <v>327</v>
      </c>
      <c r="B350" s="115" t="s">
        <v>328</v>
      </c>
      <c r="C350" s="60">
        <v>117602455</v>
      </c>
    </row>
    <row r="351" spans="1:3" ht="15.75" x14ac:dyDescent="0.25">
      <c r="A351" s="114">
        <v>22102067</v>
      </c>
      <c r="B351" s="115" t="s">
        <v>329</v>
      </c>
      <c r="C351" s="60">
        <v>50000000</v>
      </c>
    </row>
    <row r="352" spans="1:3" ht="15.75" x14ac:dyDescent="0.25">
      <c r="A352" s="114" t="s">
        <v>330</v>
      </c>
      <c r="B352" s="115" t="s">
        <v>331</v>
      </c>
      <c r="C352" s="60">
        <v>406395832</v>
      </c>
    </row>
    <row r="353" spans="1:3" ht="15.75" x14ac:dyDescent="0.25">
      <c r="A353" s="112">
        <v>2210220</v>
      </c>
      <c r="B353" s="99" t="s">
        <v>332</v>
      </c>
      <c r="C353" s="60"/>
    </row>
    <row r="354" spans="1:3" ht="15.75" x14ac:dyDescent="0.25">
      <c r="A354" s="114" t="s">
        <v>333</v>
      </c>
      <c r="B354" s="115" t="s">
        <v>310</v>
      </c>
      <c r="C354" s="60">
        <v>440800000</v>
      </c>
    </row>
    <row r="355" spans="1:3" ht="15.75" x14ac:dyDescent="0.25">
      <c r="A355" s="112">
        <v>2210233</v>
      </c>
      <c r="B355" s="99" t="s">
        <v>334</v>
      </c>
      <c r="C355" s="60"/>
    </row>
    <row r="356" spans="1:3" ht="15.75" x14ac:dyDescent="0.25">
      <c r="A356" s="114" t="s">
        <v>335</v>
      </c>
      <c r="B356" s="115" t="s">
        <v>310</v>
      </c>
      <c r="C356" s="60">
        <v>215000000</v>
      </c>
    </row>
    <row r="357" spans="1:3" ht="15.75" x14ac:dyDescent="0.25">
      <c r="A357" s="114" t="s">
        <v>336</v>
      </c>
      <c r="B357" s="115" t="s">
        <v>331</v>
      </c>
      <c r="C357" s="60">
        <v>60000000</v>
      </c>
    </row>
    <row r="358" spans="1:3" ht="31.5" x14ac:dyDescent="0.25">
      <c r="A358" s="112">
        <v>2210239</v>
      </c>
      <c r="B358" s="99" t="s">
        <v>337</v>
      </c>
      <c r="C358" s="69"/>
    </row>
    <row r="359" spans="1:3" ht="15.75" x14ac:dyDescent="0.25">
      <c r="A359" s="114" t="s">
        <v>338</v>
      </c>
      <c r="B359" s="115" t="s">
        <v>310</v>
      </c>
      <c r="C359" s="60">
        <v>454257469</v>
      </c>
    </row>
    <row r="360" spans="1:3" ht="15.75" x14ac:dyDescent="0.25">
      <c r="A360" s="114" t="s">
        <v>339</v>
      </c>
      <c r="B360" s="115" t="s">
        <v>331</v>
      </c>
      <c r="C360" s="60">
        <v>126423615</v>
      </c>
    </row>
    <row r="361" spans="1:3" ht="31.5" x14ac:dyDescent="0.25">
      <c r="A361" s="112">
        <v>2210241</v>
      </c>
      <c r="B361" s="99" t="s">
        <v>340</v>
      </c>
      <c r="C361" s="69"/>
    </row>
    <row r="362" spans="1:3" ht="15.75" x14ac:dyDescent="0.25">
      <c r="A362" s="114" t="s">
        <v>341</v>
      </c>
      <c r="B362" s="115" t="s">
        <v>310</v>
      </c>
      <c r="C362" s="60">
        <v>336924360</v>
      </c>
    </row>
    <row r="363" spans="1:3" ht="15.75" x14ac:dyDescent="0.25">
      <c r="A363" s="112">
        <v>2210242</v>
      </c>
      <c r="B363" s="99" t="s">
        <v>342</v>
      </c>
      <c r="C363" s="69"/>
    </row>
    <row r="364" spans="1:3" ht="15.75" x14ac:dyDescent="0.25">
      <c r="A364" s="114" t="s">
        <v>343</v>
      </c>
      <c r="B364" s="115" t="s">
        <v>310</v>
      </c>
      <c r="C364" s="60">
        <v>58300000</v>
      </c>
    </row>
    <row r="365" spans="1:3" ht="31.5" x14ac:dyDescent="0.25">
      <c r="A365" s="112">
        <v>2210246</v>
      </c>
      <c r="B365" s="99" t="s">
        <v>344</v>
      </c>
      <c r="C365" s="69"/>
    </row>
    <row r="366" spans="1:3" ht="15.75" x14ac:dyDescent="0.25">
      <c r="A366" s="114" t="s">
        <v>345</v>
      </c>
      <c r="B366" s="115" t="s">
        <v>217</v>
      </c>
      <c r="C366" s="60">
        <v>250000000</v>
      </c>
    </row>
    <row r="367" spans="1:3" ht="15.75" x14ac:dyDescent="0.25">
      <c r="A367" s="114" t="s">
        <v>346</v>
      </c>
      <c r="B367" s="115" t="s">
        <v>310</v>
      </c>
      <c r="C367" s="60">
        <v>414097545</v>
      </c>
    </row>
    <row r="368" spans="1:3" ht="15.75" x14ac:dyDescent="0.25">
      <c r="A368" s="114" t="s">
        <v>347</v>
      </c>
      <c r="B368" s="115" t="s">
        <v>331</v>
      </c>
      <c r="C368" s="60">
        <v>100000000</v>
      </c>
    </row>
    <row r="369" spans="1:3" ht="31.5" x14ac:dyDescent="0.25">
      <c r="A369" s="112">
        <v>2210247</v>
      </c>
      <c r="B369" s="99" t="s">
        <v>348</v>
      </c>
      <c r="C369" s="69"/>
    </row>
    <row r="370" spans="1:3" ht="15.75" x14ac:dyDescent="0.25">
      <c r="A370" s="114" t="s">
        <v>349</v>
      </c>
      <c r="B370" s="115" t="s">
        <v>310</v>
      </c>
      <c r="C370" s="60">
        <v>452600000</v>
      </c>
    </row>
    <row r="371" spans="1:3" ht="15.75" x14ac:dyDescent="0.25">
      <c r="A371" s="112">
        <v>2210506</v>
      </c>
      <c r="B371" s="99" t="s">
        <v>350</v>
      </c>
      <c r="C371" s="69"/>
    </row>
    <row r="372" spans="1:3" ht="15.75" x14ac:dyDescent="0.25">
      <c r="A372" s="114" t="s">
        <v>351</v>
      </c>
      <c r="B372" s="115" t="s">
        <v>217</v>
      </c>
      <c r="C372" s="60">
        <v>837159404</v>
      </c>
    </row>
    <row r="373" spans="1:3" ht="15.75" x14ac:dyDescent="0.25">
      <c r="A373" s="114" t="s">
        <v>352</v>
      </c>
      <c r="B373" s="115" t="s">
        <v>310</v>
      </c>
      <c r="C373" s="60">
        <v>252726179</v>
      </c>
    </row>
    <row r="374" spans="1:3" ht="15.75" x14ac:dyDescent="0.25">
      <c r="A374" s="112">
        <v>2210997</v>
      </c>
      <c r="B374" s="99" t="s">
        <v>353</v>
      </c>
      <c r="C374" s="69"/>
    </row>
    <row r="375" spans="1:3" ht="15.75" x14ac:dyDescent="0.25">
      <c r="A375" s="114" t="s">
        <v>354</v>
      </c>
      <c r="B375" s="115" t="s">
        <v>310</v>
      </c>
      <c r="C375" s="60">
        <v>381900000</v>
      </c>
    </row>
    <row r="376" spans="1:3" ht="15.75" x14ac:dyDescent="0.25">
      <c r="A376" s="114"/>
      <c r="B376" s="115"/>
      <c r="C376" s="107"/>
    </row>
    <row r="377" spans="1:3" ht="31.5" x14ac:dyDescent="0.25">
      <c r="A377" s="114"/>
      <c r="B377" s="111" t="s">
        <v>355</v>
      </c>
      <c r="C377" s="107"/>
    </row>
    <row r="378" spans="1:3" ht="15.75" x14ac:dyDescent="0.25">
      <c r="A378" s="114"/>
      <c r="B378" s="115"/>
      <c r="C378" s="107"/>
    </row>
    <row r="379" spans="1:3" ht="15.75" x14ac:dyDescent="0.25">
      <c r="A379" s="75"/>
      <c r="B379" s="99" t="s">
        <v>356</v>
      </c>
      <c r="C379" s="60"/>
    </row>
    <row r="380" spans="1:3" ht="31.5" x14ac:dyDescent="0.25">
      <c r="A380" s="75"/>
      <c r="B380" s="99" t="s">
        <v>13</v>
      </c>
      <c r="C380" s="60"/>
    </row>
    <row r="381" spans="1:3" ht="15.75" x14ac:dyDescent="0.25">
      <c r="A381" s="75"/>
      <c r="B381" s="99" t="s">
        <v>306</v>
      </c>
      <c r="C381" s="60"/>
    </row>
    <row r="382" spans="1:3" ht="15.75" x14ac:dyDescent="0.25">
      <c r="A382" s="75"/>
      <c r="B382" s="99" t="s">
        <v>357</v>
      </c>
      <c r="C382" s="60"/>
    </row>
    <row r="383" spans="1:3" ht="15.75" x14ac:dyDescent="0.25">
      <c r="A383" s="112">
        <v>2210544</v>
      </c>
      <c r="B383" s="99" t="s">
        <v>358</v>
      </c>
      <c r="C383" s="60"/>
    </row>
    <row r="384" spans="1:3" ht="15.75" x14ac:dyDescent="0.25">
      <c r="A384" s="114" t="s">
        <v>359</v>
      </c>
      <c r="B384" s="115" t="s">
        <v>360</v>
      </c>
      <c r="C384" s="60">
        <v>45082612805</v>
      </c>
    </row>
    <row r="385" spans="1:3" ht="30.75" x14ac:dyDescent="0.25">
      <c r="A385" s="114" t="s">
        <v>361</v>
      </c>
      <c r="B385" s="115" t="s">
        <v>362</v>
      </c>
      <c r="C385" s="60">
        <v>360000000</v>
      </c>
    </row>
    <row r="386" spans="1:3" ht="30.75" x14ac:dyDescent="0.25">
      <c r="A386" s="114" t="s">
        <v>363</v>
      </c>
      <c r="B386" s="115" t="s">
        <v>364</v>
      </c>
      <c r="C386" s="60">
        <v>486247978</v>
      </c>
    </row>
    <row r="387" spans="1:3" ht="15.75" x14ac:dyDescent="0.25">
      <c r="A387" s="114">
        <v>22105447</v>
      </c>
      <c r="B387" s="115" t="s">
        <v>365</v>
      </c>
      <c r="C387" s="60">
        <v>200000000</v>
      </c>
    </row>
    <row r="388" spans="1:3" ht="15.75" x14ac:dyDescent="0.25">
      <c r="A388" s="114" t="s">
        <v>366</v>
      </c>
      <c r="B388" s="115" t="s">
        <v>367</v>
      </c>
      <c r="C388" s="60">
        <v>69366818078</v>
      </c>
    </row>
    <row r="389" spans="1:3" ht="15.75" x14ac:dyDescent="0.25">
      <c r="A389" s="114">
        <v>22105448</v>
      </c>
      <c r="B389" s="115" t="s">
        <v>368</v>
      </c>
      <c r="C389" s="60">
        <v>10000000000</v>
      </c>
    </row>
    <row r="390" spans="1:3" ht="15.75" x14ac:dyDescent="0.25">
      <c r="A390" s="114" t="s">
        <v>369</v>
      </c>
      <c r="B390" s="115" t="s">
        <v>331</v>
      </c>
      <c r="C390" s="60">
        <v>4010171408</v>
      </c>
    </row>
    <row r="391" spans="1:3" ht="15.75" x14ac:dyDescent="0.25">
      <c r="A391" s="114"/>
      <c r="B391" s="115"/>
      <c r="C391" s="60"/>
    </row>
    <row r="392" spans="1:3" ht="15.75" x14ac:dyDescent="0.25">
      <c r="A392" s="112">
        <v>2210545</v>
      </c>
      <c r="B392" s="99" t="s">
        <v>370</v>
      </c>
      <c r="C392" s="60"/>
    </row>
    <row r="393" spans="1:3" ht="15.75" x14ac:dyDescent="0.25">
      <c r="A393" s="114" t="s">
        <v>371</v>
      </c>
      <c r="B393" s="115" t="s">
        <v>370</v>
      </c>
      <c r="C393" s="60">
        <v>7754550479</v>
      </c>
    </row>
    <row r="394" spans="1:3" ht="15.75" x14ac:dyDescent="0.25">
      <c r="A394" s="114">
        <v>22105452</v>
      </c>
      <c r="B394" s="115" t="s">
        <v>372</v>
      </c>
      <c r="C394" s="60">
        <v>192383936</v>
      </c>
    </row>
    <row r="395" spans="1:3" ht="15.75" x14ac:dyDescent="0.25">
      <c r="A395" s="114"/>
      <c r="B395" s="115"/>
      <c r="C395" s="60"/>
    </row>
    <row r="396" spans="1:3" ht="15.75" x14ac:dyDescent="0.25">
      <c r="A396" s="112">
        <v>2210544</v>
      </c>
      <c r="B396" s="99" t="s">
        <v>358</v>
      </c>
      <c r="C396" s="69"/>
    </row>
    <row r="397" spans="1:3" ht="15.75" x14ac:dyDescent="0.25">
      <c r="A397" s="114" t="s">
        <v>373</v>
      </c>
      <c r="B397" s="115" t="s">
        <v>374</v>
      </c>
      <c r="C397" s="60">
        <v>8853284023.9300003</v>
      </c>
    </row>
    <row r="398" spans="1:3" ht="30.75" hidden="1" x14ac:dyDescent="0.25">
      <c r="A398" s="114" t="s">
        <v>375</v>
      </c>
      <c r="B398" s="115" t="s">
        <v>376</v>
      </c>
      <c r="C398" s="60">
        <v>0</v>
      </c>
    </row>
    <row r="399" spans="1:3" ht="30.75" x14ac:dyDescent="0.25">
      <c r="A399" s="114" t="s">
        <v>377</v>
      </c>
      <c r="B399" s="115" t="s">
        <v>378</v>
      </c>
      <c r="C399" s="60">
        <v>24058778380</v>
      </c>
    </row>
    <row r="400" spans="1:3" ht="15.75" x14ac:dyDescent="0.25">
      <c r="A400" s="114"/>
      <c r="B400" s="115"/>
      <c r="C400" s="60"/>
    </row>
    <row r="401" spans="1:3" ht="15.75" x14ac:dyDescent="0.25">
      <c r="A401" s="114"/>
      <c r="B401" s="115"/>
      <c r="C401" s="60"/>
    </row>
    <row r="402" spans="1:3" ht="31.5" x14ac:dyDescent="0.25">
      <c r="A402" s="114"/>
      <c r="B402" s="111" t="s">
        <v>379</v>
      </c>
      <c r="C402" s="60"/>
    </row>
    <row r="403" spans="1:3" ht="15.75" x14ac:dyDescent="0.25">
      <c r="A403" s="114"/>
      <c r="B403" s="115"/>
      <c r="C403" s="60"/>
    </row>
    <row r="404" spans="1:3" ht="15.75" x14ac:dyDescent="0.25">
      <c r="A404" s="112">
        <v>2210543</v>
      </c>
      <c r="B404" s="99" t="s">
        <v>380</v>
      </c>
      <c r="C404" s="60"/>
    </row>
    <row r="405" spans="1:3" ht="30.75" x14ac:dyDescent="0.25">
      <c r="A405" s="114" t="s">
        <v>381</v>
      </c>
      <c r="B405" s="115" t="s">
        <v>382</v>
      </c>
      <c r="C405" s="60">
        <v>5430978</v>
      </c>
    </row>
    <row r="406" spans="1:3" ht="15.75" x14ac:dyDescent="0.25">
      <c r="A406" s="114" t="s">
        <v>383</v>
      </c>
      <c r="B406" s="115" t="s">
        <v>384</v>
      </c>
      <c r="C406" s="60">
        <v>956514284</v>
      </c>
    </row>
    <row r="407" spans="1:3" ht="15.75" x14ac:dyDescent="0.25">
      <c r="A407" s="114" t="s">
        <v>385</v>
      </c>
      <c r="B407" s="115" t="s">
        <v>246</v>
      </c>
      <c r="C407" s="60">
        <v>5000000</v>
      </c>
    </row>
    <row r="408" spans="1:3" ht="15.75" x14ac:dyDescent="0.25">
      <c r="A408" s="98"/>
      <c r="B408" s="118"/>
      <c r="C408" s="69"/>
    </row>
    <row r="409" spans="1:3" ht="15.75" x14ac:dyDescent="0.25">
      <c r="A409" s="98"/>
      <c r="B409" s="111" t="s">
        <v>386</v>
      </c>
      <c r="C409" s="69"/>
    </row>
    <row r="410" spans="1:3" ht="15.75" x14ac:dyDescent="0.25">
      <c r="A410" s="98"/>
      <c r="B410" s="118"/>
      <c r="C410" s="69"/>
    </row>
    <row r="411" spans="1:3" ht="15.75" x14ac:dyDescent="0.25">
      <c r="A411" s="75"/>
      <c r="B411" s="99" t="s">
        <v>228</v>
      </c>
      <c r="C411" s="69"/>
    </row>
    <row r="412" spans="1:3" ht="31.5" x14ac:dyDescent="0.25">
      <c r="A412" s="114"/>
      <c r="B412" s="99" t="s">
        <v>13</v>
      </c>
      <c r="C412" s="69"/>
    </row>
    <row r="413" spans="1:3" ht="15.75" x14ac:dyDescent="0.25">
      <c r="A413" s="114"/>
      <c r="B413" s="99" t="s">
        <v>306</v>
      </c>
      <c r="C413" s="69"/>
    </row>
    <row r="414" spans="1:3" ht="15.75" x14ac:dyDescent="0.25">
      <c r="A414" s="114"/>
      <c r="B414" s="99" t="s">
        <v>357</v>
      </c>
      <c r="C414" s="107"/>
    </row>
    <row r="415" spans="1:3" ht="15.75" x14ac:dyDescent="0.25">
      <c r="A415" s="112">
        <v>2210289</v>
      </c>
      <c r="B415" s="99" t="s">
        <v>216</v>
      </c>
      <c r="C415" s="107"/>
    </row>
    <row r="416" spans="1:3" ht="15.75" x14ac:dyDescent="0.25">
      <c r="A416" s="114" t="s">
        <v>387</v>
      </c>
      <c r="B416" s="117" t="s">
        <v>217</v>
      </c>
      <c r="C416" s="119">
        <v>536679518</v>
      </c>
    </row>
    <row r="417" spans="1:4" ht="31.5" x14ac:dyDescent="0.25">
      <c r="A417" s="114"/>
      <c r="B417" s="99" t="s">
        <v>388</v>
      </c>
      <c r="C417" s="107"/>
      <c r="D417" s="56"/>
    </row>
    <row r="418" spans="1:4" ht="15.75" x14ac:dyDescent="0.25">
      <c r="A418" s="114">
        <v>2210222</v>
      </c>
      <c r="B418" s="99" t="s">
        <v>389</v>
      </c>
      <c r="C418" s="107"/>
      <c r="D418" s="56"/>
    </row>
    <row r="419" spans="1:4" ht="15.75" x14ac:dyDescent="0.25">
      <c r="A419" s="114" t="s">
        <v>390</v>
      </c>
      <c r="B419" s="115" t="s">
        <v>331</v>
      </c>
      <c r="C419" s="119">
        <v>263204862</v>
      </c>
      <c r="D419" s="56"/>
    </row>
    <row r="420" spans="1:4" ht="15.75" x14ac:dyDescent="0.25">
      <c r="A420" s="114">
        <v>22102297</v>
      </c>
      <c r="B420" s="115" t="s">
        <v>391</v>
      </c>
      <c r="C420" s="119">
        <v>15000000</v>
      </c>
      <c r="D420" s="56"/>
    </row>
    <row r="421" spans="1:4" s="123" customFormat="1" ht="15.75" x14ac:dyDescent="0.25">
      <c r="A421" s="120">
        <v>2210546</v>
      </c>
      <c r="B421" s="121" t="s">
        <v>392</v>
      </c>
      <c r="C421" s="69"/>
      <c r="D421" s="122"/>
    </row>
    <row r="422" spans="1:4" ht="15.75" x14ac:dyDescent="0.25">
      <c r="A422" s="114">
        <v>22105461</v>
      </c>
      <c r="B422" s="124" t="s">
        <v>217</v>
      </c>
      <c r="C422" s="60">
        <v>464000000</v>
      </c>
      <c r="D422" s="56"/>
    </row>
    <row r="423" spans="1:4" ht="15.75" x14ac:dyDescent="0.25">
      <c r="A423" s="114">
        <v>210547</v>
      </c>
      <c r="B423" s="121" t="s">
        <v>393</v>
      </c>
      <c r="C423" s="60"/>
      <c r="D423" s="56"/>
    </row>
    <row r="424" spans="1:4" ht="15.75" x14ac:dyDescent="0.25">
      <c r="A424" s="114">
        <v>22105471</v>
      </c>
      <c r="B424" s="124" t="s">
        <v>217</v>
      </c>
      <c r="C424" s="60">
        <v>900000000</v>
      </c>
      <c r="D424" s="56"/>
    </row>
    <row r="425" spans="1:4" ht="15.75" x14ac:dyDescent="0.25">
      <c r="A425" s="98"/>
      <c r="B425" s="118"/>
      <c r="C425" s="69"/>
      <c r="D425" s="56"/>
    </row>
    <row r="426" spans="1:4" ht="15.75" x14ac:dyDescent="0.25">
      <c r="A426" s="98"/>
      <c r="B426" s="118"/>
      <c r="C426" s="69"/>
      <c r="D426" s="56"/>
    </row>
    <row r="427" spans="1:4" ht="31.5" x14ac:dyDescent="0.25">
      <c r="A427" s="98"/>
      <c r="B427" s="66" t="s">
        <v>394</v>
      </c>
      <c r="C427" s="69">
        <f>SUM(C282:C426)</f>
        <v>186421324677.92999</v>
      </c>
      <c r="D427" s="56"/>
    </row>
    <row r="428" spans="1:4" ht="15.75" x14ac:dyDescent="0.25">
      <c r="A428" s="94"/>
      <c r="B428" s="125"/>
      <c r="C428" s="62"/>
      <c r="D428" s="56"/>
    </row>
    <row r="429" spans="1:4" ht="15.75" x14ac:dyDescent="0.25">
      <c r="A429" s="67"/>
      <c r="B429" s="304" t="s">
        <v>14</v>
      </c>
      <c r="C429" s="62"/>
      <c r="D429" s="56"/>
    </row>
    <row r="430" spans="1:4" ht="31.5" hidden="1" x14ac:dyDescent="0.25">
      <c r="A430" s="76"/>
      <c r="B430" s="77" t="s">
        <v>213</v>
      </c>
      <c r="C430" s="78"/>
      <c r="D430" s="56"/>
    </row>
    <row r="431" spans="1:4" ht="31.5" hidden="1" x14ac:dyDescent="0.25">
      <c r="A431" s="76"/>
      <c r="B431" s="77" t="s">
        <v>15</v>
      </c>
      <c r="C431" s="78"/>
      <c r="D431" s="56"/>
    </row>
    <row r="432" spans="1:4" ht="15.75" hidden="1" x14ac:dyDescent="0.25">
      <c r="A432" s="76"/>
      <c r="B432" s="77" t="s">
        <v>395</v>
      </c>
      <c r="C432" s="78"/>
      <c r="D432" s="56"/>
    </row>
    <row r="433" spans="1:3" ht="15.75" hidden="1" x14ac:dyDescent="0.25">
      <c r="A433" s="76"/>
      <c r="B433" s="77" t="s">
        <v>396</v>
      </c>
      <c r="C433" s="78"/>
    </row>
    <row r="434" spans="1:3" ht="63" hidden="1" x14ac:dyDescent="0.25">
      <c r="A434" s="103">
        <v>2210253</v>
      </c>
      <c r="B434" s="83" t="s">
        <v>397</v>
      </c>
      <c r="C434" s="78"/>
    </row>
    <row r="435" spans="1:3" ht="15.75" hidden="1" x14ac:dyDescent="0.25">
      <c r="A435" s="103">
        <v>22102531</v>
      </c>
      <c r="B435" s="81" t="s">
        <v>398</v>
      </c>
      <c r="C435" s="82">
        <v>0</v>
      </c>
    </row>
    <row r="436" spans="1:3" ht="15.75" x14ac:dyDescent="0.25">
      <c r="A436" s="103"/>
      <c r="B436" s="81"/>
      <c r="C436" s="82"/>
    </row>
    <row r="437" spans="1:3" ht="15.75" x14ac:dyDescent="0.25">
      <c r="A437" s="76"/>
      <c r="B437" s="77" t="s">
        <v>228</v>
      </c>
      <c r="C437" s="78"/>
    </row>
    <row r="438" spans="1:3" ht="31.5" x14ac:dyDescent="0.25">
      <c r="A438" s="76"/>
      <c r="B438" s="77" t="s">
        <v>16</v>
      </c>
      <c r="C438" s="78"/>
    </row>
    <row r="439" spans="1:3" ht="15.75" x14ac:dyDescent="0.25">
      <c r="A439" s="93"/>
      <c r="B439" s="77" t="s">
        <v>399</v>
      </c>
      <c r="C439" s="78"/>
    </row>
    <row r="440" spans="1:3" ht="47.25" x14ac:dyDescent="0.25">
      <c r="A440" s="76"/>
      <c r="B440" s="126" t="s">
        <v>400</v>
      </c>
      <c r="C440" s="78"/>
    </row>
    <row r="441" spans="1:3" ht="15.75" x14ac:dyDescent="0.25">
      <c r="A441" s="76"/>
      <c r="B441" s="126"/>
      <c r="C441" s="78"/>
    </row>
    <row r="442" spans="1:3" ht="15.75" x14ac:dyDescent="0.25">
      <c r="A442" s="76"/>
      <c r="B442" s="77" t="s">
        <v>82</v>
      </c>
      <c r="C442" s="78"/>
    </row>
    <row r="443" spans="1:3" ht="31.5" x14ac:dyDescent="0.25">
      <c r="A443" s="76"/>
      <c r="B443" s="77" t="s">
        <v>83</v>
      </c>
      <c r="C443" s="82"/>
    </row>
    <row r="444" spans="1:3" ht="15.75" x14ac:dyDescent="0.25">
      <c r="A444" s="127">
        <v>2210</v>
      </c>
      <c r="B444" s="89" t="s">
        <v>401</v>
      </c>
      <c r="C444" s="128"/>
    </row>
    <row r="445" spans="1:3" x14ac:dyDescent="0.25">
      <c r="A445" s="129">
        <v>2210002</v>
      </c>
      <c r="B445" s="85" t="s">
        <v>85</v>
      </c>
      <c r="C445" s="130">
        <v>1383420834</v>
      </c>
    </row>
    <row r="446" spans="1:3" x14ac:dyDescent="0.25">
      <c r="A446" s="129">
        <v>2210004</v>
      </c>
      <c r="B446" s="85" t="s">
        <v>402</v>
      </c>
      <c r="C446" s="130">
        <v>69070171</v>
      </c>
    </row>
    <row r="447" spans="1:3" x14ac:dyDescent="0.25">
      <c r="A447" s="129">
        <v>2210006</v>
      </c>
      <c r="B447" s="85" t="s">
        <v>403</v>
      </c>
      <c r="C447" s="130">
        <v>115565276</v>
      </c>
    </row>
    <row r="448" spans="1:3" x14ac:dyDescent="0.25">
      <c r="A448" s="129">
        <v>2210009</v>
      </c>
      <c r="B448" s="85" t="s">
        <v>404</v>
      </c>
      <c r="C448" s="130">
        <v>134033838</v>
      </c>
    </row>
    <row r="449" spans="1:3" x14ac:dyDescent="0.25">
      <c r="A449" s="129">
        <v>2210011</v>
      </c>
      <c r="B449" s="85" t="s">
        <v>405</v>
      </c>
      <c r="C449" s="130">
        <v>209092787</v>
      </c>
    </row>
    <row r="450" spans="1:3" x14ac:dyDescent="0.25">
      <c r="A450" s="129">
        <v>2210014</v>
      </c>
      <c r="B450" s="85" t="s">
        <v>406</v>
      </c>
      <c r="C450" s="130">
        <v>50000000</v>
      </c>
    </row>
    <row r="451" spans="1:3" x14ac:dyDescent="0.25">
      <c r="A451" s="129">
        <v>2210017</v>
      </c>
      <c r="B451" s="85" t="s">
        <v>407</v>
      </c>
      <c r="C451" s="130">
        <v>40349774</v>
      </c>
    </row>
    <row r="452" spans="1:3" x14ac:dyDescent="0.25">
      <c r="A452" s="129">
        <v>2210018</v>
      </c>
      <c r="B452" s="85" t="s">
        <v>408</v>
      </c>
      <c r="C452" s="130">
        <v>7685671</v>
      </c>
    </row>
    <row r="453" spans="1:3" x14ac:dyDescent="0.25">
      <c r="A453" s="131"/>
      <c r="B453" s="132"/>
      <c r="C453" s="128"/>
    </row>
    <row r="454" spans="1:3" ht="31.5" x14ac:dyDescent="0.25">
      <c r="A454" s="133">
        <v>2210</v>
      </c>
      <c r="B454" s="134" t="s">
        <v>409</v>
      </c>
      <c r="C454" s="130"/>
    </row>
    <row r="455" spans="1:3" x14ac:dyDescent="0.25">
      <c r="A455" s="129">
        <v>2210101</v>
      </c>
      <c r="B455" s="76" t="s">
        <v>410</v>
      </c>
      <c r="C455" s="130">
        <v>69697596</v>
      </c>
    </row>
    <row r="456" spans="1:3" x14ac:dyDescent="0.25">
      <c r="A456" s="129">
        <v>2210102</v>
      </c>
      <c r="B456" s="135" t="s">
        <v>411</v>
      </c>
      <c r="C456" s="130">
        <v>145377093</v>
      </c>
    </row>
    <row r="457" spans="1:3" x14ac:dyDescent="0.25">
      <c r="A457" s="129">
        <v>2210103</v>
      </c>
      <c r="B457" s="135" t="s">
        <v>412</v>
      </c>
      <c r="C457" s="130">
        <v>213789843</v>
      </c>
    </row>
    <row r="458" spans="1:3" x14ac:dyDescent="0.25">
      <c r="A458" s="129">
        <v>2210104</v>
      </c>
      <c r="B458" s="135" t="s">
        <v>413</v>
      </c>
      <c r="C458" s="130">
        <v>41663365</v>
      </c>
    </row>
    <row r="459" spans="1:3" x14ac:dyDescent="0.25">
      <c r="A459" s="129">
        <v>2210106</v>
      </c>
      <c r="B459" s="135" t="s">
        <v>414</v>
      </c>
      <c r="C459" s="130">
        <v>145203324</v>
      </c>
    </row>
    <row r="460" spans="1:3" ht="31.5" x14ac:dyDescent="0.25">
      <c r="A460" s="133">
        <v>2210</v>
      </c>
      <c r="B460" s="134" t="s">
        <v>415</v>
      </c>
      <c r="C460" s="130"/>
    </row>
    <row r="461" spans="1:3" x14ac:dyDescent="0.25">
      <c r="A461" s="129">
        <v>2210111</v>
      </c>
      <c r="B461" s="135" t="s">
        <v>416</v>
      </c>
      <c r="C461" s="130">
        <v>8712199</v>
      </c>
    </row>
    <row r="462" spans="1:3" x14ac:dyDescent="0.25">
      <c r="A462" s="129">
        <v>2210112</v>
      </c>
      <c r="B462" s="135" t="s">
        <v>417</v>
      </c>
      <c r="C462" s="130">
        <v>52273197</v>
      </c>
    </row>
    <row r="463" spans="1:3" x14ac:dyDescent="0.25">
      <c r="A463" s="129">
        <v>2210113</v>
      </c>
      <c r="B463" s="135" t="s">
        <v>418</v>
      </c>
      <c r="C463" s="130">
        <v>17424399</v>
      </c>
    </row>
    <row r="464" spans="1:3" x14ac:dyDescent="0.25">
      <c r="A464" s="129">
        <v>2210114</v>
      </c>
      <c r="B464" s="135" t="s">
        <v>419</v>
      </c>
      <c r="C464" s="130">
        <v>8712199</v>
      </c>
    </row>
    <row r="465" spans="1:3" x14ac:dyDescent="0.25">
      <c r="A465" s="131"/>
      <c r="B465" s="132"/>
      <c r="C465" s="128"/>
    </row>
    <row r="466" spans="1:3" ht="31.5" x14ac:dyDescent="0.25">
      <c r="A466" s="133">
        <v>2210</v>
      </c>
      <c r="B466" s="89" t="s">
        <v>420</v>
      </c>
      <c r="C466" s="130"/>
    </row>
    <row r="467" spans="1:3" x14ac:dyDescent="0.25">
      <c r="A467" s="93">
        <v>2210001</v>
      </c>
      <c r="B467" s="135" t="s">
        <v>85</v>
      </c>
      <c r="C467" s="130">
        <v>9098107572</v>
      </c>
    </row>
    <row r="468" spans="1:3" x14ac:dyDescent="0.25">
      <c r="A468" s="93">
        <v>2210007</v>
      </c>
      <c r="B468" s="135" t="s">
        <v>402</v>
      </c>
      <c r="C468" s="130">
        <v>425400698</v>
      </c>
    </row>
    <row r="469" spans="1:3" x14ac:dyDescent="0.25">
      <c r="A469" s="93">
        <v>2210008</v>
      </c>
      <c r="B469" s="135" t="s">
        <v>421</v>
      </c>
      <c r="C469" s="130">
        <v>521936315</v>
      </c>
    </row>
    <row r="470" spans="1:3" x14ac:dyDescent="0.25">
      <c r="A470" s="93">
        <v>2210025</v>
      </c>
      <c r="B470" s="135" t="s">
        <v>404</v>
      </c>
      <c r="C470" s="130">
        <v>890899481</v>
      </c>
    </row>
    <row r="471" spans="1:3" x14ac:dyDescent="0.25">
      <c r="A471" s="93">
        <v>2210010</v>
      </c>
      <c r="B471" s="135" t="s">
        <v>422</v>
      </c>
      <c r="C471" s="130">
        <v>10907640</v>
      </c>
    </row>
    <row r="472" spans="1:3" x14ac:dyDescent="0.25">
      <c r="A472" s="93">
        <v>2210015</v>
      </c>
      <c r="B472" s="135" t="s">
        <v>423</v>
      </c>
      <c r="C472" s="130"/>
    </row>
    <row r="473" spans="1:3" x14ac:dyDescent="0.25">
      <c r="A473" s="93">
        <v>22100151</v>
      </c>
      <c r="B473" s="135" t="s">
        <v>217</v>
      </c>
      <c r="C473" s="130">
        <f>4195145522</f>
        <v>4195145522</v>
      </c>
    </row>
    <row r="474" spans="1:3" x14ac:dyDescent="0.25">
      <c r="A474" s="93">
        <v>2210016</v>
      </c>
      <c r="B474" s="135" t="s">
        <v>424</v>
      </c>
      <c r="C474" s="130">
        <v>83458595</v>
      </c>
    </row>
    <row r="475" spans="1:3" x14ac:dyDescent="0.25">
      <c r="A475" s="93">
        <v>2210020</v>
      </c>
      <c r="B475" s="135" t="s">
        <v>406</v>
      </c>
      <c r="C475" s="130">
        <v>1781697</v>
      </c>
    </row>
    <row r="476" spans="1:3" x14ac:dyDescent="0.25">
      <c r="A476" s="93">
        <v>2210021</v>
      </c>
      <c r="B476" s="135" t="s">
        <v>425</v>
      </c>
      <c r="C476" s="130">
        <v>1098032</v>
      </c>
    </row>
    <row r="477" spans="1:3" x14ac:dyDescent="0.25">
      <c r="A477" s="93">
        <v>2210022</v>
      </c>
      <c r="B477" s="135" t="s">
        <v>426</v>
      </c>
      <c r="C477" s="130">
        <v>0</v>
      </c>
    </row>
    <row r="478" spans="1:3" x14ac:dyDescent="0.25">
      <c r="A478" s="76">
        <v>2210029</v>
      </c>
      <c r="B478" s="135" t="s">
        <v>427</v>
      </c>
      <c r="C478" s="130">
        <v>311903039</v>
      </c>
    </row>
    <row r="479" spans="1:3" x14ac:dyDescent="0.25">
      <c r="A479" s="76">
        <v>2210026</v>
      </c>
      <c r="B479" s="135" t="s">
        <v>428</v>
      </c>
      <c r="C479" s="130">
        <v>46467630</v>
      </c>
    </row>
    <row r="480" spans="1:3" x14ac:dyDescent="0.25">
      <c r="A480" s="76">
        <v>2210027</v>
      </c>
      <c r="B480" s="135" t="s">
        <v>113</v>
      </c>
      <c r="C480" s="130">
        <v>1699500000</v>
      </c>
    </row>
    <row r="481" spans="1:3" x14ac:dyDescent="0.25">
      <c r="A481" s="76">
        <v>2210028</v>
      </c>
      <c r="B481" s="135" t="s">
        <v>429</v>
      </c>
      <c r="C481" s="130">
        <v>15352081</v>
      </c>
    </row>
    <row r="482" spans="1:3" x14ac:dyDescent="0.25">
      <c r="A482" s="131"/>
      <c r="B482" s="132"/>
      <c r="C482" s="128"/>
    </row>
    <row r="483" spans="1:3" ht="31.5" x14ac:dyDescent="0.25">
      <c r="A483" s="79">
        <v>2210</v>
      </c>
      <c r="B483" s="134" t="s">
        <v>409</v>
      </c>
      <c r="C483" s="130"/>
    </row>
    <row r="484" spans="1:3" x14ac:dyDescent="0.25">
      <c r="A484" s="93">
        <v>2210105</v>
      </c>
      <c r="B484" s="76" t="s">
        <v>410</v>
      </c>
      <c r="C484" s="130">
        <v>482710211</v>
      </c>
    </row>
    <row r="485" spans="1:3" x14ac:dyDescent="0.25">
      <c r="A485" s="76">
        <v>2210126</v>
      </c>
      <c r="B485" s="135" t="s">
        <v>411</v>
      </c>
      <c r="C485" s="130">
        <v>673898468</v>
      </c>
    </row>
    <row r="486" spans="1:3" x14ac:dyDescent="0.25">
      <c r="A486" s="76">
        <v>2210127</v>
      </c>
      <c r="B486" s="135" t="s">
        <v>430</v>
      </c>
      <c r="C486" s="130">
        <v>966550282</v>
      </c>
    </row>
    <row r="487" spans="1:3" x14ac:dyDescent="0.25">
      <c r="A487" s="76">
        <v>2210128</v>
      </c>
      <c r="B487" s="135" t="s">
        <v>413</v>
      </c>
      <c r="C487" s="130">
        <v>47483152</v>
      </c>
    </row>
    <row r="488" spans="1:3" x14ac:dyDescent="0.25">
      <c r="A488" s="76">
        <v>2210134</v>
      </c>
      <c r="B488" s="135" t="s">
        <v>414</v>
      </c>
      <c r="C488" s="130">
        <v>1079887895</v>
      </c>
    </row>
    <row r="489" spans="1:3" ht="31.5" x14ac:dyDescent="0.25">
      <c r="A489" s="79">
        <v>2210</v>
      </c>
      <c r="B489" s="134" t="s">
        <v>415</v>
      </c>
      <c r="C489" s="130"/>
    </row>
    <row r="490" spans="1:3" x14ac:dyDescent="0.25">
      <c r="A490" s="93">
        <v>2210108</v>
      </c>
      <c r="B490" s="135" t="s">
        <v>416</v>
      </c>
      <c r="C490" s="130">
        <v>60338776</v>
      </c>
    </row>
    <row r="491" spans="1:3" x14ac:dyDescent="0.25">
      <c r="A491" s="93">
        <v>2210110</v>
      </c>
      <c r="B491" s="135" t="s">
        <v>417</v>
      </c>
      <c r="C491" s="130">
        <v>362032658</v>
      </c>
    </row>
    <row r="492" spans="1:3" x14ac:dyDescent="0.25">
      <c r="A492" s="93">
        <v>2210107</v>
      </c>
      <c r="B492" s="135" t="s">
        <v>418</v>
      </c>
      <c r="C492" s="130">
        <v>120677553</v>
      </c>
    </row>
    <row r="493" spans="1:3" x14ac:dyDescent="0.25">
      <c r="A493" s="93">
        <v>2210109</v>
      </c>
      <c r="B493" s="135" t="s">
        <v>419</v>
      </c>
      <c r="C493" s="130">
        <v>60338776</v>
      </c>
    </row>
    <row r="494" spans="1:3" x14ac:dyDescent="0.25">
      <c r="A494" s="93"/>
      <c r="B494" s="135"/>
      <c r="C494" s="130"/>
    </row>
    <row r="495" spans="1:3" ht="15.75" x14ac:dyDescent="0.25">
      <c r="A495" s="88">
        <v>2210954</v>
      </c>
      <c r="B495" s="136" t="s">
        <v>431</v>
      </c>
      <c r="C495" s="130"/>
    </row>
    <row r="496" spans="1:3" x14ac:dyDescent="0.25">
      <c r="A496" s="93">
        <v>22109541</v>
      </c>
      <c r="B496" s="135" t="s">
        <v>295</v>
      </c>
      <c r="C496" s="130">
        <v>55000000.000000007</v>
      </c>
    </row>
    <row r="497" spans="1:3" x14ac:dyDescent="0.25">
      <c r="A497" s="93">
        <v>22109542</v>
      </c>
      <c r="B497" s="135" t="s">
        <v>432</v>
      </c>
      <c r="C497" s="130">
        <v>3139294061</v>
      </c>
    </row>
    <row r="498" spans="1:3" x14ac:dyDescent="0.25">
      <c r="A498" s="93">
        <v>22109544</v>
      </c>
      <c r="B498" s="135" t="s">
        <v>433</v>
      </c>
      <c r="C498" s="130">
        <v>5621893892</v>
      </c>
    </row>
    <row r="499" spans="1:3" x14ac:dyDescent="0.25">
      <c r="A499" s="131"/>
      <c r="B499" s="132"/>
      <c r="C499" s="128"/>
    </row>
    <row r="500" spans="1:3" ht="31.5" x14ac:dyDescent="0.25">
      <c r="A500" s="93"/>
      <c r="B500" s="89" t="s">
        <v>434</v>
      </c>
      <c r="C500" s="130"/>
    </row>
    <row r="501" spans="1:3" ht="15.75" x14ac:dyDescent="0.25">
      <c r="A501" s="93"/>
      <c r="B501" s="79" t="s">
        <v>82</v>
      </c>
      <c r="C501" s="130"/>
    </row>
    <row r="502" spans="1:3" ht="15.75" x14ac:dyDescent="0.25">
      <c r="A502" s="88">
        <v>2210</v>
      </c>
      <c r="B502" s="89" t="s">
        <v>435</v>
      </c>
      <c r="C502" s="130"/>
    </row>
    <row r="503" spans="1:3" x14ac:dyDescent="0.25">
      <c r="A503" s="93">
        <v>2210040</v>
      </c>
      <c r="B503" s="135" t="s">
        <v>85</v>
      </c>
      <c r="C503" s="130">
        <v>103152418605</v>
      </c>
    </row>
    <row r="504" spans="1:3" x14ac:dyDescent="0.25">
      <c r="A504" s="93">
        <v>2210042</v>
      </c>
      <c r="B504" s="135" t="s">
        <v>436</v>
      </c>
      <c r="C504" s="130">
        <v>5480522233</v>
      </c>
    </row>
    <row r="505" spans="1:3" x14ac:dyDescent="0.25">
      <c r="A505" s="93">
        <v>2210043</v>
      </c>
      <c r="B505" s="135" t="s">
        <v>403</v>
      </c>
      <c r="C505" s="130">
        <v>4860366279</v>
      </c>
    </row>
    <row r="506" spans="1:3" x14ac:dyDescent="0.25">
      <c r="A506" s="93">
        <v>2210044</v>
      </c>
      <c r="B506" s="135" t="s">
        <v>437</v>
      </c>
      <c r="C506" s="130">
        <v>121820575.26000001</v>
      </c>
    </row>
    <row r="507" spans="1:3" x14ac:dyDescent="0.25">
      <c r="A507" s="93">
        <v>2210046</v>
      </c>
      <c r="B507" s="135" t="s">
        <v>438</v>
      </c>
      <c r="C507" s="130">
        <v>77761577</v>
      </c>
    </row>
    <row r="508" spans="1:3" x14ac:dyDescent="0.25">
      <c r="A508" s="93">
        <v>2210047</v>
      </c>
      <c r="B508" s="135" t="s">
        <v>402</v>
      </c>
      <c r="C508" s="130">
        <v>6329396044</v>
      </c>
    </row>
    <row r="509" spans="1:3" x14ac:dyDescent="0.25">
      <c r="A509" s="93">
        <v>2210048</v>
      </c>
      <c r="B509" s="135" t="s">
        <v>404</v>
      </c>
      <c r="C509" s="130">
        <v>9548689701</v>
      </c>
    </row>
    <row r="510" spans="1:3" x14ac:dyDescent="0.25">
      <c r="A510" s="93">
        <v>2210049</v>
      </c>
      <c r="B510" s="135" t="s">
        <v>424</v>
      </c>
      <c r="C510" s="130">
        <v>426499521</v>
      </c>
    </row>
    <row r="511" spans="1:3" x14ac:dyDescent="0.25">
      <c r="A511" s="93">
        <v>2210050</v>
      </c>
      <c r="B511" s="135" t="s">
        <v>439</v>
      </c>
      <c r="C511" s="130">
        <v>1166711163.1800001</v>
      </c>
    </row>
    <row r="512" spans="1:3" x14ac:dyDescent="0.25">
      <c r="A512" s="93">
        <v>2210051</v>
      </c>
      <c r="B512" s="135" t="s">
        <v>426</v>
      </c>
      <c r="C512" s="130">
        <v>2036868286</v>
      </c>
    </row>
    <row r="513" spans="1:3" x14ac:dyDescent="0.25">
      <c r="A513" s="93">
        <v>2210054</v>
      </c>
      <c r="B513" s="135" t="s">
        <v>440</v>
      </c>
      <c r="C513" s="130">
        <v>985693816.17000008</v>
      </c>
    </row>
    <row r="514" spans="1:3" x14ac:dyDescent="0.25">
      <c r="A514" s="93">
        <v>2210056</v>
      </c>
      <c r="B514" s="135" t="s">
        <v>441</v>
      </c>
      <c r="C514" s="130">
        <v>365500593</v>
      </c>
    </row>
    <row r="515" spans="1:3" x14ac:dyDescent="0.25">
      <c r="A515" s="93">
        <v>2210057</v>
      </c>
      <c r="B515" s="135" t="s">
        <v>442</v>
      </c>
      <c r="C515" s="130">
        <v>2726276686</v>
      </c>
    </row>
    <row r="516" spans="1:3" ht="31.5" customHeight="1" x14ac:dyDescent="0.25">
      <c r="A516" s="79">
        <v>2210</v>
      </c>
      <c r="B516" s="134" t="s">
        <v>409</v>
      </c>
      <c r="C516" s="130"/>
    </row>
    <row r="517" spans="1:3" x14ac:dyDescent="0.25">
      <c r="A517" s="93">
        <v>2210105</v>
      </c>
      <c r="B517" s="76" t="s">
        <v>410</v>
      </c>
      <c r="C517" s="130">
        <v>4663427809</v>
      </c>
    </row>
    <row r="518" spans="1:3" x14ac:dyDescent="0.25">
      <c r="A518" s="93"/>
      <c r="B518" s="76"/>
      <c r="C518" s="130"/>
    </row>
    <row r="519" spans="1:3" ht="35.25" customHeight="1" x14ac:dyDescent="0.25">
      <c r="A519" s="93"/>
      <c r="B519" s="134" t="s">
        <v>415</v>
      </c>
      <c r="C519" s="130"/>
    </row>
    <row r="520" spans="1:3" x14ac:dyDescent="0.25">
      <c r="A520" s="93">
        <v>2210135</v>
      </c>
      <c r="B520" s="135" t="s">
        <v>443</v>
      </c>
      <c r="C520" s="130">
        <v>10657010958</v>
      </c>
    </row>
    <row r="521" spans="1:3" x14ac:dyDescent="0.25">
      <c r="A521" s="93">
        <v>2210137</v>
      </c>
      <c r="B521" s="135" t="s">
        <v>444</v>
      </c>
      <c r="C521" s="130">
        <v>24377137146</v>
      </c>
    </row>
    <row r="522" spans="1:3" x14ac:dyDescent="0.25">
      <c r="A522" s="93">
        <v>2210108</v>
      </c>
      <c r="B522" s="135" t="s">
        <v>416</v>
      </c>
      <c r="C522" s="130">
        <v>582928476</v>
      </c>
    </row>
    <row r="523" spans="1:3" x14ac:dyDescent="0.25">
      <c r="A523" s="93">
        <v>2210110</v>
      </c>
      <c r="B523" s="135" t="s">
        <v>417</v>
      </c>
      <c r="C523" s="130">
        <v>3497570856</v>
      </c>
    </row>
    <row r="524" spans="1:3" x14ac:dyDescent="0.25">
      <c r="A524" s="93">
        <v>2210107</v>
      </c>
      <c r="B524" s="135" t="s">
        <v>418</v>
      </c>
      <c r="C524" s="130">
        <v>1165856952</v>
      </c>
    </row>
    <row r="525" spans="1:3" x14ac:dyDescent="0.25">
      <c r="A525" s="93">
        <v>2210109</v>
      </c>
      <c r="B525" s="135" t="s">
        <v>419</v>
      </c>
      <c r="C525" s="130">
        <v>582928476</v>
      </c>
    </row>
    <row r="526" spans="1:3" x14ac:dyDescent="0.25">
      <c r="A526" s="131"/>
      <c r="B526" s="132" t="s">
        <v>445</v>
      </c>
      <c r="C526" s="128"/>
    </row>
    <row r="527" spans="1:3" ht="15.75" x14ac:dyDescent="0.25">
      <c r="A527" s="93"/>
      <c r="B527" s="79" t="s">
        <v>133</v>
      </c>
      <c r="C527" s="130"/>
    </row>
    <row r="528" spans="1:3" ht="15.75" x14ac:dyDescent="0.25">
      <c r="A528" s="93"/>
      <c r="B528" s="79" t="s">
        <v>134</v>
      </c>
      <c r="C528" s="130"/>
    </row>
    <row r="529" spans="1:3" ht="15.75" x14ac:dyDescent="0.25">
      <c r="A529" s="88">
        <v>2210045</v>
      </c>
      <c r="B529" s="136" t="s">
        <v>446</v>
      </c>
      <c r="C529" s="130"/>
    </row>
    <row r="530" spans="1:3" ht="27.75" customHeight="1" x14ac:dyDescent="0.25">
      <c r="A530" s="93">
        <v>22100453</v>
      </c>
      <c r="B530" s="135" t="s">
        <v>447</v>
      </c>
      <c r="C530" s="130">
        <v>113850000.00000001</v>
      </c>
    </row>
    <row r="531" spans="1:3" x14ac:dyDescent="0.25">
      <c r="A531" s="131"/>
      <c r="B531" s="132" t="s">
        <v>445</v>
      </c>
      <c r="C531" s="128"/>
    </row>
    <row r="532" spans="1:3" ht="15.75" x14ac:dyDescent="0.25">
      <c r="A532" s="88"/>
      <c r="B532" s="79" t="s">
        <v>156</v>
      </c>
      <c r="C532" s="130"/>
    </row>
    <row r="533" spans="1:3" ht="15.75" x14ac:dyDescent="0.25">
      <c r="A533" s="88">
        <v>2210012</v>
      </c>
      <c r="B533" s="136" t="s">
        <v>448</v>
      </c>
      <c r="C533" s="130"/>
    </row>
    <row r="534" spans="1:3" ht="31.5" customHeight="1" x14ac:dyDescent="0.25">
      <c r="A534" s="93">
        <v>22100123</v>
      </c>
      <c r="B534" s="135" t="s">
        <v>447</v>
      </c>
      <c r="C534" s="130">
        <v>76222575</v>
      </c>
    </row>
    <row r="535" spans="1:3" x14ac:dyDescent="0.25">
      <c r="A535" s="131"/>
      <c r="B535" s="132"/>
      <c r="C535" s="128"/>
    </row>
    <row r="536" spans="1:3" ht="15.75" x14ac:dyDescent="0.25">
      <c r="A536" s="88">
        <v>2210052</v>
      </c>
      <c r="B536" s="136" t="s">
        <v>163</v>
      </c>
      <c r="C536" s="130"/>
    </row>
    <row r="537" spans="1:3" x14ac:dyDescent="0.25">
      <c r="A537" s="93">
        <v>22100521</v>
      </c>
      <c r="B537" s="135" t="s">
        <v>217</v>
      </c>
      <c r="C537" s="130">
        <v>440000000</v>
      </c>
    </row>
    <row r="538" spans="1:3" x14ac:dyDescent="0.25">
      <c r="A538" s="93"/>
      <c r="B538" s="135"/>
      <c r="C538" s="130"/>
    </row>
    <row r="539" spans="1:3" ht="15.75" x14ac:dyDescent="0.25">
      <c r="A539" s="93"/>
      <c r="B539" s="79" t="s">
        <v>133</v>
      </c>
      <c r="C539" s="130"/>
    </row>
    <row r="540" spans="1:3" ht="15.75" x14ac:dyDescent="0.25">
      <c r="A540" s="88"/>
      <c r="B540" s="79" t="s">
        <v>156</v>
      </c>
      <c r="C540" s="130"/>
    </row>
    <row r="541" spans="1:3" ht="15.75" x14ac:dyDescent="0.25">
      <c r="A541" s="88">
        <v>2210041</v>
      </c>
      <c r="B541" s="136" t="s">
        <v>449</v>
      </c>
      <c r="C541" s="130"/>
    </row>
    <row r="542" spans="1:3" ht="27.75" customHeight="1" x14ac:dyDescent="0.25">
      <c r="A542" s="93">
        <v>22100413</v>
      </c>
      <c r="B542" s="135" t="s">
        <v>447</v>
      </c>
      <c r="C542" s="130">
        <v>64511999.999999993</v>
      </c>
    </row>
    <row r="543" spans="1:3" ht="15.75" x14ac:dyDescent="0.25">
      <c r="A543" s="88">
        <v>2210148</v>
      </c>
      <c r="B543" s="136" t="s">
        <v>450</v>
      </c>
      <c r="C543" s="130"/>
    </row>
    <row r="544" spans="1:3" ht="25.5" customHeight="1" x14ac:dyDescent="0.25">
      <c r="A544" s="93">
        <v>22101483</v>
      </c>
      <c r="B544" s="135" t="s">
        <v>447</v>
      </c>
      <c r="C544" s="130">
        <v>16127999.999999998</v>
      </c>
    </row>
    <row r="545" spans="1:3" x14ac:dyDescent="0.25">
      <c r="A545" s="131"/>
      <c r="B545" s="132" t="s">
        <v>445</v>
      </c>
      <c r="C545" s="128"/>
    </row>
    <row r="546" spans="1:3" ht="15.75" x14ac:dyDescent="0.25">
      <c r="A546" s="88">
        <v>2210208</v>
      </c>
      <c r="B546" s="89" t="s">
        <v>451</v>
      </c>
      <c r="C546" s="130"/>
    </row>
    <row r="547" spans="1:3" x14ac:dyDescent="0.25">
      <c r="A547" s="93">
        <v>22102081</v>
      </c>
      <c r="B547" s="85" t="s">
        <v>217</v>
      </c>
      <c r="C547" s="130">
        <v>0</v>
      </c>
    </row>
    <row r="548" spans="1:3" ht="30" x14ac:dyDescent="0.25">
      <c r="A548" s="93">
        <v>22102083</v>
      </c>
      <c r="B548" s="85" t="s">
        <v>452</v>
      </c>
      <c r="C548" s="130">
        <v>1876495545</v>
      </c>
    </row>
    <row r="549" spans="1:3" x14ac:dyDescent="0.25">
      <c r="A549" s="93"/>
      <c r="B549" s="85"/>
      <c r="C549" s="130"/>
    </row>
    <row r="550" spans="1:3" x14ac:dyDescent="0.25">
      <c r="A550" s="131"/>
      <c r="B550" s="85" t="s">
        <v>445</v>
      </c>
      <c r="C550" s="128"/>
    </row>
    <row r="551" spans="1:3" ht="15.75" x14ac:dyDescent="0.25">
      <c r="A551" s="88">
        <v>2210055</v>
      </c>
      <c r="B551" s="136" t="s">
        <v>453</v>
      </c>
      <c r="C551" s="137"/>
    </row>
    <row r="552" spans="1:3" x14ac:dyDescent="0.25">
      <c r="A552" s="93">
        <v>22100551</v>
      </c>
      <c r="B552" s="85" t="s">
        <v>217</v>
      </c>
      <c r="C552" s="137">
        <v>1334437413</v>
      </c>
    </row>
    <row r="553" spans="1:3" x14ac:dyDescent="0.25">
      <c r="A553" s="93">
        <v>22100553</v>
      </c>
      <c r="B553" s="85" t="s">
        <v>454</v>
      </c>
      <c r="C553" s="137">
        <v>2295562587</v>
      </c>
    </row>
    <row r="554" spans="1:3" x14ac:dyDescent="0.25">
      <c r="A554" s="93"/>
      <c r="B554" s="85" t="s">
        <v>445</v>
      </c>
      <c r="C554" s="137"/>
    </row>
    <row r="555" spans="1:3" ht="31.5" x14ac:dyDescent="0.25">
      <c r="A555" s="133">
        <v>2210901</v>
      </c>
      <c r="B555" s="89" t="s">
        <v>455</v>
      </c>
      <c r="C555" s="130"/>
    </row>
    <row r="556" spans="1:3" x14ac:dyDescent="0.25">
      <c r="A556" s="129">
        <v>22109011</v>
      </c>
      <c r="B556" s="85" t="s">
        <v>217</v>
      </c>
      <c r="C556" s="130">
        <v>200000000</v>
      </c>
    </row>
    <row r="557" spans="1:3" x14ac:dyDescent="0.25">
      <c r="A557" s="129">
        <v>22109013</v>
      </c>
      <c r="B557" s="85" t="s">
        <v>454</v>
      </c>
      <c r="C557" s="130">
        <v>910000000</v>
      </c>
    </row>
    <row r="558" spans="1:3" x14ac:dyDescent="0.25">
      <c r="A558" s="129">
        <v>22109017</v>
      </c>
      <c r="B558" s="85" t="s">
        <v>456</v>
      </c>
      <c r="C558" s="137">
        <v>350000000</v>
      </c>
    </row>
    <row r="559" spans="1:3" ht="15.75" x14ac:dyDescent="0.25">
      <c r="A559" s="65">
        <v>2210296</v>
      </c>
      <c r="B559" s="89" t="s">
        <v>457</v>
      </c>
      <c r="C559" s="137"/>
    </row>
    <row r="560" spans="1:3" ht="15.75" x14ac:dyDescent="0.25">
      <c r="A560" s="49">
        <v>22102961</v>
      </c>
      <c r="B560" s="85" t="s">
        <v>217</v>
      </c>
      <c r="C560" s="130">
        <v>638068996</v>
      </c>
    </row>
    <row r="561" spans="1:3" x14ac:dyDescent="0.25">
      <c r="A561" s="129"/>
      <c r="B561" s="85"/>
      <c r="C561" s="130"/>
    </row>
    <row r="562" spans="1:3" ht="15.75" x14ac:dyDescent="0.25">
      <c r="A562" s="65">
        <v>2210297</v>
      </c>
      <c r="B562" s="89" t="s">
        <v>458</v>
      </c>
      <c r="C562" s="137"/>
    </row>
    <row r="563" spans="1:3" ht="15.75" x14ac:dyDescent="0.25">
      <c r="A563" s="49">
        <v>22102971</v>
      </c>
      <c r="B563" s="85" t="s">
        <v>217</v>
      </c>
      <c r="C563" s="137">
        <v>2800000000</v>
      </c>
    </row>
    <row r="564" spans="1:3" x14ac:dyDescent="0.25">
      <c r="A564" s="129"/>
      <c r="B564" s="85" t="s">
        <v>445</v>
      </c>
      <c r="C564" s="137"/>
    </row>
    <row r="565" spans="1:3" ht="15.75" x14ac:dyDescent="0.25">
      <c r="A565" s="88">
        <v>2210644</v>
      </c>
      <c r="B565" s="136" t="s">
        <v>459</v>
      </c>
      <c r="C565" s="130"/>
    </row>
    <row r="566" spans="1:3" x14ac:dyDescent="0.25">
      <c r="A566" s="93">
        <v>22106441</v>
      </c>
      <c r="B566" s="85" t="s">
        <v>217</v>
      </c>
      <c r="C566" s="130">
        <v>3300000000</v>
      </c>
    </row>
    <row r="567" spans="1:3" x14ac:dyDescent="0.25">
      <c r="A567" s="93">
        <v>22106443</v>
      </c>
      <c r="B567" s="85" t="s">
        <v>454</v>
      </c>
      <c r="C567" s="130">
        <v>1900000000</v>
      </c>
    </row>
    <row r="568" spans="1:3" ht="15.75" x14ac:dyDescent="0.25">
      <c r="A568" s="65">
        <v>2210298</v>
      </c>
      <c r="B568" s="89" t="s">
        <v>460</v>
      </c>
      <c r="C568" s="128"/>
    </row>
    <row r="569" spans="1:3" ht="15.75" x14ac:dyDescent="0.25">
      <c r="A569" s="49">
        <v>22102981</v>
      </c>
      <c r="B569" s="85" t="s">
        <v>217</v>
      </c>
      <c r="C569" s="130">
        <v>3479582625</v>
      </c>
    </row>
    <row r="570" spans="1:3" ht="15.75" x14ac:dyDescent="0.25">
      <c r="A570" s="49">
        <v>22102984</v>
      </c>
      <c r="B570" s="132" t="s">
        <v>461</v>
      </c>
      <c r="C570" s="130">
        <v>8220417375</v>
      </c>
    </row>
    <row r="571" spans="1:3" ht="31.5" x14ac:dyDescent="0.25">
      <c r="A571" s="88">
        <v>2210645</v>
      </c>
      <c r="B571" s="77" t="s">
        <v>462</v>
      </c>
      <c r="C571" s="128"/>
    </row>
    <row r="572" spans="1:3" x14ac:dyDescent="0.25">
      <c r="A572" s="131">
        <v>22106451</v>
      </c>
      <c r="B572" s="132" t="s">
        <v>217</v>
      </c>
      <c r="C572" s="130"/>
    </row>
    <row r="573" spans="1:3" x14ac:dyDescent="0.25">
      <c r="A573" s="131"/>
      <c r="B573" s="132"/>
      <c r="C573" s="128"/>
    </row>
    <row r="574" spans="1:3" ht="47.25" x14ac:dyDescent="0.25">
      <c r="A574" s="88"/>
      <c r="B574" s="89" t="s">
        <v>463</v>
      </c>
      <c r="C574" s="128"/>
    </row>
    <row r="575" spans="1:3" ht="15.75" x14ac:dyDescent="0.25">
      <c r="A575" s="88"/>
      <c r="B575" s="89" t="s">
        <v>133</v>
      </c>
      <c r="C575" s="128"/>
    </row>
    <row r="576" spans="1:3" ht="15.75" x14ac:dyDescent="0.25">
      <c r="A576" s="88"/>
      <c r="B576" s="89" t="s">
        <v>464</v>
      </c>
      <c r="C576" s="128"/>
    </row>
    <row r="577" spans="1:3" ht="31.5" x14ac:dyDescent="0.25">
      <c r="A577" s="88">
        <v>2210005</v>
      </c>
      <c r="B577" s="77" t="s">
        <v>465</v>
      </c>
      <c r="C577" s="79"/>
    </row>
    <row r="578" spans="1:3" x14ac:dyDescent="0.25">
      <c r="A578" s="93">
        <v>22100051</v>
      </c>
      <c r="B578" s="85" t="s">
        <v>466</v>
      </c>
      <c r="C578" s="130">
        <v>292025000</v>
      </c>
    </row>
    <row r="579" spans="1:3" x14ac:dyDescent="0.25">
      <c r="A579" s="93">
        <v>22100053</v>
      </c>
      <c r="B579" s="81" t="s">
        <v>467</v>
      </c>
      <c r="C579" s="130">
        <v>173601792</v>
      </c>
    </row>
    <row r="580" spans="1:3" x14ac:dyDescent="0.25">
      <c r="A580" s="131">
        <v>22100054</v>
      </c>
      <c r="B580" s="81" t="s">
        <v>468</v>
      </c>
      <c r="C580" s="130">
        <v>92587622.399999991</v>
      </c>
    </row>
    <row r="581" spans="1:3" x14ac:dyDescent="0.25">
      <c r="A581" s="131">
        <v>22100055</v>
      </c>
      <c r="B581" s="81" t="s">
        <v>469</v>
      </c>
      <c r="C581" s="130">
        <v>34720358.399999999</v>
      </c>
    </row>
    <row r="582" spans="1:3" ht="30" x14ac:dyDescent="0.25">
      <c r="A582" s="131">
        <v>22100056</v>
      </c>
      <c r="B582" s="81" t="s">
        <v>470</v>
      </c>
      <c r="C582" s="130">
        <v>34720358.399999999</v>
      </c>
    </row>
    <row r="583" spans="1:3" x14ac:dyDescent="0.25">
      <c r="A583" s="131"/>
      <c r="B583" s="132"/>
      <c r="C583" s="128"/>
    </row>
    <row r="584" spans="1:3" x14ac:dyDescent="0.25">
      <c r="A584" s="131"/>
      <c r="B584" s="132"/>
      <c r="C584" s="128"/>
    </row>
    <row r="585" spans="1:3" ht="15.75" x14ac:dyDescent="0.25">
      <c r="A585" s="127">
        <v>2210634</v>
      </c>
      <c r="B585" s="89" t="s">
        <v>471</v>
      </c>
      <c r="C585" s="128"/>
    </row>
    <row r="586" spans="1:3" x14ac:dyDescent="0.25">
      <c r="A586" s="131">
        <v>22106341</v>
      </c>
      <c r="B586" s="85" t="s">
        <v>217</v>
      </c>
      <c r="C586" s="130">
        <v>1075000000</v>
      </c>
    </row>
    <row r="587" spans="1:3" ht="30" x14ac:dyDescent="0.25">
      <c r="A587" s="131">
        <v>22106342</v>
      </c>
      <c r="B587" s="81" t="s">
        <v>472</v>
      </c>
      <c r="C587" s="130">
        <v>1731407040</v>
      </c>
    </row>
    <row r="588" spans="1:3" ht="30" x14ac:dyDescent="0.25">
      <c r="A588" s="131">
        <v>22106343</v>
      </c>
      <c r="B588" s="81" t="s">
        <v>473</v>
      </c>
      <c r="C588" s="130">
        <v>8136991653</v>
      </c>
    </row>
    <row r="589" spans="1:3" ht="47.25" x14ac:dyDescent="0.25">
      <c r="A589" s="127">
        <v>2210913</v>
      </c>
      <c r="B589" s="89" t="s">
        <v>474</v>
      </c>
      <c r="C589" s="128"/>
    </row>
    <row r="590" spans="1:3" x14ac:dyDescent="0.25">
      <c r="A590" s="131">
        <v>22109131</v>
      </c>
      <c r="B590" s="81" t="s">
        <v>217</v>
      </c>
      <c r="C590" s="130">
        <v>0</v>
      </c>
    </row>
    <row r="591" spans="1:3" ht="30" x14ac:dyDescent="0.25">
      <c r="A591" s="131">
        <v>22109133</v>
      </c>
      <c r="B591" s="85" t="s">
        <v>475</v>
      </c>
      <c r="C591" s="130">
        <v>178053120</v>
      </c>
    </row>
    <row r="592" spans="1:3" ht="15.75" x14ac:dyDescent="0.25">
      <c r="A592" s="88">
        <v>2210940</v>
      </c>
      <c r="B592" s="136" t="s">
        <v>476</v>
      </c>
      <c r="C592" s="131"/>
    </row>
    <row r="593" spans="1:3" x14ac:dyDescent="0.25">
      <c r="A593" s="93">
        <v>22109401</v>
      </c>
      <c r="B593" s="135" t="s">
        <v>217</v>
      </c>
      <c r="C593" s="130">
        <v>946950282</v>
      </c>
    </row>
    <row r="594" spans="1:3" ht="30" x14ac:dyDescent="0.25">
      <c r="A594" s="93">
        <v>22109403</v>
      </c>
      <c r="B594" s="81" t="s">
        <v>477</v>
      </c>
      <c r="C594" s="130">
        <v>1932828000</v>
      </c>
    </row>
    <row r="595" spans="1:3" ht="15.75" x14ac:dyDescent="0.25">
      <c r="A595" s="127">
        <v>2210803</v>
      </c>
      <c r="B595" s="77" t="s">
        <v>478</v>
      </c>
      <c r="C595" s="128">
        <v>0</v>
      </c>
    </row>
    <row r="596" spans="1:3" x14ac:dyDescent="0.25">
      <c r="A596" s="131">
        <v>22108031</v>
      </c>
      <c r="B596" s="81" t="s">
        <v>217</v>
      </c>
      <c r="C596" s="130">
        <f>11350966683+1882568044</f>
        <v>13233534727</v>
      </c>
    </row>
    <row r="597" spans="1:3" ht="30" x14ac:dyDescent="0.25">
      <c r="A597" s="131">
        <v>22108033</v>
      </c>
      <c r="B597" s="81" t="s">
        <v>479</v>
      </c>
      <c r="C597" s="130"/>
    </row>
    <row r="598" spans="1:3" ht="30" x14ac:dyDescent="0.25">
      <c r="A598" s="131">
        <v>22108034</v>
      </c>
      <c r="B598" s="81" t="s">
        <v>477</v>
      </c>
      <c r="C598" s="130">
        <v>4636172000</v>
      </c>
    </row>
    <row r="599" spans="1:3" x14ac:dyDescent="0.25">
      <c r="A599" s="131">
        <v>22108035</v>
      </c>
      <c r="B599" s="81" t="s">
        <v>480</v>
      </c>
      <c r="C599" s="130">
        <f>1607910200</f>
        <v>1607910200</v>
      </c>
    </row>
    <row r="600" spans="1:3" x14ac:dyDescent="0.25">
      <c r="A600" s="131">
        <v>22108037</v>
      </c>
      <c r="B600" s="81" t="s">
        <v>481</v>
      </c>
      <c r="C600" s="130">
        <v>2000000</v>
      </c>
    </row>
    <row r="601" spans="1:3" x14ac:dyDescent="0.25">
      <c r="A601" s="131">
        <v>22108039</v>
      </c>
      <c r="B601" s="85" t="s">
        <v>482</v>
      </c>
      <c r="C601" s="128"/>
    </row>
    <row r="602" spans="1:3" x14ac:dyDescent="0.25">
      <c r="A602" s="131"/>
      <c r="B602" s="81" t="s">
        <v>445</v>
      </c>
      <c r="C602" s="128"/>
    </row>
    <row r="603" spans="1:3" ht="15.75" x14ac:dyDescent="0.25">
      <c r="A603" s="127">
        <v>2210991</v>
      </c>
      <c r="B603" s="138" t="s">
        <v>483</v>
      </c>
      <c r="C603" s="128"/>
    </row>
    <row r="604" spans="1:3" x14ac:dyDescent="0.25">
      <c r="A604" s="131">
        <v>22109911</v>
      </c>
      <c r="B604" s="132" t="s">
        <v>217</v>
      </c>
      <c r="C604" s="130">
        <v>0</v>
      </c>
    </row>
    <row r="605" spans="1:3" x14ac:dyDescent="0.25">
      <c r="A605" s="131"/>
      <c r="B605" s="132"/>
      <c r="C605" s="130"/>
    </row>
    <row r="606" spans="1:3" ht="15.75" x14ac:dyDescent="0.25">
      <c r="A606" s="131"/>
      <c r="B606" s="139" t="s">
        <v>484</v>
      </c>
      <c r="C606" s="130"/>
    </row>
    <row r="607" spans="1:3" ht="15.75" x14ac:dyDescent="0.25">
      <c r="A607" s="127">
        <v>2210146</v>
      </c>
      <c r="B607" s="77" t="s">
        <v>485</v>
      </c>
      <c r="C607" s="128"/>
    </row>
    <row r="608" spans="1:3" x14ac:dyDescent="0.25">
      <c r="A608" s="131">
        <v>22101461</v>
      </c>
      <c r="B608" s="85" t="s">
        <v>486</v>
      </c>
      <c r="C608" s="130">
        <v>1193508413</v>
      </c>
    </row>
    <row r="609" spans="1:3" x14ac:dyDescent="0.25">
      <c r="A609" s="131">
        <v>22101462</v>
      </c>
      <c r="B609" s="81" t="s">
        <v>217</v>
      </c>
      <c r="C609" s="130">
        <v>1207737482</v>
      </c>
    </row>
    <row r="610" spans="1:3" x14ac:dyDescent="0.25">
      <c r="A610" s="131"/>
      <c r="B610" s="81"/>
      <c r="C610" s="130"/>
    </row>
    <row r="611" spans="1:3" ht="47.25" hidden="1" x14ac:dyDescent="0.25">
      <c r="A611" s="131"/>
      <c r="B611" s="83" t="s">
        <v>487</v>
      </c>
      <c r="C611" s="128"/>
    </row>
    <row r="612" spans="1:3" ht="30" hidden="1" x14ac:dyDescent="0.25">
      <c r="A612" s="131" t="s">
        <v>488</v>
      </c>
      <c r="B612" s="92" t="s">
        <v>398</v>
      </c>
      <c r="C612" s="130">
        <v>0</v>
      </c>
    </row>
    <row r="613" spans="1:3" ht="31.5" hidden="1" x14ac:dyDescent="0.25">
      <c r="A613" s="131"/>
      <c r="B613" s="138" t="s">
        <v>219</v>
      </c>
      <c r="C613" s="128"/>
    </row>
    <row r="614" spans="1:3" ht="15.75" hidden="1" x14ac:dyDescent="0.25">
      <c r="A614" s="131"/>
      <c r="B614" s="83" t="s">
        <v>489</v>
      </c>
      <c r="C614" s="128"/>
    </row>
    <row r="615" spans="1:3" ht="30" hidden="1" x14ac:dyDescent="0.25">
      <c r="A615" s="131" t="s">
        <v>488</v>
      </c>
      <c r="B615" s="85" t="s">
        <v>398</v>
      </c>
      <c r="C615" s="130">
        <v>0</v>
      </c>
    </row>
    <row r="616" spans="1:3" ht="31.5" hidden="1" x14ac:dyDescent="0.25">
      <c r="A616" s="131"/>
      <c r="B616" s="140" t="s">
        <v>490</v>
      </c>
      <c r="C616" s="128"/>
    </row>
    <row r="617" spans="1:3" ht="30" hidden="1" x14ac:dyDescent="0.25">
      <c r="A617" s="131" t="s">
        <v>488</v>
      </c>
      <c r="B617" s="92" t="s">
        <v>398</v>
      </c>
      <c r="C617" s="130">
        <v>0</v>
      </c>
    </row>
    <row r="618" spans="1:3" ht="31.5" x14ac:dyDescent="0.25">
      <c r="A618" s="88">
        <v>2210555</v>
      </c>
      <c r="B618" s="136" t="s">
        <v>491</v>
      </c>
      <c r="C618" s="130"/>
    </row>
    <row r="619" spans="1:3" x14ac:dyDescent="0.25">
      <c r="A619" s="93">
        <v>22105551</v>
      </c>
      <c r="B619" s="135" t="s">
        <v>217</v>
      </c>
      <c r="C619" s="130">
        <v>30000000</v>
      </c>
    </row>
    <row r="620" spans="1:3" ht="63" hidden="1" x14ac:dyDescent="0.25">
      <c r="A620" s="88">
        <v>2210324</v>
      </c>
      <c r="B620" s="136" t="s">
        <v>492</v>
      </c>
      <c r="C620" s="130"/>
    </row>
    <row r="621" spans="1:3" hidden="1" x14ac:dyDescent="0.25">
      <c r="A621" s="93">
        <v>22103241</v>
      </c>
      <c r="B621" s="135" t="s">
        <v>398</v>
      </c>
      <c r="C621" s="130">
        <v>0</v>
      </c>
    </row>
    <row r="622" spans="1:3" x14ac:dyDescent="0.25">
      <c r="A622" s="131"/>
      <c r="B622" s="132"/>
      <c r="C622" s="128"/>
    </row>
    <row r="623" spans="1:3" ht="31.5" x14ac:dyDescent="0.25">
      <c r="A623" s="131"/>
      <c r="B623" s="141" t="s">
        <v>493</v>
      </c>
      <c r="C623" s="128"/>
    </row>
    <row r="624" spans="1:3" ht="31.5" x14ac:dyDescent="0.25">
      <c r="A624" s="127">
        <v>2210258</v>
      </c>
      <c r="B624" s="83" t="s">
        <v>494</v>
      </c>
      <c r="C624" s="128"/>
    </row>
    <row r="625" spans="1:3" x14ac:dyDescent="0.25">
      <c r="A625" s="131">
        <v>22102581</v>
      </c>
      <c r="B625" s="132" t="s">
        <v>217</v>
      </c>
      <c r="C625" s="128">
        <v>303050000</v>
      </c>
    </row>
    <row r="626" spans="1:3" ht="15.75" hidden="1" x14ac:dyDescent="0.25">
      <c r="A626" s="133">
        <v>2210951</v>
      </c>
      <c r="B626" s="77" t="s">
        <v>495</v>
      </c>
      <c r="C626" s="128"/>
    </row>
    <row r="627" spans="1:3" hidden="1" x14ac:dyDescent="0.25">
      <c r="A627" s="129">
        <v>22109511</v>
      </c>
      <c r="B627" s="132" t="s">
        <v>217</v>
      </c>
      <c r="C627" s="130">
        <v>0</v>
      </c>
    </row>
    <row r="628" spans="1:3" ht="15.75" x14ac:dyDescent="0.25">
      <c r="A628" s="133">
        <v>2210257</v>
      </c>
      <c r="B628" s="138" t="s">
        <v>496</v>
      </c>
      <c r="C628" s="128"/>
    </row>
    <row r="629" spans="1:3" x14ac:dyDescent="0.25">
      <c r="A629" s="129">
        <v>22102571</v>
      </c>
      <c r="B629" s="132" t="s">
        <v>217</v>
      </c>
      <c r="C629" s="130">
        <v>189280000</v>
      </c>
    </row>
    <row r="630" spans="1:3" ht="15.75" hidden="1" x14ac:dyDescent="0.25">
      <c r="A630" s="131"/>
      <c r="B630" s="138" t="s">
        <v>497</v>
      </c>
      <c r="C630" s="128"/>
    </row>
    <row r="631" spans="1:3" ht="31.5" hidden="1" customHeight="1" x14ac:dyDescent="0.25">
      <c r="A631" s="131" t="s">
        <v>488</v>
      </c>
      <c r="B631" s="83" t="s">
        <v>498</v>
      </c>
      <c r="C631" s="128"/>
    </row>
    <row r="632" spans="1:3" hidden="1" x14ac:dyDescent="0.25">
      <c r="A632" s="131"/>
      <c r="B632" s="92" t="s">
        <v>398</v>
      </c>
      <c r="C632" s="130">
        <v>0</v>
      </c>
    </row>
    <row r="633" spans="1:3" x14ac:dyDescent="0.25">
      <c r="A633" s="131"/>
      <c r="B633" s="92"/>
      <c r="C633" s="130"/>
    </row>
    <row r="634" spans="1:3" ht="31.5" x14ac:dyDescent="0.25">
      <c r="A634" s="131"/>
      <c r="B634" s="83" t="s">
        <v>499</v>
      </c>
      <c r="C634" s="128"/>
    </row>
    <row r="635" spans="1:3" ht="15.75" x14ac:dyDescent="0.25">
      <c r="A635" s="131"/>
      <c r="B635" s="83" t="s">
        <v>500</v>
      </c>
      <c r="C635" s="128"/>
    </row>
    <row r="636" spans="1:3" ht="28.5" customHeight="1" x14ac:dyDescent="0.25">
      <c r="A636" s="88">
        <v>2210013</v>
      </c>
      <c r="B636" s="89" t="s">
        <v>501</v>
      </c>
      <c r="C636" s="128"/>
    </row>
    <row r="637" spans="1:3" x14ac:dyDescent="0.25">
      <c r="A637" s="93">
        <v>22100131</v>
      </c>
      <c r="B637" s="85" t="s">
        <v>217</v>
      </c>
      <c r="C637" s="130">
        <v>20000000</v>
      </c>
    </row>
    <row r="638" spans="1:3" ht="30" x14ac:dyDescent="0.25">
      <c r="A638" s="93">
        <v>22100133</v>
      </c>
      <c r="B638" s="85" t="s">
        <v>447</v>
      </c>
      <c r="C638" s="130">
        <v>40000000</v>
      </c>
    </row>
    <row r="639" spans="1:3" ht="15.75" x14ac:dyDescent="0.25">
      <c r="A639" s="133">
        <v>2210900</v>
      </c>
      <c r="B639" s="77" t="s">
        <v>502</v>
      </c>
      <c r="C639" s="128"/>
    </row>
    <row r="640" spans="1:3" x14ac:dyDescent="0.25">
      <c r="A640" s="129">
        <v>22109001</v>
      </c>
      <c r="B640" s="85" t="s">
        <v>217</v>
      </c>
      <c r="C640" s="128">
        <f>469000000</f>
        <v>469000000</v>
      </c>
    </row>
    <row r="641" spans="1:3" x14ac:dyDescent="0.25">
      <c r="A641" s="131">
        <v>22109003</v>
      </c>
      <c r="B641" s="81" t="s">
        <v>503</v>
      </c>
      <c r="C641" s="128">
        <v>175264000</v>
      </c>
    </row>
    <row r="642" spans="1:3" ht="31.5" x14ac:dyDescent="0.25">
      <c r="A642" s="133">
        <v>2210331</v>
      </c>
      <c r="B642" s="77" t="s">
        <v>504</v>
      </c>
      <c r="C642" s="128"/>
    </row>
    <row r="643" spans="1:3" x14ac:dyDescent="0.25">
      <c r="A643" s="129">
        <v>22103311</v>
      </c>
      <c r="B643" s="85" t="s">
        <v>217</v>
      </c>
      <c r="C643" s="130">
        <v>130000000</v>
      </c>
    </row>
    <row r="644" spans="1:3" ht="15.75" x14ac:dyDescent="0.25">
      <c r="A644" s="133">
        <v>2210902</v>
      </c>
      <c r="B644" s="138" t="s">
        <v>505</v>
      </c>
      <c r="C644" s="128"/>
    </row>
    <row r="645" spans="1:3" x14ac:dyDescent="0.25">
      <c r="A645" s="129">
        <v>22109023</v>
      </c>
      <c r="B645" s="132" t="s">
        <v>503</v>
      </c>
      <c r="C645" s="137">
        <v>65000000</v>
      </c>
    </row>
    <row r="646" spans="1:3" ht="31.5" x14ac:dyDescent="0.25">
      <c r="A646" s="133">
        <v>2210899</v>
      </c>
      <c r="B646" s="89" t="s">
        <v>506</v>
      </c>
      <c r="C646" s="128"/>
    </row>
    <row r="647" spans="1:3" x14ac:dyDescent="0.25">
      <c r="A647" s="142">
        <v>22108991</v>
      </c>
      <c r="B647" s="85" t="s">
        <v>217</v>
      </c>
      <c r="C647" s="130">
        <v>900000000</v>
      </c>
    </row>
    <row r="648" spans="1:3" x14ac:dyDescent="0.25">
      <c r="A648" s="142"/>
      <c r="B648" s="85"/>
      <c r="C648" s="130"/>
    </row>
    <row r="649" spans="1:3" ht="31.5" x14ac:dyDescent="0.25">
      <c r="A649" s="142"/>
      <c r="B649" s="88" t="s">
        <v>507</v>
      </c>
      <c r="C649" s="130"/>
    </row>
    <row r="650" spans="1:3" ht="15.75" x14ac:dyDescent="0.25">
      <c r="A650" s="88">
        <v>2210326</v>
      </c>
      <c r="B650" s="89" t="s">
        <v>508</v>
      </c>
      <c r="C650" s="128"/>
    </row>
    <row r="651" spans="1:3" x14ac:dyDescent="0.25">
      <c r="A651" s="93">
        <v>22103261</v>
      </c>
      <c r="B651" s="81" t="s">
        <v>217</v>
      </c>
      <c r="C651" s="128">
        <v>5000000</v>
      </c>
    </row>
    <row r="652" spans="1:3" x14ac:dyDescent="0.25">
      <c r="A652" s="93"/>
      <c r="B652" s="81" t="s">
        <v>445</v>
      </c>
      <c r="C652" s="128"/>
    </row>
    <row r="653" spans="1:3" ht="15.75" x14ac:dyDescent="0.25">
      <c r="A653" s="88">
        <v>2210532</v>
      </c>
      <c r="B653" s="77" t="s">
        <v>509</v>
      </c>
      <c r="C653" s="128"/>
    </row>
    <row r="654" spans="1:3" x14ac:dyDescent="0.25">
      <c r="A654" s="93">
        <v>22105321</v>
      </c>
      <c r="B654" s="81" t="s">
        <v>510</v>
      </c>
      <c r="C654" s="130">
        <v>5900000000</v>
      </c>
    </row>
    <row r="655" spans="1:3" ht="15.75" x14ac:dyDescent="0.25">
      <c r="A655" s="98"/>
      <c r="B655" s="67"/>
      <c r="C655" s="60"/>
    </row>
    <row r="656" spans="1:3" ht="31.5" x14ac:dyDescent="0.25">
      <c r="A656" s="63"/>
      <c r="B656" s="66" t="s">
        <v>511</v>
      </c>
      <c r="C656" s="69">
        <f>SUM(C435:C655)</f>
        <v>288241140508.81</v>
      </c>
    </row>
    <row r="657" spans="1:3" ht="15.75" x14ac:dyDescent="0.25">
      <c r="A657" s="63"/>
      <c r="B657" s="66"/>
      <c r="C657" s="60"/>
    </row>
    <row r="658" spans="1:3" ht="47.25" x14ac:dyDescent="0.25">
      <c r="A658" s="98"/>
      <c r="B658" s="305" t="s">
        <v>17</v>
      </c>
      <c r="C658" s="143"/>
    </row>
    <row r="659" spans="1:3" ht="15.75" x14ac:dyDescent="0.25">
      <c r="A659" s="98"/>
      <c r="B659" s="65"/>
      <c r="C659" s="60"/>
    </row>
    <row r="660" spans="1:3" ht="15.75" x14ac:dyDescent="0.25">
      <c r="A660" s="98"/>
      <c r="B660" s="99" t="s">
        <v>218</v>
      </c>
      <c r="C660" s="60"/>
    </row>
    <row r="661" spans="1:3" ht="47.25" x14ac:dyDescent="0.25">
      <c r="A661" s="98"/>
      <c r="B661" s="99" t="s">
        <v>10</v>
      </c>
      <c r="C661" s="60"/>
    </row>
    <row r="662" spans="1:3" ht="31.5" x14ac:dyDescent="0.25">
      <c r="A662" s="98"/>
      <c r="B662" s="99" t="s">
        <v>512</v>
      </c>
      <c r="C662" s="60"/>
    </row>
    <row r="663" spans="1:3" ht="31.5" x14ac:dyDescent="0.25">
      <c r="A663" s="65">
        <v>2210300</v>
      </c>
      <c r="B663" s="65" t="s">
        <v>513</v>
      </c>
      <c r="C663" s="60"/>
    </row>
    <row r="664" spans="1:3" ht="15.75" x14ac:dyDescent="0.25">
      <c r="A664" s="49">
        <v>22103001</v>
      </c>
      <c r="B664" s="49" t="s">
        <v>217</v>
      </c>
      <c r="C664" s="60">
        <v>94050000</v>
      </c>
    </row>
    <row r="665" spans="1:3" ht="30.75" x14ac:dyDescent="0.25">
      <c r="A665" s="49"/>
      <c r="B665" s="67" t="s">
        <v>514</v>
      </c>
      <c r="C665" s="60">
        <v>85690000</v>
      </c>
    </row>
    <row r="666" spans="1:3" ht="15.75" x14ac:dyDescent="0.25">
      <c r="A666" s="49"/>
      <c r="B666" s="49"/>
      <c r="C666" s="60"/>
    </row>
    <row r="667" spans="1:3" ht="15.75" x14ac:dyDescent="0.25">
      <c r="A667" s="49"/>
      <c r="B667" s="65" t="s">
        <v>11</v>
      </c>
      <c r="C667" s="60"/>
    </row>
    <row r="668" spans="1:3" ht="31.5" x14ac:dyDescent="0.25">
      <c r="A668" s="65">
        <v>2210301</v>
      </c>
      <c r="B668" s="65" t="s">
        <v>515</v>
      </c>
      <c r="C668" s="60"/>
    </row>
    <row r="669" spans="1:3" ht="15.75" x14ac:dyDescent="0.25">
      <c r="A669" s="49">
        <v>22103011</v>
      </c>
      <c r="B669" s="49" t="s">
        <v>217</v>
      </c>
      <c r="C669" s="60">
        <v>166645000</v>
      </c>
    </row>
    <row r="670" spans="1:3" ht="30.75" x14ac:dyDescent="0.25">
      <c r="A670" s="49">
        <v>22103013</v>
      </c>
      <c r="B670" s="67" t="s">
        <v>514</v>
      </c>
      <c r="C670" s="60">
        <f>386188000+85839</f>
        <v>386273839</v>
      </c>
    </row>
    <row r="671" spans="1:3" ht="15.75" x14ac:dyDescent="0.25">
      <c r="A671" s="49"/>
      <c r="B671" s="49"/>
      <c r="C671" s="60"/>
    </row>
    <row r="672" spans="1:3" ht="15.75" x14ac:dyDescent="0.25">
      <c r="A672" s="98"/>
      <c r="B672" s="99" t="s">
        <v>228</v>
      </c>
      <c r="C672" s="107"/>
    </row>
    <row r="673" spans="1:3" ht="31.5" x14ac:dyDescent="0.25">
      <c r="A673" s="98"/>
      <c r="B673" s="99" t="s">
        <v>18</v>
      </c>
      <c r="C673" s="60"/>
    </row>
    <row r="674" spans="1:3" ht="15.75" x14ac:dyDescent="0.25">
      <c r="A674" s="98"/>
      <c r="B674" s="99" t="s">
        <v>516</v>
      </c>
      <c r="C674" s="60"/>
    </row>
    <row r="675" spans="1:3" ht="31.5" x14ac:dyDescent="0.25">
      <c r="A675" s="49">
        <v>2210299</v>
      </c>
      <c r="B675" s="99" t="s">
        <v>517</v>
      </c>
      <c r="C675" s="60"/>
    </row>
    <row r="676" spans="1:3" ht="15.75" x14ac:dyDescent="0.25">
      <c r="A676" s="49">
        <v>22102991</v>
      </c>
      <c r="B676" s="117" t="s">
        <v>217</v>
      </c>
      <c r="C676" s="60">
        <v>339305000</v>
      </c>
    </row>
    <row r="677" spans="1:3" ht="30.75" x14ac:dyDescent="0.25">
      <c r="A677" s="49">
        <v>22102993</v>
      </c>
      <c r="B677" s="67" t="s">
        <v>518</v>
      </c>
      <c r="C677" s="60">
        <v>1165214643</v>
      </c>
    </row>
    <row r="678" spans="1:3" ht="30.75" x14ac:dyDescent="0.25">
      <c r="A678" s="49">
        <v>22102994</v>
      </c>
      <c r="B678" s="67" t="s">
        <v>514</v>
      </c>
      <c r="C678" s="60">
        <f>728512103+63161</f>
        <v>728575264</v>
      </c>
    </row>
    <row r="679" spans="1:3" ht="15.75" x14ac:dyDescent="0.25">
      <c r="A679" s="49">
        <v>22109947</v>
      </c>
      <c r="B679" s="67" t="s">
        <v>519</v>
      </c>
      <c r="C679" s="60">
        <v>1000</v>
      </c>
    </row>
    <row r="680" spans="1:3" ht="15.75" x14ac:dyDescent="0.25">
      <c r="A680" s="49"/>
      <c r="B680" s="99" t="s">
        <v>520</v>
      </c>
      <c r="C680" s="60"/>
    </row>
    <row r="681" spans="1:3" ht="15.75" x14ac:dyDescent="0.25">
      <c r="A681" s="112">
        <v>2210179</v>
      </c>
      <c r="B681" s="99" t="s">
        <v>521</v>
      </c>
      <c r="C681" s="60"/>
    </row>
    <row r="682" spans="1:3" ht="21" customHeight="1" x14ac:dyDescent="0.25">
      <c r="A682" s="114">
        <v>22101794</v>
      </c>
      <c r="B682" s="117" t="s">
        <v>522</v>
      </c>
      <c r="C682" s="60">
        <v>70000000</v>
      </c>
    </row>
    <row r="683" spans="1:3" ht="15.75" x14ac:dyDescent="0.25">
      <c r="A683" s="98"/>
      <c r="B683" s="65"/>
      <c r="C683" s="60"/>
    </row>
    <row r="684" spans="1:3" ht="15.75" x14ac:dyDescent="0.25">
      <c r="A684" s="98"/>
      <c r="B684" s="66" t="s">
        <v>523</v>
      </c>
      <c r="C684" s="69">
        <f>SUM(C663:C682)</f>
        <v>3035754746</v>
      </c>
    </row>
    <row r="685" spans="1:3" ht="15.75" x14ac:dyDescent="0.25">
      <c r="A685" s="98"/>
      <c r="B685" s="66"/>
      <c r="C685" s="69"/>
    </row>
    <row r="686" spans="1:3" ht="15.75" x14ac:dyDescent="0.25">
      <c r="A686" s="98"/>
      <c r="B686" s="67"/>
      <c r="C686" s="60"/>
    </row>
    <row r="687" spans="1:3" ht="18" customHeight="1" x14ac:dyDescent="0.25">
      <c r="A687" s="118"/>
      <c r="B687" s="303" t="s">
        <v>19</v>
      </c>
      <c r="C687" s="60"/>
    </row>
    <row r="688" spans="1:3" ht="15.75" x14ac:dyDescent="0.25">
      <c r="A688" s="110"/>
      <c r="B688" s="66"/>
      <c r="C688" s="60"/>
    </row>
    <row r="689" spans="1:3" ht="15.75" x14ac:dyDescent="0.25">
      <c r="A689" s="75"/>
      <c r="B689" s="99" t="s">
        <v>228</v>
      </c>
      <c r="C689" s="87"/>
    </row>
    <row r="690" spans="1:3" ht="31.5" x14ac:dyDescent="0.25">
      <c r="A690" s="75"/>
      <c r="B690" s="99" t="s">
        <v>524</v>
      </c>
      <c r="C690" s="87"/>
    </row>
    <row r="691" spans="1:3" ht="15.75" x14ac:dyDescent="0.25">
      <c r="A691" s="75"/>
      <c r="B691" s="99" t="s">
        <v>525</v>
      </c>
      <c r="C691" s="87"/>
    </row>
    <row r="692" spans="1:3" ht="31.5" x14ac:dyDescent="0.25">
      <c r="A692" s="75"/>
      <c r="B692" s="99" t="s">
        <v>526</v>
      </c>
      <c r="C692" s="87"/>
    </row>
    <row r="693" spans="1:3" ht="47.25" x14ac:dyDescent="0.25">
      <c r="A693" s="112">
        <v>2210180</v>
      </c>
      <c r="B693" s="99" t="s">
        <v>527</v>
      </c>
      <c r="C693" s="87"/>
    </row>
    <row r="694" spans="1:3" ht="15.75" x14ac:dyDescent="0.25">
      <c r="A694" s="114" t="s">
        <v>528</v>
      </c>
      <c r="B694" s="115" t="s">
        <v>217</v>
      </c>
      <c r="C694" s="144">
        <f>2404000000+2415000000-115000000</f>
        <v>4704000000</v>
      </c>
    </row>
    <row r="695" spans="1:3" ht="30.75" x14ac:dyDescent="0.25">
      <c r="A695" s="114" t="s">
        <v>529</v>
      </c>
      <c r="B695" s="115" t="s">
        <v>530</v>
      </c>
      <c r="C695" s="144">
        <v>69096761</v>
      </c>
    </row>
    <row r="696" spans="1:3" ht="31.5" x14ac:dyDescent="0.25">
      <c r="A696" s="75"/>
      <c r="B696" s="99" t="s">
        <v>531</v>
      </c>
      <c r="C696" s="87"/>
    </row>
    <row r="697" spans="1:3" ht="15.75" x14ac:dyDescent="0.25">
      <c r="A697" s="112">
        <v>2210120</v>
      </c>
      <c r="B697" s="99" t="s">
        <v>532</v>
      </c>
      <c r="C697" s="87"/>
    </row>
    <row r="698" spans="1:3" ht="30.75" x14ac:dyDescent="0.25">
      <c r="A698" s="114" t="s">
        <v>533</v>
      </c>
      <c r="B698" s="115" t="s">
        <v>530</v>
      </c>
      <c r="C698" s="144">
        <v>280000000</v>
      </c>
    </row>
    <row r="699" spans="1:3" ht="15.75" x14ac:dyDescent="0.25">
      <c r="A699" s="114" t="s">
        <v>534</v>
      </c>
      <c r="B699" s="115" t="s">
        <v>535</v>
      </c>
      <c r="C699" s="144">
        <v>1000</v>
      </c>
    </row>
    <row r="700" spans="1:3" ht="31.5" x14ac:dyDescent="0.25">
      <c r="A700" s="75"/>
      <c r="B700" s="99" t="s">
        <v>536</v>
      </c>
      <c r="C700" s="87"/>
    </row>
    <row r="701" spans="1:3" ht="15.75" x14ac:dyDescent="0.25">
      <c r="A701" s="112">
        <v>2210120</v>
      </c>
      <c r="B701" s="99" t="s">
        <v>532</v>
      </c>
      <c r="C701" s="87"/>
    </row>
    <row r="702" spans="1:3" ht="30.75" x14ac:dyDescent="0.25">
      <c r="A702" s="114" t="s">
        <v>533</v>
      </c>
      <c r="B702" s="115" t="s">
        <v>530</v>
      </c>
      <c r="C702" s="144">
        <v>194814220</v>
      </c>
    </row>
    <row r="703" spans="1:3" ht="47.25" x14ac:dyDescent="0.25">
      <c r="A703" s="75"/>
      <c r="B703" s="99" t="s">
        <v>537</v>
      </c>
      <c r="C703" s="87"/>
    </row>
    <row r="704" spans="1:3" ht="63" x14ac:dyDescent="0.25">
      <c r="A704" s="120">
        <v>2210184</v>
      </c>
      <c r="B704" s="99" t="s">
        <v>538</v>
      </c>
      <c r="C704" s="87"/>
    </row>
    <row r="705" spans="1:3" ht="30.75" x14ac:dyDescent="0.25">
      <c r="A705" s="114" t="s">
        <v>539</v>
      </c>
      <c r="B705" s="115" t="s">
        <v>540</v>
      </c>
      <c r="C705" s="144">
        <v>300000000</v>
      </c>
    </row>
    <row r="706" spans="1:3" ht="15.75" x14ac:dyDescent="0.25">
      <c r="A706" s="114" t="s">
        <v>541</v>
      </c>
      <c r="B706" s="115" t="s">
        <v>217</v>
      </c>
      <c r="C706" s="144">
        <v>30000000</v>
      </c>
    </row>
    <row r="707" spans="1:3" ht="30.75" x14ac:dyDescent="0.25">
      <c r="A707" s="114" t="s">
        <v>542</v>
      </c>
      <c r="B707" s="115" t="s">
        <v>530</v>
      </c>
      <c r="C707" s="144">
        <v>330000000</v>
      </c>
    </row>
    <row r="708" spans="1:3" ht="15.75" x14ac:dyDescent="0.25">
      <c r="A708" s="114"/>
      <c r="B708" s="115"/>
      <c r="C708" s="144"/>
    </row>
    <row r="709" spans="1:3" ht="15.75" x14ac:dyDescent="0.25">
      <c r="A709" s="75"/>
      <c r="B709" s="99" t="s">
        <v>543</v>
      </c>
      <c r="C709" s="144"/>
    </row>
    <row r="710" spans="1:3" ht="31.5" x14ac:dyDescent="0.25">
      <c r="A710" s="75"/>
      <c r="B710" s="99" t="s">
        <v>544</v>
      </c>
      <c r="C710" s="144"/>
    </row>
    <row r="711" spans="1:3" ht="22.5" customHeight="1" x14ac:dyDescent="0.25">
      <c r="A711" s="120">
        <v>2210969</v>
      </c>
      <c r="B711" s="99" t="s">
        <v>545</v>
      </c>
      <c r="C711" s="144"/>
    </row>
    <row r="712" spans="1:3" ht="15.75" x14ac:dyDescent="0.25">
      <c r="A712" s="114">
        <v>22109691</v>
      </c>
      <c r="B712" s="117" t="s">
        <v>217</v>
      </c>
      <c r="C712" s="144">
        <v>1805000000</v>
      </c>
    </row>
    <row r="713" spans="1:3" ht="15.75" x14ac:dyDescent="0.25">
      <c r="A713" s="114"/>
      <c r="B713" s="115"/>
      <c r="C713" s="144"/>
    </row>
    <row r="714" spans="1:3" ht="15.75" x14ac:dyDescent="0.25">
      <c r="A714" s="114"/>
      <c r="B714" s="115"/>
      <c r="C714" s="144"/>
    </row>
    <row r="715" spans="1:3" ht="31.5" x14ac:dyDescent="0.25">
      <c r="A715" s="98"/>
      <c r="B715" s="66" t="s">
        <v>546</v>
      </c>
      <c r="C715" s="69">
        <f>SUM(C694:C712)</f>
        <v>7712911981</v>
      </c>
    </row>
    <row r="716" spans="1:3" ht="15.75" x14ac:dyDescent="0.25">
      <c r="A716" s="98"/>
      <c r="B716" s="66"/>
      <c r="C716" s="69"/>
    </row>
    <row r="717" spans="1:3" ht="15.75" x14ac:dyDescent="0.25">
      <c r="A717" s="63"/>
      <c r="B717" s="303" t="s">
        <v>20</v>
      </c>
      <c r="C717" s="60"/>
    </row>
    <row r="718" spans="1:3" ht="15.75" x14ac:dyDescent="0.25">
      <c r="A718" s="63"/>
      <c r="B718" s="63"/>
      <c r="C718" s="60"/>
    </row>
    <row r="719" spans="1:3" ht="31.5" x14ac:dyDescent="0.25">
      <c r="A719" s="75"/>
      <c r="B719" s="99" t="s">
        <v>213</v>
      </c>
      <c r="C719" s="60"/>
    </row>
    <row r="720" spans="1:3" ht="31.5" x14ac:dyDescent="0.25">
      <c r="A720" s="75"/>
      <c r="B720" s="99" t="s">
        <v>15</v>
      </c>
      <c r="C720" s="60"/>
    </row>
    <row r="721" spans="1:4" ht="15.75" x14ac:dyDescent="0.25">
      <c r="A721" s="75"/>
      <c r="B721" s="99" t="s">
        <v>547</v>
      </c>
      <c r="C721" s="60"/>
      <c r="D721" s="56"/>
    </row>
    <row r="722" spans="1:4" ht="15.75" x14ac:dyDescent="0.25">
      <c r="A722" s="75"/>
      <c r="B722" s="99" t="s">
        <v>396</v>
      </c>
      <c r="C722" s="60"/>
      <c r="D722" s="56"/>
    </row>
    <row r="723" spans="1:4" ht="15.75" x14ac:dyDescent="0.25">
      <c r="A723" s="112">
        <v>2210980</v>
      </c>
      <c r="B723" s="99" t="s">
        <v>548</v>
      </c>
      <c r="C723" s="60"/>
      <c r="D723" s="56"/>
    </row>
    <row r="724" spans="1:4" ht="15.75" x14ac:dyDescent="0.25">
      <c r="A724" s="114" t="s">
        <v>549</v>
      </c>
      <c r="B724" s="115" t="s">
        <v>217</v>
      </c>
      <c r="C724" s="60">
        <v>350000000</v>
      </c>
      <c r="D724" s="56"/>
    </row>
    <row r="725" spans="1:4" ht="15.75" x14ac:dyDescent="0.25">
      <c r="A725" s="79">
        <v>2210121</v>
      </c>
      <c r="B725" s="77" t="s">
        <v>550</v>
      </c>
      <c r="C725" s="60"/>
      <c r="D725" s="56"/>
    </row>
    <row r="726" spans="1:4" ht="15.75" x14ac:dyDescent="0.25">
      <c r="A726" s="76" t="s">
        <v>551</v>
      </c>
      <c r="B726" s="81" t="s">
        <v>552</v>
      </c>
      <c r="C726" s="60">
        <v>1000</v>
      </c>
      <c r="D726" s="68">
        <f>+C726</f>
        <v>1000</v>
      </c>
    </row>
    <row r="727" spans="1:4" ht="15.75" x14ac:dyDescent="0.25">
      <c r="A727" s="76"/>
      <c r="B727" s="81"/>
      <c r="C727" s="60"/>
      <c r="D727" s="56"/>
    </row>
    <row r="728" spans="1:4" ht="15.75" x14ac:dyDescent="0.25">
      <c r="A728" s="75"/>
      <c r="B728" s="99" t="s">
        <v>547</v>
      </c>
      <c r="C728" s="60"/>
      <c r="D728" s="56"/>
    </row>
    <row r="729" spans="1:4" ht="31.5" x14ac:dyDescent="0.25">
      <c r="A729" s="75"/>
      <c r="B729" s="99" t="s">
        <v>553</v>
      </c>
      <c r="C729" s="60"/>
      <c r="D729" s="56"/>
    </row>
    <row r="730" spans="1:4" ht="15.75" x14ac:dyDescent="0.25">
      <c r="A730" s="112">
        <v>2210264</v>
      </c>
      <c r="B730" s="99" t="s">
        <v>554</v>
      </c>
      <c r="C730" s="60"/>
      <c r="D730" s="56"/>
    </row>
    <row r="731" spans="1:4" ht="15.75" x14ac:dyDescent="0.25">
      <c r="A731" s="114" t="s">
        <v>555</v>
      </c>
      <c r="B731" s="115" t="s">
        <v>217</v>
      </c>
      <c r="C731" s="60">
        <v>1100000000</v>
      </c>
      <c r="D731" s="56"/>
    </row>
    <row r="732" spans="1:4" ht="36.75" customHeight="1" x14ac:dyDescent="0.25">
      <c r="A732" s="75"/>
      <c r="B732" s="99" t="s">
        <v>302</v>
      </c>
      <c r="C732" s="60"/>
      <c r="D732" s="56"/>
    </row>
    <row r="733" spans="1:4" ht="31.5" x14ac:dyDescent="0.25">
      <c r="A733" s="75"/>
      <c r="B733" s="99" t="s">
        <v>215</v>
      </c>
      <c r="C733" s="60"/>
      <c r="D733" s="56"/>
    </row>
    <row r="734" spans="1:4" ht="15.75" x14ac:dyDescent="0.25">
      <c r="A734" s="112">
        <v>2210289</v>
      </c>
      <c r="B734" s="99" t="s">
        <v>216</v>
      </c>
      <c r="C734" s="60"/>
      <c r="D734" s="56"/>
    </row>
    <row r="735" spans="1:4" ht="15.75" x14ac:dyDescent="0.25">
      <c r="A735" s="114" t="s">
        <v>387</v>
      </c>
      <c r="B735" s="115" t="s">
        <v>217</v>
      </c>
      <c r="C735" s="60">
        <v>770000000</v>
      </c>
      <c r="D735" s="56"/>
    </row>
    <row r="736" spans="1:4" ht="15.75" x14ac:dyDescent="0.25">
      <c r="A736" s="114"/>
      <c r="B736" s="115"/>
      <c r="C736" s="60"/>
      <c r="D736" s="56"/>
    </row>
    <row r="737" spans="1:3" ht="24" customHeight="1" x14ac:dyDescent="0.25">
      <c r="A737" s="75"/>
      <c r="B737" s="99" t="s">
        <v>218</v>
      </c>
      <c r="C737" s="60"/>
    </row>
    <row r="738" spans="1:3" ht="47.25" x14ac:dyDescent="0.25">
      <c r="A738" s="75"/>
      <c r="B738" s="99" t="s">
        <v>10</v>
      </c>
      <c r="C738" s="60"/>
    </row>
    <row r="739" spans="1:3" ht="31.5" x14ac:dyDescent="0.25">
      <c r="A739" s="75"/>
      <c r="B739" s="99" t="s">
        <v>556</v>
      </c>
      <c r="C739" s="60"/>
    </row>
    <row r="740" spans="1:3" ht="19.5" customHeight="1" x14ac:dyDescent="0.25">
      <c r="A740" s="75"/>
      <c r="B740" s="99" t="s">
        <v>311</v>
      </c>
      <c r="C740" s="60"/>
    </row>
    <row r="741" spans="1:3" ht="31.5" x14ac:dyDescent="0.25">
      <c r="A741" s="112">
        <v>2210979</v>
      </c>
      <c r="B741" s="99" t="s">
        <v>557</v>
      </c>
      <c r="C741" s="60"/>
    </row>
    <row r="742" spans="1:3" ht="15.75" x14ac:dyDescent="0.25">
      <c r="A742" s="114" t="s">
        <v>558</v>
      </c>
      <c r="B742" s="115" t="s">
        <v>217</v>
      </c>
      <c r="C742" s="60">
        <v>1100000000</v>
      </c>
    </row>
    <row r="743" spans="1:3" ht="15.75" x14ac:dyDescent="0.25">
      <c r="A743" s="114">
        <v>22109797</v>
      </c>
      <c r="B743" s="115" t="s">
        <v>559</v>
      </c>
      <c r="C743" s="60">
        <v>10000</v>
      </c>
    </row>
    <row r="744" spans="1:3" ht="15.75" x14ac:dyDescent="0.25">
      <c r="A744" s="114"/>
      <c r="B744" s="115"/>
      <c r="C744" s="60"/>
    </row>
    <row r="745" spans="1:3" ht="43.5" customHeight="1" x14ac:dyDescent="0.25">
      <c r="A745" s="75"/>
      <c r="B745" s="99" t="s">
        <v>11</v>
      </c>
      <c r="C745" s="60"/>
    </row>
    <row r="746" spans="1:3" ht="15.75" x14ac:dyDescent="0.25">
      <c r="A746" s="75"/>
      <c r="B746" s="99" t="s">
        <v>547</v>
      </c>
      <c r="C746" s="60"/>
    </row>
    <row r="747" spans="1:3" ht="31.5" x14ac:dyDescent="0.25">
      <c r="A747" s="75"/>
      <c r="B747" s="99" t="s">
        <v>560</v>
      </c>
      <c r="C747" s="60"/>
    </row>
    <row r="748" spans="1:3" ht="15.75" x14ac:dyDescent="0.25">
      <c r="A748" s="112">
        <v>2210268</v>
      </c>
      <c r="B748" s="84" t="s">
        <v>561</v>
      </c>
      <c r="C748" s="60"/>
    </row>
    <row r="749" spans="1:3" ht="15.75" x14ac:dyDescent="0.25">
      <c r="A749" s="114" t="s">
        <v>562</v>
      </c>
      <c r="B749" s="107" t="s">
        <v>217</v>
      </c>
      <c r="C749" s="60">
        <v>300000000</v>
      </c>
    </row>
    <row r="750" spans="1:3" ht="33.75" hidden="1" customHeight="1" x14ac:dyDescent="0.25">
      <c r="A750" s="112" t="s">
        <v>563</v>
      </c>
      <c r="B750" s="99" t="s">
        <v>564</v>
      </c>
      <c r="C750" s="60"/>
    </row>
    <row r="751" spans="1:3" ht="31.5" hidden="1" x14ac:dyDescent="0.25">
      <c r="A751" s="112" t="s">
        <v>563</v>
      </c>
      <c r="B751" s="99" t="s">
        <v>565</v>
      </c>
      <c r="C751" s="60"/>
    </row>
    <row r="752" spans="1:3" ht="15.75" x14ac:dyDescent="0.25">
      <c r="A752" s="112"/>
      <c r="B752" s="99"/>
      <c r="C752" s="60"/>
    </row>
    <row r="753" spans="1:3" ht="31.5" x14ac:dyDescent="0.25">
      <c r="A753" s="145"/>
      <c r="B753" s="146" t="s">
        <v>565</v>
      </c>
      <c r="C753" s="60"/>
    </row>
    <row r="754" spans="1:3" ht="31.5" x14ac:dyDescent="0.25">
      <c r="A754" s="147">
        <v>2210675</v>
      </c>
      <c r="B754" s="148" t="s">
        <v>566</v>
      </c>
      <c r="C754" s="60"/>
    </row>
    <row r="755" spans="1:3" ht="15.75" x14ac:dyDescent="0.25">
      <c r="A755" s="145">
        <v>22106751</v>
      </c>
      <c r="B755" s="149" t="s">
        <v>217</v>
      </c>
      <c r="C755" s="60">
        <v>1500000000</v>
      </c>
    </row>
    <row r="756" spans="1:3" ht="15.75" x14ac:dyDescent="0.25">
      <c r="A756" s="112"/>
      <c r="B756" s="99"/>
      <c r="C756" s="60"/>
    </row>
    <row r="757" spans="1:3" ht="31.5" x14ac:dyDescent="0.25">
      <c r="A757" s="75"/>
      <c r="B757" s="99" t="s">
        <v>567</v>
      </c>
      <c r="C757" s="60"/>
    </row>
    <row r="758" spans="1:3" ht="15.75" x14ac:dyDescent="0.25">
      <c r="A758" s="75"/>
      <c r="B758" s="99" t="s">
        <v>568</v>
      </c>
      <c r="C758" s="60"/>
    </row>
    <row r="759" spans="1:3" ht="31.5" x14ac:dyDescent="0.25">
      <c r="A759" s="75"/>
      <c r="B759" s="99" t="s">
        <v>569</v>
      </c>
      <c r="C759" s="60"/>
    </row>
    <row r="760" spans="1:3" ht="31.5" x14ac:dyDescent="0.25">
      <c r="A760" s="75"/>
      <c r="B760" s="99" t="s">
        <v>570</v>
      </c>
      <c r="C760" s="60"/>
    </row>
    <row r="761" spans="1:3" ht="31.5" x14ac:dyDescent="0.25">
      <c r="A761" s="112">
        <v>2210679</v>
      </c>
      <c r="B761" s="99" t="s">
        <v>571</v>
      </c>
      <c r="C761" s="60"/>
    </row>
    <row r="762" spans="1:3" ht="15.75" x14ac:dyDescent="0.25">
      <c r="A762" s="114" t="s">
        <v>572</v>
      </c>
      <c r="B762" s="115" t="s">
        <v>217</v>
      </c>
      <c r="C762" s="60">
        <v>140000000</v>
      </c>
    </row>
    <row r="763" spans="1:3" ht="15.75" x14ac:dyDescent="0.25">
      <c r="A763" s="114"/>
      <c r="B763" s="115"/>
      <c r="C763" s="60"/>
    </row>
    <row r="764" spans="1:3" ht="31.5" x14ac:dyDescent="0.25">
      <c r="A764" s="120"/>
      <c r="B764" s="150" t="s">
        <v>573</v>
      </c>
      <c r="C764" s="60"/>
    </row>
    <row r="765" spans="1:3" ht="31.5" x14ac:dyDescent="0.25">
      <c r="A765" s="112">
        <v>2210679</v>
      </c>
      <c r="B765" s="99" t="s">
        <v>571</v>
      </c>
      <c r="C765" s="60"/>
    </row>
    <row r="766" spans="1:3" ht="15.75" x14ac:dyDescent="0.25">
      <c r="A766" s="114" t="s">
        <v>572</v>
      </c>
      <c r="B766" s="115" t="s">
        <v>217</v>
      </c>
      <c r="C766" s="60">
        <v>500000000</v>
      </c>
    </row>
    <row r="767" spans="1:3" ht="31.5" x14ac:dyDescent="0.25">
      <c r="A767" s="114"/>
      <c r="B767" s="150" t="s">
        <v>574</v>
      </c>
      <c r="C767" s="60"/>
    </row>
    <row r="768" spans="1:3" ht="31.5" x14ac:dyDescent="0.25">
      <c r="A768" s="112">
        <v>2210679</v>
      </c>
      <c r="B768" s="99" t="s">
        <v>571</v>
      </c>
      <c r="C768" s="60"/>
    </row>
    <row r="769" spans="1:3" ht="15.75" x14ac:dyDescent="0.25">
      <c r="A769" s="114" t="s">
        <v>572</v>
      </c>
      <c r="B769" s="115" t="s">
        <v>217</v>
      </c>
      <c r="C769" s="60">
        <v>500000000</v>
      </c>
    </row>
    <row r="770" spans="1:3" ht="15.75" x14ac:dyDescent="0.25">
      <c r="A770" s="114"/>
      <c r="B770" s="115"/>
      <c r="C770" s="60"/>
    </row>
    <row r="771" spans="1:3" ht="15.75" x14ac:dyDescent="0.25">
      <c r="A771" s="75"/>
      <c r="B771" s="99" t="s">
        <v>228</v>
      </c>
      <c r="C771" s="60"/>
    </row>
    <row r="772" spans="1:3" ht="15.75" x14ac:dyDescent="0.25">
      <c r="A772" s="75"/>
      <c r="B772" s="99" t="s">
        <v>21</v>
      </c>
      <c r="C772" s="60"/>
    </row>
    <row r="773" spans="1:3" ht="15.75" x14ac:dyDescent="0.25">
      <c r="A773" s="75"/>
      <c r="B773" s="99" t="s">
        <v>575</v>
      </c>
      <c r="C773" s="60"/>
    </row>
    <row r="774" spans="1:3" ht="31.5" x14ac:dyDescent="0.25">
      <c r="A774" s="75"/>
      <c r="B774" s="99" t="s">
        <v>576</v>
      </c>
      <c r="C774" s="60"/>
    </row>
    <row r="775" spans="1:3" ht="31.5" x14ac:dyDescent="0.25">
      <c r="A775" s="112" t="s">
        <v>563</v>
      </c>
      <c r="B775" s="99" t="s">
        <v>577</v>
      </c>
      <c r="C775" s="60"/>
    </row>
    <row r="776" spans="1:3" ht="15.75" x14ac:dyDescent="0.25">
      <c r="A776" s="114" t="s">
        <v>578</v>
      </c>
      <c r="B776" s="115" t="s">
        <v>217</v>
      </c>
      <c r="C776" s="60">
        <v>800000000</v>
      </c>
    </row>
    <row r="777" spans="1:3" ht="15.75" x14ac:dyDescent="0.25">
      <c r="A777" s="114"/>
      <c r="B777" s="115"/>
      <c r="C777" s="60"/>
    </row>
    <row r="778" spans="1:3" ht="15.75" x14ac:dyDescent="0.25">
      <c r="A778" s="75"/>
      <c r="B778" s="99" t="s">
        <v>22</v>
      </c>
      <c r="C778" s="60"/>
    </row>
    <row r="779" spans="1:3" ht="15.75" x14ac:dyDescent="0.25">
      <c r="A779" s="75"/>
      <c r="B779" s="99" t="s">
        <v>547</v>
      </c>
      <c r="C779" s="60"/>
    </row>
    <row r="780" spans="1:3" ht="15.75" x14ac:dyDescent="0.25">
      <c r="A780" s="75"/>
      <c r="B780" s="99" t="s">
        <v>579</v>
      </c>
      <c r="C780" s="60"/>
    </row>
    <row r="781" spans="1:3" ht="15.75" x14ac:dyDescent="0.25">
      <c r="A781" s="112">
        <v>2210236</v>
      </c>
      <c r="B781" s="99" t="s">
        <v>580</v>
      </c>
      <c r="C781" s="60"/>
    </row>
    <row r="782" spans="1:3" ht="15.75" x14ac:dyDescent="0.25">
      <c r="A782" s="114" t="s">
        <v>581</v>
      </c>
      <c r="B782" s="115" t="s">
        <v>217</v>
      </c>
      <c r="C782" s="60">
        <v>100000000</v>
      </c>
    </row>
    <row r="783" spans="1:3" ht="15.75" x14ac:dyDescent="0.25">
      <c r="A783" s="114"/>
      <c r="B783" s="115"/>
      <c r="C783" s="60"/>
    </row>
    <row r="784" spans="1:3" ht="13.5" customHeight="1" x14ac:dyDescent="0.25">
      <c r="A784" s="75"/>
      <c r="B784" s="99" t="s">
        <v>582</v>
      </c>
      <c r="C784" s="60"/>
    </row>
    <row r="785" spans="1:3" ht="15.75" x14ac:dyDescent="0.25">
      <c r="A785" s="112">
        <v>2210122</v>
      </c>
      <c r="B785" s="99" t="s">
        <v>583</v>
      </c>
      <c r="C785" s="60"/>
    </row>
    <row r="786" spans="1:3" ht="15.75" x14ac:dyDescent="0.25">
      <c r="A786" s="114" t="s">
        <v>584</v>
      </c>
      <c r="B786" s="115" t="s">
        <v>217</v>
      </c>
      <c r="C786" s="60">
        <v>2145785000</v>
      </c>
    </row>
    <row r="787" spans="1:3" ht="30.75" x14ac:dyDescent="0.25">
      <c r="A787" s="114">
        <v>22101227</v>
      </c>
      <c r="B787" s="115" t="s">
        <v>585</v>
      </c>
      <c r="C787" s="60">
        <v>2000000</v>
      </c>
    </row>
    <row r="788" spans="1:3" ht="15.75" x14ac:dyDescent="0.25">
      <c r="A788" s="120">
        <v>2210294</v>
      </c>
      <c r="B788" s="150" t="s">
        <v>586</v>
      </c>
      <c r="C788" s="60"/>
    </row>
    <row r="789" spans="1:3" ht="15.75" x14ac:dyDescent="0.25">
      <c r="A789" s="114">
        <v>22102944</v>
      </c>
      <c r="B789" s="115" t="s">
        <v>587</v>
      </c>
      <c r="C789" s="60">
        <v>3750000000</v>
      </c>
    </row>
    <row r="790" spans="1:3" ht="30.75" x14ac:dyDescent="0.25">
      <c r="A790" s="114">
        <v>22102942</v>
      </c>
      <c r="B790" s="115" t="s">
        <v>588</v>
      </c>
      <c r="C790" s="60">
        <v>3782413000</v>
      </c>
    </row>
    <row r="791" spans="1:3" ht="15.75" x14ac:dyDescent="0.25">
      <c r="A791" s="114"/>
      <c r="B791" s="115"/>
      <c r="C791" s="60"/>
    </row>
    <row r="792" spans="1:3" ht="15.75" x14ac:dyDescent="0.25">
      <c r="A792" s="75"/>
      <c r="B792" s="99" t="s">
        <v>589</v>
      </c>
      <c r="C792" s="60"/>
    </row>
    <row r="793" spans="1:3" ht="15.75" x14ac:dyDescent="0.25">
      <c r="A793" s="75"/>
      <c r="B793" s="99" t="s">
        <v>590</v>
      </c>
      <c r="C793" s="60"/>
    </row>
    <row r="794" spans="1:3" ht="15.75" x14ac:dyDescent="0.25">
      <c r="A794" s="112">
        <v>2210123</v>
      </c>
      <c r="B794" s="99" t="s">
        <v>591</v>
      </c>
      <c r="C794" s="60"/>
    </row>
    <row r="795" spans="1:3" ht="15.75" x14ac:dyDescent="0.25">
      <c r="A795" s="114" t="s">
        <v>592</v>
      </c>
      <c r="B795" s="115" t="s">
        <v>217</v>
      </c>
      <c r="C795" s="60">
        <v>50000000</v>
      </c>
    </row>
    <row r="796" spans="1:3" ht="15.75" x14ac:dyDescent="0.25">
      <c r="A796" s="114">
        <v>22101234</v>
      </c>
      <c r="B796" s="115" t="s">
        <v>246</v>
      </c>
      <c r="C796" s="60">
        <v>2000000</v>
      </c>
    </row>
    <row r="797" spans="1:3" ht="15.75" x14ac:dyDescent="0.25">
      <c r="A797" s="114"/>
      <c r="B797" s="115"/>
      <c r="C797" s="60"/>
    </row>
    <row r="798" spans="1:3" ht="31.5" x14ac:dyDescent="0.25">
      <c r="A798" s="75"/>
      <c r="B798" s="99" t="s">
        <v>593</v>
      </c>
      <c r="C798" s="60"/>
    </row>
    <row r="799" spans="1:3" ht="15.75" x14ac:dyDescent="0.25">
      <c r="A799" s="112">
        <v>2210153</v>
      </c>
      <c r="B799" s="99" t="s">
        <v>594</v>
      </c>
      <c r="C799" s="60"/>
    </row>
    <row r="800" spans="1:3" ht="15.75" x14ac:dyDescent="0.25">
      <c r="A800" s="112">
        <v>22101531</v>
      </c>
      <c r="B800" s="115" t="s">
        <v>217</v>
      </c>
      <c r="C800" s="60">
        <v>90000000</v>
      </c>
    </row>
    <row r="801" spans="1:3" ht="15.75" x14ac:dyDescent="0.25">
      <c r="A801" s="112"/>
      <c r="B801" s="99"/>
      <c r="C801" s="60"/>
    </row>
    <row r="802" spans="1:3" ht="31.5" x14ac:dyDescent="0.25">
      <c r="A802" s="67"/>
      <c r="B802" s="66" t="s">
        <v>595</v>
      </c>
      <c r="C802" s="69">
        <f>SUM(C723:C800)</f>
        <v>16982209000</v>
      </c>
    </row>
    <row r="803" spans="1:3" ht="15.75" x14ac:dyDescent="0.25">
      <c r="A803" s="67"/>
      <c r="B803" s="67"/>
      <c r="C803" s="60"/>
    </row>
    <row r="804" spans="1:3" ht="15.75" x14ac:dyDescent="0.25">
      <c r="A804" s="98"/>
      <c r="B804" s="303" t="s">
        <v>23</v>
      </c>
      <c r="C804" s="60"/>
    </row>
    <row r="805" spans="1:3" ht="15.75" x14ac:dyDescent="0.25">
      <c r="A805" s="98"/>
      <c r="B805" s="63"/>
      <c r="C805" s="60"/>
    </row>
    <row r="806" spans="1:3" ht="15.75" x14ac:dyDescent="0.25">
      <c r="A806" s="151"/>
      <c r="B806" s="152" t="s">
        <v>596</v>
      </c>
      <c r="C806" s="153"/>
    </row>
    <row r="807" spans="1:3" ht="31.5" x14ac:dyDescent="0.25">
      <c r="A807" s="151"/>
      <c r="B807" s="152" t="s">
        <v>15</v>
      </c>
      <c r="C807" s="153"/>
    </row>
    <row r="808" spans="1:3" ht="15.75" x14ac:dyDescent="0.25">
      <c r="A808" s="154"/>
      <c r="B808" s="152" t="s">
        <v>395</v>
      </c>
      <c r="C808" s="153"/>
    </row>
    <row r="809" spans="1:3" ht="15.75" x14ac:dyDescent="0.25">
      <c r="A809" s="151"/>
      <c r="B809" s="152" t="s">
        <v>396</v>
      </c>
      <c r="C809" s="153"/>
    </row>
    <row r="810" spans="1:3" ht="15.75" x14ac:dyDescent="0.25">
      <c r="A810" s="127">
        <v>2210708</v>
      </c>
      <c r="B810" s="155" t="s">
        <v>597</v>
      </c>
      <c r="C810" s="153"/>
    </row>
    <row r="811" spans="1:3" ht="15.75" x14ac:dyDescent="0.25">
      <c r="A811" s="151">
        <v>22107081</v>
      </c>
      <c r="B811" s="156" t="s">
        <v>217</v>
      </c>
      <c r="C811" s="157">
        <v>50000000</v>
      </c>
    </row>
    <row r="812" spans="1:3" ht="31.5" x14ac:dyDescent="0.25">
      <c r="A812" s="151"/>
      <c r="B812" s="152" t="s">
        <v>598</v>
      </c>
      <c r="C812" s="153"/>
    </row>
    <row r="813" spans="1:3" ht="31.5" x14ac:dyDescent="0.25">
      <c r="A813" s="127">
        <v>2210706</v>
      </c>
      <c r="B813" s="155" t="s">
        <v>599</v>
      </c>
      <c r="C813" s="153"/>
    </row>
    <row r="814" spans="1:3" ht="15.75" x14ac:dyDescent="0.25">
      <c r="A814" s="154">
        <v>22107061</v>
      </c>
      <c r="B814" s="158" t="s">
        <v>217</v>
      </c>
      <c r="C814" s="159">
        <v>350000000</v>
      </c>
    </row>
    <row r="815" spans="1:3" ht="31.5" x14ac:dyDescent="0.25">
      <c r="A815" s="127">
        <v>2210216</v>
      </c>
      <c r="B815" s="152" t="s">
        <v>600</v>
      </c>
      <c r="C815" s="159"/>
    </row>
    <row r="816" spans="1:3" ht="15.75" x14ac:dyDescent="0.25">
      <c r="A816" s="151">
        <v>22102161</v>
      </c>
      <c r="B816" s="156" t="s">
        <v>217</v>
      </c>
      <c r="C816" s="159">
        <v>700000000</v>
      </c>
    </row>
    <row r="817" spans="1:3" ht="15.75" x14ac:dyDescent="0.25">
      <c r="A817" s="151"/>
      <c r="B817" s="156"/>
      <c r="C817" s="153"/>
    </row>
    <row r="818" spans="1:3" ht="31.5" x14ac:dyDescent="0.25">
      <c r="A818" s="76"/>
      <c r="B818" s="77" t="s">
        <v>24</v>
      </c>
      <c r="C818" s="160"/>
    </row>
    <row r="819" spans="1:3" ht="15.75" x14ac:dyDescent="0.25">
      <c r="A819" s="93"/>
      <c r="B819" s="77" t="s">
        <v>302</v>
      </c>
      <c r="C819" s="160"/>
    </row>
    <row r="820" spans="1:3" ht="31.5" x14ac:dyDescent="0.25">
      <c r="A820" s="76"/>
      <c r="B820" s="77" t="s">
        <v>215</v>
      </c>
      <c r="C820" s="160"/>
    </row>
    <row r="821" spans="1:3" ht="15.75" x14ac:dyDescent="0.25">
      <c r="A821" s="88">
        <v>2210289</v>
      </c>
      <c r="B821" s="77" t="s">
        <v>216</v>
      </c>
      <c r="C821" s="160"/>
    </row>
    <row r="822" spans="1:3" ht="15.75" x14ac:dyDescent="0.25">
      <c r="A822" s="93">
        <v>22102891</v>
      </c>
      <c r="B822" s="81" t="s">
        <v>217</v>
      </c>
      <c r="C822" s="160">
        <v>350000000</v>
      </c>
    </row>
    <row r="823" spans="1:3" ht="15.75" x14ac:dyDescent="0.25">
      <c r="A823" s="93"/>
      <c r="B823" s="81"/>
      <c r="C823" s="160"/>
    </row>
    <row r="824" spans="1:3" ht="15.75" x14ac:dyDescent="0.25">
      <c r="A824" s="151"/>
      <c r="B824" s="152" t="s">
        <v>218</v>
      </c>
      <c r="C824" s="153"/>
    </row>
    <row r="825" spans="1:3" ht="15.75" x14ac:dyDescent="0.25">
      <c r="A825" s="151"/>
      <c r="B825" s="152" t="s">
        <v>11</v>
      </c>
      <c r="C825" s="153"/>
    </row>
    <row r="826" spans="1:3" ht="31.5" x14ac:dyDescent="0.25">
      <c r="A826" s="154"/>
      <c r="B826" s="152" t="s">
        <v>219</v>
      </c>
      <c r="C826" s="153"/>
    </row>
    <row r="827" spans="1:3" ht="15.75" x14ac:dyDescent="0.25">
      <c r="A827" s="154"/>
      <c r="B827" s="152" t="s">
        <v>601</v>
      </c>
      <c r="C827" s="153"/>
    </row>
    <row r="828" spans="1:3" ht="31.5" x14ac:dyDescent="0.25">
      <c r="A828" s="151"/>
      <c r="B828" s="152" t="s">
        <v>602</v>
      </c>
      <c r="C828" s="153"/>
    </row>
    <row r="829" spans="1:3" ht="15.75" x14ac:dyDescent="0.25">
      <c r="A829" s="127">
        <v>2210707</v>
      </c>
      <c r="B829" s="155" t="s">
        <v>603</v>
      </c>
      <c r="C829" s="153"/>
    </row>
    <row r="830" spans="1:3" ht="15.75" hidden="1" x14ac:dyDescent="0.25">
      <c r="A830" s="154">
        <v>22107071</v>
      </c>
      <c r="B830" s="158" t="s">
        <v>217</v>
      </c>
      <c r="C830" s="153">
        <v>0</v>
      </c>
    </row>
    <row r="831" spans="1:3" ht="30" x14ac:dyDescent="0.25">
      <c r="A831" s="154">
        <v>22107073</v>
      </c>
      <c r="B831" s="158" t="s">
        <v>477</v>
      </c>
      <c r="C831" s="160">
        <v>940000000</v>
      </c>
    </row>
    <row r="832" spans="1:3" ht="30" hidden="1" x14ac:dyDescent="0.25">
      <c r="A832" s="151">
        <v>22107077</v>
      </c>
      <c r="B832" s="156" t="s">
        <v>604</v>
      </c>
      <c r="C832" s="160">
        <v>0</v>
      </c>
    </row>
    <row r="833" spans="1:3" ht="15.75" x14ac:dyDescent="0.25">
      <c r="A833" s="151">
        <v>22107074</v>
      </c>
      <c r="B833" s="156" t="s">
        <v>605</v>
      </c>
      <c r="C833" s="160">
        <v>466045918</v>
      </c>
    </row>
    <row r="834" spans="1:3" ht="15.75" x14ac:dyDescent="0.25">
      <c r="A834" s="161">
        <v>2210205</v>
      </c>
      <c r="B834" s="84" t="s">
        <v>603</v>
      </c>
      <c r="C834" s="160"/>
    </row>
    <row r="835" spans="1:3" ht="15.75" x14ac:dyDescent="0.25">
      <c r="A835" s="162">
        <v>22102053</v>
      </c>
      <c r="B835" s="163" t="s">
        <v>606</v>
      </c>
      <c r="C835" s="164">
        <v>868396518</v>
      </c>
    </row>
    <row r="836" spans="1:3" ht="30" x14ac:dyDescent="0.25">
      <c r="A836" s="162">
        <v>22102054</v>
      </c>
      <c r="B836" s="163" t="s">
        <v>607</v>
      </c>
      <c r="C836" s="164">
        <f>200408546-288</f>
        <v>200408258</v>
      </c>
    </row>
    <row r="837" spans="1:3" ht="30" x14ac:dyDescent="0.25">
      <c r="A837" s="162">
        <v>22102055</v>
      </c>
      <c r="B837" s="163" t="s">
        <v>608</v>
      </c>
      <c r="C837" s="164">
        <v>501047638</v>
      </c>
    </row>
    <row r="838" spans="1:3" ht="30" x14ac:dyDescent="0.25">
      <c r="A838" s="162">
        <v>22102056</v>
      </c>
      <c r="B838" s="163" t="s">
        <v>609</v>
      </c>
      <c r="C838" s="164">
        <v>677618586</v>
      </c>
    </row>
    <row r="839" spans="1:3" ht="15.75" x14ac:dyDescent="0.25">
      <c r="A839" s="67">
        <v>22102057</v>
      </c>
      <c r="B839" s="70" t="s">
        <v>610</v>
      </c>
      <c r="C839" s="160">
        <v>466045918</v>
      </c>
    </row>
    <row r="840" spans="1:3" ht="15.75" x14ac:dyDescent="0.25">
      <c r="A840" s="67"/>
      <c r="B840" s="70"/>
      <c r="C840" s="160"/>
    </row>
    <row r="841" spans="1:3" ht="15.75" x14ac:dyDescent="0.25">
      <c r="A841" s="127">
        <v>2210869</v>
      </c>
      <c r="B841" s="155" t="s">
        <v>611</v>
      </c>
      <c r="C841" s="160"/>
    </row>
    <row r="842" spans="1:3" ht="15.75" x14ac:dyDescent="0.25">
      <c r="A842" s="151">
        <v>22108691</v>
      </c>
      <c r="B842" s="158" t="s">
        <v>217</v>
      </c>
      <c r="C842" s="160">
        <v>30000000</v>
      </c>
    </row>
    <row r="843" spans="1:3" ht="30" hidden="1" x14ac:dyDescent="0.25">
      <c r="A843" s="151"/>
      <c r="B843" s="156" t="s">
        <v>612</v>
      </c>
      <c r="C843" s="160">
        <v>0</v>
      </c>
    </row>
    <row r="844" spans="1:3" ht="15.75" x14ac:dyDescent="0.25">
      <c r="A844" s="151"/>
      <c r="B844" s="156"/>
      <c r="C844" s="160"/>
    </row>
    <row r="845" spans="1:3" ht="15.75" x14ac:dyDescent="0.25">
      <c r="A845" s="151"/>
      <c r="B845" s="152" t="s">
        <v>489</v>
      </c>
      <c r="C845" s="160"/>
    </row>
    <row r="846" spans="1:3" ht="15.75" x14ac:dyDescent="0.25">
      <c r="A846" s="151"/>
      <c r="B846" s="152" t="s">
        <v>613</v>
      </c>
      <c r="C846" s="160"/>
    </row>
    <row r="847" spans="1:3" ht="15.75" x14ac:dyDescent="0.25">
      <c r="A847" s="127">
        <v>2210292</v>
      </c>
      <c r="B847" s="155" t="s">
        <v>614</v>
      </c>
      <c r="C847" s="160"/>
    </row>
    <row r="848" spans="1:3" ht="15.75" hidden="1" x14ac:dyDescent="0.25">
      <c r="A848" s="151">
        <v>22102921</v>
      </c>
      <c r="B848" s="158" t="s">
        <v>217</v>
      </c>
      <c r="C848" s="160">
        <v>0</v>
      </c>
    </row>
    <row r="849" spans="1:3" ht="30" x14ac:dyDescent="0.25">
      <c r="A849" s="151">
        <v>22102923</v>
      </c>
      <c r="B849" s="156" t="s">
        <v>477</v>
      </c>
      <c r="C849" s="160">
        <v>100000000</v>
      </c>
    </row>
    <row r="850" spans="1:3" ht="15.75" x14ac:dyDescent="0.25">
      <c r="A850" s="127">
        <v>2210255</v>
      </c>
      <c r="B850" s="152" t="s">
        <v>615</v>
      </c>
      <c r="C850" s="160"/>
    </row>
    <row r="851" spans="1:3" ht="15.75" x14ac:dyDescent="0.25">
      <c r="A851" s="131">
        <v>22102551</v>
      </c>
      <c r="B851" s="132" t="s">
        <v>217</v>
      </c>
      <c r="C851" s="160">
        <v>750000000</v>
      </c>
    </row>
    <row r="852" spans="1:3" ht="30" x14ac:dyDescent="0.25">
      <c r="A852" s="131">
        <v>22102553</v>
      </c>
      <c r="B852" s="156" t="s">
        <v>477</v>
      </c>
      <c r="C852" s="160">
        <v>500000000</v>
      </c>
    </row>
    <row r="853" spans="1:3" ht="15.75" x14ac:dyDescent="0.25">
      <c r="A853" s="131"/>
      <c r="B853" s="138" t="s">
        <v>616</v>
      </c>
      <c r="C853" s="160"/>
    </row>
    <row r="854" spans="1:3" ht="15.75" x14ac:dyDescent="0.25">
      <c r="A854" s="127">
        <v>2210260</v>
      </c>
      <c r="B854" s="83" t="s">
        <v>617</v>
      </c>
      <c r="C854" s="160"/>
    </row>
    <row r="855" spans="1:3" ht="15.75" x14ac:dyDescent="0.25">
      <c r="A855" s="131">
        <v>22102601</v>
      </c>
      <c r="B855" s="132" t="s">
        <v>217</v>
      </c>
      <c r="C855" s="160">
        <v>470000000</v>
      </c>
    </row>
    <row r="856" spans="1:3" ht="30" x14ac:dyDescent="0.25">
      <c r="A856" s="131">
        <v>22102603</v>
      </c>
      <c r="B856" s="156" t="s">
        <v>477</v>
      </c>
      <c r="C856" s="160">
        <v>230000000</v>
      </c>
    </row>
    <row r="857" spans="1:3" ht="15.75" x14ac:dyDescent="0.25">
      <c r="A857" s="151"/>
      <c r="B857" s="152" t="s">
        <v>317</v>
      </c>
      <c r="C857" s="160"/>
    </row>
    <row r="858" spans="1:3" ht="15.75" x14ac:dyDescent="0.25">
      <c r="A858" s="127">
        <v>2210091</v>
      </c>
      <c r="B858" s="155" t="s">
        <v>611</v>
      </c>
      <c r="C858" s="160"/>
    </row>
    <row r="859" spans="1:3" ht="15.75" hidden="1" x14ac:dyDescent="0.25">
      <c r="A859" s="151">
        <v>22107101</v>
      </c>
      <c r="B859" s="156" t="s">
        <v>217</v>
      </c>
      <c r="C859" s="160">
        <v>0</v>
      </c>
    </row>
    <row r="860" spans="1:3" ht="30" x14ac:dyDescent="0.25">
      <c r="A860" s="151">
        <v>22100913</v>
      </c>
      <c r="B860" s="156" t="s">
        <v>477</v>
      </c>
      <c r="C860" s="160">
        <v>30000000</v>
      </c>
    </row>
    <row r="861" spans="1:3" ht="15.75" x14ac:dyDescent="0.25">
      <c r="A861" s="127">
        <v>2210710</v>
      </c>
      <c r="B861" s="155" t="s">
        <v>618</v>
      </c>
      <c r="C861" s="160"/>
    </row>
    <row r="862" spans="1:3" ht="15.75" x14ac:dyDescent="0.25">
      <c r="A862" s="131">
        <v>22107101</v>
      </c>
      <c r="B862" s="158" t="s">
        <v>217</v>
      </c>
      <c r="C862" s="160">
        <v>350000000</v>
      </c>
    </row>
    <row r="863" spans="1:3" ht="30" hidden="1" x14ac:dyDescent="0.25">
      <c r="A863" s="151">
        <v>22107103</v>
      </c>
      <c r="B863" s="156" t="s">
        <v>477</v>
      </c>
      <c r="C863" s="160">
        <v>0</v>
      </c>
    </row>
    <row r="864" spans="1:3" ht="31.5" x14ac:dyDescent="0.25">
      <c r="A864" s="127">
        <v>2210874</v>
      </c>
      <c r="B864" s="155" t="s">
        <v>619</v>
      </c>
      <c r="C864" s="160"/>
    </row>
    <row r="865" spans="1:3" ht="30" x14ac:dyDescent="0.25">
      <c r="A865" s="151">
        <v>22108741</v>
      </c>
      <c r="B865" s="156" t="s">
        <v>620</v>
      </c>
      <c r="C865" s="160">
        <v>1872761804</v>
      </c>
    </row>
    <row r="866" spans="1:3" ht="30" x14ac:dyDescent="0.25">
      <c r="A866" s="154">
        <v>22108742</v>
      </c>
      <c r="B866" s="158" t="s">
        <v>621</v>
      </c>
      <c r="C866" s="160">
        <v>1200000000</v>
      </c>
    </row>
    <row r="867" spans="1:3" ht="30.75" x14ac:dyDescent="0.25">
      <c r="A867" s="154">
        <v>22108744</v>
      </c>
      <c r="B867" s="107" t="s">
        <v>622</v>
      </c>
      <c r="C867" s="164">
        <v>927238196.30999994</v>
      </c>
    </row>
    <row r="868" spans="1:3" ht="15.75" x14ac:dyDescent="0.25">
      <c r="A868" s="154">
        <v>22108745</v>
      </c>
      <c r="B868" s="158" t="s">
        <v>623</v>
      </c>
      <c r="C868" s="160">
        <v>1000000000</v>
      </c>
    </row>
    <row r="869" spans="1:3" ht="30" x14ac:dyDescent="0.25">
      <c r="A869" s="151">
        <v>22108746</v>
      </c>
      <c r="B869" s="156" t="s">
        <v>624</v>
      </c>
      <c r="C869" s="160">
        <v>1000000000</v>
      </c>
    </row>
    <row r="870" spans="1:3" ht="30" x14ac:dyDescent="0.25">
      <c r="A870" s="151">
        <v>22108747</v>
      </c>
      <c r="B870" s="156" t="s">
        <v>625</v>
      </c>
      <c r="C870" s="160">
        <v>20000000</v>
      </c>
    </row>
    <row r="871" spans="1:3" ht="15.75" x14ac:dyDescent="0.25">
      <c r="A871" s="151"/>
      <c r="B871" s="152" t="s">
        <v>626</v>
      </c>
      <c r="C871" s="160"/>
    </row>
    <row r="872" spans="1:3" ht="15.75" x14ac:dyDescent="0.25">
      <c r="A872" s="127">
        <v>2210946</v>
      </c>
      <c r="B872" s="155" t="s">
        <v>627</v>
      </c>
      <c r="C872" s="160"/>
    </row>
    <row r="873" spans="1:3" ht="15.75" x14ac:dyDescent="0.25">
      <c r="A873" s="154">
        <v>22109461</v>
      </c>
      <c r="B873" s="158" t="s">
        <v>217</v>
      </c>
      <c r="C873" s="160">
        <v>350000000</v>
      </c>
    </row>
    <row r="874" spans="1:3" ht="15.75" hidden="1" x14ac:dyDescent="0.25">
      <c r="A874" s="154"/>
      <c r="B874" s="155" t="s">
        <v>516</v>
      </c>
      <c r="C874" s="160"/>
    </row>
    <row r="875" spans="1:3" ht="47.25" hidden="1" x14ac:dyDescent="0.25">
      <c r="A875" s="131" t="s">
        <v>563</v>
      </c>
      <c r="B875" s="83" t="s">
        <v>628</v>
      </c>
      <c r="C875" s="160"/>
    </row>
    <row r="876" spans="1:3" ht="15.75" hidden="1" x14ac:dyDescent="0.25">
      <c r="A876" s="154">
        <v>22102761</v>
      </c>
      <c r="B876" s="158" t="s">
        <v>398</v>
      </c>
      <c r="C876" s="160">
        <v>0</v>
      </c>
    </row>
    <row r="877" spans="1:3" ht="15.75" hidden="1" x14ac:dyDescent="0.25">
      <c r="A877" s="154"/>
      <c r="B877" s="152" t="s">
        <v>2</v>
      </c>
      <c r="C877" s="160"/>
    </row>
    <row r="878" spans="1:3" ht="31.5" hidden="1" x14ac:dyDescent="0.25">
      <c r="A878" s="154"/>
      <c r="B878" s="152" t="s">
        <v>629</v>
      </c>
      <c r="C878" s="160"/>
    </row>
    <row r="879" spans="1:3" ht="31.5" hidden="1" x14ac:dyDescent="0.25">
      <c r="A879" s="151"/>
      <c r="B879" s="152" t="s">
        <v>630</v>
      </c>
      <c r="C879" s="160"/>
    </row>
    <row r="880" spans="1:3" ht="31.5" hidden="1" x14ac:dyDescent="0.25">
      <c r="A880" s="131" t="s">
        <v>563</v>
      </c>
      <c r="B880" s="152" t="s">
        <v>631</v>
      </c>
      <c r="C880" s="160"/>
    </row>
    <row r="881" spans="1:3" ht="15.75" hidden="1" x14ac:dyDescent="0.25">
      <c r="A881" s="151">
        <v>22101681</v>
      </c>
      <c r="B881" s="156" t="s">
        <v>398</v>
      </c>
      <c r="C881" s="160">
        <v>0</v>
      </c>
    </row>
    <row r="882" spans="1:3" ht="15.75" x14ac:dyDescent="0.25">
      <c r="A882" s="154"/>
      <c r="B882" s="156"/>
      <c r="C882" s="160"/>
    </row>
    <row r="883" spans="1:3" ht="31.5" x14ac:dyDescent="0.25">
      <c r="A883" s="154"/>
      <c r="B883" s="152" t="s">
        <v>25</v>
      </c>
      <c r="C883" s="160"/>
    </row>
    <row r="884" spans="1:3" ht="31.5" x14ac:dyDescent="0.25">
      <c r="A884" s="154"/>
      <c r="B884" s="152" t="s">
        <v>219</v>
      </c>
      <c r="C884" s="160"/>
    </row>
    <row r="885" spans="1:3" ht="15.75" x14ac:dyDescent="0.25">
      <c r="A885" s="151"/>
      <c r="B885" s="152" t="s">
        <v>632</v>
      </c>
      <c r="C885" s="160"/>
    </row>
    <row r="886" spans="1:3" ht="15.75" x14ac:dyDescent="0.25">
      <c r="A886" s="127">
        <v>2210708</v>
      </c>
      <c r="B886" s="155" t="s">
        <v>633</v>
      </c>
      <c r="C886" s="160"/>
    </row>
    <row r="887" spans="1:3" ht="15.75" x14ac:dyDescent="0.25">
      <c r="A887" s="154">
        <v>22107081</v>
      </c>
      <c r="B887" s="158" t="s">
        <v>217</v>
      </c>
      <c r="C887" s="160">
        <v>100000000</v>
      </c>
    </row>
    <row r="888" spans="1:3" ht="30" x14ac:dyDescent="0.25">
      <c r="A888" s="151">
        <v>22107083</v>
      </c>
      <c r="B888" s="156" t="s">
        <v>477</v>
      </c>
      <c r="C888" s="160">
        <v>200000000</v>
      </c>
    </row>
    <row r="889" spans="1:3" ht="15.75" x14ac:dyDescent="0.25">
      <c r="A889" s="151"/>
      <c r="B889" s="156"/>
      <c r="C889" s="160"/>
    </row>
    <row r="890" spans="1:3" ht="47.25" x14ac:dyDescent="0.25">
      <c r="A890" s="151"/>
      <c r="B890" s="152" t="s">
        <v>10</v>
      </c>
      <c r="C890" s="160"/>
    </row>
    <row r="891" spans="1:3" ht="15.75" x14ac:dyDescent="0.25">
      <c r="A891" s="151"/>
      <c r="B891" s="152" t="s">
        <v>307</v>
      </c>
      <c r="C891" s="160"/>
    </row>
    <row r="892" spans="1:3" ht="15.75" x14ac:dyDescent="0.25">
      <c r="A892" s="127">
        <v>2210709</v>
      </c>
      <c r="B892" s="155" t="s">
        <v>634</v>
      </c>
      <c r="C892" s="160"/>
    </row>
    <row r="893" spans="1:3" ht="15.75" x14ac:dyDescent="0.25">
      <c r="A893" s="154">
        <v>22107091</v>
      </c>
      <c r="B893" s="158" t="s">
        <v>217</v>
      </c>
      <c r="C893" s="160">
        <v>680000000</v>
      </c>
    </row>
    <row r="894" spans="1:3" ht="30" x14ac:dyDescent="0.25">
      <c r="A894" s="151">
        <v>22107093</v>
      </c>
      <c r="B894" s="156" t="s">
        <v>477</v>
      </c>
      <c r="C894" s="160">
        <v>600000000</v>
      </c>
    </row>
    <row r="895" spans="1:3" ht="15.75" hidden="1" x14ac:dyDescent="0.25">
      <c r="A895" s="154"/>
      <c r="B895" s="152" t="s">
        <v>635</v>
      </c>
      <c r="C895" s="160"/>
    </row>
    <row r="896" spans="1:3" ht="15.75" hidden="1" x14ac:dyDescent="0.25">
      <c r="A896" s="131" t="s">
        <v>563</v>
      </c>
      <c r="B896" s="107" t="s">
        <v>636</v>
      </c>
      <c r="C896" s="160"/>
    </row>
    <row r="897" spans="1:3" ht="15.75" hidden="1" x14ac:dyDescent="0.25">
      <c r="A897" s="154">
        <v>22101561</v>
      </c>
      <c r="B897" s="158" t="s">
        <v>398</v>
      </c>
      <c r="C897" s="160">
        <v>0</v>
      </c>
    </row>
    <row r="898" spans="1:3" ht="15.75" x14ac:dyDescent="0.25">
      <c r="A898" s="151"/>
      <c r="B898" s="152" t="s">
        <v>637</v>
      </c>
      <c r="C898" s="160"/>
    </row>
    <row r="899" spans="1:3" ht="15.75" x14ac:dyDescent="0.25">
      <c r="A899" s="127">
        <v>2210092</v>
      </c>
      <c r="B899" s="155" t="s">
        <v>611</v>
      </c>
      <c r="C899" s="160"/>
    </row>
    <row r="900" spans="1:3" ht="15.75" x14ac:dyDescent="0.25">
      <c r="A900" s="151">
        <v>22100921</v>
      </c>
      <c r="B900" s="156" t="s">
        <v>217</v>
      </c>
      <c r="C900" s="160">
        <v>25000000</v>
      </c>
    </row>
    <row r="901" spans="1:3" ht="15.75" x14ac:dyDescent="0.25">
      <c r="A901" s="127">
        <v>2210713</v>
      </c>
      <c r="B901" s="152" t="s">
        <v>638</v>
      </c>
      <c r="C901" s="160"/>
    </row>
    <row r="902" spans="1:3" ht="15.75" x14ac:dyDescent="0.25">
      <c r="A902" s="154">
        <v>22107131</v>
      </c>
      <c r="B902" s="158" t="s">
        <v>217</v>
      </c>
      <c r="C902" s="160">
        <v>130000000</v>
      </c>
    </row>
    <row r="903" spans="1:3" ht="30" x14ac:dyDescent="0.25">
      <c r="A903" s="154">
        <v>22107133</v>
      </c>
      <c r="B903" s="158" t="s">
        <v>477</v>
      </c>
      <c r="C903" s="160">
        <v>700000000</v>
      </c>
    </row>
    <row r="904" spans="1:3" ht="15.75" hidden="1" x14ac:dyDescent="0.25">
      <c r="A904" s="151"/>
      <c r="B904" s="152" t="s">
        <v>639</v>
      </c>
      <c r="C904" s="160"/>
    </row>
    <row r="905" spans="1:3" ht="15.75" hidden="1" x14ac:dyDescent="0.25">
      <c r="A905" s="131" t="s">
        <v>563</v>
      </c>
      <c r="B905" s="155" t="s">
        <v>640</v>
      </c>
      <c r="C905" s="160"/>
    </row>
    <row r="906" spans="1:3" ht="15.75" hidden="1" x14ac:dyDescent="0.25">
      <c r="A906" s="154"/>
      <c r="B906" s="158" t="s">
        <v>398</v>
      </c>
      <c r="C906" s="160">
        <v>0</v>
      </c>
    </row>
    <row r="907" spans="1:3" ht="47.25" x14ac:dyDescent="0.25">
      <c r="A907" s="154"/>
      <c r="B907" s="152" t="s">
        <v>641</v>
      </c>
      <c r="C907" s="160"/>
    </row>
    <row r="908" spans="1:3" ht="31.5" x14ac:dyDescent="0.25">
      <c r="A908" s="127">
        <v>2210262</v>
      </c>
      <c r="B908" s="152" t="s">
        <v>642</v>
      </c>
      <c r="C908" s="160"/>
    </row>
    <row r="909" spans="1:3" ht="15.75" x14ac:dyDescent="0.25">
      <c r="A909" s="154">
        <v>22102621</v>
      </c>
      <c r="B909" s="156" t="s">
        <v>217</v>
      </c>
      <c r="C909" s="160">
        <v>50000000</v>
      </c>
    </row>
    <row r="910" spans="1:3" ht="31.5" x14ac:dyDescent="0.25">
      <c r="A910" s="154"/>
      <c r="B910" s="152" t="s">
        <v>643</v>
      </c>
      <c r="C910" s="160"/>
    </row>
    <row r="911" spans="1:3" ht="15.75" x14ac:dyDescent="0.25">
      <c r="A911" s="127">
        <v>2210263</v>
      </c>
      <c r="B911" s="152" t="s">
        <v>644</v>
      </c>
      <c r="C911" s="160"/>
    </row>
    <row r="912" spans="1:3" ht="15.75" x14ac:dyDescent="0.25">
      <c r="A912" s="154">
        <v>22102631</v>
      </c>
      <c r="B912" s="156" t="s">
        <v>217</v>
      </c>
      <c r="C912" s="160">
        <v>35000000</v>
      </c>
    </row>
    <row r="913" spans="1:3" ht="15.75" x14ac:dyDescent="0.25">
      <c r="A913" s="154"/>
      <c r="B913" s="152" t="s">
        <v>645</v>
      </c>
      <c r="C913" s="160"/>
    </row>
    <row r="914" spans="1:3" ht="31.5" x14ac:dyDescent="0.25">
      <c r="A914" s="151"/>
      <c r="B914" s="152" t="s">
        <v>646</v>
      </c>
      <c r="C914" s="160"/>
    </row>
    <row r="915" spans="1:3" ht="15.75" x14ac:dyDescent="0.25">
      <c r="A915" s="127">
        <v>2210813</v>
      </c>
      <c r="B915" s="155" t="s">
        <v>647</v>
      </c>
      <c r="C915" s="160"/>
    </row>
    <row r="916" spans="1:3" ht="15.75" x14ac:dyDescent="0.25">
      <c r="A916" s="151">
        <v>22108131</v>
      </c>
      <c r="B916" s="156" t="s">
        <v>217</v>
      </c>
      <c r="C916" s="160">
        <v>100000000</v>
      </c>
    </row>
    <row r="917" spans="1:3" ht="15.75" x14ac:dyDescent="0.25">
      <c r="A917" s="151"/>
      <c r="B917" s="152"/>
      <c r="C917" s="160"/>
    </row>
    <row r="918" spans="1:3" ht="15.75" x14ac:dyDescent="0.25">
      <c r="A918" s="154"/>
      <c r="B918" s="152" t="s">
        <v>648</v>
      </c>
      <c r="C918" s="160"/>
    </row>
    <row r="919" spans="1:3" ht="15.75" x14ac:dyDescent="0.25">
      <c r="A919" s="151"/>
      <c r="B919" s="152" t="s">
        <v>26</v>
      </c>
      <c r="C919" s="160"/>
    </row>
    <row r="920" spans="1:3" ht="15.75" x14ac:dyDescent="0.25">
      <c r="A920" s="151"/>
      <c r="B920" s="152" t="s">
        <v>649</v>
      </c>
      <c r="C920" s="160"/>
    </row>
    <row r="921" spans="1:3" ht="31.5" x14ac:dyDescent="0.25">
      <c r="A921" s="151"/>
      <c r="B921" s="152" t="s">
        <v>650</v>
      </c>
      <c r="C921" s="160"/>
    </row>
    <row r="922" spans="1:3" ht="15.75" x14ac:dyDescent="0.25">
      <c r="A922" s="127">
        <v>2210711</v>
      </c>
      <c r="B922" s="155" t="s">
        <v>651</v>
      </c>
      <c r="C922" s="160"/>
    </row>
    <row r="923" spans="1:3" ht="15.75" x14ac:dyDescent="0.25">
      <c r="A923" s="154">
        <v>22107111</v>
      </c>
      <c r="B923" s="158" t="s">
        <v>217</v>
      </c>
      <c r="C923" s="160">
        <v>480000000</v>
      </c>
    </row>
    <row r="924" spans="1:3" ht="31.5" hidden="1" x14ac:dyDescent="0.25">
      <c r="A924" s="131" t="s">
        <v>563</v>
      </c>
      <c r="B924" s="155" t="s">
        <v>652</v>
      </c>
      <c r="C924" s="160"/>
    </row>
    <row r="925" spans="1:3" ht="15.75" hidden="1" x14ac:dyDescent="0.25">
      <c r="A925" s="131">
        <v>22102231</v>
      </c>
      <c r="B925" s="158" t="s">
        <v>398</v>
      </c>
      <c r="C925" s="160">
        <v>0</v>
      </c>
    </row>
    <row r="926" spans="1:3" ht="15.75" x14ac:dyDescent="0.25">
      <c r="A926" s="131"/>
      <c r="B926" s="107"/>
      <c r="C926" s="160"/>
    </row>
    <row r="927" spans="1:3" ht="31.5" x14ac:dyDescent="0.25">
      <c r="A927" s="63"/>
      <c r="B927" s="66" t="s">
        <v>653</v>
      </c>
      <c r="C927" s="69">
        <f>SUM(C805:C926)</f>
        <v>17499562836.309998</v>
      </c>
    </row>
    <row r="928" spans="1:3" ht="15.75" x14ac:dyDescent="0.25">
      <c r="A928" s="63"/>
      <c r="B928" s="66"/>
      <c r="C928" s="69"/>
    </row>
    <row r="929" spans="1:3" ht="15.75" x14ac:dyDescent="0.25">
      <c r="A929" s="63"/>
      <c r="B929" s="303" t="s">
        <v>27</v>
      </c>
      <c r="C929" s="60"/>
    </row>
    <row r="930" spans="1:3" ht="15.75" x14ac:dyDescent="0.25">
      <c r="A930" s="63"/>
      <c r="B930" s="63"/>
      <c r="C930" s="60"/>
    </row>
    <row r="931" spans="1:3" ht="31.5" x14ac:dyDescent="0.25">
      <c r="A931" s="49"/>
      <c r="B931" s="77" t="s">
        <v>654</v>
      </c>
      <c r="C931" s="165"/>
    </row>
    <row r="932" spans="1:3" ht="31.5" x14ac:dyDescent="0.25">
      <c r="A932" s="103"/>
      <c r="B932" s="138" t="s">
        <v>15</v>
      </c>
      <c r="C932" s="165"/>
    </row>
    <row r="933" spans="1:3" ht="15.75" x14ac:dyDescent="0.25">
      <c r="A933" s="103"/>
      <c r="B933" s="77" t="s">
        <v>302</v>
      </c>
      <c r="C933" s="128"/>
    </row>
    <row r="934" spans="1:3" ht="31.5" x14ac:dyDescent="0.25">
      <c r="A934" s="103"/>
      <c r="B934" s="138" t="s">
        <v>655</v>
      </c>
      <c r="C934" s="128"/>
    </row>
    <row r="935" spans="1:3" ht="15.75" x14ac:dyDescent="0.25">
      <c r="A935" s="63">
        <v>2210842</v>
      </c>
      <c r="B935" s="77" t="s">
        <v>656</v>
      </c>
      <c r="C935" s="128"/>
    </row>
    <row r="936" spans="1:3" ht="15.75" x14ac:dyDescent="0.25">
      <c r="A936" s="67">
        <v>22108421</v>
      </c>
      <c r="B936" s="81" t="s">
        <v>217</v>
      </c>
      <c r="C936" s="128">
        <v>20000000</v>
      </c>
    </row>
    <row r="937" spans="1:3" ht="15.75" x14ac:dyDescent="0.25">
      <c r="A937" s="67"/>
      <c r="B937" s="81"/>
      <c r="C937" s="128"/>
    </row>
    <row r="938" spans="1:3" ht="31.5" x14ac:dyDescent="0.25">
      <c r="A938" s="49"/>
      <c r="B938" s="77" t="s">
        <v>9</v>
      </c>
      <c r="C938" s="78"/>
    </row>
    <row r="939" spans="1:3" ht="15.75" x14ac:dyDescent="0.25">
      <c r="A939" s="49"/>
      <c r="B939" s="77" t="s">
        <v>302</v>
      </c>
      <c r="C939" s="78"/>
    </row>
    <row r="940" spans="1:3" ht="31.5" x14ac:dyDescent="0.25">
      <c r="A940" s="49"/>
      <c r="B940" s="77" t="s">
        <v>657</v>
      </c>
      <c r="C940" s="78"/>
    </row>
    <row r="941" spans="1:3" ht="15.75" x14ac:dyDescent="0.25">
      <c r="A941" s="65">
        <v>2210289</v>
      </c>
      <c r="B941" s="77" t="s">
        <v>658</v>
      </c>
      <c r="C941" s="78"/>
    </row>
    <row r="942" spans="1:3" x14ac:dyDescent="0.25">
      <c r="A942" s="93">
        <v>22102891</v>
      </c>
      <c r="B942" s="81" t="s">
        <v>217</v>
      </c>
      <c r="C942" s="82">
        <v>500000000</v>
      </c>
    </row>
    <row r="943" spans="1:3" ht="15.75" x14ac:dyDescent="0.25">
      <c r="A943" s="49"/>
      <c r="B943" s="77"/>
      <c r="C943" s="78"/>
    </row>
    <row r="944" spans="1:3" ht="31.5" x14ac:dyDescent="0.25">
      <c r="A944" s="49"/>
      <c r="B944" s="77" t="s">
        <v>303</v>
      </c>
      <c r="C944" s="128"/>
    </row>
    <row r="945" spans="1:3" ht="15.75" x14ac:dyDescent="0.25">
      <c r="A945" s="63">
        <v>2210844</v>
      </c>
      <c r="B945" s="77" t="s">
        <v>659</v>
      </c>
      <c r="C945" s="128"/>
    </row>
    <row r="946" spans="1:3" x14ac:dyDescent="0.25">
      <c r="A946" s="131" t="s">
        <v>660</v>
      </c>
      <c r="B946" s="132" t="s">
        <v>217</v>
      </c>
      <c r="C946" s="128">
        <f>230000000+600000000</f>
        <v>830000000</v>
      </c>
    </row>
    <row r="947" spans="1:3" ht="15.75" x14ac:dyDescent="0.25">
      <c r="A947" s="63">
        <v>2210833</v>
      </c>
      <c r="B947" s="77" t="s">
        <v>661</v>
      </c>
      <c r="C947" s="128"/>
    </row>
    <row r="948" spans="1:3" x14ac:dyDescent="0.25">
      <c r="A948" s="131" t="s">
        <v>662</v>
      </c>
      <c r="B948" s="132" t="s">
        <v>663</v>
      </c>
      <c r="C948" s="128">
        <v>300000000</v>
      </c>
    </row>
    <row r="949" spans="1:3" x14ac:dyDescent="0.25">
      <c r="A949" s="131">
        <v>22108334</v>
      </c>
      <c r="B949" s="132" t="s">
        <v>664</v>
      </c>
      <c r="C949" s="128">
        <v>20000000</v>
      </c>
    </row>
    <row r="950" spans="1:3" x14ac:dyDescent="0.25">
      <c r="A950" s="131">
        <v>22108337</v>
      </c>
      <c r="B950" s="132" t="s">
        <v>665</v>
      </c>
      <c r="C950" s="128">
        <v>5000000</v>
      </c>
    </row>
    <row r="951" spans="1:3" ht="31.5" x14ac:dyDescent="0.25">
      <c r="A951" s="105">
        <v>2210100</v>
      </c>
      <c r="B951" s="138" t="s">
        <v>666</v>
      </c>
      <c r="C951" s="128"/>
    </row>
    <row r="952" spans="1:3" ht="15.75" x14ac:dyDescent="0.25">
      <c r="A952" s="103">
        <v>22101001</v>
      </c>
      <c r="B952" s="132" t="s">
        <v>217</v>
      </c>
      <c r="C952" s="128">
        <v>250000000</v>
      </c>
    </row>
    <row r="953" spans="1:3" ht="15.75" x14ac:dyDescent="0.25">
      <c r="A953" s="103"/>
      <c r="B953" s="132"/>
      <c r="C953" s="128"/>
    </row>
    <row r="954" spans="1:3" ht="15.75" x14ac:dyDescent="0.25">
      <c r="A954" s="49"/>
      <c r="B954" s="77" t="s">
        <v>28</v>
      </c>
      <c r="C954" s="128"/>
    </row>
    <row r="955" spans="1:3" ht="15.75" x14ac:dyDescent="0.25">
      <c r="A955" s="49"/>
      <c r="B955" s="77" t="s">
        <v>302</v>
      </c>
      <c r="C955" s="128"/>
    </row>
    <row r="956" spans="1:3" ht="31.5" x14ac:dyDescent="0.25">
      <c r="A956" s="49"/>
      <c r="B956" s="77" t="s">
        <v>667</v>
      </c>
      <c r="C956" s="128"/>
    </row>
    <row r="957" spans="1:3" ht="15.75" x14ac:dyDescent="0.25">
      <c r="A957" s="63">
        <v>2210906</v>
      </c>
      <c r="B957" s="77" t="s">
        <v>668</v>
      </c>
      <c r="C957" s="128"/>
    </row>
    <row r="958" spans="1:3" ht="15.75" x14ac:dyDescent="0.25">
      <c r="A958" s="49">
        <v>22109061</v>
      </c>
      <c r="B958" s="85" t="s">
        <v>217</v>
      </c>
      <c r="C958" s="128">
        <f>600000000+500000000+200000000</f>
        <v>1300000000</v>
      </c>
    </row>
    <row r="959" spans="1:3" ht="15.75" x14ac:dyDescent="0.25">
      <c r="A959" s="49"/>
      <c r="B959" s="89"/>
      <c r="C959" s="128"/>
    </row>
    <row r="960" spans="1:3" ht="31.5" x14ac:dyDescent="0.25">
      <c r="A960" s="49"/>
      <c r="B960" s="89" t="s">
        <v>669</v>
      </c>
      <c r="C960" s="128"/>
    </row>
    <row r="961" spans="1:3" ht="15.75" x14ac:dyDescent="0.25">
      <c r="A961" s="63">
        <v>2210987</v>
      </c>
      <c r="B961" s="77" t="s">
        <v>670</v>
      </c>
      <c r="C961" s="128"/>
    </row>
    <row r="962" spans="1:3" ht="15.75" x14ac:dyDescent="0.25">
      <c r="A962" s="103" t="s">
        <v>671</v>
      </c>
      <c r="B962" s="132" t="s">
        <v>217</v>
      </c>
      <c r="C962" s="128">
        <v>700000000</v>
      </c>
    </row>
    <row r="963" spans="1:3" ht="15.75" x14ac:dyDescent="0.25">
      <c r="A963" s="103"/>
      <c r="B963" s="132"/>
      <c r="C963" s="128"/>
    </row>
    <row r="964" spans="1:3" ht="31.5" x14ac:dyDescent="0.25">
      <c r="A964" s="49"/>
      <c r="B964" s="77" t="s">
        <v>672</v>
      </c>
      <c r="C964" s="128"/>
    </row>
    <row r="965" spans="1:3" ht="15.75" x14ac:dyDescent="0.25">
      <c r="A965" s="63">
        <v>2210269</v>
      </c>
      <c r="B965" s="77" t="s">
        <v>673</v>
      </c>
      <c r="C965" s="128"/>
    </row>
    <row r="966" spans="1:3" ht="15.75" x14ac:dyDescent="0.25">
      <c r="A966" s="103" t="s">
        <v>674</v>
      </c>
      <c r="B966" s="132" t="s">
        <v>217</v>
      </c>
      <c r="C966" s="166">
        <v>800000000</v>
      </c>
    </row>
    <row r="967" spans="1:3" ht="15.75" x14ac:dyDescent="0.25">
      <c r="A967" s="49"/>
      <c r="B967" s="132"/>
      <c r="C967" s="128"/>
    </row>
    <row r="968" spans="1:3" ht="31.5" x14ac:dyDescent="0.25">
      <c r="A968" s="49"/>
      <c r="B968" s="89" t="s">
        <v>675</v>
      </c>
      <c r="C968" s="128"/>
    </row>
    <row r="969" spans="1:3" ht="31.5" x14ac:dyDescent="0.25">
      <c r="A969" s="63">
        <v>2210158</v>
      </c>
      <c r="B969" s="77" t="s">
        <v>676</v>
      </c>
      <c r="C969" s="128"/>
    </row>
    <row r="970" spans="1:3" ht="15.75" x14ac:dyDescent="0.25">
      <c r="A970" s="103" t="s">
        <v>677</v>
      </c>
      <c r="B970" s="132" t="s">
        <v>217</v>
      </c>
      <c r="C970" s="166">
        <f>700000000+700000000</f>
        <v>1400000000</v>
      </c>
    </row>
    <row r="971" spans="1:3" ht="15.75" x14ac:dyDescent="0.25">
      <c r="A971" s="103"/>
      <c r="B971" s="132"/>
      <c r="C971" s="132"/>
    </row>
    <row r="972" spans="1:3" ht="31.5" x14ac:dyDescent="0.25">
      <c r="A972" s="49"/>
      <c r="B972" s="77" t="s">
        <v>678</v>
      </c>
      <c r="C972" s="128"/>
    </row>
    <row r="973" spans="1:3" ht="15.75" x14ac:dyDescent="0.25">
      <c r="A973" s="63">
        <v>2210159</v>
      </c>
      <c r="B973" s="77" t="s">
        <v>679</v>
      </c>
      <c r="C973" s="128"/>
    </row>
    <row r="974" spans="1:3" ht="15.75" x14ac:dyDescent="0.25">
      <c r="A974" s="116">
        <v>22101591</v>
      </c>
      <c r="B974" s="167" t="s">
        <v>217</v>
      </c>
      <c r="C974" s="128">
        <f>18000000+50000000+125000000</f>
        <v>193000000</v>
      </c>
    </row>
    <row r="975" spans="1:3" ht="15.75" x14ac:dyDescent="0.25">
      <c r="A975" s="116"/>
      <c r="B975" s="167"/>
      <c r="C975" s="128"/>
    </row>
    <row r="976" spans="1:3" ht="31.5" x14ac:dyDescent="0.25">
      <c r="A976" s="98"/>
      <c r="B976" s="66" t="s">
        <v>680</v>
      </c>
      <c r="C976" s="69">
        <f t="shared" ref="C976" si="0">SUM(C933:C974)</f>
        <v>6318000000</v>
      </c>
    </row>
    <row r="977" spans="1:3" ht="15.75" x14ac:dyDescent="0.25">
      <c r="A977" s="98"/>
      <c r="B977" s="66"/>
      <c r="C977" s="69"/>
    </row>
    <row r="978" spans="1:3" ht="15.75" x14ac:dyDescent="0.25">
      <c r="A978" s="98"/>
      <c r="B978" s="66"/>
      <c r="C978" s="69"/>
    </row>
    <row r="979" spans="1:3" ht="15.75" x14ac:dyDescent="0.25">
      <c r="A979" s="98"/>
      <c r="B979" s="307" t="s">
        <v>29</v>
      </c>
      <c r="C979" s="69"/>
    </row>
    <row r="980" spans="1:3" ht="15.75" x14ac:dyDescent="0.25">
      <c r="A980" s="98"/>
      <c r="B980" s="66"/>
      <c r="C980" s="69"/>
    </row>
    <row r="981" spans="1:3" ht="31.5" x14ac:dyDescent="0.25">
      <c r="A981" s="114"/>
      <c r="B981" s="146" t="s">
        <v>213</v>
      </c>
      <c r="C981" s="78"/>
    </row>
    <row r="982" spans="1:3" ht="31.5" x14ac:dyDescent="0.25">
      <c r="A982" s="114"/>
      <c r="B982" s="146" t="s">
        <v>15</v>
      </c>
      <c r="C982" s="78"/>
    </row>
    <row r="983" spans="1:3" ht="15.75" x14ac:dyDescent="0.25">
      <c r="A983" s="114"/>
      <c r="B983" s="146" t="s">
        <v>681</v>
      </c>
      <c r="C983" s="78"/>
    </row>
    <row r="984" spans="1:3" ht="15.75" x14ac:dyDescent="0.25">
      <c r="A984" s="114"/>
      <c r="B984" s="146" t="s">
        <v>682</v>
      </c>
      <c r="C984" s="78"/>
    </row>
    <row r="985" spans="1:3" ht="15.75" x14ac:dyDescent="0.25">
      <c r="A985" s="120">
        <v>2210224</v>
      </c>
      <c r="B985" s="83" t="s">
        <v>683</v>
      </c>
      <c r="C985" s="82"/>
    </row>
    <row r="986" spans="1:3" ht="15.75" x14ac:dyDescent="0.25">
      <c r="A986" s="114">
        <v>22102241</v>
      </c>
      <c r="B986" s="81" t="s">
        <v>217</v>
      </c>
      <c r="C986" s="82">
        <v>200000000</v>
      </c>
    </row>
    <row r="987" spans="1:3" ht="15.75" x14ac:dyDescent="0.25">
      <c r="A987" s="114"/>
      <c r="B987" s="81"/>
      <c r="C987" s="82"/>
    </row>
    <row r="988" spans="1:3" ht="31.5" x14ac:dyDescent="0.25">
      <c r="A988" s="114"/>
      <c r="B988" s="146" t="s">
        <v>9</v>
      </c>
      <c r="C988" s="82"/>
    </row>
    <row r="989" spans="1:3" ht="15.75" x14ac:dyDescent="0.25">
      <c r="A989" s="114"/>
      <c r="B989" s="146" t="s">
        <v>681</v>
      </c>
      <c r="C989" s="82"/>
    </row>
    <row r="990" spans="1:3" ht="31.5" x14ac:dyDescent="0.25">
      <c r="A990" s="114"/>
      <c r="B990" s="146" t="s">
        <v>684</v>
      </c>
      <c r="C990" s="82"/>
    </row>
    <row r="991" spans="1:3" ht="15.75" x14ac:dyDescent="0.25">
      <c r="A991" s="120">
        <v>2210289</v>
      </c>
      <c r="B991" s="83" t="s">
        <v>216</v>
      </c>
      <c r="C991" s="82"/>
    </row>
    <row r="992" spans="1:3" ht="15.75" x14ac:dyDescent="0.25">
      <c r="A992" s="114">
        <v>22102891</v>
      </c>
      <c r="B992" s="81" t="s">
        <v>217</v>
      </c>
      <c r="C992" s="82">
        <v>100000000</v>
      </c>
    </row>
    <row r="993" spans="1:3" ht="15.75" x14ac:dyDescent="0.25">
      <c r="A993" s="98"/>
      <c r="B993" s="66"/>
      <c r="C993" s="69"/>
    </row>
    <row r="994" spans="1:3" ht="26.25" customHeight="1" x14ac:dyDescent="0.25">
      <c r="A994" s="98"/>
      <c r="B994" s="66" t="s">
        <v>685</v>
      </c>
      <c r="C994" s="69">
        <f>SUM(C984:C993)</f>
        <v>300000000</v>
      </c>
    </row>
    <row r="995" spans="1:3" ht="15.75" x14ac:dyDescent="0.25">
      <c r="A995" s="98"/>
      <c r="B995" s="66"/>
      <c r="C995" s="69"/>
    </row>
    <row r="996" spans="1:3" ht="15.75" x14ac:dyDescent="0.25">
      <c r="A996" s="98"/>
      <c r="B996" s="307" t="s">
        <v>30</v>
      </c>
      <c r="C996" s="69"/>
    </row>
    <row r="997" spans="1:3" ht="15.75" x14ac:dyDescent="0.25">
      <c r="A997" s="98"/>
      <c r="B997" s="66"/>
      <c r="C997" s="69"/>
    </row>
    <row r="998" spans="1:3" ht="15.75" x14ac:dyDescent="0.25">
      <c r="A998" s="98"/>
      <c r="B998" s="66"/>
      <c r="C998" s="69"/>
    </row>
    <row r="999" spans="1:3" ht="31.5" x14ac:dyDescent="0.25">
      <c r="A999" s="98"/>
      <c r="B999" s="99" t="s">
        <v>686</v>
      </c>
      <c r="C999" s="69"/>
    </row>
    <row r="1000" spans="1:3" ht="31.5" x14ac:dyDescent="0.25">
      <c r="A1000" s="98"/>
      <c r="B1000" s="99" t="s">
        <v>687</v>
      </c>
      <c r="C1000" s="69"/>
    </row>
    <row r="1001" spans="1:3" ht="15.75" x14ac:dyDescent="0.25">
      <c r="A1001" s="98"/>
      <c r="B1001" s="99" t="s">
        <v>688</v>
      </c>
      <c r="C1001" s="69"/>
    </row>
    <row r="1002" spans="1:3" ht="15.75" x14ac:dyDescent="0.25">
      <c r="A1002" s="98"/>
      <c r="B1002" s="99"/>
      <c r="C1002" s="69"/>
    </row>
    <row r="1003" spans="1:3" ht="15.75" x14ac:dyDescent="0.25">
      <c r="A1003" s="112">
        <v>2210143</v>
      </c>
      <c r="B1003" s="99" t="s">
        <v>689</v>
      </c>
      <c r="C1003" s="69"/>
    </row>
    <row r="1004" spans="1:3" ht="15.75" x14ac:dyDescent="0.25">
      <c r="A1004" s="114" t="s">
        <v>690</v>
      </c>
      <c r="B1004" s="115" t="s">
        <v>217</v>
      </c>
      <c r="C1004" s="60">
        <v>2145785000</v>
      </c>
    </row>
    <row r="1005" spans="1:3" ht="15.75" x14ac:dyDescent="0.25">
      <c r="A1005" s="98"/>
      <c r="B1005" s="66"/>
      <c r="C1005" s="69"/>
    </row>
    <row r="1006" spans="1:3" ht="25.5" customHeight="1" x14ac:dyDescent="0.25">
      <c r="A1006" s="98"/>
      <c r="B1006" s="66" t="s">
        <v>691</v>
      </c>
      <c r="C1006" s="69">
        <f>SUM(C1001:C1005)</f>
        <v>2145785000</v>
      </c>
    </row>
    <row r="1007" spans="1:3" ht="15.75" x14ac:dyDescent="0.25">
      <c r="A1007" s="98"/>
      <c r="B1007" s="66"/>
      <c r="C1007" s="69"/>
    </row>
    <row r="1008" spans="1:3" ht="47.25" x14ac:dyDescent="0.25">
      <c r="A1008" s="98"/>
      <c r="B1008" s="307" t="s">
        <v>692</v>
      </c>
      <c r="C1008" s="60"/>
    </row>
    <row r="1009" spans="1:3" ht="15.75" x14ac:dyDescent="0.25">
      <c r="A1009" s="98"/>
      <c r="B1009" s="168" t="s">
        <v>693</v>
      </c>
      <c r="C1009" s="60"/>
    </row>
    <row r="1010" spans="1:3" ht="15.75" x14ac:dyDescent="0.25">
      <c r="A1010" s="98"/>
      <c r="B1010" s="66"/>
      <c r="C1010" s="60"/>
    </row>
    <row r="1011" spans="1:3" ht="15.75" x14ac:dyDescent="0.25">
      <c r="A1011" s="75"/>
      <c r="B1011" s="99" t="s">
        <v>218</v>
      </c>
      <c r="C1011" s="60"/>
    </row>
    <row r="1012" spans="1:3" ht="15.75" x14ac:dyDescent="0.25">
      <c r="A1012" s="75"/>
      <c r="B1012" s="99" t="s">
        <v>2</v>
      </c>
      <c r="C1012" s="60"/>
    </row>
    <row r="1013" spans="1:3" ht="15.75" x14ac:dyDescent="0.25">
      <c r="A1013" s="75"/>
      <c r="B1013" s="99" t="s">
        <v>694</v>
      </c>
      <c r="C1013" s="60"/>
    </row>
    <row r="1014" spans="1:3" ht="15.75" x14ac:dyDescent="0.25">
      <c r="A1014" s="75"/>
      <c r="B1014" s="99" t="s">
        <v>695</v>
      </c>
      <c r="C1014" s="60"/>
    </row>
    <row r="1015" spans="1:3" ht="31.5" x14ac:dyDescent="0.25">
      <c r="A1015" s="112">
        <v>2210659</v>
      </c>
      <c r="B1015" s="99" t="s">
        <v>225</v>
      </c>
      <c r="C1015" s="60"/>
    </row>
    <row r="1016" spans="1:3" ht="15.75" x14ac:dyDescent="0.25">
      <c r="A1016" s="114">
        <v>22106591</v>
      </c>
      <c r="B1016" s="115" t="s">
        <v>217</v>
      </c>
      <c r="C1016" s="60">
        <f>4939000000+200000000+900000000+36000000</f>
        <v>6075000000</v>
      </c>
    </row>
    <row r="1017" spans="1:3" ht="31.5" x14ac:dyDescent="0.25">
      <c r="A1017" s="75"/>
      <c r="B1017" s="99" t="s">
        <v>224</v>
      </c>
      <c r="C1017" s="60"/>
    </row>
    <row r="1018" spans="1:3" ht="31.5" customHeight="1" x14ac:dyDescent="0.25">
      <c r="A1018" s="112">
        <v>2210287</v>
      </c>
      <c r="B1018" s="99" t="s">
        <v>696</v>
      </c>
      <c r="C1018" s="60"/>
    </row>
    <row r="1019" spans="1:3" ht="15.75" x14ac:dyDescent="0.25">
      <c r="A1019" s="114" t="s">
        <v>697</v>
      </c>
      <c r="B1019" s="115" t="s">
        <v>217</v>
      </c>
      <c r="C1019" s="60">
        <v>150000000</v>
      </c>
    </row>
    <row r="1020" spans="1:3" ht="15.75" x14ac:dyDescent="0.25">
      <c r="A1020" s="112">
        <v>2210922</v>
      </c>
      <c r="B1020" s="99" t="s">
        <v>698</v>
      </c>
      <c r="C1020" s="60"/>
    </row>
    <row r="1021" spans="1:3" ht="15.75" x14ac:dyDescent="0.25">
      <c r="A1021" s="114" t="s">
        <v>699</v>
      </c>
      <c r="B1021" s="115" t="s">
        <v>217</v>
      </c>
      <c r="C1021" s="60">
        <v>775000000</v>
      </c>
    </row>
    <row r="1022" spans="1:3" ht="31.5" x14ac:dyDescent="0.25">
      <c r="A1022" s="114"/>
      <c r="B1022" s="150" t="s">
        <v>700</v>
      </c>
      <c r="C1022" s="60"/>
    </row>
    <row r="1023" spans="1:3" ht="63" x14ac:dyDescent="0.25">
      <c r="A1023" s="112">
        <v>2210749</v>
      </c>
      <c r="B1023" s="99" t="s">
        <v>701</v>
      </c>
      <c r="C1023" s="60"/>
    </row>
    <row r="1024" spans="1:3" ht="30.75" x14ac:dyDescent="0.25">
      <c r="A1024" s="114" t="s">
        <v>702</v>
      </c>
      <c r="B1024" s="115" t="s">
        <v>703</v>
      </c>
      <c r="C1024" s="60">
        <v>1158595457.8327303</v>
      </c>
    </row>
    <row r="1025" spans="1:58" ht="30.75" x14ac:dyDescent="0.25">
      <c r="A1025" s="114">
        <v>22107497</v>
      </c>
      <c r="B1025" s="115" t="s">
        <v>704</v>
      </c>
      <c r="C1025" s="60">
        <v>40000000</v>
      </c>
    </row>
    <row r="1026" spans="1:58" ht="15.75" x14ac:dyDescent="0.25">
      <c r="A1026" s="98"/>
      <c r="B1026" s="61"/>
      <c r="C1026" s="60"/>
    </row>
    <row r="1027" spans="1:58" ht="29.25" customHeight="1" x14ac:dyDescent="0.25">
      <c r="A1027" s="98"/>
      <c r="B1027" s="66" t="s">
        <v>705</v>
      </c>
      <c r="C1027" s="69">
        <f>SUM(C1015:C1025)</f>
        <v>8198595457.8327303</v>
      </c>
    </row>
    <row r="1028" spans="1:58" s="56" customFormat="1" ht="15.75" x14ac:dyDescent="0.25">
      <c r="A1028" s="98"/>
      <c r="B1028" s="66"/>
      <c r="C1028" s="69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</row>
    <row r="1029" spans="1:58" s="56" customFormat="1" ht="15.75" x14ac:dyDescent="0.25">
      <c r="A1029" s="98"/>
      <c r="B1029" s="66"/>
      <c r="C1029" s="16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</row>
    <row r="1030" spans="1:58" s="56" customFormat="1" ht="15.75" x14ac:dyDescent="0.25">
      <c r="A1030" s="98"/>
      <c r="B1030" s="306" t="s">
        <v>31</v>
      </c>
      <c r="C1030" s="169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</row>
    <row r="1031" spans="1:58" s="56" customFormat="1" ht="15.75" x14ac:dyDescent="0.25">
      <c r="A1031" s="98"/>
      <c r="B1031" s="66"/>
      <c r="C1031" s="169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</row>
    <row r="1032" spans="1:58" s="56" customFormat="1" ht="31.5" x14ac:dyDescent="0.25">
      <c r="A1032" s="98"/>
      <c r="B1032" s="99" t="s">
        <v>213</v>
      </c>
      <c r="C1032" s="169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</row>
    <row r="1033" spans="1:58" s="56" customFormat="1" ht="31.5" x14ac:dyDescent="0.25">
      <c r="A1033" s="98"/>
      <c r="B1033" s="99" t="s">
        <v>15</v>
      </c>
      <c r="C1033" s="169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</row>
    <row r="1034" spans="1:58" s="56" customFormat="1" ht="15.75" x14ac:dyDescent="0.25">
      <c r="A1034" s="98"/>
      <c r="B1034" s="99" t="s">
        <v>302</v>
      </c>
      <c r="C1034" s="169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</row>
    <row r="1035" spans="1:58" s="56" customFormat="1" ht="47.25" x14ac:dyDescent="0.25">
      <c r="A1035" s="127"/>
      <c r="B1035" s="84" t="s">
        <v>706</v>
      </c>
      <c r="C1035" s="170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</row>
    <row r="1036" spans="1:58" s="56" customFormat="1" ht="15.75" x14ac:dyDescent="0.25">
      <c r="A1036" s="105">
        <v>2210558</v>
      </c>
      <c r="B1036" s="146" t="s">
        <v>707</v>
      </c>
      <c r="C1036" s="171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</row>
    <row r="1037" spans="1:58" s="56" customFormat="1" ht="15.75" x14ac:dyDescent="0.25">
      <c r="A1037" s="103">
        <v>22105581</v>
      </c>
      <c r="B1037" s="104" t="s">
        <v>217</v>
      </c>
      <c r="C1037" s="172">
        <v>1250000000</v>
      </c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</row>
    <row r="1038" spans="1:58" s="56" customFormat="1" ht="15.75" x14ac:dyDescent="0.25">
      <c r="A1038" s="103"/>
      <c r="B1038" s="107"/>
      <c r="C1038" s="173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</row>
    <row r="1039" spans="1:58" s="56" customFormat="1" ht="31.5" x14ac:dyDescent="0.25">
      <c r="A1039" s="103"/>
      <c r="B1039" s="174" t="s">
        <v>32</v>
      </c>
      <c r="C1039" s="173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</row>
    <row r="1040" spans="1:58" s="56" customFormat="1" ht="15.75" x14ac:dyDescent="0.25">
      <c r="A1040" s="103"/>
      <c r="B1040" s="174" t="s">
        <v>302</v>
      </c>
      <c r="C1040" s="173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</row>
    <row r="1041" spans="1:58" s="56" customFormat="1" ht="31.5" x14ac:dyDescent="0.25">
      <c r="A1041" s="103"/>
      <c r="B1041" s="174" t="s">
        <v>708</v>
      </c>
      <c r="C1041" s="173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</row>
    <row r="1042" spans="1:58" s="56" customFormat="1" ht="15.75" x14ac:dyDescent="0.25">
      <c r="A1042" s="105">
        <v>2210237</v>
      </c>
      <c r="B1042" s="174" t="s">
        <v>709</v>
      </c>
      <c r="C1042" s="175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</row>
    <row r="1043" spans="1:58" s="56" customFormat="1" ht="15.75" x14ac:dyDescent="0.25">
      <c r="A1043" s="103">
        <v>22102371</v>
      </c>
      <c r="B1043" s="104" t="s">
        <v>217</v>
      </c>
      <c r="C1043" s="175">
        <v>2750000000</v>
      </c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</row>
    <row r="1044" spans="1:58" s="56" customFormat="1" ht="15.75" x14ac:dyDescent="0.25">
      <c r="A1044" s="103"/>
      <c r="B1044" s="104"/>
      <c r="C1044" s="175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</row>
    <row r="1045" spans="1:58" s="56" customFormat="1" ht="15.75" x14ac:dyDescent="0.25">
      <c r="A1045" s="103"/>
      <c r="B1045" s="107"/>
      <c r="C1045" s="173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</row>
    <row r="1046" spans="1:58" s="56" customFormat="1" ht="47.25" x14ac:dyDescent="0.25">
      <c r="A1046" s="103"/>
      <c r="B1046" s="174" t="s">
        <v>710</v>
      </c>
      <c r="C1046" s="17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</row>
    <row r="1047" spans="1:58" s="56" customFormat="1" ht="15.75" x14ac:dyDescent="0.25">
      <c r="A1047" s="105">
        <v>2210289</v>
      </c>
      <c r="B1047" s="174" t="s">
        <v>658</v>
      </c>
      <c r="C1047" s="176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</row>
    <row r="1048" spans="1:58" s="56" customFormat="1" ht="15.75" x14ac:dyDescent="0.25">
      <c r="A1048" s="103">
        <v>22102891</v>
      </c>
      <c r="B1048" s="104" t="s">
        <v>217</v>
      </c>
      <c r="C1048" s="177">
        <v>300000000</v>
      </c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</row>
    <row r="1049" spans="1:58" s="56" customFormat="1" ht="31.5" x14ac:dyDescent="0.25">
      <c r="A1049" s="65">
        <v>2210302</v>
      </c>
      <c r="B1049" s="174" t="s">
        <v>711</v>
      </c>
      <c r="C1049" s="177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</row>
    <row r="1050" spans="1:58" s="56" customFormat="1" ht="15.75" x14ac:dyDescent="0.25">
      <c r="A1050" s="49">
        <v>22103021</v>
      </c>
      <c r="B1050" s="104" t="s">
        <v>217</v>
      </c>
      <c r="C1050" s="177">
        <v>300000000</v>
      </c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</row>
    <row r="1051" spans="1:58" s="56" customFormat="1" ht="15.75" x14ac:dyDescent="0.25">
      <c r="A1051" s="103"/>
      <c r="B1051" s="107"/>
      <c r="C1051" s="177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</row>
    <row r="1052" spans="1:58" s="56" customFormat="1" ht="31.5" x14ac:dyDescent="0.25">
      <c r="A1052" s="103"/>
      <c r="B1052" s="174" t="s">
        <v>712</v>
      </c>
      <c r="C1052" s="178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</row>
    <row r="1053" spans="1:58" s="56" customFormat="1" ht="31.5" x14ac:dyDescent="0.25">
      <c r="A1053" s="105">
        <v>2210526</v>
      </c>
      <c r="B1053" s="174" t="s">
        <v>713</v>
      </c>
      <c r="C1053" s="177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</row>
    <row r="1054" spans="1:58" s="56" customFormat="1" ht="15.75" x14ac:dyDescent="0.25">
      <c r="A1054" s="103">
        <v>22105261</v>
      </c>
      <c r="B1054" s="104" t="s">
        <v>217</v>
      </c>
      <c r="C1054" s="177">
        <v>400000000</v>
      </c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</row>
    <row r="1055" spans="1:58" s="56" customFormat="1" ht="15.75" x14ac:dyDescent="0.25">
      <c r="A1055" s="105">
        <v>2210527</v>
      </c>
      <c r="B1055" s="174" t="s">
        <v>714</v>
      </c>
      <c r="C1055" s="177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</row>
    <row r="1056" spans="1:58" s="56" customFormat="1" ht="15.75" x14ac:dyDescent="0.25">
      <c r="A1056" s="103">
        <v>22105271</v>
      </c>
      <c r="B1056" s="104" t="s">
        <v>217</v>
      </c>
      <c r="C1056" s="177">
        <v>310000000</v>
      </c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</row>
    <row r="1057" spans="1:58" s="56" customFormat="1" ht="15.75" x14ac:dyDescent="0.25">
      <c r="A1057" s="105">
        <v>2210524</v>
      </c>
      <c r="B1057" s="174" t="s">
        <v>715</v>
      </c>
      <c r="C1057" s="17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</row>
    <row r="1058" spans="1:58" s="56" customFormat="1" ht="15.75" x14ac:dyDescent="0.25">
      <c r="A1058" s="103">
        <v>22105241</v>
      </c>
      <c r="B1058" s="104" t="s">
        <v>217</v>
      </c>
      <c r="C1058" s="177">
        <v>300000000</v>
      </c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</row>
    <row r="1059" spans="1:58" s="56" customFormat="1" ht="15.75" x14ac:dyDescent="0.25">
      <c r="A1059" s="103"/>
      <c r="B1059" s="107"/>
      <c r="C1059" s="176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</row>
    <row r="1060" spans="1:58" s="56" customFormat="1" ht="15.75" x14ac:dyDescent="0.25">
      <c r="A1060" s="98"/>
      <c r="B1060" s="67"/>
      <c r="C1060" s="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</row>
    <row r="1061" spans="1:58" s="56" customFormat="1" ht="15.75" x14ac:dyDescent="0.25">
      <c r="A1061" s="98"/>
      <c r="B1061" s="66" t="s">
        <v>716</v>
      </c>
      <c r="C1061" s="69">
        <f>SUM(C1036:C1059)</f>
        <v>5610000000</v>
      </c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</row>
    <row r="1062" spans="1:58" s="56" customFormat="1" ht="15.75" x14ac:dyDescent="0.25">
      <c r="A1062" s="98"/>
      <c r="B1062" s="66"/>
      <c r="C1062" s="69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</row>
    <row r="1063" spans="1:58" s="56" customFormat="1" ht="15.75" x14ac:dyDescent="0.25">
      <c r="A1063" s="98"/>
      <c r="B1063" s="66"/>
      <c r="C1063" s="69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</row>
    <row r="1064" spans="1:58" s="56" customFormat="1" ht="15.75" x14ac:dyDescent="0.25">
      <c r="A1064" s="98"/>
      <c r="B1064" s="308" t="s">
        <v>33</v>
      </c>
      <c r="C1064" s="62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</row>
    <row r="1065" spans="1:58" s="56" customFormat="1" ht="15.75" x14ac:dyDescent="0.25">
      <c r="A1065" s="98"/>
      <c r="B1065" s="125"/>
      <c r="C1065" s="62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</row>
    <row r="1066" spans="1:58" s="56" customFormat="1" ht="102.75" customHeight="1" x14ac:dyDescent="0.25">
      <c r="A1066" s="94"/>
      <c r="B1066" s="106" t="s">
        <v>717</v>
      </c>
      <c r="C1066" s="60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</row>
    <row r="1067" spans="1:58" s="56" customFormat="1" ht="31.5" x14ac:dyDescent="0.25">
      <c r="A1067" s="94">
        <v>2210277</v>
      </c>
      <c r="B1067" s="106" t="s">
        <v>718</v>
      </c>
      <c r="C1067" s="60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</row>
    <row r="1068" spans="1:58" s="56" customFormat="1" ht="15.75" x14ac:dyDescent="0.25">
      <c r="A1068" s="98">
        <v>22102771</v>
      </c>
      <c r="B1068" s="104" t="s">
        <v>217</v>
      </c>
      <c r="C1068" s="60">
        <f>9209734450+300046840-46041-1042-300000000</f>
        <v>9209734207</v>
      </c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</row>
    <row r="1069" spans="1:58" s="56" customFormat="1" ht="15.75" x14ac:dyDescent="0.25">
      <c r="A1069" s="98"/>
      <c r="B1069" s="104"/>
      <c r="C1069" s="60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</row>
    <row r="1070" spans="1:58" s="56" customFormat="1" ht="63" x14ac:dyDescent="0.25">
      <c r="A1070" s="94">
        <v>2210301</v>
      </c>
      <c r="B1070" s="106" t="s">
        <v>719</v>
      </c>
      <c r="C1070" s="6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</row>
    <row r="1071" spans="1:58" s="56" customFormat="1" ht="15.75" x14ac:dyDescent="0.25">
      <c r="A1071" s="98">
        <v>22103011</v>
      </c>
      <c r="B1071" s="104" t="s">
        <v>217</v>
      </c>
      <c r="C1071" s="60">
        <v>30000000000</v>
      </c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</row>
    <row r="1072" spans="1:58" s="56" customFormat="1" ht="15.75" x14ac:dyDescent="0.25">
      <c r="A1072" s="98"/>
      <c r="B1072" s="104"/>
      <c r="C1072" s="60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</row>
    <row r="1073" spans="1:58" s="56" customFormat="1" ht="15.75" x14ac:dyDescent="0.25">
      <c r="A1073" s="49"/>
      <c r="B1073" s="61"/>
      <c r="C1073" s="60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</row>
    <row r="1074" spans="1:58" s="56" customFormat="1" ht="31.5" x14ac:dyDescent="0.25">
      <c r="A1074" s="49"/>
      <c r="B1074" s="66" t="s">
        <v>720</v>
      </c>
      <c r="C1074" s="69">
        <f>SUM(C1067:C1072)</f>
        <v>39209734207</v>
      </c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</row>
    <row r="1075" spans="1:58" s="56" customFormat="1" ht="15.75" x14ac:dyDescent="0.25">
      <c r="A1075" s="98"/>
      <c r="B1075" s="118"/>
      <c r="C1075" s="60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</row>
    <row r="1076" spans="1:58" s="56" customFormat="1" ht="15.75" x14ac:dyDescent="0.25">
      <c r="A1076" s="49"/>
      <c r="B1076" s="303" t="s">
        <v>721</v>
      </c>
      <c r="C1076" s="309">
        <f>+C1074+C1061+C1027+C976+C927+C802+C715+C684+C656+C427+C272+C994+C1006</f>
        <v>677157848655.60278</v>
      </c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</row>
    <row r="1077" spans="1:58" s="56" customFormat="1" ht="15.75" x14ac:dyDescent="0.25">
      <c r="A1077" s="49"/>
      <c r="B1077" s="63" t="s">
        <v>722</v>
      </c>
      <c r="C1077" s="69">
        <f>+C1076+C173+C164</f>
        <v>677157848655.60278</v>
      </c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</row>
    <row r="1078" spans="1:58" s="56" customFormat="1" ht="15.75" x14ac:dyDescent="0.25">
      <c r="A1078" s="49"/>
      <c r="B1078" s="63" t="s">
        <v>723</v>
      </c>
      <c r="C1078" s="169">
        <f>+C1077+C116</f>
        <v>677157848655.60278</v>
      </c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</row>
    <row r="1079" spans="1:58" s="56" customFormat="1" ht="15.75" x14ac:dyDescent="0.25">
      <c r="A1079" s="49"/>
      <c r="B1079" s="61"/>
      <c r="C1079" s="62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</row>
    <row r="1080" spans="1:58" s="56" customFormat="1" ht="15.75" x14ac:dyDescent="0.25">
      <c r="A1080" s="49"/>
      <c r="B1080" s="61"/>
      <c r="C1080" s="62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</row>
    <row r="1081" spans="1:58" s="56" customFormat="1" ht="15.75" x14ac:dyDescent="0.25">
      <c r="A1081" s="65"/>
      <c r="B1081" s="50" t="s">
        <v>724</v>
      </c>
      <c r="C1081" s="69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</row>
    <row r="1082" spans="1:58" s="56" customFormat="1" ht="15.75" x14ac:dyDescent="0.25">
      <c r="A1082" s="65"/>
      <c r="B1082" s="50"/>
      <c r="C1082" s="69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</row>
    <row r="1083" spans="1:58" s="56" customFormat="1" ht="15.75" x14ac:dyDescent="0.25">
      <c r="A1083" s="65"/>
      <c r="B1083" s="50" t="s">
        <v>33</v>
      </c>
      <c r="C1083" s="69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</row>
    <row r="1084" spans="1:58" s="56" customFormat="1" ht="15.75" x14ac:dyDescent="0.25">
      <c r="A1084" s="65"/>
      <c r="B1084" s="50"/>
      <c r="C1084" s="69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</row>
    <row r="1085" spans="1:58" s="55" customFormat="1" ht="15.75" x14ac:dyDescent="0.25">
      <c r="A1085" s="65"/>
      <c r="B1085" s="50" t="s">
        <v>725</v>
      </c>
      <c r="C1085" s="69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</row>
    <row r="1086" spans="1:58" s="55" customFormat="1" ht="15.75" x14ac:dyDescent="0.25">
      <c r="A1086" s="65"/>
      <c r="B1086" s="50" t="s">
        <v>726</v>
      </c>
      <c r="C1086" s="64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</row>
    <row r="1087" spans="1:58" s="55" customFormat="1" ht="15.75" x14ac:dyDescent="0.25">
      <c r="A1087" s="65"/>
      <c r="B1087" s="63" t="s">
        <v>77</v>
      </c>
      <c r="C1087" s="64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</row>
    <row r="1088" spans="1:58" s="55" customFormat="1" ht="15.75" x14ac:dyDescent="0.25">
      <c r="A1088" s="63" t="s">
        <v>132</v>
      </c>
      <c r="B1088" s="63" t="s">
        <v>133</v>
      </c>
      <c r="C1088" s="64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</row>
    <row r="1089" spans="1:58" s="55" customFormat="1" ht="15.75" x14ac:dyDescent="0.25">
      <c r="A1089" s="63">
        <v>2120</v>
      </c>
      <c r="B1089" s="63" t="s">
        <v>134</v>
      </c>
      <c r="C1089" s="64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</row>
    <row r="1090" spans="1:58" s="55" customFormat="1" ht="15.75" x14ac:dyDescent="0.25">
      <c r="A1090" s="67" t="s">
        <v>152</v>
      </c>
      <c r="B1090" s="67" t="s">
        <v>153</v>
      </c>
      <c r="C1090" s="179">
        <v>150000000</v>
      </c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</row>
    <row r="1091" spans="1:58" s="55" customFormat="1" ht="15.75" x14ac:dyDescent="0.25">
      <c r="A1091" s="67" t="s">
        <v>139</v>
      </c>
      <c r="B1091" s="67" t="s">
        <v>140</v>
      </c>
      <c r="C1091" s="179">
        <f>+'[3]SEPTIEMBRE-2016'!$I$58</f>
        <v>100000000</v>
      </c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</row>
    <row r="1092" spans="1:58" s="55" customFormat="1" ht="15.75" x14ac:dyDescent="0.25">
      <c r="A1092" s="67"/>
      <c r="B1092" s="63" t="s">
        <v>115</v>
      </c>
      <c r="C1092" s="69">
        <f>SUM(C1090:C1091)</f>
        <v>250000000</v>
      </c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</row>
    <row r="1093" spans="1:58" s="55" customFormat="1" ht="15.75" x14ac:dyDescent="0.25">
      <c r="A1093" s="67"/>
      <c r="B1093" s="65" t="s">
        <v>179</v>
      </c>
      <c r="C1093" s="69">
        <f>+C1092</f>
        <v>250000000</v>
      </c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</row>
    <row r="1094" spans="1:58" s="55" customFormat="1" ht="15.75" x14ac:dyDescent="0.25">
      <c r="A1094" s="67"/>
      <c r="B1094" s="63"/>
      <c r="C1094" s="69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</row>
    <row r="1095" spans="1:58" s="55" customFormat="1" ht="15.75" x14ac:dyDescent="0.25">
      <c r="A1095" s="63">
        <v>213</v>
      </c>
      <c r="B1095" s="63" t="s">
        <v>727</v>
      </c>
      <c r="C1095" s="60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</row>
    <row r="1096" spans="1:58" s="55" customFormat="1" ht="15.75" x14ac:dyDescent="0.25">
      <c r="A1096" s="65">
        <v>2130</v>
      </c>
      <c r="B1096" s="63" t="s">
        <v>728</v>
      </c>
      <c r="C1096" s="60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</row>
    <row r="1097" spans="1:58" s="55" customFormat="1" ht="15.75" x14ac:dyDescent="0.25">
      <c r="A1097" s="67" t="s">
        <v>729</v>
      </c>
      <c r="B1097" s="67" t="s">
        <v>730</v>
      </c>
      <c r="C1097" s="60">
        <f>+'[3]SEPTIEMBRE-2016'!$I$92</f>
        <v>273800000</v>
      </c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</row>
    <row r="1098" spans="1:58" s="55" customFormat="1" ht="15.75" x14ac:dyDescent="0.25">
      <c r="A1098" s="67" t="s">
        <v>731</v>
      </c>
      <c r="B1098" s="67" t="s">
        <v>732</v>
      </c>
      <c r="C1098" s="60">
        <f>+'[3]SEPTIEMBRE-2016'!$I$93</f>
        <v>1500000000</v>
      </c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</row>
    <row r="1099" spans="1:58" s="55" customFormat="1" ht="15.75" x14ac:dyDescent="0.25">
      <c r="A1099" s="67" t="s">
        <v>733</v>
      </c>
      <c r="B1099" s="67" t="s">
        <v>734</v>
      </c>
      <c r="C1099" s="60">
        <f>+'[3]SEPTIEMBRE-2016'!$I$94</f>
        <v>1000000</v>
      </c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</row>
    <row r="1100" spans="1:58" s="55" customFormat="1" ht="15.75" x14ac:dyDescent="0.25">
      <c r="A1100" s="67" t="s">
        <v>735</v>
      </c>
      <c r="B1100" s="67" t="s">
        <v>736</v>
      </c>
      <c r="C1100" s="60">
        <f>+'[3]SEPTIEMBRE-2016'!$I$95</f>
        <v>0</v>
      </c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</row>
    <row r="1101" spans="1:58" s="55" customFormat="1" ht="15.75" x14ac:dyDescent="0.25">
      <c r="A1101" s="67" t="s">
        <v>737</v>
      </c>
      <c r="B1101" s="67" t="s">
        <v>738</v>
      </c>
      <c r="C1101" s="60">
        <f>+'[4]2017'!$I$98</f>
        <v>2092354689</v>
      </c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</row>
    <row r="1102" spans="1:58" s="55" customFormat="1" ht="15.75" x14ac:dyDescent="0.25">
      <c r="A1102" s="67" t="s">
        <v>739</v>
      </c>
      <c r="B1102" s="67" t="s">
        <v>740</v>
      </c>
      <c r="C1102" s="60">
        <f>+'[3]SEPTIEMBRE-2016'!$I$97</f>
        <v>2835000000</v>
      </c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</row>
    <row r="1103" spans="1:58" s="55" customFormat="1" ht="15.75" x14ac:dyDescent="0.25">
      <c r="A1103" s="67" t="s">
        <v>741</v>
      </c>
      <c r="B1103" s="67" t="s">
        <v>742</v>
      </c>
      <c r="C1103" s="60">
        <f>+'[3]SEPTIEMBRE-2016'!$I$99+1000000000+462176000-311</f>
        <v>4583226689</v>
      </c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</row>
    <row r="1104" spans="1:58" s="55" customFormat="1" ht="30.75" x14ac:dyDescent="0.25">
      <c r="A1104" s="67">
        <v>2130126</v>
      </c>
      <c r="B1104" s="67" t="s">
        <v>743</v>
      </c>
      <c r="C1104" s="60">
        <f>+'[3]SEPTIEMBRE-2016'!$I$98</f>
        <v>0</v>
      </c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</row>
    <row r="1105" spans="1:58" s="55" customFormat="1" ht="15.75" x14ac:dyDescent="0.25">
      <c r="A1105" s="67" t="s">
        <v>744</v>
      </c>
      <c r="B1105" s="67" t="s">
        <v>745</v>
      </c>
      <c r="C1105" s="60">
        <f>+'[3]SEPTIEMBRE-2016'!$I$100</f>
        <v>2126501684</v>
      </c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</row>
    <row r="1106" spans="1:58" s="55" customFormat="1" ht="15.75" x14ac:dyDescent="0.25">
      <c r="A1106" s="67">
        <v>2130133</v>
      </c>
      <c r="B1106" s="70" t="s">
        <v>746</v>
      </c>
      <c r="C1106" s="60">
        <f>+'[3]SEPTIEMBRE-2016'!$I$101</f>
        <v>1675738000</v>
      </c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</row>
    <row r="1107" spans="1:58" s="55" customFormat="1" ht="15.75" x14ac:dyDescent="0.25">
      <c r="A1107" s="67">
        <v>2130134</v>
      </c>
      <c r="B1107" s="70" t="s">
        <v>747</v>
      </c>
      <c r="C1107" s="60">
        <f>+'[3]SEPTIEMBRE-2016'!$I$102</f>
        <v>4913972000</v>
      </c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</row>
    <row r="1108" spans="1:58" s="55" customFormat="1" ht="15.75" x14ac:dyDescent="0.25">
      <c r="A1108" s="67">
        <v>2130139</v>
      </c>
      <c r="B1108" s="70" t="s">
        <v>748</v>
      </c>
      <c r="C1108" s="60">
        <f>+'[3]SEPTIEMBRE-2016'!$I$103</f>
        <v>4067712000</v>
      </c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</row>
    <row r="1109" spans="1:58" s="55" customFormat="1" ht="15.75" x14ac:dyDescent="0.25">
      <c r="A1109" s="67">
        <v>2130141</v>
      </c>
      <c r="B1109" s="61" t="s">
        <v>749</v>
      </c>
      <c r="C1109" s="60">
        <f>+'[3]SEPTIEMBRE-2016'!$I$104</f>
        <v>1500000000</v>
      </c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</row>
    <row r="1110" spans="1:58" s="55" customFormat="1" ht="15.75" x14ac:dyDescent="0.25">
      <c r="A1110" s="67">
        <v>2130144</v>
      </c>
      <c r="B1110" s="61" t="s">
        <v>750</v>
      </c>
      <c r="C1110" s="60">
        <f>+'[3]SEPTIEMBRE-2016'!$I$105</f>
        <v>80525000</v>
      </c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</row>
    <row r="1111" spans="1:58" s="55" customFormat="1" ht="15.75" x14ac:dyDescent="0.25">
      <c r="A1111" s="67"/>
      <c r="B1111" s="63" t="s">
        <v>115</v>
      </c>
      <c r="C1111" s="69">
        <f>SUM(C1097:C1110)</f>
        <v>25649830062</v>
      </c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</row>
    <row r="1112" spans="1:58" s="55" customFormat="1" ht="15.75" x14ac:dyDescent="0.25">
      <c r="A1112" s="63"/>
      <c r="B1112" s="63"/>
      <c r="C1112" s="64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</row>
    <row r="1113" spans="1:58" s="55" customFormat="1" ht="31.5" x14ac:dyDescent="0.25">
      <c r="A1113" s="63">
        <v>2131</v>
      </c>
      <c r="B1113" s="63" t="s">
        <v>751</v>
      </c>
      <c r="C1113" s="64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</row>
    <row r="1114" spans="1:58" s="55" customFormat="1" ht="15.75" x14ac:dyDescent="0.25">
      <c r="A1114" s="67">
        <v>2131088</v>
      </c>
      <c r="B1114" s="67" t="s">
        <v>752</v>
      </c>
      <c r="C1114" s="60">
        <f>+'[3]SEPTIEMBRE-2016'!$I$107</f>
        <v>75600000</v>
      </c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</row>
    <row r="1115" spans="1:58" s="55" customFormat="1" ht="15.75" x14ac:dyDescent="0.25">
      <c r="A1115" s="67">
        <v>2131101</v>
      </c>
      <c r="B1115" s="67" t="s">
        <v>753</v>
      </c>
      <c r="C1115" s="60">
        <f>+'[3]SEPTIEMBRE-2016'!$I$108</f>
        <v>32400000.000000004</v>
      </c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</row>
    <row r="1116" spans="1:58" s="55" customFormat="1" ht="15.75" x14ac:dyDescent="0.25">
      <c r="A1116" s="67">
        <v>2131119</v>
      </c>
      <c r="B1116" s="67" t="s">
        <v>754</v>
      </c>
      <c r="C1116" s="60">
        <f>+'[3]SEPTIEMBRE-2016'!$I$110</f>
        <v>1000</v>
      </c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</row>
    <row r="1117" spans="1:58" s="55" customFormat="1" ht="15.75" x14ac:dyDescent="0.25">
      <c r="A1117" s="67"/>
      <c r="B1117" s="63" t="s">
        <v>115</v>
      </c>
      <c r="C1117" s="69">
        <f>SUM(C1114:C1116)</f>
        <v>108001000</v>
      </c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</row>
    <row r="1118" spans="1:58" s="55" customFormat="1" ht="15.75" x14ac:dyDescent="0.25">
      <c r="A1118" s="67"/>
      <c r="B1118" s="63"/>
      <c r="C1118" s="69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</row>
    <row r="1119" spans="1:58" s="55" customFormat="1" ht="15.75" x14ac:dyDescent="0.25">
      <c r="A1119" s="67"/>
      <c r="B1119" s="63"/>
      <c r="C1119" s="6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</row>
    <row r="1120" spans="1:58" s="55" customFormat="1" ht="15.75" x14ac:dyDescent="0.25">
      <c r="A1120" s="63"/>
      <c r="B1120" s="63"/>
      <c r="C1120" s="64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</row>
    <row r="1121" spans="1:58" s="55" customFormat="1" ht="15.75" x14ac:dyDescent="0.25">
      <c r="A1121" s="63">
        <v>2133</v>
      </c>
      <c r="B1121" s="63" t="s">
        <v>184</v>
      </c>
      <c r="C1121" s="64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</row>
    <row r="1122" spans="1:58" s="55" customFormat="1" ht="15.75" x14ac:dyDescent="0.25">
      <c r="A1122" s="67">
        <v>2133113</v>
      </c>
      <c r="B1122" s="67" t="s">
        <v>755</v>
      </c>
      <c r="C1122" s="60">
        <f>+'[3]SEPTIEMBRE-2016'!$I$124</f>
        <v>1000</v>
      </c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</row>
    <row r="1123" spans="1:58" s="55" customFormat="1" ht="15.75" x14ac:dyDescent="0.25">
      <c r="A1123" s="67">
        <v>2133115</v>
      </c>
      <c r="B1123" s="67" t="s">
        <v>756</v>
      </c>
      <c r="C1123" s="60">
        <f>+'[3]SEPTIEMBRE-2016'!$I$125</f>
        <v>1000</v>
      </c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</row>
    <row r="1124" spans="1:58" s="55" customFormat="1" ht="15.75" x14ac:dyDescent="0.25">
      <c r="A1124" s="67">
        <v>2133137</v>
      </c>
      <c r="B1124" s="67" t="s">
        <v>757</v>
      </c>
      <c r="C1124" s="60">
        <f>+'[3]SEPTIEMBRE-2016'!$I$126</f>
        <v>8000</v>
      </c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</row>
    <row r="1125" spans="1:58" s="55" customFormat="1" ht="15.75" x14ac:dyDescent="0.25">
      <c r="A1125" s="63"/>
      <c r="B1125" s="63" t="s">
        <v>115</v>
      </c>
      <c r="C1125" s="69">
        <f>SUM(C1122:C1124)</f>
        <v>10000</v>
      </c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</row>
    <row r="1126" spans="1:58" s="55" customFormat="1" ht="15.75" x14ac:dyDescent="0.25">
      <c r="A1126" s="63"/>
      <c r="B1126" s="63" t="s">
        <v>194</v>
      </c>
      <c r="C1126" s="69">
        <f>+C1125+C1117+C1111</f>
        <v>25757841062</v>
      </c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</row>
    <row r="1127" spans="1:58" s="55" customFormat="1" ht="15.75" x14ac:dyDescent="0.25">
      <c r="A1127" s="63" t="s">
        <v>758</v>
      </c>
      <c r="B1127" s="63" t="s">
        <v>759</v>
      </c>
      <c r="C1127" s="60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</row>
    <row r="1128" spans="1:58" s="55" customFormat="1" ht="15.75" x14ac:dyDescent="0.25">
      <c r="A1128" s="63">
        <v>231</v>
      </c>
      <c r="B1128" s="63" t="s">
        <v>760</v>
      </c>
      <c r="C1128" s="60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</row>
    <row r="1129" spans="1:58" s="55" customFormat="1" ht="15.75" x14ac:dyDescent="0.25">
      <c r="A1129" s="67" t="s">
        <v>761</v>
      </c>
      <c r="B1129" s="67" t="s">
        <v>762</v>
      </c>
      <c r="C1129" s="60">
        <f>+'[3]SEPTIEMBRE-2016'!$I$133</f>
        <v>15676645000</v>
      </c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</row>
    <row r="1130" spans="1:58" s="55" customFormat="1" ht="15.75" x14ac:dyDescent="0.25">
      <c r="A1130" s="67">
        <v>2310197</v>
      </c>
      <c r="B1130" s="67" t="s">
        <v>763</v>
      </c>
      <c r="C1130" s="60">
        <f>+'[3]SEPTIEMBRE-2016'!$I$134</f>
        <v>24803759000</v>
      </c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</row>
    <row r="1131" spans="1:58" s="55" customFormat="1" ht="15.75" x14ac:dyDescent="0.25">
      <c r="A1131" s="67">
        <v>2310199</v>
      </c>
      <c r="B1131" s="67" t="s">
        <v>764</v>
      </c>
      <c r="C1131" s="60">
        <v>0</v>
      </c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</row>
    <row r="1132" spans="1:58" s="55" customFormat="1" ht="15.75" x14ac:dyDescent="0.25">
      <c r="A1132" s="67">
        <v>2310027</v>
      </c>
      <c r="B1132" s="67" t="s">
        <v>765</v>
      </c>
      <c r="C1132" s="60">
        <f>+'[3]SEPTIEMBRE-2016'!$I$130</f>
        <v>1000000000</v>
      </c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</row>
    <row r="1133" spans="1:58" s="56" customFormat="1" ht="30.75" x14ac:dyDescent="0.25">
      <c r="A1133" s="67">
        <v>2310028</v>
      </c>
      <c r="B1133" s="67" t="s">
        <v>766</v>
      </c>
      <c r="C1133" s="60">
        <f>+'[3]SEPTIEMBRE-2016'!$I$131</f>
        <v>1000000000</v>
      </c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</row>
    <row r="1134" spans="1:58" s="56" customFormat="1" ht="15.75" x14ac:dyDescent="0.25">
      <c r="A1134" s="67"/>
      <c r="B1134" s="63" t="s">
        <v>115</v>
      </c>
      <c r="C1134" s="69">
        <f>SUM(C1129:C1133)</f>
        <v>42480404000</v>
      </c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</row>
    <row r="1135" spans="1:58" s="56" customFormat="1" ht="15.75" x14ac:dyDescent="0.25">
      <c r="A1135" s="49"/>
      <c r="B1135" s="63" t="s">
        <v>767</v>
      </c>
      <c r="C1135" s="69">
        <f>+C1134</f>
        <v>42480404000</v>
      </c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</row>
    <row r="1136" spans="1:58" s="56" customFormat="1" ht="15.75" x14ac:dyDescent="0.25">
      <c r="A1136" s="49"/>
      <c r="B1136" s="63" t="s">
        <v>768</v>
      </c>
      <c r="C1136" s="69">
        <f>+C1135+C1126+C1093</f>
        <v>68488245062</v>
      </c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</row>
    <row r="1137" spans="1:58" s="56" customFormat="1" ht="15.75" x14ac:dyDescent="0.25">
      <c r="A1137" s="49"/>
      <c r="B1137" s="63" t="s">
        <v>769</v>
      </c>
      <c r="C1137" s="69">
        <f>+C1136</f>
        <v>68488245062</v>
      </c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</row>
    <row r="1138" spans="1:58" s="56" customFormat="1" ht="15.75" x14ac:dyDescent="0.25">
      <c r="A1138" s="49"/>
      <c r="B1138" s="61"/>
      <c r="C1138" s="62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</row>
    <row r="1139" spans="1:58" s="56" customFormat="1" ht="15.75" x14ac:dyDescent="0.25">
      <c r="A1139" s="49"/>
      <c r="B1139" s="63" t="s">
        <v>770</v>
      </c>
      <c r="C1139" s="69">
        <f>+C1137+C1078+C172+C113</f>
        <v>833471158717.974</v>
      </c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</row>
    <row r="1140" spans="1:58" s="56" customFormat="1" ht="15.75" x14ac:dyDescent="0.25">
      <c r="A1140" s="49"/>
      <c r="B1140" s="61"/>
      <c r="C1140" s="18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</row>
    <row r="1141" spans="1:58" s="56" customFormat="1" ht="15.75" x14ac:dyDescent="0.25">
      <c r="A1141" s="49"/>
      <c r="B1141" s="50"/>
      <c r="C1141" s="69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</row>
    <row r="1142" spans="1:58" s="56" customFormat="1" ht="15.75" x14ac:dyDescent="0.25">
      <c r="A1142" s="49"/>
      <c r="B1142" s="50" t="s">
        <v>771</v>
      </c>
      <c r="C1142" s="60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</row>
    <row r="1143" spans="1:58" s="56" customFormat="1" ht="15.75" x14ac:dyDescent="0.25">
      <c r="A1143" s="67">
        <v>1</v>
      </c>
      <c r="B1143" s="67" t="s">
        <v>80</v>
      </c>
      <c r="C1143" s="60">
        <f>+C1126+C1093+C113+C162+C171</f>
        <v>113832906062.37125</v>
      </c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</row>
    <row r="1144" spans="1:58" s="56" customFormat="1" ht="15.75" x14ac:dyDescent="0.25">
      <c r="A1144" s="49"/>
      <c r="B1144" s="61"/>
      <c r="C1144" s="60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</row>
    <row r="1145" spans="1:58" s="56" customFormat="1" ht="15.75" x14ac:dyDescent="0.25">
      <c r="A1145" s="67">
        <v>2</v>
      </c>
      <c r="B1145" s="67" t="s">
        <v>772</v>
      </c>
      <c r="C1145" s="60">
        <f>+C1135</f>
        <v>42480404000</v>
      </c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</row>
    <row r="1146" spans="1:58" s="56" customFormat="1" ht="15.75" x14ac:dyDescent="0.25">
      <c r="A1146" s="49"/>
      <c r="B1146" s="61"/>
      <c r="C1146" s="60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</row>
    <row r="1147" spans="1:58" s="56" customFormat="1" ht="15.75" x14ac:dyDescent="0.25">
      <c r="A1147" s="67">
        <v>3</v>
      </c>
      <c r="B1147" s="67" t="s">
        <v>210</v>
      </c>
      <c r="C1147" s="60">
        <f>+C1076</f>
        <v>677157848655.60278</v>
      </c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</row>
    <row r="1148" spans="1:58" s="56" customFormat="1" ht="15.75" x14ac:dyDescent="0.25">
      <c r="A1148" s="49"/>
      <c r="B1148" s="61"/>
      <c r="C1148" s="181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</row>
    <row r="1149" spans="1:58" s="56" customFormat="1" ht="15.75" x14ac:dyDescent="0.25">
      <c r="A1149" s="49"/>
      <c r="B1149" s="50" t="s">
        <v>773</v>
      </c>
      <c r="C1149" s="69">
        <f>SUM(C1143:C1147)</f>
        <v>833471158717.974</v>
      </c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</row>
    <row r="1150" spans="1:58" s="56" customFormat="1" ht="15.75" x14ac:dyDescent="0.25">
      <c r="A1150" s="49"/>
      <c r="B1150" s="182"/>
      <c r="C1150" s="62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</row>
    <row r="1151" spans="1:58" s="56" customFormat="1" ht="15.75" x14ac:dyDescent="0.25">
      <c r="A1151" s="67">
        <v>1</v>
      </c>
      <c r="B1151" s="63" t="s">
        <v>80</v>
      </c>
      <c r="C1151" s="69">
        <f>SUM(C1153:C1155)</f>
        <v>113832906062.37125</v>
      </c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</row>
    <row r="1152" spans="1:58" s="56" customFormat="1" ht="15.75" x14ac:dyDescent="0.25">
      <c r="A1152" s="49"/>
      <c r="B1152" s="183"/>
      <c r="C1152" s="60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</row>
    <row r="1153" spans="1:58" s="56" customFormat="1" ht="15.75" x14ac:dyDescent="0.25">
      <c r="A1153" s="49"/>
      <c r="B1153" s="67" t="s">
        <v>774</v>
      </c>
      <c r="C1153" s="60">
        <f>+C51+C162</f>
        <v>44331983000.371254</v>
      </c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</row>
    <row r="1154" spans="1:58" s="56" customFormat="1" ht="15.75" x14ac:dyDescent="0.25">
      <c r="A1154" s="49"/>
      <c r="B1154" s="67" t="s">
        <v>133</v>
      </c>
      <c r="C1154" s="60">
        <f>+C94+C171+C1093</f>
        <v>14301800000</v>
      </c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</row>
    <row r="1155" spans="1:58" s="56" customFormat="1" ht="15.75" x14ac:dyDescent="0.25">
      <c r="A1155" s="49"/>
      <c r="B1155" s="67" t="s">
        <v>775</v>
      </c>
      <c r="C1155" s="60">
        <f>+C1126+C112</f>
        <v>55199123062</v>
      </c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</row>
    <row r="1156" spans="1:58" s="56" customFormat="1" ht="15.75" x14ac:dyDescent="0.25">
      <c r="A1156" s="49"/>
      <c r="B1156" s="61"/>
      <c r="C1156" s="62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</row>
    <row r="1157" spans="1:58" s="56" customFormat="1" ht="15.75" x14ac:dyDescent="0.25">
      <c r="A1157" s="49"/>
      <c r="B1157" s="61"/>
      <c r="C1157" s="62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</row>
    <row r="1158" spans="1:58" s="56" customFormat="1" ht="15.75" x14ac:dyDescent="0.25">
      <c r="A1158" s="67">
        <v>2</v>
      </c>
      <c r="B1158" s="63" t="s">
        <v>772</v>
      </c>
      <c r="C1158" s="69">
        <f>+C1145</f>
        <v>42480404000</v>
      </c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</row>
    <row r="1159" spans="1:58" s="56" customFormat="1" ht="15.75" x14ac:dyDescent="0.25">
      <c r="A1159" s="49"/>
      <c r="B1159" s="61"/>
      <c r="C1159" s="16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</row>
    <row r="1160" spans="1:58" s="56" customFormat="1" ht="15.75" x14ac:dyDescent="0.25">
      <c r="A1160" s="67">
        <v>3</v>
      </c>
      <c r="B1160" s="63" t="s">
        <v>210</v>
      </c>
      <c r="C1160" s="69">
        <f>+C1147</f>
        <v>677157848655.60278</v>
      </c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</row>
    <row r="1161" spans="1:58" s="56" customFormat="1" ht="15.75" x14ac:dyDescent="0.25">
      <c r="A1161" s="49"/>
      <c r="B1161" s="184"/>
      <c r="C1161" s="18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</row>
    <row r="1162" spans="1:58" s="56" customFormat="1" ht="15.75" x14ac:dyDescent="0.25">
      <c r="A1162" s="49"/>
      <c r="B1162" s="50" t="s">
        <v>776</v>
      </c>
      <c r="C1162" s="69">
        <f>+C1160+C1158+C1151</f>
        <v>833471158717.974</v>
      </c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</row>
    <row r="1163" spans="1:58" s="56" customFormat="1" ht="15.75" x14ac:dyDescent="0.25">
      <c r="A1163" s="49"/>
      <c r="B1163" s="62"/>
      <c r="C1163" s="185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</row>
    <row r="1164" spans="1:58" s="56" customFormat="1" ht="15.75" x14ac:dyDescent="0.25">
      <c r="A1164" s="65">
        <v>2</v>
      </c>
      <c r="B1164" s="186"/>
      <c r="C1164" s="169">
        <f>+C1165+C1183+C1185</f>
        <v>833471158717.974</v>
      </c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</row>
    <row r="1165" spans="1:58" s="55" customFormat="1" ht="15.75" x14ac:dyDescent="0.25">
      <c r="A1165" s="65">
        <v>21</v>
      </c>
      <c r="B1165" s="66" t="s">
        <v>80</v>
      </c>
      <c r="C1165" s="169">
        <f>+C1166+C1172+C1177</f>
        <v>113832906062.37125</v>
      </c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</row>
    <row r="1166" spans="1:58" s="55" customFormat="1" ht="15.75" x14ac:dyDescent="0.25">
      <c r="A1166" s="65">
        <v>211</v>
      </c>
      <c r="B1166" s="66" t="s">
        <v>82</v>
      </c>
      <c r="C1166" s="169">
        <f>SUM(C1167:C1170)</f>
        <v>44331983000.371254</v>
      </c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</row>
    <row r="1167" spans="1:58" s="55" customFormat="1" ht="30.75" x14ac:dyDescent="0.25">
      <c r="A1167" s="49">
        <v>2110</v>
      </c>
      <c r="B1167" s="61" t="s">
        <v>777</v>
      </c>
      <c r="C1167" s="62">
        <f>+C29+C137</f>
        <v>23198377000.371254</v>
      </c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</row>
    <row r="1168" spans="1:58" s="55" customFormat="1" ht="15.75" x14ac:dyDescent="0.25">
      <c r="A1168" s="49">
        <v>2111</v>
      </c>
      <c r="B1168" s="61" t="s">
        <v>778</v>
      </c>
      <c r="C1168" s="62">
        <f>+C32+C143</f>
        <v>12212356000</v>
      </c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</row>
    <row r="1169" spans="1:58" s="55" customFormat="1" ht="30.75" x14ac:dyDescent="0.25">
      <c r="A1169" s="49">
        <v>2112</v>
      </c>
      <c r="B1169" s="61" t="s">
        <v>118</v>
      </c>
      <c r="C1169" s="62">
        <f>+C39+C151</f>
        <v>6385009000</v>
      </c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</row>
    <row r="1170" spans="1:58" s="55" customFormat="1" ht="30.75" x14ac:dyDescent="0.25">
      <c r="A1170" s="49">
        <v>2113</v>
      </c>
      <c r="B1170" s="61" t="s">
        <v>124</v>
      </c>
      <c r="C1170" s="62">
        <f>+C50+C161</f>
        <v>2536241000</v>
      </c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</row>
    <row r="1171" spans="1:58" s="55" customFormat="1" ht="15.75" x14ac:dyDescent="0.25">
      <c r="A1171" s="114"/>
      <c r="B1171" s="115"/>
      <c r="C1171" s="107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</row>
    <row r="1172" spans="1:58" s="55" customFormat="1" ht="15.75" x14ac:dyDescent="0.25">
      <c r="A1172" s="65">
        <v>212</v>
      </c>
      <c r="B1172" s="66" t="s">
        <v>133</v>
      </c>
      <c r="C1172" s="169">
        <f>SUM(C1173:C1175)</f>
        <v>14301800000</v>
      </c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</row>
    <row r="1173" spans="1:58" s="55" customFormat="1" ht="15.75" x14ac:dyDescent="0.25">
      <c r="A1173" s="49">
        <v>2120</v>
      </c>
      <c r="B1173" s="61" t="s">
        <v>134</v>
      </c>
      <c r="C1173" s="62">
        <f>+C66+C1092</f>
        <v>1696000000</v>
      </c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</row>
    <row r="1174" spans="1:58" s="55" customFormat="1" ht="15.75" x14ac:dyDescent="0.25">
      <c r="A1174" s="49">
        <v>2121</v>
      </c>
      <c r="B1174" s="61" t="s">
        <v>156</v>
      </c>
      <c r="C1174" s="62">
        <f>+C87+C170</f>
        <v>12335800000</v>
      </c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</row>
    <row r="1175" spans="1:58" s="55" customFormat="1" ht="15.75" x14ac:dyDescent="0.25">
      <c r="A1175" s="49">
        <v>2122</v>
      </c>
      <c r="B1175" s="61" t="s">
        <v>779</v>
      </c>
      <c r="C1175" s="62">
        <f>+C93</f>
        <v>270000000</v>
      </c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</row>
    <row r="1176" spans="1:58" s="55" customFormat="1" ht="15.75" x14ac:dyDescent="0.25">
      <c r="A1176" s="49"/>
      <c r="B1176" s="61"/>
      <c r="C1176" s="62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</row>
    <row r="1177" spans="1:58" s="55" customFormat="1" ht="15.75" x14ac:dyDescent="0.25">
      <c r="A1177" s="65">
        <v>213</v>
      </c>
      <c r="B1177" s="66" t="s">
        <v>780</v>
      </c>
      <c r="C1177" s="169">
        <f>SUM(C1178:C1181)</f>
        <v>55199123062</v>
      </c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</row>
    <row r="1178" spans="1:58" s="55" customFormat="1" ht="15.75" x14ac:dyDescent="0.25">
      <c r="A1178" s="49">
        <v>2130</v>
      </c>
      <c r="B1178" s="61" t="s">
        <v>728</v>
      </c>
      <c r="C1178" s="62">
        <f>+C1111</f>
        <v>25649830062</v>
      </c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</row>
    <row r="1179" spans="1:58" s="55" customFormat="1" ht="30.75" x14ac:dyDescent="0.25">
      <c r="A1179" s="49">
        <v>2131</v>
      </c>
      <c r="B1179" s="61" t="s">
        <v>781</v>
      </c>
      <c r="C1179" s="62">
        <f>+C1117</f>
        <v>108001000</v>
      </c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</row>
    <row r="1180" spans="1:58" s="55" customFormat="1" ht="30.75" x14ac:dyDescent="0.25">
      <c r="A1180" s="49">
        <v>2132</v>
      </c>
      <c r="B1180" s="61" t="s">
        <v>180</v>
      </c>
      <c r="C1180" s="62">
        <f>+C99</f>
        <v>24206281000</v>
      </c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</row>
    <row r="1181" spans="1:58" s="55" customFormat="1" ht="15.75" x14ac:dyDescent="0.25">
      <c r="A1181" s="49">
        <v>2133</v>
      </c>
      <c r="B1181" s="61" t="s">
        <v>184</v>
      </c>
      <c r="C1181" s="62">
        <f>+C1125+C111</f>
        <v>5235011000</v>
      </c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</row>
    <row r="1182" spans="1:58" s="55" customFormat="1" ht="15.75" x14ac:dyDescent="0.25">
      <c r="A1182" s="49"/>
      <c r="B1182" s="61"/>
      <c r="C1182" s="169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</row>
    <row r="1183" spans="1:58" s="55" customFormat="1" ht="15.75" x14ac:dyDescent="0.25">
      <c r="A1183" s="65">
        <v>22</v>
      </c>
      <c r="B1183" s="66" t="s">
        <v>211</v>
      </c>
      <c r="C1183" s="169">
        <f>+C1160</f>
        <v>677157848655.60278</v>
      </c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</row>
    <row r="1184" spans="1:58" s="55" customFormat="1" ht="15.75" x14ac:dyDescent="0.25">
      <c r="A1184" s="65"/>
      <c r="B1184" s="66"/>
      <c r="C1184" s="169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</row>
    <row r="1185" spans="1:58" s="55" customFormat="1" ht="15.75" x14ac:dyDescent="0.25">
      <c r="A1185" s="65">
        <v>23</v>
      </c>
      <c r="B1185" s="66" t="s">
        <v>772</v>
      </c>
      <c r="C1185" s="169">
        <f>+C1158</f>
        <v>42480404000</v>
      </c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</row>
    <row r="1186" spans="1:58" s="55" customFormat="1" ht="15.75" x14ac:dyDescent="0.25">
      <c r="A1186" s="49">
        <v>231</v>
      </c>
      <c r="B1186" s="61" t="s">
        <v>760</v>
      </c>
      <c r="C1186" s="62">
        <f>+C1185</f>
        <v>42480404000</v>
      </c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</row>
    <row r="1187" spans="1:58" s="55" customFormat="1" ht="15.75" x14ac:dyDescent="0.25">
      <c r="A1187" s="49"/>
      <c r="B1187" s="61"/>
      <c r="C1187" s="62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</row>
    <row r="1188" spans="1:58" s="55" customFormat="1" ht="15.75" x14ac:dyDescent="0.25">
      <c r="A1188" s="49"/>
      <c r="B1188" s="66" t="s">
        <v>773</v>
      </c>
      <c r="C1188" s="169">
        <f>+C1185+C1183+C1165</f>
        <v>833471158717.974</v>
      </c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</row>
    <row r="1189" spans="1:58" s="55" customFormat="1" ht="15.75" x14ac:dyDescent="0.25">
      <c r="A1189" s="71"/>
      <c r="B1189" s="187"/>
      <c r="C1189" s="188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</row>
    <row r="1190" spans="1:58" s="55" customFormat="1" ht="15.75" x14ac:dyDescent="0.25">
      <c r="A1190" s="71"/>
      <c r="B1190" s="187"/>
      <c r="C1190" s="188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</row>
    <row r="1191" spans="1:58" s="55" customFormat="1" ht="15.75" x14ac:dyDescent="0.25">
      <c r="A1191" s="71"/>
      <c r="B1191" s="187"/>
      <c r="C1191" s="188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</row>
    <row r="1192" spans="1:58" s="55" customFormat="1" ht="15.75" x14ac:dyDescent="0.25">
      <c r="A1192" s="71"/>
      <c r="B1192" s="187"/>
      <c r="C1192" s="188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</row>
    <row r="1193" spans="1:58" s="55" customFormat="1" ht="15.75" x14ac:dyDescent="0.25">
      <c r="A1193" s="71"/>
      <c r="B1193" s="187"/>
      <c r="C1193" s="188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</row>
    <row r="1194" spans="1:58" s="55" customFormat="1" ht="15.75" x14ac:dyDescent="0.25">
      <c r="A1194" s="71"/>
      <c r="B1194" s="187"/>
      <c r="C1194" s="188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</row>
    <row r="1195" spans="1:58" s="55" customFormat="1" ht="15.75" x14ac:dyDescent="0.25">
      <c r="A1195" s="71"/>
      <c r="B1195" s="187"/>
      <c r="C1195" s="188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</row>
    <row r="1196" spans="1:58" s="55" customFormat="1" ht="15.75" x14ac:dyDescent="0.25">
      <c r="A1196" s="71"/>
      <c r="B1196" s="187"/>
      <c r="C1196" s="188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</row>
    <row r="1197" spans="1:58" s="55" customFormat="1" ht="15.75" x14ac:dyDescent="0.25">
      <c r="A1197" s="71"/>
      <c r="B1197" s="187"/>
      <c r="C1197" s="188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</row>
    <row r="1198" spans="1:58" s="55" customFormat="1" ht="15.75" x14ac:dyDescent="0.25">
      <c r="A1198" s="71"/>
      <c r="B1198" s="187"/>
      <c r="C1198" s="18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</row>
    <row r="1199" spans="1:58" s="55" customFormat="1" ht="15.75" x14ac:dyDescent="0.25">
      <c r="A1199" s="71"/>
      <c r="B1199" s="187"/>
      <c r="C1199" s="188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</row>
    <row r="1200" spans="1:58" s="55" customFormat="1" ht="15.75" hidden="1" x14ac:dyDescent="0.25">
      <c r="A1200" s="71"/>
      <c r="B1200" s="187"/>
      <c r="C1200" s="188">
        <f>+C1363</f>
        <v>210000000</v>
      </c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</row>
    <row r="1201" spans="1:58" s="55" customFormat="1" ht="15.75" hidden="1" x14ac:dyDescent="0.25">
      <c r="A1201" s="71"/>
      <c r="B1201" s="169" t="s">
        <v>782</v>
      </c>
      <c r="C1201" s="189">
        <f>+C1369</f>
        <v>400000000</v>
      </c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</row>
    <row r="1202" spans="1:58" s="55" customFormat="1" ht="15.75" hidden="1" x14ac:dyDescent="0.25">
      <c r="A1202" s="71"/>
      <c r="B1202" s="169"/>
      <c r="C1202" s="190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</row>
    <row r="1203" spans="1:58" s="55" customFormat="1" ht="15.75" hidden="1" x14ac:dyDescent="0.25">
      <c r="A1203" s="71"/>
      <c r="B1203" s="191" t="s">
        <v>783</v>
      </c>
      <c r="C1203" s="192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</row>
    <row r="1204" spans="1:58" s="55" customFormat="1" ht="15.75" hidden="1" x14ac:dyDescent="0.25">
      <c r="A1204" s="71"/>
      <c r="B1204" s="61" t="s">
        <v>295</v>
      </c>
      <c r="C1204" s="193" t="e">
        <f>+C188+C248+#REF!+C223+C231+#REF!+#REF!+#REF!+C265+#REF!+#REF!+#REF!+#REF!+C271+C273+#REF!+#REF!+C299</f>
        <v>#REF!</v>
      </c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</row>
    <row r="1205" spans="1:58" s="55" customFormat="1" ht="15.75" hidden="1" x14ac:dyDescent="0.25">
      <c r="A1205" s="71"/>
      <c r="B1205" s="61" t="s">
        <v>784</v>
      </c>
      <c r="C1205" s="193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</row>
    <row r="1206" spans="1:58" s="55" customFormat="1" ht="15.75" hidden="1" x14ac:dyDescent="0.25">
      <c r="A1206" s="71"/>
      <c r="B1206" s="61" t="s">
        <v>785</v>
      </c>
      <c r="C1206" s="193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</row>
    <row r="1207" spans="1:58" s="55" customFormat="1" ht="30.75" hidden="1" x14ac:dyDescent="0.25">
      <c r="A1207" s="71"/>
      <c r="B1207" s="67" t="s">
        <v>786</v>
      </c>
      <c r="C1207" s="193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</row>
    <row r="1208" spans="1:58" s="55" customFormat="1" ht="30.75" hidden="1" x14ac:dyDescent="0.25">
      <c r="A1208" s="71"/>
      <c r="B1208" s="61" t="s">
        <v>787</v>
      </c>
      <c r="C1208" s="193" t="e">
        <f>+C249+C221+C226+#REF!+C241+#REF!</f>
        <v>#REF!</v>
      </c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</row>
    <row r="1209" spans="1:58" s="55" customFormat="1" ht="30.75" hidden="1" x14ac:dyDescent="0.25">
      <c r="A1209" s="71"/>
      <c r="B1209" s="61" t="s">
        <v>788</v>
      </c>
      <c r="C1209" s="193" t="e">
        <f>+#REF!</f>
        <v>#REF!</v>
      </c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</row>
    <row r="1210" spans="1:58" s="55" customFormat="1" ht="30.75" hidden="1" x14ac:dyDescent="0.25">
      <c r="A1210" s="71"/>
      <c r="B1210" s="61" t="s">
        <v>789</v>
      </c>
      <c r="C1210" s="193">
        <f>+C233</f>
        <v>0</v>
      </c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</row>
    <row r="1211" spans="1:58" s="55" customFormat="1" ht="15.75" hidden="1" x14ac:dyDescent="0.25">
      <c r="A1211" s="71"/>
      <c r="B1211" s="67" t="s">
        <v>790</v>
      </c>
      <c r="C1211" s="193">
        <f>+C252</f>
        <v>0</v>
      </c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</row>
    <row r="1212" spans="1:58" s="55" customFormat="1" ht="15.75" hidden="1" x14ac:dyDescent="0.25">
      <c r="A1212" s="71"/>
      <c r="B1212" s="67" t="s">
        <v>791</v>
      </c>
      <c r="C1212" s="193" t="e">
        <f>+#REF!</f>
        <v>#REF!</v>
      </c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</row>
    <row r="1213" spans="1:58" s="55" customFormat="1" ht="15.75" hidden="1" x14ac:dyDescent="0.25">
      <c r="A1213" s="71"/>
      <c r="B1213" s="67" t="s">
        <v>792</v>
      </c>
      <c r="C1213" s="19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</row>
    <row r="1214" spans="1:58" s="55" customFormat="1" ht="15.75" hidden="1" x14ac:dyDescent="0.25">
      <c r="A1214" s="71"/>
      <c r="B1214" s="194" t="s">
        <v>34</v>
      </c>
      <c r="C1214" s="195" t="e">
        <f>SUM(C1204:C1212)</f>
        <v>#REF!</v>
      </c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</row>
    <row r="1215" spans="1:58" s="55" customFormat="1" ht="15.75" hidden="1" x14ac:dyDescent="0.25">
      <c r="A1215" s="71"/>
      <c r="B1215" s="191" t="s">
        <v>793</v>
      </c>
      <c r="C1215" s="189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</row>
    <row r="1216" spans="1:58" s="55" customFormat="1" ht="15.75" hidden="1" x14ac:dyDescent="0.25">
      <c r="A1216" s="71"/>
      <c r="B1216" s="196" t="s">
        <v>794</v>
      </c>
      <c r="C1216" s="189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</row>
    <row r="1217" spans="1:58" s="55" customFormat="1" ht="15.75" hidden="1" x14ac:dyDescent="0.25">
      <c r="A1217" s="71"/>
      <c r="B1217" s="61" t="s">
        <v>295</v>
      </c>
      <c r="C1217" s="193" t="e">
        <f>+#REF!+#REF!+C309+C311+C317</f>
        <v>#REF!</v>
      </c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</row>
    <row r="1218" spans="1:58" s="55" customFormat="1" ht="15.75" hidden="1" x14ac:dyDescent="0.25">
      <c r="A1218" s="71"/>
      <c r="B1218" s="61" t="s">
        <v>795</v>
      </c>
      <c r="C1218" s="193">
        <f>+C314</f>
        <v>0</v>
      </c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</row>
    <row r="1219" spans="1:58" s="55" customFormat="1" ht="15.75" hidden="1" x14ac:dyDescent="0.25">
      <c r="A1219" s="71"/>
      <c r="B1219" s="196" t="s">
        <v>796</v>
      </c>
      <c r="C1219" s="18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</row>
    <row r="1220" spans="1:58" s="55" customFormat="1" ht="15.75" hidden="1" x14ac:dyDescent="0.25">
      <c r="A1220" s="71"/>
      <c r="B1220" s="61" t="s">
        <v>295</v>
      </c>
      <c r="C1220" s="193" t="e">
        <f>+#REF!+#REF!+#REF!+#REF!</f>
        <v>#REF!</v>
      </c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</row>
    <row r="1221" spans="1:58" s="55" customFormat="1" ht="15.75" hidden="1" x14ac:dyDescent="0.25">
      <c r="A1221" s="71"/>
      <c r="B1221" s="118" t="s">
        <v>797</v>
      </c>
      <c r="C1221" s="193" t="e">
        <f>+#REF!+#REF!+#REF!+#REF!+#REF!+#REF!+#REF!+#REF!+#REF!+#REF!+#REF!+#REF!</f>
        <v>#REF!</v>
      </c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</row>
    <row r="1222" spans="1:58" s="55" customFormat="1" ht="15.75" hidden="1" x14ac:dyDescent="0.25">
      <c r="A1222" s="71"/>
      <c r="B1222" s="118" t="s">
        <v>329</v>
      </c>
      <c r="C1222" s="193" t="e">
        <f>+#REF!</f>
        <v>#REF!</v>
      </c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</row>
    <row r="1223" spans="1:58" s="55" customFormat="1" ht="15.75" hidden="1" x14ac:dyDescent="0.25">
      <c r="A1223" s="71"/>
      <c r="B1223" s="196" t="s">
        <v>798</v>
      </c>
      <c r="C1223" s="189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</row>
    <row r="1224" spans="1:58" s="55" customFormat="1" ht="15.75" hidden="1" x14ac:dyDescent="0.25">
      <c r="A1224" s="71"/>
      <c r="B1224" s="197" t="s">
        <v>217</v>
      </c>
      <c r="C1224" s="193" t="e">
        <f>+#REF!</f>
        <v>#REF!</v>
      </c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</row>
    <row r="1225" spans="1:58" s="55" customFormat="1" ht="30.75" hidden="1" x14ac:dyDescent="0.25">
      <c r="A1225" s="71"/>
      <c r="B1225" s="197" t="s">
        <v>799</v>
      </c>
      <c r="C1225" s="193">
        <f>+C339</f>
        <v>0</v>
      </c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</row>
    <row r="1226" spans="1:58" s="55" customFormat="1" ht="15.75" hidden="1" x14ac:dyDescent="0.25">
      <c r="A1226" s="71"/>
      <c r="B1226" s="197" t="s">
        <v>800</v>
      </c>
      <c r="C1226" s="193">
        <f>+C427</f>
        <v>186421324677.92999</v>
      </c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</row>
    <row r="1227" spans="1:58" s="55" customFormat="1" ht="15.75" hidden="1" x14ac:dyDescent="0.25">
      <c r="A1227" s="71"/>
      <c r="B1227" s="197" t="s">
        <v>801</v>
      </c>
      <c r="C1227" s="193">
        <f>+C428</f>
        <v>0</v>
      </c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</row>
    <row r="1228" spans="1:58" s="55" customFormat="1" ht="15.75" hidden="1" x14ac:dyDescent="0.25">
      <c r="A1228" s="71"/>
      <c r="B1228" s="197" t="s">
        <v>802</v>
      </c>
      <c r="C1228" s="193">
        <f>+C429</f>
        <v>0</v>
      </c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</row>
    <row r="1229" spans="1:58" s="55" customFormat="1" ht="15.75" hidden="1" x14ac:dyDescent="0.25">
      <c r="A1229" s="71"/>
      <c r="B1229" s="196" t="s">
        <v>803</v>
      </c>
      <c r="C1229" s="18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</row>
    <row r="1230" spans="1:58" s="55" customFormat="1" ht="15.75" hidden="1" x14ac:dyDescent="0.25">
      <c r="A1230" s="71"/>
      <c r="B1230" s="67" t="s">
        <v>217</v>
      </c>
      <c r="C1230" s="193">
        <f>+C481</f>
        <v>15352081</v>
      </c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</row>
    <row r="1231" spans="1:58" s="55" customFormat="1" ht="15.75" hidden="1" x14ac:dyDescent="0.25">
      <c r="A1231" s="71"/>
      <c r="B1231" s="118" t="s">
        <v>804</v>
      </c>
      <c r="C1231" s="193">
        <f>+C482</f>
        <v>0</v>
      </c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</row>
    <row r="1232" spans="1:58" s="55" customFormat="1" ht="15.75" hidden="1" x14ac:dyDescent="0.25">
      <c r="A1232" s="71"/>
      <c r="B1232" s="118" t="s">
        <v>805</v>
      </c>
      <c r="C1232" s="193">
        <f>+C483</f>
        <v>0</v>
      </c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</row>
    <row r="1233" spans="1:58" s="55" customFormat="1" ht="15.75" hidden="1" x14ac:dyDescent="0.25">
      <c r="A1233" s="71"/>
      <c r="B1233" s="118" t="s">
        <v>367</v>
      </c>
      <c r="C1233" s="193">
        <f>+C485</f>
        <v>673898468</v>
      </c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</row>
    <row r="1234" spans="1:58" s="55" customFormat="1" ht="30.75" hidden="1" x14ac:dyDescent="0.25">
      <c r="A1234" s="71"/>
      <c r="B1234" s="118" t="s">
        <v>376</v>
      </c>
      <c r="C1234" s="193">
        <f>+C486</f>
        <v>966550282</v>
      </c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</row>
    <row r="1235" spans="1:58" s="55" customFormat="1" ht="15.75" hidden="1" x14ac:dyDescent="0.25">
      <c r="A1235" s="71"/>
      <c r="B1235" s="118" t="s">
        <v>800</v>
      </c>
      <c r="C1235" s="193">
        <f>+C487</f>
        <v>47483152</v>
      </c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</row>
    <row r="1236" spans="1:58" s="55" customFormat="1" ht="15.75" hidden="1" x14ac:dyDescent="0.25">
      <c r="A1236" s="71"/>
      <c r="B1236" s="118" t="s">
        <v>806</v>
      </c>
      <c r="C1236" s="193">
        <f>+C489</f>
        <v>0</v>
      </c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</row>
    <row r="1237" spans="1:58" s="55" customFormat="1" ht="30.75" hidden="1" x14ac:dyDescent="0.25">
      <c r="A1237" s="71"/>
      <c r="B1237" s="118" t="s">
        <v>807</v>
      </c>
      <c r="C1237" s="193">
        <f>+C491</f>
        <v>362032658</v>
      </c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</row>
    <row r="1238" spans="1:58" s="55" customFormat="1" ht="15.75" hidden="1" x14ac:dyDescent="0.25">
      <c r="A1238" s="71"/>
      <c r="B1238" s="118" t="s">
        <v>808</v>
      </c>
      <c r="C1238" s="193" t="e">
        <f>+C536+#REF!+C479</f>
        <v>#REF!</v>
      </c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</row>
    <row r="1239" spans="1:58" s="55" customFormat="1" ht="15.75" hidden="1" x14ac:dyDescent="0.25">
      <c r="A1239" s="71"/>
      <c r="B1239" s="118" t="s">
        <v>809</v>
      </c>
      <c r="C1239" s="193">
        <f>+C493+C528+C530+C532</f>
        <v>174188776</v>
      </c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</row>
    <row r="1240" spans="1:58" s="55" customFormat="1" ht="15.75" hidden="1" x14ac:dyDescent="0.25">
      <c r="A1240" s="71"/>
      <c r="B1240" s="194" t="s">
        <v>34</v>
      </c>
      <c r="C1240" s="195" t="e">
        <f>SUM(C1217:C1239)</f>
        <v>#REF!</v>
      </c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</row>
    <row r="1241" spans="1:58" s="55" customFormat="1" ht="15.75" hidden="1" x14ac:dyDescent="0.25">
      <c r="A1241" s="71"/>
      <c r="B1241" s="191" t="s">
        <v>810</v>
      </c>
      <c r="C1241" s="198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</row>
    <row r="1242" spans="1:58" s="55" customFormat="1" ht="15.75" hidden="1" x14ac:dyDescent="0.25">
      <c r="A1242" s="71"/>
      <c r="B1242" s="61" t="s">
        <v>232</v>
      </c>
      <c r="C1242" s="193" t="e">
        <f>+C572+C578+C580+C583+#REF!+#REF!+#REF!+#REF!+#REF!+#REF!+#REF!+#REF!+#REF!+#REF!+#REF!</f>
        <v>#REF!</v>
      </c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</row>
    <row r="1243" spans="1:58" s="55" customFormat="1" ht="15.75" hidden="1" x14ac:dyDescent="0.25">
      <c r="A1243" s="71"/>
      <c r="B1243" s="61" t="s">
        <v>811</v>
      </c>
      <c r="C1243" s="193" t="e">
        <f>SUM(C517:C569)+SUM(C592:C627)+C574+C581+C586+C647+C656+#REF!</f>
        <v>#REF!</v>
      </c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</row>
    <row r="1244" spans="1:58" s="55" customFormat="1" ht="15.75" hidden="1" x14ac:dyDescent="0.25">
      <c r="A1244" s="71"/>
      <c r="B1244" s="61" t="s">
        <v>812</v>
      </c>
      <c r="C1244" s="193" t="e">
        <f>+#REF!+#REF!+#REF!+#REF!+#REF!</f>
        <v>#REF!</v>
      </c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</row>
    <row r="1245" spans="1:58" s="55" customFormat="1" ht="15.75" hidden="1" x14ac:dyDescent="0.25">
      <c r="A1245" s="71"/>
      <c r="B1245" s="61" t="s">
        <v>813</v>
      </c>
      <c r="C1245" s="193" t="e">
        <f>+#REF!</f>
        <v>#REF!</v>
      </c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</row>
    <row r="1246" spans="1:58" s="55" customFormat="1" ht="15.75" hidden="1" x14ac:dyDescent="0.25">
      <c r="A1246" s="71"/>
      <c r="B1246" s="67" t="s">
        <v>814</v>
      </c>
      <c r="C1246" s="193" t="e">
        <f>+#REF!</f>
        <v>#REF!</v>
      </c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</row>
    <row r="1247" spans="1:58" s="55" customFormat="1" ht="30.75" hidden="1" x14ac:dyDescent="0.25">
      <c r="A1247" s="71"/>
      <c r="B1247" s="67" t="s">
        <v>815</v>
      </c>
      <c r="C1247" s="193" t="e">
        <f>+#REF!</f>
        <v>#REF!</v>
      </c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</row>
    <row r="1248" spans="1:58" s="55" customFormat="1" ht="15.75" hidden="1" x14ac:dyDescent="0.25">
      <c r="A1248" s="71"/>
      <c r="B1248" s="67" t="s">
        <v>816</v>
      </c>
      <c r="C1248" s="193" t="e">
        <f>+#REF!</f>
        <v>#REF!</v>
      </c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</row>
    <row r="1249" spans="1:58" s="55" customFormat="1" ht="15.75" hidden="1" x14ac:dyDescent="0.25">
      <c r="A1249" s="71"/>
      <c r="B1249" s="67" t="s">
        <v>817</v>
      </c>
      <c r="C1249" s="193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</row>
    <row r="1250" spans="1:58" s="55" customFormat="1" ht="15.75" hidden="1" x14ac:dyDescent="0.25">
      <c r="A1250" s="71"/>
      <c r="B1250" s="67" t="s">
        <v>818</v>
      </c>
      <c r="C1250" s="193" t="e">
        <f>+#REF!</f>
        <v>#REF!</v>
      </c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</row>
    <row r="1251" spans="1:58" s="55" customFormat="1" ht="15.75" hidden="1" x14ac:dyDescent="0.25">
      <c r="A1251" s="71"/>
      <c r="B1251" s="194" t="s">
        <v>34</v>
      </c>
      <c r="C1251" s="195" t="e">
        <f>SUM(C1242:C1250)</f>
        <v>#REF!</v>
      </c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</row>
    <row r="1252" spans="1:58" s="55" customFormat="1" ht="15.75" hidden="1" x14ac:dyDescent="0.25">
      <c r="A1252" s="71"/>
      <c r="B1252" s="191" t="s">
        <v>819</v>
      </c>
      <c r="C1252" s="189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</row>
    <row r="1253" spans="1:58" s="55" customFormat="1" ht="15.75" hidden="1" x14ac:dyDescent="0.25">
      <c r="A1253" s="71"/>
      <c r="B1253" s="67" t="s">
        <v>217</v>
      </c>
      <c r="C1253" s="193" t="e">
        <f>+#REF!+#REF!+#REF!+#REF!+#REF!+#REF!+C685+C688+#REF!+#REF!+C717+C750+#REF!+C760+#REF!+#REF!+C773+#REF!+#REF!+C780+C786+C795+#REF!</f>
        <v>#REF!</v>
      </c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</row>
    <row r="1254" spans="1:58" s="55" customFormat="1" ht="30.75" hidden="1" x14ac:dyDescent="0.25">
      <c r="A1254" s="71"/>
      <c r="B1254" s="67" t="s">
        <v>820</v>
      </c>
      <c r="C1254" s="193" t="e">
        <f>+#REF!+#REF!+#REF!+#REF!+#REF!+#REF!+C686+C701+#REF!+#REF!+C705+#REF!+#REF!+C715+C748+#REF!+#REF!+C758+C761</f>
        <v>#REF!</v>
      </c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</row>
    <row r="1255" spans="1:58" s="55" customFormat="1" ht="15.75" hidden="1" x14ac:dyDescent="0.25">
      <c r="A1255" s="71"/>
      <c r="B1255" s="67" t="s">
        <v>821</v>
      </c>
      <c r="C1255" s="193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</row>
    <row r="1256" spans="1:58" s="55" customFormat="1" ht="30.75" hidden="1" x14ac:dyDescent="0.25">
      <c r="A1256" s="71"/>
      <c r="B1256" s="67" t="s">
        <v>815</v>
      </c>
      <c r="C1256" s="193" t="e">
        <f>+C774+#REF!+C778+C781+C784+C792+#REF!</f>
        <v>#REF!</v>
      </c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</row>
    <row r="1257" spans="1:58" s="55" customFormat="1" ht="15.75" hidden="1" x14ac:dyDescent="0.25">
      <c r="A1257" s="71"/>
      <c r="B1257" s="194" t="s">
        <v>34</v>
      </c>
      <c r="C1257" s="195" t="e">
        <f>SUM(C1253:C1256)</f>
        <v>#REF!</v>
      </c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</row>
    <row r="1258" spans="1:58" s="55" customFormat="1" ht="15.75" hidden="1" x14ac:dyDescent="0.25">
      <c r="A1258" s="71"/>
      <c r="B1258" s="191" t="s">
        <v>822</v>
      </c>
      <c r="C1258" s="195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</row>
    <row r="1259" spans="1:58" s="55" customFormat="1" ht="15.75" hidden="1" x14ac:dyDescent="0.25">
      <c r="A1259" s="71"/>
      <c r="B1259" s="67" t="s">
        <v>217</v>
      </c>
      <c r="C1259" s="193" t="e">
        <f>+#REF!+C881</f>
        <v>#REF!</v>
      </c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</row>
    <row r="1260" spans="1:58" s="55" customFormat="1" ht="30.75" hidden="1" x14ac:dyDescent="0.25">
      <c r="A1260" s="71"/>
      <c r="B1260" s="67" t="s">
        <v>823</v>
      </c>
      <c r="C1260" s="193" t="e">
        <f>+#REF!+#REF!+C803</f>
        <v>#REF!</v>
      </c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</row>
    <row r="1261" spans="1:58" s="55" customFormat="1" ht="15.75" hidden="1" x14ac:dyDescent="0.25">
      <c r="A1261" s="71"/>
      <c r="B1261" s="67" t="s">
        <v>824</v>
      </c>
      <c r="C1261" s="193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</row>
    <row r="1262" spans="1:58" s="55" customFormat="1" ht="15.75" hidden="1" x14ac:dyDescent="0.25">
      <c r="A1262" s="71"/>
      <c r="B1262" s="194" t="s">
        <v>34</v>
      </c>
      <c r="C1262" s="195" t="e">
        <f>SUM(C1259:C1260)</f>
        <v>#REF!</v>
      </c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</row>
    <row r="1263" spans="1:58" s="55" customFormat="1" ht="15.75" hidden="1" x14ac:dyDescent="0.25">
      <c r="A1263" s="71"/>
      <c r="B1263" s="191" t="s">
        <v>825</v>
      </c>
      <c r="C1263" s="195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</row>
    <row r="1264" spans="1:58" s="55" customFormat="1" ht="15.75" hidden="1" x14ac:dyDescent="0.25">
      <c r="A1264" s="71"/>
      <c r="B1264" s="67" t="s">
        <v>232</v>
      </c>
      <c r="C1264" s="193" t="e">
        <f>+C891+C896+C901+C903+C908+C912+C916+C918+C923+C926+C943+#REF!+#REF!+#REF!+#REF!+C929+C933+C937+C940</f>
        <v>#REF!</v>
      </c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</row>
    <row r="1265" spans="1:58" s="55" customFormat="1" ht="30.75" hidden="1" x14ac:dyDescent="0.25">
      <c r="A1265" s="71"/>
      <c r="B1265" s="67" t="s">
        <v>815</v>
      </c>
      <c r="C1265" s="193">
        <f>+C892+C898</f>
        <v>0</v>
      </c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</row>
    <row r="1266" spans="1:58" s="55" customFormat="1" ht="15.75" hidden="1" x14ac:dyDescent="0.25">
      <c r="A1266" s="71"/>
      <c r="B1266" s="67" t="s">
        <v>826</v>
      </c>
      <c r="C1266" s="193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</row>
    <row r="1267" spans="1:58" s="55" customFormat="1" ht="15.75" hidden="1" x14ac:dyDescent="0.25">
      <c r="A1267" s="71"/>
      <c r="B1267" s="194" t="s">
        <v>34</v>
      </c>
      <c r="C1267" s="195" t="e">
        <f>SUM(C1264:C1265)</f>
        <v>#REF!</v>
      </c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</row>
    <row r="1268" spans="1:58" s="55" customFormat="1" ht="15.75" hidden="1" x14ac:dyDescent="0.25">
      <c r="A1268" s="71"/>
      <c r="B1268" s="191" t="s">
        <v>827</v>
      </c>
      <c r="C1268" s="195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</row>
    <row r="1269" spans="1:58" s="55" customFormat="1" ht="15.75" hidden="1" x14ac:dyDescent="0.25">
      <c r="A1269" s="71"/>
      <c r="B1269" s="67" t="s">
        <v>217</v>
      </c>
      <c r="C1269" s="193" t="e">
        <f>+C956+C964+C971+C974+#REF!+#REF!+#REF!+#REF!+#REF!+#REF!+#REF!+#REF!+#REF!+#REF!</f>
        <v>#REF!</v>
      </c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</row>
    <row r="1270" spans="1:58" s="55" customFormat="1" ht="30.75" hidden="1" x14ac:dyDescent="0.25">
      <c r="A1270" s="71"/>
      <c r="B1270" s="67" t="s">
        <v>815</v>
      </c>
      <c r="C1270" s="193" t="e">
        <f>+C961+C966+C972+#REF!+#REF!+#REF!+#REF!+#REF!</f>
        <v>#REF!</v>
      </c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</row>
    <row r="1271" spans="1:58" s="55" customFormat="1" ht="15.75" hidden="1" x14ac:dyDescent="0.25">
      <c r="A1271" s="71"/>
      <c r="B1271" s="118" t="s">
        <v>828</v>
      </c>
      <c r="C1271" s="193" t="e">
        <f>+#REF!</f>
        <v>#REF!</v>
      </c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</row>
    <row r="1272" spans="1:58" s="55" customFormat="1" ht="15.75" hidden="1" x14ac:dyDescent="0.25">
      <c r="A1272" s="71"/>
      <c r="B1272" s="61" t="s">
        <v>829</v>
      </c>
      <c r="C1272" s="193">
        <f>+C967</f>
        <v>0</v>
      </c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</row>
    <row r="1273" spans="1:58" s="55" customFormat="1" ht="15.75" hidden="1" x14ac:dyDescent="0.25">
      <c r="A1273" s="71"/>
      <c r="B1273" s="194" t="s">
        <v>830</v>
      </c>
      <c r="C1273" s="195" t="e">
        <f>SUM(C1269:C1272)</f>
        <v>#REF!</v>
      </c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</row>
    <row r="1274" spans="1:58" s="55" customFormat="1" ht="15.75" hidden="1" x14ac:dyDescent="0.25">
      <c r="A1274" s="71"/>
      <c r="B1274" s="191" t="s">
        <v>27</v>
      </c>
      <c r="C1274" s="195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</row>
    <row r="1275" spans="1:58" s="55" customFormat="1" ht="15.75" hidden="1" x14ac:dyDescent="0.25">
      <c r="A1275" s="71"/>
      <c r="B1275" s="67" t="s">
        <v>232</v>
      </c>
      <c r="C1275" s="193" t="e">
        <f>+#REF!+#REF!+#REF!+#REF!+C1018+#REF!+C1027+C1029+C1031+#REF!+#REF!+#REF!+C1066+C1068+#REF!+C1073+C1075+C1082+C1086+C1092+C1097+C1094+C1100+C1106+C1110+C1111+C1112+C1114+C1118+C1124+C1134+C1145+C1120</f>
        <v>#REF!</v>
      </c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</row>
    <row r="1276" spans="1:58" s="55" customFormat="1" ht="15.75" hidden="1" x14ac:dyDescent="0.25">
      <c r="A1276" s="71"/>
      <c r="B1276" s="67" t="s">
        <v>831</v>
      </c>
      <c r="C1276" s="193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</row>
    <row r="1277" spans="1:58" s="55" customFormat="1" ht="15.75" hidden="1" x14ac:dyDescent="0.25">
      <c r="A1277" s="71"/>
      <c r="B1277" s="67" t="s">
        <v>832</v>
      </c>
      <c r="C1277" s="193" t="e">
        <f>+#REF!</f>
        <v>#REF!</v>
      </c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</row>
    <row r="1278" spans="1:58" s="55" customFormat="1" ht="15.75" hidden="1" x14ac:dyDescent="0.25">
      <c r="A1278" s="71"/>
      <c r="B1278" s="194" t="s">
        <v>34</v>
      </c>
      <c r="C1278" s="195" t="e">
        <f>SUM(C1275:C1277)</f>
        <v>#REF!</v>
      </c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</row>
    <row r="1279" spans="1:58" s="55" customFormat="1" ht="15.75" hidden="1" x14ac:dyDescent="0.25">
      <c r="A1279" s="71"/>
      <c r="B1279" s="191" t="s">
        <v>833</v>
      </c>
      <c r="C1279" s="195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</row>
    <row r="1280" spans="1:58" s="55" customFormat="1" ht="15.75" hidden="1" x14ac:dyDescent="0.25">
      <c r="A1280" s="71"/>
      <c r="B1280" s="61" t="s">
        <v>232</v>
      </c>
      <c r="C1280" s="193">
        <f>+C1110+C1111+C1112</f>
        <v>25730355062</v>
      </c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</row>
    <row r="1281" spans="1:58" s="55" customFormat="1" ht="15.75" hidden="1" x14ac:dyDescent="0.25">
      <c r="A1281" s="71"/>
      <c r="B1281" s="194" t="s">
        <v>34</v>
      </c>
      <c r="C1281" s="195">
        <f>+C1280</f>
        <v>25730355062</v>
      </c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</row>
    <row r="1282" spans="1:58" s="55" customFormat="1" ht="15.75" hidden="1" x14ac:dyDescent="0.25">
      <c r="A1282" s="71"/>
      <c r="B1282" s="191" t="s">
        <v>834</v>
      </c>
      <c r="C1282" s="195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</row>
    <row r="1283" spans="1:58" s="55" customFormat="1" ht="15.75" hidden="1" x14ac:dyDescent="0.25">
      <c r="A1283" s="71"/>
      <c r="B1283" s="61" t="s">
        <v>217</v>
      </c>
      <c r="C1283" s="193">
        <f>+C1154+C1163+C1168</f>
        <v>26514156000</v>
      </c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</row>
    <row r="1284" spans="1:58" s="55" customFormat="1" ht="30.75" hidden="1" x14ac:dyDescent="0.25">
      <c r="A1284" s="71"/>
      <c r="B1284" s="61" t="s">
        <v>835</v>
      </c>
      <c r="C1284" s="193">
        <f>+C1155</f>
        <v>55199123062</v>
      </c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</row>
    <row r="1285" spans="1:58" s="55" customFormat="1" ht="30.75" hidden="1" x14ac:dyDescent="0.25">
      <c r="A1285" s="71"/>
      <c r="B1285" s="61" t="s">
        <v>836</v>
      </c>
      <c r="C1285" s="193">
        <f>+C1160</f>
        <v>677157848655.60278</v>
      </c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</row>
    <row r="1286" spans="1:58" s="55" customFormat="1" ht="30.75" hidden="1" x14ac:dyDescent="0.25">
      <c r="A1286" s="71"/>
      <c r="B1286" s="61" t="s">
        <v>837</v>
      </c>
      <c r="C1286" s="193" t="e">
        <f>+#REF!</f>
        <v>#REF!</v>
      </c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</row>
    <row r="1287" spans="1:58" s="55" customFormat="1" ht="15.75" hidden="1" x14ac:dyDescent="0.25">
      <c r="A1287" s="71"/>
      <c r="B1287" s="61" t="s">
        <v>838</v>
      </c>
      <c r="C1287" s="193">
        <f>+C1161</f>
        <v>0</v>
      </c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</row>
    <row r="1288" spans="1:58" s="55" customFormat="1" ht="15.75" hidden="1" x14ac:dyDescent="0.25">
      <c r="A1288" s="71"/>
      <c r="B1288" s="61" t="s">
        <v>839</v>
      </c>
      <c r="C1288" s="193">
        <f>+C1164</f>
        <v>833471158717.974</v>
      </c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</row>
    <row r="1289" spans="1:58" s="55" customFormat="1" ht="15.75" hidden="1" x14ac:dyDescent="0.25">
      <c r="A1289" s="71"/>
      <c r="B1289" s="194" t="s">
        <v>34</v>
      </c>
      <c r="C1289" s="195" t="e">
        <f>SUM(C1283:C1288)</f>
        <v>#REF!</v>
      </c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</row>
    <row r="1290" spans="1:58" s="55" customFormat="1" ht="15.75" hidden="1" x14ac:dyDescent="0.25">
      <c r="A1290" s="71"/>
      <c r="B1290" s="199" t="s">
        <v>31</v>
      </c>
      <c r="C1290" s="195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</row>
    <row r="1291" spans="1:58" s="55" customFormat="1" ht="15.75" hidden="1" x14ac:dyDescent="0.25">
      <c r="A1291" s="71"/>
      <c r="B1291" s="67" t="s">
        <v>217</v>
      </c>
      <c r="C1291" s="193" t="e">
        <f>+#REF!</f>
        <v>#REF!</v>
      </c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</row>
    <row r="1292" spans="1:58" s="55" customFormat="1" ht="15.75" hidden="1" x14ac:dyDescent="0.25">
      <c r="A1292" s="71"/>
      <c r="B1292" s="194" t="s">
        <v>34</v>
      </c>
      <c r="C1292" s="195" t="e">
        <f>+C1291</f>
        <v>#REF!</v>
      </c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</row>
    <row r="1293" spans="1:58" s="55" customFormat="1" ht="15.75" hidden="1" x14ac:dyDescent="0.25">
      <c r="A1293" s="71"/>
      <c r="B1293" s="199" t="s">
        <v>33</v>
      </c>
      <c r="C1293" s="195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</row>
    <row r="1294" spans="1:58" s="55" customFormat="1" ht="30.75" hidden="1" x14ac:dyDescent="0.25">
      <c r="A1294" s="71"/>
      <c r="B1294" s="61" t="s">
        <v>836</v>
      </c>
      <c r="C1294" s="193">
        <f>+C1187</f>
        <v>0</v>
      </c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</row>
    <row r="1295" spans="1:58" s="55" customFormat="1" ht="30.75" hidden="1" x14ac:dyDescent="0.25">
      <c r="A1295" s="71"/>
      <c r="B1295" s="61" t="s">
        <v>840</v>
      </c>
      <c r="C1295" s="193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</row>
    <row r="1296" spans="1:58" s="55" customFormat="1" ht="15.75" hidden="1" x14ac:dyDescent="0.25">
      <c r="A1296" s="71"/>
      <c r="B1296" s="61" t="s">
        <v>217</v>
      </c>
      <c r="C1296" s="193" t="e">
        <f>+#REF!</f>
        <v>#REF!</v>
      </c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</row>
    <row r="1297" spans="1:58" s="55" customFormat="1" ht="15.75" hidden="1" x14ac:dyDescent="0.25">
      <c r="A1297" s="71"/>
      <c r="B1297" s="194" t="s">
        <v>34</v>
      </c>
      <c r="C1297" s="195" t="e">
        <f>+C1294+C1296</f>
        <v>#REF!</v>
      </c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</row>
    <row r="1298" spans="1:58" s="55" customFormat="1" ht="15.75" hidden="1" x14ac:dyDescent="0.25">
      <c r="A1298" s="71"/>
      <c r="B1298" s="191" t="s">
        <v>841</v>
      </c>
      <c r="C1298" s="195" t="e">
        <f>+C1297+C1289+C1278+C1273+C1267+C1262+C1257+C1251+C1240+C1214+C1281+C1292</f>
        <v>#REF!</v>
      </c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</row>
    <row r="1299" spans="1:58" s="55" customFormat="1" ht="15.75" hidden="1" x14ac:dyDescent="0.25">
      <c r="A1299" s="71"/>
      <c r="B1299" s="96"/>
      <c r="C1299" s="200" t="e">
        <f>+#REF!</f>
        <v>#REF!</v>
      </c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</row>
    <row r="1300" spans="1:58" s="55" customFormat="1" ht="15.75" hidden="1" x14ac:dyDescent="0.25">
      <c r="A1300" s="71"/>
      <c r="B1300" s="96"/>
      <c r="C1300" s="188" t="e">
        <f>+C1299-C1298</f>
        <v>#REF!</v>
      </c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</row>
    <row r="1301" spans="1:58" s="55" customFormat="1" ht="15.75" hidden="1" x14ac:dyDescent="0.25">
      <c r="A1301" s="71"/>
      <c r="B1301" s="201" t="s">
        <v>842</v>
      </c>
      <c r="C1301" s="2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</row>
    <row r="1302" spans="1:58" s="55" customFormat="1" ht="15.75" hidden="1" x14ac:dyDescent="0.25">
      <c r="A1302" s="71"/>
      <c r="B1302" s="201"/>
      <c r="C1302" s="201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</row>
    <row r="1303" spans="1:58" s="55" customFormat="1" ht="15.75" hidden="1" x14ac:dyDescent="0.25">
      <c r="A1303" s="71"/>
      <c r="B1303" s="202" t="s">
        <v>843</v>
      </c>
      <c r="C1303" s="203">
        <v>2008</v>
      </c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</row>
    <row r="1304" spans="1:58" s="55" customFormat="1" ht="15.75" hidden="1" x14ac:dyDescent="0.25">
      <c r="A1304" s="71"/>
      <c r="B1304" s="204"/>
      <c r="C1304" s="205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</row>
    <row r="1305" spans="1:58" s="55" customFormat="1" ht="15.75" hidden="1" x14ac:dyDescent="0.25">
      <c r="A1305" s="71"/>
      <c r="B1305" s="66" t="s">
        <v>844</v>
      </c>
      <c r="C1305" s="189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</row>
    <row r="1306" spans="1:58" s="55" customFormat="1" ht="15.75" hidden="1" x14ac:dyDescent="0.25">
      <c r="A1306" s="71"/>
      <c r="B1306" s="61" t="s">
        <v>217</v>
      </c>
      <c r="C1306" s="193" t="e">
        <f>+C1204+C1217+C1220+C1224+C1230+C1242+C1253+C1259+C1264+C1269+C1275+C1283+C1296+C1280+C1238</f>
        <v>#REF!</v>
      </c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</row>
    <row r="1307" spans="1:58" s="55" customFormat="1" ht="15.75" hidden="1" x14ac:dyDescent="0.25">
      <c r="A1307" s="71"/>
      <c r="B1307" s="67" t="s">
        <v>550</v>
      </c>
      <c r="C1307" s="193" t="e">
        <f>+#REF!+C1288</f>
        <v>#REF!</v>
      </c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</row>
    <row r="1308" spans="1:58" s="55" customFormat="1" ht="15.75" hidden="1" x14ac:dyDescent="0.25">
      <c r="A1308" s="71"/>
      <c r="B1308" s="61" t="s">
        <v>784</v>
      </c>
      <c r="C1308" s="193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</row>
    <row r="1309" spans="1:58" s="55" customFormat="1" ht="30.75" hidden="1" x14ac:dyDescent="0.25">
      <c r="A1309" s="71"/>
      <c r="B1309" s="61" t="s">
        <v>787</v>
      </c>
      <c r="C1309" s="193" t="e">
        <f>+C1208+C1247+C1254+C1256+C1265+C1270+C1284+C1260</f>
        <v>#REF!</v>
      </c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</row>
    <row r="1310" spans="1:58" s="55" customFormat="1" ht="30.75" hidden="1" x14ac:dyDescent="0.25">
      <c r="A1310" s="71"/>
      <c r="B1310" s="61" t="s">
        <v>788</v>
      </c>
      <c r="C1310" s="193" t="e">
        <f>+C1209+C1285+C1294</f>
        <v>#REF!</v>
      </c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</row>
    <row r="1311" spans="1:58" s="55" customFormat="1" ht="15.75" hidden="1" x14ac:dyDescent="0.25">
      <c r="A1311" s="71"/>
      <c r="B1311" s="61" t="s">
        <v>845</v>
      </c>
      <c r="C1311" s="193">
        <f>+C1272</f>
        <v>0</v>
      </c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</row>
    <row r="1312" spans="1:58" s="55" customFormat="1" ht="15.75" hidden="1" x14ac:dyDescent="0.25">
      <c r="A1312" s="71"/>
      <c r="B1312" s="61" t="s">
        <v>846</v>
      </c>
      <c r="C1312" s="193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</row>
    <row r="1313" spans="1:58" s="55" customFormat="1" ht="15.75" hidden="1" x14ac:dyDescent="0.25">
      <c r="A1313" s="71"/>
      <c r="B1313" s="61" t="s">
        <v>847</v>
      </c>
      <c r="C1313" s="19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</row>
    <row r="1314" spans="1:58" s="55" customFormat="1" ht="30.75" hidden="1" x14ac:dyDescent="0.25">
      <c r="A1314" s="71"/>
      <c r="B1314" s="61" t="s">
        <v>848</v>
      </c>
      <c r="C1314" s="193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</row>
    <row r="1315" spans="1:58" s="55" customFormat="1" ht="30.75" hidden="1" x14ac:dyDescent="0.25">
      <c r="A1315" s="71"/>
      <c r="B1315" s="61" t="s">
        <v>789</v>
      </c>
      <c r="C1315" s="193">
        <f>+C1210</f>
        <v>0</v>
      </c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</row>
    <row r="1316" spans="1:58" s="55" customFormat="1" ht="15.75" hidden="1" x14ac:dyDescent="0.25">
      <c r="A1316" s="71"/>
      <c r="B1316" s="67" t="s">
        <v>790</v>
      </c>
      <c r="C1316" s="193">
        <f>+C1211</f>
        <v>0</v>
      </c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</row>
    <row r="1317" spans="1:58" s="55" customFormat="1" ht="15.75" hidden="1" x14ac:dyDescent="0.25">
      <c r="A1317" s="71"/>
      <c r="B1317" s="67" t="s">
        <v>849</v>
      </c>
      <c r="C1317" s="193" t="e">
        <f>+C1212</f>
        <v>#REF!</v>
      </c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</row>
    <row r="1318" spans="1:58" s="55" customFormat="1" ht="15.75" hidden="1" x14ac:dyDescent="0.25">
      <c r="A1318" s="71"/>
      <c r="B1318" s="61" t="s">
        <v>795</v>
      </c>
      <c r="C1318" s="193">
        <f>+C1218</f>
        <v>0</v>
      </c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</row>
    <row r="1319" spans="1:58" s="55" customFormat="1" ht="15.75" hidden="1" x14ac:dyDescent="0.25">
      <c r="A1319" s="71"/>
      <c r="B1319" s="118" t="s">
        <v>797</v>
      </c>
      <c r="C1319" s="193" t="e">
        <f>+C1221</f>
        <v>#REF!</v>
      </c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</row>
    <row r="1320" spans="1:58" s="55" customFormat="1" ht="15.75" hidden="1" x14ac:dyDescent="0.25">
      <c r="A1320" s="71"/>
      <c r="B1320" s="118" t="s">
        <v>329</v>
      </c>
      <c r="C1320" s="193" t="e">
        <f>+C1222</f>
        <v>#REF!</v>
      </c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</row>
    <row r="1321" spans="1:58" s="55" customFormat="1" ht="30.75" hidden="1" x14ac:dyDescent="0.25">
      <c r="A1321" s="71"/>
      <c r="B1321" s="197" t="s">
        <v>799</v>
      </c>
      <c r="C1321" s="193">
        <f>+C1225</f>
        <v>0</v>
      </c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</row>
    <row r="1322" spans="1:58" s="55" customFormat="1" ht="15.75" hidden="1" x14ac:dyDescent="0.25">
      <c r="A1322" s="71"/>
      <c r="B1322" s="197" t="s">
        <v>800</v>
      </c>
      <c r="C1322" s="193">
        <f>+C1226</f>
        <v>186421324677.92999</v>
      </c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</row>
    <row r="1323" spans="1:58" s="55" customFormat="1" ht="15.75" hidden="1" x14ac:dyDescent="0.25">
      <c r="A1323" s="71"/>
      <c r="B1323" s="197" t="s">
        <v>801</v>
      </c>
      <c r="C1323" s="193">
        <f>+C1227</f>
        <v>0</v>
      </c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</row>
    <row r="1324" spans="1:58" s="55" customFormat="1" ht="15.75" hidden="1" x14ac:dyDescent="0.25">
      <c r="A1324" s="71"/>
      <c r="B1324" s="197" t="s">
        <v>802</v>
      </c>
      <c r="C1324" s="193">
        <f>+C1228</f>
        <v>0</v>
      </c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</row>
    <row r="1325" spans="1:58" s="55" customFormat="1" ht="15.75" hidden="1" x14ac:dyDescent="0.25">
      <c r="A1325" s="71"/>
      <c r="B1325" s="61" t="s">
        <v>785</v>
      </c>
      <c r="C1325" s="193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</row>
    <row r="1326" spans="1:58" s="55" customFormat="1" ht="30.75" hidden="1" x14ac:dyDescent="0.25">
      <c r="A1326" s="71"/>
      <c r="B1326" s="67" t="s">
        <v>786</v>
      </c>
      <c r="C1326" s="193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</row>
    <row r="1327" spans="1:58" s="55" customFormat="1" ht="15.75" hidden="1" x14ac:dyDescent="0.25">
      <c r="A1327" s="71"/>
      <c r="B1327" s="67" t="s">
        <v>850</v>
      </c>
      <c r="C1327" s="193" t="e">
        <f>+#REF!</f>
        <v>#REF!</v>
      </c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</row>
    <row r="1328" spans="1:58" s="55" customFormat="1" ht="15.75" hidden="1" x14ac:dyDescent="0.25">
      <c r="A1328" s="71"/>
      <c r="B1328" s="118" t="s">
        <v>804</v>
      </c>
      <c r="C1328" s="193">
        <f t="shared" ref="C1328:C1334" si="1">+C1231</f>
        <v>0</v>
      </c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</row>
    <row r="1329" spans="1:58" s="55" customFormat="1" ht="15.75" hidden="1" x14ac:dyDescent="0.25">
      <c r="A1329" s="71"/>
      <c r="B1329" s="118" t="s">
        <v>851</v>
      </c>
      <c r="C1329" s="193">
        <f t="shared" si="1"/>
        <v>0</v>
      </c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</row>
    <row r="1330" spans="1:58" s="55" customFormat="1" ht="15.75" hidden="1" x14ac:dyDescent="0.25">
      <c r="A1330" s="71"/>
      <c r="B1330" s="118" t="s">
        <v>367</v>
      </c>
      <c r="C1330" s="193">
        <f t="shared" si="1"/>
        <v>673898468</v>
      </c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</row>
    <row r="1331" spans="1:58" s="55" customFormat="1" ht="30.75" hidden="1" x14ac:dyDescent="0.25">
      <c r="A1331" s="71"/>
      <c r="B1331" s="118" t="s">
        <v>376</v>
      </c>
      <c r="C1331" s="193">
        <f t="shared" si="1"/>
        <v>966550282</v>
      </c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</row>
    <row r="1332" spans="1:58" s="55" customFormat="1" ht="15.75" hidden="1" x14ac:dyDescent="0.25">
      <c r="A1332" s="71"/>
      <c r="B1332" s="118" t="s">
        <v>800</v>
      </c>
      <c r="C1332" s="193">
        <f t="shared" si="1"/>
        <v>47483152</v>
      </c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</row>
    <row r="1333" spans="1:58" s="55" customFormat="1" ht="15.75" hidden="1" x14ac:dyDescent="0.25">
      <c r="A1333" s="71"/>
      <c r="B1333" s="118" t="s">
        <v>806</v>
      </c>
      <c r="C1333" s="193">
        <f t="shared" si="1"/>
        <v>0</v>
      </c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</row>
    <row r="1334" spans="1:58" s="55" customFormat="1" ht="30.75" hidden="1" x14ac:dyDescent="0.25">
      <c r="A1334" s="71"/>
      <c r="B1334" s="118" t="s">
        <v>807</v>
      </c>
      <c r="C1334" s="193">
        <f t="shared" si="1"/>
        <v>362032658</v>
      </c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</row>
    <row r="1335" spans="1:58" s="55" customFormat="1" ht="15.75" hidden="1" x14ac:dyDescent="0.25">
      <c r="A1335" s="71"/>
      <c r="B1335" s="61" t="s">
        <v>811</v>
      </c>
      <c r="C1335" s="193" t="e">
        <f>+C1243</f>
        <v>#REF!</v>
      </c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</row>
    <row r="1336" spans="1:58" s="55" customFormat="1" ht="15.75" hidden="1" x14ac:dyDescent="0.25">
      <c r="A1336" s="71"/>
      <c r="B1336" s="61" t="s">
        <v>812</v>
      </c>
      <c r="C1336" s="193" t="e">
        <f>+C1244</f>
        <v>#REF!</v>
      </c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</row>
    <row r="1337" spans="1:58" s="55" customFormat="1" ht="15.75" hidden="1" x14ac:dyDescent="0.25">
      <c r="A1337" s="71"/>
      <c r="B1337" s="61" t="s">
        <v>852</v>
      </c>
      <c r="C1337" s="193" t="e">
        <f>+C1245</f>
        <v>#REF!</v>
      </c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</row>
    <row r="1338" spans="1:58" s="55" customFormat="1" ht="15.75" hidden="1" x14ac:dyDescent="0.25">
      <c r="A1338" s="71"/>
      <c r="B1338" s="67" t="s">
        <v>814</v>
      </c>
      <c r="C1338" s="193" t="e">
        <f>+C1246</f>
        <v>#REF!</v>
      </c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</row>
    <row r="1339" spans="1:58" s="55" customFormat="1" ht="15.75" hidden="1" x14ac:dyDescent="0.25">
      <c r="A1339" s="71"/>
      <c r="B1339" s="67" t="s">
        <v>816</v>
      </c>
      <c r="C1339" s="193" t="e">
        <f>+C1248</f>
        <v>#REF!</v>
      </c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</row>
    <row r="1340" spans="1:58" s="55" customFormat="1" ht="15.75" hidden="1" x14ac:dyDescent="0.25">
      <c r="A1340" s="71"/>
      <c r="B1340" s="67" t="s">
        <v>818</v>
      </c>
      <c r="C1340" s="193" t="e">
        <f>+C1250</f>
        <v>#REF!</v>
      </c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</row>
    <row r="1341" spans="1:58" s="55" customFormat="1" ht="15.75" hidden="1" x14ac:dyDescent="0.25">
      <c r="A1341" s="71"/>
      <c r="B1341" s="118" t="s">
        <v>828</v>
      </c>
      <c r="C1341" s="193" t="e">
        <f>+C1271</f>
        <v>#REF!</v>
      </c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</row>
    <row r="1342" spans="1:58" s="55" customFormat="1" ht="15.75" hidden="1" x14ac:dyDescent="0.25">
      <c r="A1342" s="71"/>
      <c r="B1342" s="67" t="s">
        <v>832</v>
      </c>
      <c r="C1342" s="193" t="e">
        <f>+C1277</f>
        <v>#REF!</v>
      </c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</row>
    <row r="1343" spans="1:58" s="55" customFormat="1" ht="15.75" hidden="1" x14ac:dyDescent="0.25">
      <c r="A1343" s="71"/>
      <c r="B1343" s="67" t="s">
        <v>853</v>
      </c>
      <c r="C1343" s="19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</row>
    <row r="1344" spans="1:58" s="55" customFormat="1" ht="30.75" hidden="1" x14ac:dyDescent="0.25">
      <c r="A1344" s="71"/>
      <c r="B1344" s="61" t="s">
        <v>837</v>
      </c>
      <c r="C1344" s="193" t="e">
        <f>+C1286</f>
        <v>#REF!</v>
      </c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</row>
    <row r="1345" spans="1:58" s="55" customFormat="1" ht="15.75" hidden="1" x14ac:dyDescent="0.25">
      <c r="A1345" s="71"/>
      <c r="B1345" s="206" t="s">
        <v>838</v>
      </c>
      <c r="C1345" s="207">
        <f>+C1287</f>
        <v>0</v>
      </c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</row>
    <row r="1346" spans="1:58" s="55" customFormat="1" ht="33" hidden="1" thickTop="1" thickBot="1" x14ac:dyDescent="0.3">
      <c r="A1346" s="71"/>
      <c r="B1346" s="208" t="s">
        <v>854</v>
      </c>
      <c r="C1346" s="209" t="e">
        <f>SUM(C1306:C1345)</f>
        <v>#REF!</v>
      </c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</row>
    <row r="1347" spans="1:58" s="55" customFormat="1" ht="16.5" hidden="1" thickTop="1" x14ac:dyDescent="0.25">
      <c r="A1347" s="71"/>
      <c r="B1347" s="210" t="s">
        <v>855</v>
      </c>
      <c r="C1347" s="211" t="e">
        <f>+C1346+C1404</f>
        <v>#REF!</v>
      </c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</row>
    <row r="1348" spans="1:58" s="55" customFormat="1" ht="16.5" hidden="1" thickTop="1" x14ac:dyDescent="0.25">
      <c r="A1348" s="71"/>
      <c r="B1348" s="212" t="s">
        <v>856</v>
      </c>
      <c r="C1348" s="213" t="e">
        <f>+C1347-C1346</f>
        <v>#REF!</v>
      </c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</row>
    <row r="1349" spans="1:58" s="55" customFormat="1" ht="15.75" hidden="1" x14ac:dyDescent="0.25">
      <c r="A1349" s="71"/>
      <c r="B1349" s="169" t="s">
        <v>857</v>
      </c>
      <c r="C1349" s="18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</row>
    <row r="1350" spans="1:58" s="55" customFormat="1" ht="15.75" hidden="1" x14ac:dyDescent="0.25">
      <c r="A1350" s="71"/>
      <c r="B1350" s="62" t="s">
        <v>858</v>
      </c>
      <c r="C1350" s="214">
        <f>+C1385</f>
        <v>30333000000</v>
      </c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</row>
    <row r="1351" spans="1:58" s="55" customFormat="1" ht="15.75" hidden="1" x14ac:dyDescent="0.25">
      <c r="A1351" s="71"/>
      <c r="B1351" s="62" t="s">
        <v>859</v>
      </c>
      <c r="C1351" s="214">
        <v>2315000000</v>
      </c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</row>
    <row r="1352" spans="1:58" s="55" customFormat="1" ht="15.75" hidden="1" x14ac:dyDescent="0.25">
      <c r="A1352" s="71"/>
      <c r="B1352" s="62" t="s">
        <v>35</v>
      </c>
      <c r="C1352" s="214">
        <v>131000000</v>
      </c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</row>
    <row r="1353" spans="1:58" s="55" customFormat="1" ht="15.75" hidden="1" x14ac:dyDescent="0.25">
      <c r="A1353" s="71"/>
      <c r="B1353" s="62" t="s">
        <v>860</v>
      </c>
      <c r="C1353" s="214">
        <v>876881274</v>
      </c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</row>
    <row r="1354" spans="1:58" s="55" customFormat="1" ht="15.75" hidden="1" x14ac:dyDescent="0.25">
      <c r="A1354" s="71"/>
      <c r="B1354" s="62" t="s">
        <v>861</v>
      </c>
      <c r="C1354" s="214">
        <f>1532000000-46160</f>
        <v>1531953840</v>
      </c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</row>
    <row r="1355" spans="1:58" s="55" customFormat="1" ht="15.75" hidden="1" x14ac:dyDescent="0.25">
      <c r="A1355" s="71"/>
      <c r="B1355" s="215" t="s">
        <v>862</v>
      </c>
      <c r="C1355" s="216">
        <v>1593051890</v>
      </c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</row>
    <row r="1356" spans="1:58" s="55" customFormat="1" ht="15.75" hidden="1" x14ac:dyDescent="0.25">
      <c r="A1356" s="71"/>
      <c r="B1356" s="215" t="s">
        <v>833</v>
      </c>
      <c r="C1356" s="216">
        <v>203826000</v>
      </c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</row>
    <row r="1357" spans="1:58" s="55" customFormat="1" ht="15.75" hidden="1" x14ac:dyDescent="0.25">
      <c r="A1357" s="71"/>
      <c r="B1357" s="62" t="s">
        <v>863</v>
      </c>
      <c r="C1357" s="214" t="e">
        <f>+[5]Hoja4!C88+[5]Hoja4!C95</f>
        <v>#REF!</v>
      </c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</row>
    <row r="1358" spans="1:58" s="55" customFormat="1" ht="15.75" hidden="1" x14ac:dyDescent="0.25">
      <c r="A1358" s="71"/>
      <c r="B1358" s="217" t="s">
        <v>864</v>
      </c>
      <c r="C1358" s="218">
        <v>1787579767</v>
      </c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</row>
    <row r="1359" spans="1:58" s="55" customFormat="1" ht="17.25" hidden="1" thickTop="1" thickBot="1" x14ac:dyDescent="0.3">
      <c r="A1359" s="71"/>
      <c r="B1359" s="219" t="s">
        <v>865</v>
      </c>
      <c r="C1359" s="209" t="e">
        <f>SUM(C1350:C1358)</f>
        <v>#REF!</v>
      </c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</row>
    <row r="1360" spans="1:58" s="55" customFormat="1" ht="33" hidden="1" thickTop="1" thickBot="1" x14ac:dyDescent="0.3">
      <c r="A1360" s="71"/>
      <c r="B1360" s="219" t="s">
        <v>866</v>
      </c>
      <c r="C1360" s="209" t="e">
        <f>+C1346+C1359</f>
        <v>#REF!</v>
      </c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</row>
    <row r="1361" spans="1:58" s="55" customFormat="1" ht="17.25" hidden="1" thickTop="1" thickBot="1" x14ac:dyDescent="0.3">
      <c r="A1361" s="71"/>
      <c r="B1361" s="219" t="s">
        <v>867</v>
      </c>
      <c r="C1361" s="220">
        <v>499817282206</v>
      </c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</row>
    <row r="1362" spans="1:58" s="55" customFormat="1" ht="17.25" hidden="1" thickTop="1" thickBot="1" x14ac:dyDescent="0.3">
      <c r="A1362" s="71"/>
      <c r="B1362" s="219" t="s">
        <v>868</v>
      </c>
      <c r="C1362" s="221" t="e">
        <f>+C1360-C1361</f>
        <v>#REF!</v>
      </c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</row>
    <row r="1363" spans="1:58" s="55" customFormat="1" ht="15.75" hidden="1" x14ac:dyDescent="0.25">
      <c r="A1363" s="71"/>
      <c r="B1363" s="96" t="s">
        <v>869</v>
      </c>
      <c r="C1363" s="188">
        <v>210000000</v>
      </c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</row>
    <row r="1364" spans="1:58" s="55" customFormat="1" ht="33" hidden="1" thickTop="1" thickBot="1" x14ac:dyDescent="0.3">
      <c r="A1364" s="71"/>
      <c r="B1364" s="219" t="s">
        <v>870</v>
      </c>
      <c r="C1364" s="209" t="e">
        <f>+C1346+C1359+C1362</f>
        <v>#REF!</v>
      </c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</row>
    <row r="1365" spans="1:58" s="55" customFormat="1" ht="15.75" hidden="1" x14ac:dyDescent="0.25">
      <c r="A1365" s="71"/>
      <c r="B1365" s="96"/>
      <c r="C1365" s="188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</row>
    <row r="1366" spans="1:58" s="55" customFormat="1" ht="17.25" hidden="1" thickTop="1" thickBot="1" x14ac:dyDescent="0.3">
      <c r="A1366" s="71"/>
      <c r="B1366" s="219" t="s">
        <v>871</v>
      </c>
      <c r="C1366" s="222">
        <v>335305973743</v>
      </c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</row>
    <row r="1367" spans="1:58" s="55" customFormat="1" ht="15.75" hidden="1" x14ac:dyDescent="0.25">
      <c r="A1367" s="71"/>
      <c r="B1367" s="96"/>
      <c r="C1367" s="188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</row>
    <row r="1368" spans="1:58" s="55" customFormat="1" ht="17.25" hidden="1" thickTop="1" thickBot="1" x14ac:dyDescent="0.3">
      <c r="A1368" s="71"/>
      <c r="B1368" s="219" t="s">
        <v>872</v>
      </c>
      <c r="C1368" s="209" t="e">
        <f>+C1364-C1366</f>
        <v>#REF!</v>
      </c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</row>
    <row r="1369" spans="1:58" s="55" customFormat="1" ht="15.75" hidden="1" x14ac:dyDescent="0.25">
      <c r="A1369" s="71"/>
      <c r="B1369" s="188" t="e">
        <f>+#REF!+#REF!-[5]Hoja4!D97</f>
        <v>#REF!</v>
      </c>
      <c r="C1369" s="188">
        <v>400000000</v>
      </c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</row>
    <row r="1370" spans="1:58" s="55" customFormat="1" ht="15.75" hidden="1" x14ac:dyDescent="0.25">
      <c r="A1370" s="71"/>
      <c r="B1370" s="201" t="s">
        <v>873</v>
      </c>
      <c r="C1370" s="201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</row>
    <row r="1371" spans="1:58" s="55" customFormat="1" ht="16.5" hidden="1" thickBot="1" x14ac:dyDescent="0.3">
      <c r="A1371" s="71"/>
      <c r="B1371" s="223" t="s">
        <v>874</v>
      </c>
      <c r="C1371" s="223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</row>
    <row r="1372" spans="1:58" s="55" customFormat="1" ht="16.5" hidden="1" thickTop="1" x14ac:dyDescent="0.25">
      <c r="A1372" s="71"/>
      <c r="B1372" s="224" t="s">
        <v>843</v>
      </c>
      <c r="C1372" s="225">
        <v>2008</v>
      </c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</row>
    <row r="1373" spans="1:58" s="55" customFormat="1" ht="15.75" hidden="1" x14ac:dyDescent="0.25">
      <c r="A1373" s="71"/>
      <c r="B1373" s="61" t="s">
        <v>212</v>
      </c>
      <c r="C1373" s="193" t="e">
        <f>+C1214</f>
        <v>#REF!</v>
      </c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</row>
    <row r="1374" spans="1:58" s="55" customFormat="1" ht="15.75" hidden="1" x14ac:dyDescent="0.25">
      <c r="A1374" s="71"/>
      <c r="B1374" s="61" t="s">
        <v>875</v>
      </c>
      <c r="C1374" s="193" t="e">
        <f>+C1240</f>
        <v>#REF!</v>
      </c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</row>
    <row r="1375" spans="1:58" s="55" customFormat="1" ht="15.75" hidden="1" x14ac:dyDescent="0.25">
      <c r="A1375" s="71"/>
      <c r="B1375" s="61" t="s">
        <v>810</v>
      </c>
      <c r="C1375" s="193" t="e">
        <f>+C1251</f>
        <v>#REF!</v>
      </c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</row>
    <row r="1376" spans="1:58" s="55" customFormat="1" ht="15.75" hidden="1" x14ac:dyDescent="0.25">
      <c r="A1376" s="71"/>
      <c r="B1376" s="61" t="s">
        <v>819</v>
      </c>
      <c r="C1376" s="193" t="e">
        <f>+C1257</f>
        <v>#REF!</v>
      </c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</row>
    <row r="1377" spans="1:58" s="55" customFormat="1" ht="15.75" hidden="1" x14ac:dyDescent="0.25">
      <c r="A1377" s="71"/>
      <c r="B1377" s="61" t="s">
        <v>822</v>
      </c>
      <c r="C1377" s="193" t="e">
        <f>+C1262</f>
        <v>#REF!</v>
      </c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</row>
    <row r="1378" spans="1:58" s="55" customFormat="1" ht="15.75" hidden="1" x14ac:dyDescent="0.25">
      <c r="A1378" s="71"/>
      <c r="B1378" s="61" t="s">
        <v>876</v>
      </c>
      <c r="C1378" s="193" t="e">
        <f>+C1267</f>
        <v>#REF!</v>
      </c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</row>
    <row r="1379" spans="1:58" s="55" customFormat="1" ht="15.75" hidden="1" x14ac:dyDescent="0.25">
      <c r="A1379" s="71"/>
      <c r="B1379" s="61" t="str">
        <f>+B1268</f>
        <v>SECRETARIA DE DESARROLLO SOCIAL</v>
      </c>
      <c r="C1379" s="193" t="e">
        <f>+C1273</f>
        <v>#REF!</v>
      </c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</row>
    <row r="1380" spans="1:58" s="55" customFormat="1" ht="15.75" hidden="1" x14ac:dyDescent="0.25">
      <c r="A1380" s="71"/>
      <c r="B1380" s="61" t="str">
        <f>+B1274</f>
        <v>SECRETARIA DE PLANEACION</v>
      </c>
      <c r="C1380" s="193" t="e">
        <f>+C1278</f>
        <v>#REF!</v>
      </c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</row>
    <row r="1381" spans="1:58" s="55" customFormat="1" ht="15.75" hidden="1" x14ac:dyDescent="0.25">
      <c r="A1381" s="71"/>
      <c r="B1381" s="61" t="s">
        <v>833</v>
      </c>
      <c r="C1381" s="193">
        <f>+C1281</f>
        <v>25730355062</v>
      </c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</row>
    <row r="1382" spans="1:58" s="55" customFormat="1" ht="15.75" hidden="1" x14ac:dyDescent="0.25">
      <c r="A1382" s="71"/>
      <c r="B1382" s="61" t="str">
        <f>+B1282</f>
        <v>VIVIENDA</v>
      </c>
      <c r="C1382" s="193" t="e">
        <f>+C1289</f>
        <v>#REF!</v>
      </c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</row>
    <row r="1383" spans="1:58" s="55" customFormat="1" ht="15.75" hidden="1" x14ac:dyDescent="0.25">
      <c r="A1383" s="71"/>
      <c r="B1383" s="61" t="s">
        <v>31</v>
      </c>
      <c r="C1383" s="19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</row>
    <row r="1384" spans="1:58" s="55" customFormat="1" ht="15.75" hidden="1" x14ac:dyDescent="0.25">
      <c r="A1384" s="71"/>
      <c r="B1384" s="61" t="s">
        <v>33</v>
      </c>
      <c r="C1384" s="193" t="e">
        <f>+C1297</f>
        <v>#REF!</v>
      </c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</row>
    <row r="1385" spans="1:58" s="55" customFormat="1" ht="15.75" hidden="1" x14ac:dyDescent="0.25">
      <c r="A1385" s="71"/>
      <c r="B1385" s="226" t="s">
        <v>858</v>
      </c>
      <c r="C1385" s="193">
        <v>30333000000</v>
      </c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</row>
    <row r="1386" spans="1:58" s="55" customFormat="1" ht="15.75" hidden="1" x14ac:dyDescent="0.25">
      <c r="A1386" s="71"/>
      <c r="B1386" s="226" t="s">
        <v>859</v>
      </c>
      <c r="C1386" s="193">
        <f t="shared" ref="C1386:C1393" si="2">+C1351</f>
        <v>2315000000</v>
      </c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</row>
    <row r="1387" spans="1:58" s="55" customFormat="1" ht="15.75" hidden="1" x14ac:dyDescent="0.25">
      <c r="A1387" s="71"/>
      <c r="B1387" s="226" t="s">
        <v>35</v>
      </c>
      <c r="C1387" s="193">
        <f t="shared" si="2"/>
        <v>131000000</v>
      </c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</row>
    <row r="1388" spans="1:58" s="55" customFormat="1" ht="15.75" hidden="1" x14ac:dyDescent="0.25">
      <c r="A1388" s="71"/>
      <c r="B1388" s="62" t="s">
        <v>860</v>
      </c>
      <c r="C1388" s="193">
        <f t="shared" si="2"/>
        <v>876881274</v>
      </c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</row>
    <row r="1389" spans="1:58" s="55" customFormat="1" ht="15.75" hidden="1" x14ac:dyDescent="0.25">
      <c r="A1389" s="71"/>
      <c r="B1389" s="62" t="s">
        <v>861</v>
      </c>
      <c r="C1389" s="193">
        <f t="shared" si="2"/>
        <v>1531953840</v>
      </c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</row>
    <row r="1390" spans="1:58" s="55" customFormat="1" ht="15.75" hidden="1" x14ac:dyDescent="0.25">
      <c r="A1390" s="71"/>
      <c r="B1390" s="62" t="s">
        <v>862</v>
      </c>
      <c r="C1390" s="193">
        <f t="shared" si="2"/>
        <v>1593051890</v>
      </c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</row>
    <row r="1391" spans="1:58" s="55" customFormat="1" ht="15.75" hidden="1" x14ac:dyDescent="0.25">
      <c r="A1391" s="71"/>
      <c r="B1391" s="62" t="s">
        <v>833</v>
      </c>
      <c r="C1391" s="193">
        <f t="shared" si="2"/>
        <v>203826000</v>
      </c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</row>
    <row r="1392" spans="1:58" s="55" customFormat="1" ht="15.75" hidden="1" x14ac:dyDescent="0.25">
      <c r="A1392" s="71"/>
      <c r="B1392" s="62" t="s">
        <v>863</v>
      </c>
      <c r="C1392" s="193" t="e">
        <f t="shared" si="2"/>
        <v>#REF!</v>
      </c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</row>
    <row r="1393" spans="1:58" s="55" customFormat="1" ht="15.75" hidden="1" x14ac:dyDescent="0.25">
      <c r="A1393" s="71"/>
      <c r="B1393" s="61" t="s">
        <v>36</v>
      </c>
      <c r="C1393" s="193">
        <f t="shared" si="2"/>
        <v>1787579767</v>
      </c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</row>
    <row r="1394" spans="1:58" s="55" customFormat="1" ht="15.75" hidden="1" x14ac:dyDescent="0.25">
      <c r="A1394" s="71"/>
      <c r="B1394" s="215"/>
      <c r="C1394" s="227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</row>
    <row r="1395" spans="1:58" s="55" customFormat="1" ht="17.25" hidden="1" thickTop="1" thickBot="1" x14ac:dyDescent="0.3">
      <c r="A1395" s="71"/>
      <c r="B1395" s="219" t="s">
        <v>877</v>
      </c>
      <c r="C1395" s="228" t="e">
        <f>SUM(C1373:C1394)</f>
        <v>#REF!</v>
      </c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</row>
    <row r="1396" spans="1:58" s="55" customFormat="1" ht="15.75" hidden="1" x14ac:dyDescent="0.25">
      <c r="A1396" s="71"/>
      <c r="B1396" s="96" t="s">
        <v>878</v>
      </c>
      <c r="C1396" s="229" t="e">
        <f>+C1360</f>
        <v>#REF!</v>
      </c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</row>
    <row r="1397" spans="1:58" s="55" customFormat="1" ht="15.75" hidden="1" x14ac:dyDescent="0.25">
      <c r="A1397" s="71"/>
      <c r="B1397" s="96"/>
      <c r="C1397" s="188" t="e">
        <f>+C1395-C1396</f>
        <v>#REF!</v>
      </c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</row>
    <row r="1398" spans="1:58" s="55" customFormat="1" ht="15.75" hidden="1" x14ac:dyDescent="0.25">
      <c r="A1398" s="71"/>
      <c r="B1398" s="96"/>
      <c r="C1398" s="188">
        <f>+[5]Hoja4!C97</f>
        <v>0</v>
      </c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</row>
    <row r="1399" spans="1:58" s="55" customFormat="1" ht="15.75" hidden="1" x14ac:dyDescent="0.25">
      <c r="A1399" s="71"/>
      <c r="B1399" s="96"/>
      <c r="C1399" s="188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</row>
    <row r="1400" spans="1:58" s="55" customFormat="1" ht="15.75" hidden="1" x14ac:dyDescent="0.25">
      <c r="A1400" s="71"/>
      <c r="B1400" s="96"/>
      <c r="C1400" s="188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</row>
    <row r="1401" spans="1:58" s="55" customFormat="1" ht="15.75" hidden="1" x14ac:dyDescent="0.25">
      <c r="A1401" s="71"/>
      <c r="B1401" s="96" t="s">
        <v>879</v>
      </c>
      <c r="C1401" s="188" t="e">
        <f>+#REF!</f>
        <v>#REF!</v>
      </c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</row>
    <row r="1402" spans="1:58" s="55" customFormat="1" ht="15.75" hidden="1" x14ac:dyDescent="0.25">
      <c r="A1402" s="71"/>
      <c r="B1402" s="96" t="s">
        <v>880</v>
      </c>
      <c r="C1402" s="188">
        <f>+'[5]ingresos plan 2008'!F123</f>
        <v>141667056</v>
      </c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</row>
    <row r="1403" spans="1:58" s="55" customFormat="1" ht="15.75" hidden="1" x14ac:dyDescent="0.25">
      <c r="A1403" s="71"/>
      <c r="B1403" s="96" t="s">
        <v>881</v>
      </c>
      <c r="C1403" s="200" t="e">
        <f>+C1402-C1401</f>
        <v>#REF!</v>
      </c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</row>
    <row r="1404" spans="1:58" s="55" customFormat="1" ht="15.75" hidden="1" x14ac:dyDescent="0.25">
      <c r="A1404" s="71"/>
      <c r="B1404" s="96" t="s">
        <v>882</v>
      </c>
      <c r="C1404" s="188">
        <v>0</v>
      </c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</row>
    <row r="1405" spans="1:58" s="55" customFormat="1" ht="15.75" hidden="1" x14ac:dyDescent="0.25">
      <c r="A1405" s="71"/>
      <c r="B1405" s="96" t="s">
        <v>883</v>
      </c>
      <c r="C1405" s="188" t="e">
        <f>+C1307</f>
        <v>#REF!</v>
      </c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</row>
    <row r="1406" spans="1:58" s="55" customFormat="1" ht="15.75" hidden="1" x14ac:dyDescent="0.25">
      <c r="A1406" s="71"/>
      <c r="B1406" s="96"/>
      <c r="C1406" s="188">
        <v>7500000000</v>
      </c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</row>
    <row r="1407" spans="1:58" s="55" customFormat="1" ht="15.75" hidden="1" x14ac:dyDescent="0.25">
      <c r="A1407" s="71"/>
      <c r="B1407" s="96"/>
      <c r="C1407" s="188" t="e">
        <f>+C1405-C1406</f>
        <v>#REF!</v>
      </c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</row>
    <row r="1408" spans="1:58" s="55" customFormat="1" ht="15.75" hidden="1" x14ac:dyDescent="0.25">
      <c r="A1408" s="71"/>
      <c r="B1408" s="96"/>
      <c r="C1408" s="18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</row>
    <row r="1409" spans="1:58" s="55" customFormat="1" ht="15.75" hidden="1" x14ac:dyDescent="0.25">
      <c r="A1409" s="71"/>
      <c r="B1409" s="96" t="s">
        <v>884</v>
      </c>
      <c r="C1409" s="188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</row>
    <row r="1410" spans="1:58" s="55" customFormat="1" ht="15.75" hidden="1" x14ac:dyDescent="0.25">
      <c r="A1410" s="71"/>
      <c r="B1410" s="96" t="s">
        <v>37</v>
      </c>
      <c r="C1410" s="188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</row>
    <row r="1411" spans="1:58" s="55" customFormat="1" ht="15.75" hidden="1" x14ac:dyDescent="0.25">
      <c r="A1411" s="71"/>
      <c r="B1411" s="96" t="s">
        <v>885</v>
      </c>
      <c r="C1411" s="188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</row>
    <row r="1412" spans="1:58" s="55" customFormat="1" ht="15.75" hidden="1" x14ac:dyDescent="0.25">
      <c r="A1412" s="71"/>
      <c r="B1412" s="96" t="s">
        <v>886</v>
      </c>
      <c r="C1412" s="188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</row>
    <row r="1413" spans="1:58" s="55" customFormat="1" ht="15.75" hidden="1" x14ac:dyDescent="0.25">
      <c r="A1413" s="71"/>
      <c r="B1413" s="96" t="s">
        <v>370</v>
      </c>
      <c r="C1413" s="188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</row>
    <row r="1414" spans="1:58" s="55" customFormat="1" ht="15.75" hidden="1" x14ac:dyDescent="0.25">
      <c r="A1414" s="71"/>
      <c r="B1414" s="96" t="s">
        <v>887</v>
      </c>
      <c r="C1414" s="188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</row>
    <row r="1415" spans="1:58" s="55" customFormat="1" ht="15.75" hidden="1" x14ac:dyDescent="0.25">
      <c r="A1415" s="71"/>
      <c r="B1415" s="96" t="s">
        <v>888</v>
      </c>
      <c r="C1415" s="188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</row>
    <row r="1416" spans="1:58" s="55" customFormat="1" ht="15.75" hidden="1" x14ac:dyDescent="0.25">
      <c r="A1416" s="71"/>
      <c r="B1416" s="230" t="s">
        <v>889</v>
      </c>
      <c r="C1416" s="188" t="e">
        <f>+C1417-C1466</f>
        <v>#REF!</v>
      </c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</row>
    <row r="1417" spans="1:58" s="55" customFormat="1" ht="15.75" hidden="1" x14ac:dyDescent="0.25">
      <c r="A1417" s="71"/>
      <c r="B1417" s="96" t="s">
        <v>890</v>
      </c>
      <c r="C1417" s="188" t="e">
        <f>+C1418-C1420</f>
        <v>#REF!</v>
      </c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</row>
    <row r="1418" spans="1:58" s="55" customFormat="1" ht="15.75" hidden="1" x14ac:dyDescent="0.25">
      <c r="A1418" s="71"/>
      <c r="B1418" s="96" t="s">
        <v>818</v>
      </c>
      <c r="C1418" s="231">
        <f>+'[5]PROYECCION INGRESOS 2008'!K183</f>
        <v>141667056</v>
      </c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</row>
    <row r="1419" spans="1:58" s="55" customFormat="1" ht="15.75" hidden="1" x14ac:dyDescent="0.25">
      <c r="A1419" s="71"/>
      <c r="B1419" s="96" t="s">
        <v>891</v>
      </c>
      <c r="C1419" s="229" t="e">
        <f>+C1418-C1420</f>
        <v>#REF!</v>
      </c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</row>
    <row r="1420" spans="1:58" s="55" customFormat="1" ht="15.75" hidden="1" x14ac:dyDescent="0.25">
      <c r="A1420" s="71"/>
      <c r="B1420" s="232" t="s">
        <v>892</v>
      </c>
      <c r="C1420" s="73" t="e">
        <f>+C1418-#REF!</f>
        <v>#REF!</v>
      </c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</row>
    <row r="1421" spans="1:58" s="55" customFormat="1" ht="15.75" hidden="1" x14ac:dyDescent="0.25">
      <c r="A1421" s="233"/>
      <c r="B1421" s="97"/>
      <c r="C1421" s="229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</row>
    <row r="1422" spans="1:58" s="55" customFormat="1" ht="15.75" hidden="1" x14ac:dyDescent="0.25">
      <c r="A1422" s="71"/>
      <c r="B1422" s="95" t="s">
        <v>893</v>
      </c>
      <c r="C1422" s="97" t="e">
        <f>+#REF!-#REF!-#REF!-#REF!-#REF!</f>
        <v>#REF!</v>
      </c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</row>
    <row r="1423" spans="1:58" s="55" customFormat="1" ht="30.75" hidden="1" x14ac:dyDescent="0.25">
      <c r="A1423" s="71"/>
      <c r="B1423" s="230" t="s">
        <v>836</v>
      </c>
      <c r="C1423" s="97" t="e">
        <f>+C1418-C1466</f>
        <v>#REF!</v>
      </c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</row>
    <row r="1424" spans="1:58" s="55" customFormat="1" ht="15.75" hidden="1" x14ac:dyDescent="0.25">
      <c r="A1424" s="71"/>
      <c r="B1424" s="95" t="s">
        <v>894</v>
      </c>
      <c r="C1424" s="97">
        <v>1</v>
      </c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</row>
    <row r="1425" spans="1:58" s="55" customFormat="1" ht="15.75" hidden="1" x14ac:dyDescent="0.25">
      <c r="A1425" s="71"/>
      <c r="B1425" s="230" t="s">
        <v>217</v>
      </c>
      <c r="C1425" s="97" t="e">
        <f>+#REF!-C1466</f>
        <v>#REF!</v>
      </c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</row>
    <row r="1426" spans="1:58" s="55" customFormat="1" ht="15.75" hidden="1" x14ac:dyDescent="0.25">
      <c r="A1426" s="71"/>
      <c r="B1426" s="234"/>
      <c r="C1426" s="97" t="e">
        <f>+#REF!</f>
        <v>#REF!</v>
      </c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</row>
    <row r="1427" spans="1:58" s="55" customFormat="1" ht="15.75" hidden="1" x14ac:dyDescent="0.25">
      <c r="A1427" s="71"/>
      <c r="B1427" s="235" t="s">
        <v>895</v>
      </c>
      <c r="C1427" s="235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</row>
    <row r="1428" spans="1:58" s="55" customFormat="1" ht="15.75" hidden="1" x14ac:dyDescent="0.25">
      <c r="A1428" s="71"/>
      <c r="B1428" s="235" t="s">
        <v>33</v>
      </c>
      <c r="C1428" s="235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</row>
    <row r="1429" spans="1:58" s="55" customFormat="1" ht="15.75" hidden="1" x14ac:dyDescent="0.25">
      <c r="A1429" s="71"/>
      <c r="B1429" s="234"/>
      <c r="C1429" s="97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</row>
    <row r="1430" spans="1:58" s="55" customFormat="1" ht="15.75" hidden="1" x14ac:dyDescent="0.25">
      <c r="A1430" s="71"/>
      <c r="B1430" s="235" t="s">
        <v>896</v>
      </c>
      <c r="C1430" s="235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</row>
    <row r="1431" spans="1:58" s="55" customFormat="1" ht="15.75" hidden="1" x14ac:dyDescent="0.25">
      <c r="A1431" s="71"/>
      <c r="B1431" s="234"/>
      <c r="C1431" s="97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</row>
    <row r="1432" spans="1:58" s="55" customFormat="1" ht="17.25" hidden="1" thickTop="1" thickBot="1" x14ac:dyDescent="0.3">
      <c r="A1432" s="71"/>
      <c r="B1432" s="236" t="s">
        <v>843</v>
      </c>
      <c r="C1432" s="237">
        <v>2005</v>
      </c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</row>
    <row r="1433" spans="1:58" s="55" customFormat="1" ht="15.75" hidden="1" x14ac:dyDescent="0.25">
      <c r="A1433" s="71"/>
      <c r="B1433" s="234"/>
      <c r="C1433" s="97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</row>
    <row r="1434" spans="1:58" s="55" customFormat="1" ht="15.75" hidden="1" x14ac:dyDescent="0.25">
      <c r="A1434" s="71"/>
      <c r="B1434" s="238" t="s">
        <v>897</v>
      </c>
      <c r="C1434" s="73" t="e">
        <f>+C1435+C1440</f>
        <v>#REF!</v>
      </c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</row>
    <row r="1435" spans="1:58" s="55" customFormat="1" ht="15.75" hidden="1" x14ac:dyDescent="0.25">
      <c r="A1435" s="71"/>
      <c r="B1435" s="239" t="s">
        <v>898</v>
      </c>
      <c r="C1435" s="73" t="e">
        <f>SUM(C1436:C1438)</f>
        <v>#REF!</v>
      </c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</row>
    <row r="1436" spans="1:58" s="55" customFormat="1" ht="15.75" hidden="1" x14ac:dyDescent="0.25">
      <c r="A1436" s="71"/>
      <c r="B1436" s="238" t="s">
        <v>899</v>
      </c>
      <c r="C1436" s="97" t="e">
        <f>+'[6]Balance Financiero'!H24</f>
        <v>#REF!</v>
      </c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</row>
    <row r="1437" spans="1:58" s="55" customFormat="1" ht="15.75" hidden="1" x14ac:dyDescent="0.25">
      <c r="A1437" s="71"/>
      <c r="B1437" s="234" t="s">
        <v>900</v>
      </c>
      <c r="C1437" s="229" t="e">
        <f>+'[6]Balance Financiero'!H30</f>
        <v>#REF!</v>
      </c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</row>
    <row r="1438" spans="1:58" s="55" customFormat="1" ht="15.75" hidden="1" x14ac:dyDescent="0.25">
      <c r="A1438" s="71"/>
      <c r="B1438" s="238" t="s">
        <v>775</v>
      </c>
      <c r="C1438" s="97">
        <f>+'[6]Balance Financiero'!H33</f>
        <v>8220500000</v>
      </c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</row>
    <row r="1439" spans="1:58" s="55" customFormat="1" ht="15.75" hidden="1" x14ac:dyDescent="0.25">
      <c r="A1439" s="71"/>
      <c r="B1439" s="238"/>
      <c r="C1439" s="97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</row>
    <row r="1440" spans="1:58" s="55" customFormat="1" ht="15.75" hidden="1" x14ac:dyDescent="0.25">
      <c r="A1440" s="71"/>
      <c r="B1440" s="239" t="s">
        <v>901</v>
      </c>
      <c r="C1440" s="188">
        <f>+'[6]Balance Financiero'!H63</f>
        <v>3600000000</v>
      </c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</row>
    <row r="1441" spans="1:58" s="55" customFormat="1" ht="15.75" hidden="1" x14ac:dyDescent="0.25">
      <c r="A1441" s="71"/>
      <c r="B1441" s="238"/>
      <c r="C1441" s="97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</row>
    <row r="1442" spans="1:58" s="55" customFormat="1" ht="15.75" hidden="1" x14ac:dyDescent="0.25">
      <c r="A1442" s="71"/>
      <c r="B1442" s="234" t="s">
        <v>902</v>
      </c>
      <c r="C1442" s="73" t="e">
        <f>+C1443+C1453+C1454</f>
        <v>#REF!</v>
      </c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</row>
    <row r="1443" spans="1:58" s="55" customFormat="1" ht="15.75" hidden="1" x14ac:dyDescent="0.25">
      <c r="A1443" s="71"/>
      <c r="B1443" s="240" t="s">
        <v>903</v>
      </c>
      <c r="C1443" s="73" t="e">
        <f>+C1444+C1448+C1449+C1450+C1452</f>
        <v>#REF!</v>
      </c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</row>
    <row r="1444" spans="1:58" s="55" customFormat="1" ht="15.75" hidden="1" x14ac:dyDescent="0.25">
      <c r="A1444" s="71"/>
      <c r="B1444" s="239" t="s">
        <v>904</v>
      </c>
      <c r="C1444" s="188" t="e">
        <f>SUM(C1445:C1447)</f>
        <v>#REF!</v>
      </c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</row>
    <row r="1445" spans="1:58" s="55" customFormat="1" ht="15.75" hidden="1" x14ac:dyDescent="0.25">
      <c r="A1445" s="71"/>
      <c r="B1445" s="241" t="s">
        <v>905</v>
      </c>
      <c r="C1445" s="97" t="e">
        <f>+'[6]Balance Financiero'!H44</f>
        <v>#REF!</v>
      </c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</row>
    <row r="1446" spans="1:58" s="55" customFormat="1" ht="15.75" hidden="1" x14ac:dyDescent="0.25">
      <c r="A1446" s="71"/>
      <c r="B1446" s="241" t="s">
        <v>133</v>
      </c>
      <c r="C1446" s="229" t="e">
        <f>+'[6]Balance Financiero'!H45</f>
        <v>#REF!</v>
      </c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</row>
    <row r="1447" spans="1:58" s="55" customFormat="1" ht="15.75" hidden="1" x14ac:dyDescent="0.25">
      <c r="A1447" s="71"/>
      <c r="B1447" s="241" t="s">
        <v>775</v>
      </c>
      <c r="C1447" s="97" t="e">
        <f>+'[6]Balance Financiero'!H46</f>
        <v>#REF!</v>
      </c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</row>
    <row r="1448" spans="1:58" s="55" customFormat="1" ht="15.75" hidden="1" x14ac:dyDescent="0.25">
      <c r="A1448" s="71"/>
      <c r="B1448" s="239" t="s">
        <v>906</v>
      </c>
      <c r="C1448" s="188" t="e">
        <f>+'[6]Balance Financiero'!H56</f>
        <v>#REF!</v>
      </c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</row>
    <row r="1449" spans="1:58" s="55" customFormat="1" ht="15.75" hidden="1" x14ac:dyDescent="0.25">
      <c r="A1449" s="71"/>
      <c r="B1449" s="240" t="s">
        <v>907</v>
      </c>
      <c r="C1449" s="73" t="e">
        <f>+'[6]Balance Financiero'!H60</f>
        <v>#REF!</v>
      </c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</row>
    <row r="1450" spans="1:58" s="55" customFormat="1" ht="15.75" hidden="1" x14ac:dyDescent="0.25">
      <c r="A1450" s="71"/>
      <c r="B1450" s="239" t="s">
        <v>908</v>
      </c>
      <c r="C1450" s="242" t="e">
        <f>+'[6]Balance Financiero'!H61</f>
        <v>#REF!</v>
      </c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</row>
    <row r="1451" spans="1:58" s="55" customFormat="1" ht="15.75" hidden="1" x14ac:dyDescent="0.25">
      <c r="A1451" s="71"/>
      <c r="B1451" s="238"/>
      <c r="C1451" s="97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</row>
    <row r="1452" spans="1:58" s="55" customFormat="1" ht="31.5" hidden="1" x14ac:dyDescent="0.25">
      <c r="A1452" s="71"/>
      <c r="B1452" s="239" t="s">
        <v>909</v>
      </c>
      <c r="C1452" s="188">
        <f>+'[6]Balance Financiero'!H59</f>
        <v>2000000000</v>
      </c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</row>
    <row r="1453" spans="1:58" s="55" customFormat="1" ht="15.75" hidden="1" x14ac:dyDescent="0.25">
      <c r="A1453" s="71"/>
      <c r="B1453" s="240" t="s">
        <v>910</v>
      </c>
      <c r="C1453" s="73" t="e">
        <f>+'[6]Balance Financiero'!H72</f>
        <v>#REF!</v>
      </c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</row>
    <row r="1454" spans="1:58" s="55" customFormat="1" ht="15.75" hidden="1" x14ac:dyDescent="0.25">
      <c r="A1454" s="71"/>
      <c r="B1454" s="239" t="s">
        <v>911</v>
      </c>
      <c r="C1454" s="242" t="e">
        <f>+'[6]Balance Financiero'!H73</f>
        <v>#REF!</v>
      </c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</row>
    <row r="1455" spans="1:58" s="55" customFormat="1" ht="15.75" hidden="1" x14ac:dyDescent="0.25">
      <c r="A1455" s="71"/>
      <c r="B1455" s="239"/>
      <c r="C1455" s="242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</row>
    <row r="1456" spans="1:58" s="55" customFormat="1" ht="16.5" hidden="1" thickBot="1" x14ac:dyDescent="0.3">
      <c r="A1456" s="71"/>
      <c r="B1456" s="243" t="s">
        <v>912</v>
      </c>
      <c r="C1456" s="244" t="e">
        <f>+C1434-C1444-C1449-C1450-C1452-C1453-C1454</f>
        <v>#REF!</v>
      </c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</row>
    <row r="1457" spans="1:58" s="55" customFormat="1" ht="15.75" hidden="1" x14ac:dyDescent="0.25">
      <c r="A1457" s="71"/>
      <c r="B1457" s="238" t="s">
        <v>913</v>
      </c>
      <c r="C1457" s="245" t="e">
        <f>+C1456/C1448</f>
        <v>#REF!</v>
      </c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</row>
    <row r="1458" spans="1:58" s="55" customFormat="1" ht="15.75" hidden="1" x14ac:dyDescent="0.25">
      <c r="A1458" s="233"/>
      <c r="B1458" s="234"/>
      <c r="C1458" s="97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</row>
    <row r="1459" spans="1:58" s="55" customFormat="1" ht="15.75" hidden="1" x14ac:dyDescent="0.25">
      <c r="A1459" s="71"/>
      <c r="B1459" s="239" t="s">
        <v>914</v>
      </c>
      <c r="C1459" s="188" t="e">
        <f>+'[6]Balance Financiero'!H79</f>
        <v>#REF!</v>
      </c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</row>
    <row r="1460" spans="1:58" s="55" customFormat="1" ht="15.75" hidden="1" x14ac:dyDescent="0.25">
      <c r="A1460" s="71"/>
      <c r="B1460" s="239" t="s">
        <v>915</v>
      </c>
      <c r="C1460" s="188" t="e">
        <f>+'[6]Balance Financiero'!H80</f>
        <v>#REF!</v>
      </c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</row>
    <row r="1461" spans="1:58" s="55" customFormat="1" ht="15.75" hidden="1" x14ac:dyDescent="0.25">
      <c r="A1461" s="71"/>
      <c r="B1461" s="234"/>
      <c r="C1461" s="97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</row>
    <row r="1462" spans="1:58" s="55" customFormat="1" ht="16.5" hidden="1" thickBot="1" x14ac:dyDescent="0.3">
      <c r="A1462" s="71"/>
      <c r="B1462" s="243" t="s">
        <v>916</v>
      </c>
      <c r="C1462" s="244" t="e">
        <f>C1434+C1459</f>
        <v>#REF!</v>
      </c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</row>
    <row r="1463" spans="1:58" s="55" customFormat="1" ht="15.75" hidden="1" x14ac:dyDescent="0.25">
      <c r="A1463" s="71"/>
      <c r="B1463" s="239"/>
      <c r="C1463" s="188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</row>
    <row r="1464" spans="1:58" s="55" customFormat="1" ht="16.5" hidden="1" thickBot="1" x14ac:dyDescent="0.3">
      <c r="A1464" s="71"/>
      <c r="B1464" s="243" t="s">
        <v>917</v>
      </c>
      <c r="C1464" s="244" t="e">
        <f>+C1442+C1460</f>
        <v>#REF!</v>
      </c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</row>
    <row r="1465" spans="1:58" s="55" customFormat="1" ht="15.75" hidden="1" x14ac:dyDescent="0.25">
      <c r="A1465" s="71"/>
      <c r="B1465" s="234"/>
      <c r="C1465" s="229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</row>
    <row r="1466" spans="1:58" s="55" customFormat="1" ht="15.75" hidden="1" x14ac:dyDescent="0.25">
      <c r="A1466" s="246" t="s">
        <v>918</v>
      </c>
      <c r="B1466" s="247" t="s">
        <v>919</v>
      </c>
      <c r="C1466" s="248" t="e">
        <f>+C1467+C1513+C1640+C1657+C1665</f>
        <v>#REF!</v>
      </c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</row>
    <row r="1467" spans="1:58" s="55" customFormat="1" ht="16.5" hidden="1" thickBot="1" x14ac:dyDescent="0.3">
      <c r="A1467" s="249" t="s">
        <v>79</v>
      </c>
      <c r="B1467" s="250" t="s">
        <v>920</v>
      </c>
      <c r="C1467" s="251" t="e">
        <f>+C1468+C1483+C1487+C1510</f>
        <v>#REF!</v>
      </c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</row>
    <row r="1468" spans="1:58" s="55" customFormat="1" ht="16.5" hidden="1" thickBot="1" x14ac:dyDescent="0.3">
      <c r="A1468" s="249" t="s">
        <v>81</v>
      </c>
      <c r="B1468" s="250" t="s">
        <v>921</v>
      </c>
      <c r="C1468" s="251" t="e">
        <f>+C1469+C1470+C1476</f>
        <v>#REF!</v>
      </c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</row>
    <row r="1469" spans="1:58" s="55" customFormat="1" ht="15.75" hidden="1" x14ac:dyDescent="0.25">
      <c r="A1469" s="252" t="s">
        <v>922</v>
      </c>
      <c r="B1469" s="253" t="s">
        <v>923</v>
      </c>
      <c r="C1469" s="254" t="e">
        <f>+#REF!-C1472</f>
        <v>#REF!</v>
      </c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</row>
    <row r="1470" spans="1:58" s="55" customFormat="1" ht="15.75" hidden="1" x14ac:dyDescent="0.25">
      <c r="A1470" s="255" t="s">
        <v>924</v>
      </c>
      <c r="B1470" s="256" t="s">
        <v>925</v>
      </c>
      <c r="C1470" s="257">
        <f>SUM(C1471:C1475)</f>
        <v>12818016000</v>
      </c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</row>
    <row r="1471" spans="1:58" s="55" customFormat="1" ht="15.75" hidden="1" x14ac:dyDescent="0.25">
      <c r="A1471" s="258" t="s">
        <v>926</v>
      </c>
      <c r="B1471" s="259" t="s">
        <v>927</v>
      </c>
      <c r="C1471" s="260">
        <f>+C140</f>
        <v>9019927000</v>
      </c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</row>
    <row r="1472" spans="1:58" s="55" customFormat="1" ht="15.75" hidden="1" x14ac:dyDescent="0.25">
      <c r="A1472" s="258" t="s">
        <v>928</v>
      </c>
      <c r="B1472" s="259" t="s">
        <v>929</v>
      </c>
      <c r="C1472" s="260">
        <f>+C12</f>
        <v>605660000</v>
      </c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</row>
    <row r="1473" spans="1:58" s="55" customFormat="1" ht="15.75" hidden="1" x14ac:dyDescent="0.25">
      <c r="A1473" s="258" t="s">
        <v>930</v>
      </c>
      <c r="B1473" s="259" t="s">
        <v>931</v>
      </c>
      <c r="C1473" s="260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</row>
    <row r="1474" spans="1:58" s="55" customFormat="1" ht="15.75" hidden="1" x14ac:dyDescent="0.25">
      <c r="A1474" s="258" t="s">
        <v>932</v>
      </c>
      <c r="B1474" s="259" t="s">
        <v>933</v>
      </c>
      <c r="C1474" s="260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</row>
    <row r="1475" spans="1:58" s="55" customFormat="1" ht="15.75" hidden="1" x14ac:dyDescent="0.25">
      <c r="A1475" s="258" t="s">
        <v>934</v>
      </c>
      <c r="B1475" s="259" t="s">
        <v>935</v>
      </c>
      <c r="C1475" s="260">
        <f>+C31+C142+C141</f>
        <v>3192429000</v>
      </c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</row>
    <row r="1476" spans="1:58" s="55" customFormat="1" ht="15.75" hidden="1" x14ac:dyDescent="0.25">
      <c r="A1476" s="255" t="s">
        <v>936</v>
      </c>
      <c r="B1476" s="256" t="s">
        <v>937</v>
      </c>
      <c r="C1476" s="257" t="e">
        <f>+C1477+C1480</f>
        <v>#REF!</v>
      </c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</row>
    <row r="1477" spans="1:58" s="55" customFormat="1" ht="15.75" hidden="1" x14ac:dyDescent="0.25">
      <c r="A1477" s="255" t="s">
        <v>938</v>
      </c>
      <c r="B1477" s="256" t="s">
        <v>939</v>
      </c>
      <c r="C1477" s="257" t="e">
        <f>SUM(C1478:C1479)</f>
        <v>#REF!</v>
      </c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</row>
    <row r="1478" spans="1:58" s="55" customFormat="1" ht="30.75" hidden="1" x14ac:dyDescent="0.25">
      <c r="A1478" s="258" t="s">
        <v>940</v>
      </c>
      <c r="B1478" s="259" t="s">
        <v>941</v>
      </c>
      <c r="C1478" s="260" t="e">
        <f>+#REF!-C1479</f>
        <v>#REF!</v>
      </c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</row>
    <row r="1479" spans="1:58" s="55" customFormat="1" ht="30.75" hidden="1" x14ac:dyDescent="0.25">
      <c r="A1479" s="258" t="s">
        <v>942</v>
      </c>
      <c r="B1479" s="259" t="s">
        <v>943</v>
      </c>
      <c r="C1479" s="260">
        <f>+C42+C43+C44+C45+C153+C154+C155+C156</f>
        <v>1116241000</v>
      </c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</row>
    <row r="1480" spans="1:58" s="55" customFormat="1" ht="15.75" hidden="1" x14ac:dyDescent="0.25">
      <c r="A1480" s="255" t="s">
        <v>944</v>
      </c>
      <c r="B1480" s="256" t="s">
        <v>945</v>
      </c>
      <c r="C1480" s="257" t="e">
        <f>SUM(C1481:C1482)</f>
        <v>#REF!</v>
      </c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</row>
    <row r="1481" spans="1:58" s="55" customFormat="1" ht="30.75" hidden="1" x14ac:dyDescent="0.25">
      <c r="A1481" s="258" t="s">
        <v>946</v>
      </c>
      <c r="B1481" s="259" t="s">
        <v>941</v>
      </c>
      <c r="C1481" s="260" t="e">
        <f>+#REF!-C1482</f>
        <v>#REF!</v>
      </c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</row>
    <row r="1482" spans="1:58" s="55" customFormat="1" ht="30.75" hidden="1" x14ac:dyDescent="0.25">
      <c r="A1482" s="258" t="s">
        <v>947</v>
      </c>
      <c r="B1482" s="259" t="s">
        <v>943</v>
      </c>
      <c r="C1482" s="260">
        <f>+C34+C146</f>
        <v>892990000</v>
      </c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</row>
    <row r="1483" spans="1:58" s="55" customFormat="1" ht="15.75" hidden="1" x14ac:dyDescent="0.25">
      <c r="A1483" s="255" t="s">
        <v>132</v>
      </c>
      <c r="B1483" s="256" t="s">
        <v>948</v>
      </c>
      <c r="C1483" s="257" t="e">
        <f>SUM(C1484:C1486)</f>
        <v>#REF!</v>
      </c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</row>
    <row r="1484" spans="1:58" s="55" customFormat="1" ht="15.75" hidden="1" x14ac:dyDescent="0.25">
      <c r="A1484" s="258" t="s">
        <v>949</v>
      </c>
      <c r="B1484" s="259" t="s">
        <v>950</v>
      </c>
      <c r="C1484" s="260" t="e">
        <f>+#REF!</f>
        <v>#REF!</v>
      </c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</row>
    <row r="1485" spans="1:58" s="55" customFormat="1" ht="15.75" hidden="1" x14ac:dyDescent="0.25">
      <c r="A1485" s="258" t="s">
        <v>951</v>
      </c>
      <c r="B1485" s="259" t="s">
        <v>952</v>
      </c>
      <c r="C1485" s="260" t="e">
        <f>+#REF!</f>
        <v>#REF!</v>
      </c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</row>
    <row r="1486" spans="1:58" s="55" customFormat="1" ht="15.75" hidden="1" x14ac:dyDescent="0.25">
      <c r="A1486" s="258" t="s">
        <v>953</v>
      </c>
      <c r="B1486" s="259" t="s">
        <v>954</v>
      </c>
      <c r="C1486" s="260" t="e">
        <f>+#REF!</f>
        <v>#REF!</v>
      </c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</row>
    <row r="1487" spans="1:58" s="55" customFormat="1" ht="15.75" hidden="1" x14ac:dyDescent="0.25">
      <c r="A1487" s="255" t="s">
        <v>955</v>
      </c>
      <c r="B1487" s="256" t="s">
        <v>956</v>
      </c>
      <c r="C1487" s="257" t="e">
        <f>+C1488+C1499+C1507+C1508+C1509+C1505+C1506</f>
        <v>#REF!</v>
      </c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</row>
    <row r="1488" spans="1:58" s="55" customFormat="1" ht="15.75" hidden="1" x14ac:dyDescent="0.25">
      <c r="A1488" s="255" t="s">
        <v>957</v>
      </c>
      <c r="B1488" s="256" t="s">
        <v>958</v>
      </c>
      <c r="C1488" s="257" t="e">
        <f>+C1489+C1493</f>
        <v>#REF!</v>
      </c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</row>
    <row r="1489" spans="1:58" s="55" customFormat="1" ht="15.75" hidden="1" x14ac:dyDescent="0.25">
      <c r="A1489" s="258" t="s">
        <v>959</v>
      </c>
      <c r="B1489" s="256" t="s">
        <v>960</v>
      </c>
      <c r="C1489" s="257" t="e">
        <f>SUM(C1490:C1492)</f>
        <v>#REF!</v>
      </c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</row>
    <row r="1490" spans="1:58" s="55" customFormat="1" ht="30.75" hidden="1" x14ac:dyDescent="0.25">
      <c r="A1490" s="258" t="s">
        <v>961</v>
      </c>
      <c r="B1490" s="259" t="s">
        <v>962</v>
      </c>
      <c r="C1490" s="26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</row>
    <row r="1491" spans="1:58" s="55" customFormat="1" ht="30.75" hidden="1" x14ac:dyDescent="0.25">
      <c r="A1491" s="258" t="s">
        <v>963</v>
      </c>
      <c r="B1491" s="259" t="s">
        <v>964</v>
      </c>
      <c r="C1491" s="260" t="e">
        <f>+#REF!</f>
        <v>#REF!</v>
      </c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</row>
    <row r="1492" spans="1:58" s="55" customFormat="1" ht="30.75" hidden="1" x14ac:dyDescent="0.25">
      <c r="A1492" s="258" t="s">
        <v>965</v>
      </c>
      <c r="B1492" s="259" t="s">
        <v>966</v>
      </c>
      <c r="C1492" s="260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</row>
    <row r="1493" spans="1:58" s="55" customFormat="1" ht="15.75" hidden="1" x14ac:dyDescent="0.25">
      <c r="A1493" s="258" t="s">
        <v>967</v>
      </c>
      <c r="B1493" s="256" t="s">
        <v>968</v>
      </c>
      <c r="C1493" s="257" t="e">
        <f>+C1494+C1495+C1498+C1496+C1497</f>
        <v>#REF!</v>
      </c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</row>
    <row r="1494" spans="1:58" s="55" customFormat="1" ht="30.75" hidden="1" x14ac:dyDescent="0.25">
      <c r="A1494" s="258" t="s">
        <v>969</v>
      </c>
      <c r="B1494" s="259" t="s">
        <v>970</v>
      </c>
      <c r="C1494" s="260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</row>
    <row r="1495" spans="1:58" s="55" customFormat="1" ht="30.75" hidden="1" x14ac:dyDescent="0.25">
      <c r="A1495" s="258" t="s">
        <v>971</v>
      </c>
      <c r="B1495" s="259" t="s">
        <v>972</v>
      </c>
      <c r="C1495" s="260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</row>
    <row r="1496" spans="1:58" s="55" customFormat="1" ht="30.75" hidden="1" x14ac:dyDescent="0.25">
      <c r="A1496" s="258" t="s">
        <v>973</v>
      </c>
      <c r="B1496" s="259" t="s">
        <v>974</v>
      </c>
      <c r="C1496" s="260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</row>
    <row r="1497" spans="1:58" s="55" customFormat="1" ht="30.75" hidden="1" x14ac:dyDescent="0.25">
      <c r="A1497" s="258" t="s">
        <v>975</v>
      </c>
      <c r="B1497" s="259" t="s">
        <v>976</v>
      </c>
      <c r="C1497" s="260" t="e">
        <f>+#REF!-C1508+1</f>
        <v>#REF!</v>
      </c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</row>
    <row r="1498" spans="1:58" s="55" customFormat="1" ht="30.75" hidden="1" x14ac:dyDescent="0.25">
      <c r="A1498" s="258" t="s">
        <v>977</v>
      </c>
      <c r="B1498" s="259" t="s">
        <v>978</v>
      </c>
      <c r="C1498" s="260" t="e">
        <f>+#REF!-C1657</f>
        <v>#REF!</v>
      </c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</row>
    <row r="1499" spans="1:58" s="55" customFormat="1" ht="15.75" hidden="1" x14ac:dyDescent="0.25">
      <c r="A1499" s="255" t="s">
        <v>979</v>
      </c>
      <c r="B1499" s="256" t="s">
        <v>980</v>
      </c>
      <c r="C1499" s="257" t="e">
        <f>+C1500+C1504</f>
        <v>#REF!</v>
      </c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</row>
    <row r="1500" spans="1:58" s="55" customFormat="1" ht="15.75" hidden="1" x14ac:dyDescent="0.25">
      <c r="A1500" s="255" t="s">
        <v>981</v>
      </c>
      <c r="B1500" s="256" t="s">
        <v>960</v>
      </c>
      <c r="C1500" s="257">
        <f>SUM(C1501:C1503)</f>
        <v>0</v>
      </c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</row>
    <row r="1501" spans="1:58" s="55" customFormat="1" ht="30.75" hidden="1" x14ac:dyDescent="0.25">
      <c r="A1501" s="258" t="s">
        <v>982</v>
      </c>
      <c r="B1501" s="259" t="s">
        <v>962</v>
      </c>
      <c r="C1501" s="260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</row>
    <row r="1502" spans="1:58" s="55" customFormat="1" ht="30.75" hidden="1" x14ac:dyDescent="0.25">
      <c r="A1502" s="258" t="s">
        <v>983</v>
      </c>
      <c r="B1502" s="259" t="s">
        <v>964</v>
      </c>
      <c r="C1502" s="260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</row>
    <row r="1503" spans="1:58" s="55" customFormat="1" ht="30.75" hidden="1" x14ac:dyDescent="0.25">
      <c r="A1503" s="258" t="s">
        <v>984</v>
      </c>
      <c r="B1503" s="259" t="s">
        <v>966</v>
      </c>
      <c r="C1503" s="260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</row>
    <row r="1504" spans="1:58" s="55" customFormat="1" ht="15.75" hidden="1" x14ac:dyDescent="0.25">
      <c r="A1504" s="258" t="s">
        <v>985</v>
      </c>
      <c r="B1504" s="261" t="s">
        <v>986</v>
      </c>
      <c r="C1504" s="260" t="e">
        <f>+#REF!</f>
        <v>#REF!</v>
      </c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</row>
    <row r="1505" spans="1:58" s="55" customFormat="1" ht="15.75" hidden="1" x14ac:dyDescent="0.25">
      <c r="A1505" s="258" t="s">
        <v>987</v>
      </c>
      <c r="B1505" s="261" t="s">
        <v>988</v>
      </c>
      <c r="C1505" s="260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</row>
    <row r="1506" spans="1:58" s="55" customFormat="1" ht="15.75" hidden="1" x14ac:dyDescent="0.25">
      <c r="A1506" s="255" t="s">
        <v>989</v>
      </c>
      <c r="B1506" s="261" t="s">
        <v>990</v>
      </c>
      <c r="C1506" s="260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</row>
    <row r="1507" spans="1:58" s="55" customFormat="1" ht="15.75" hidden="1" x14ac:dyDescent="0.25">
      <c r="A1507" s="255" t="s">
        <v>991</v>
      </c>
      <c r="B1507" s="261" t="s">
        <v>992</v>
      </c>
      <c r="C1507" s="260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</row>
    <row r="1508" spans="1:58" s="55" customFormat="1" ht="15.75" hidden="1" x14ac:dyDescent="0.25">
      <c r="A1508" s="255" t="s">
        <v>993</v>
      </c>
      <c r="B1508" s="261" t="s">
        <v>994</v>
      </c>
      <c r="C1508" s="260">
        <f>+C103</f>
        <v>5000000000</v>
      </c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</row>
    <row r="1509" spans="1:58" s="55" customFormat="1" ht="31.5" hidden="1" x14ac:dyDescent="0.25">
      <c r="A1509" s="255" t="s">
        <v>995</v>
      </c>
      <c r="B1509" s="256" t="s">
        <v>996</v>
      </c>
      <c r="C1509" s="260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</row>
    <row r="1510" spans="1:58" s="55" customFormat="1" ht="15.75" hidden="1" x14ac:dyDescent="0.25">
      <c r="A1510" s="255" t="s">
        <v>997</v>
      </c>
      <c r="B1510" s="255" t="s">
        <v>998</v>
      </c>
      <c r="C1510" s="257">
        <f>SUM(C1511:C1512)</f>
        <v>0</v>
      </c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</row>
    <row r="1511" spans="1:58" s="55" customFormat="1" ht="15.75" hidden="1" x14ac:dyDescent="0.25">
      <c r="A1511" s="255" t="s">
        <v>999</v>
      </c>
      <c r="B1511" s="258" t="s">
        <v>1000</v>
      </c>
      <c r="C1511" s="260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</row>
    <row r="1512" spans="1:58" s="55" customFormat="1" ht="15.75" hidden="1" x14ac:dyDescent="0.25">
      <c r="A1512" s="262" t="s">
        <v>1001</v>
      </c>
      <c r="B1512" s="252" t="s">
        <v>1002</v>
      </c>
      <c r="C1512" s="254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</row>
    <row r="1513" spans="1:58" s="55" customFormat="1" ht="16.5" hidden="1" thickBot="1" x14ac:dyDescent="0.3">
      <c r="A1513" s="263" t="s">
        <v>1003</v>
      </c>
      <c r="B1513" s="250" t="s">
        <v>210</v>
      </c>
      <c r="C1513" s="244" t="e">
        <f>+C1514+C1566+C1603+C1639</f>
        <v>#REF!</v>
      </c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</row>
    <row r="1514" spans="1:58" s="55" customFormat="1" ht="16.5" hidden="1" thickBot="1" x14ac:dyDescent="0.3">
      <c r="A1514" s="264" t="s">
        <v>1004</v>
      </c>
      <c r="B1514" s="265" t="s">
        <v>1005</v>
      </c>
      <c r="C1514" s="266" t="e">
        <f>+C1515+C1522+C1529</f>
        <v>#REF!</v>
      </c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</row>
    <row r="1515" spans="1:58" s="55" customFormat="1" ht="16.5" hidden="1" thickBot="1" x14ac:dyDescent="0.3">
      <c r="A1515" s="267" t="s">
        <v>1006</v>
      </c>
      <c r="B1515" s="268" t="s">
        <v>1007</v>
      </c>
      <c r="C1515" s="244" t="e">
        <f>SUM(C1516:C1521)</f>
        <v>#REF!</v>
      </c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</row>
    <row r="1516" spans="1:58" s="55" customFormat="1" ht="30.75" hidden="1" x14ac:dyDescent="0.25">
      <c r="A1516" s="269" t="s">
        <v>1008</v>
      </c>
      <c r="B1516" s="270" t="s">
        <v>1009</v>
      </c>
      <c r="C1516" s="271" t="e">
        <f>+#REF!</f>
        <v>#REF!</v>
      </c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</row>
    <row r="1517" spans="1:58" s="55" customFormat="1" ht="30.75" hidden="1" x14ac:dyDescent="0.25">
      <c r="A1517" s="272" t="s">
        <v>1010</v>
      </c>
      <c r="B1517" s="67" t="s">
        <v>1011</v>
      </c>
      <c r="C1517" s="193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</row>
    <row r="1518" spans="1:58" s="55" customFormat="1" ht="15.75" hidden="1" x14ac:dyDescent="0.25">
      <c r="A1518" s="272" t="s">
        <v>1012</v>
      </c>
      <c r="B1518" s="67" t="s">
        <v>1013</v>
      </c>
      <c r="C1518" s="273">
        <f>SUM(C524:C565)+SUM(C592:C613)-C1519</f>
        <v>36431195235</v>
      </c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</row>
    <row r="1519" spans="1:58" s="55" customFormat="1" ht="30.75" hidden="1" x14ac:dyDescent="0.25">
      <c r="A1519" s="272" t="s">
        <v>1014</v>
      </c>
      <c r="B1519" s="67" t="s">
        <v>1015</v>
      </c>
      <c r="C1519" s="193">
        <f>+C608</f>
        <v>1193508413</v>
      </c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</row>
    <row r="1520" spans="1:58" s="55" customFormat="1" ht="30.75" hidden="1" x14ac:dyDescent="0.25">
      <c r="A1520" s="272" t="s">
        <v>1016</v>
      </c>
      <c r="B1520" s="67" t="s">
        <v>1017</v>
      </c>
      <c r="C1520" s="273">
        <f>+C647+C656</f>
        <v>289141140508.81</v>
      </c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</row>
    <row r="1521" spans="1:58" s="55" customFormat="1" ht="15.75" hidden="1" x14ac:dyDescent="0.25">
      <c r="A1521" s="274" t="s">
        <v>1018</v>
      </c>
      <c r="B1521" s="67" t="s">
        <v>1019</v>
      </c>
      <c r="C1521" s="193" t="e">
        <f>+C569+C574+C620+C624+C627+#REF!+#REF!+#REF!+#REF!+#REF!+#REF!+C517+#REF!+#REF!+C581+C586</f>
        <v>#REF!</v>
      </c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</row>
    <row r="1522" spans="1:58" s="55" customFormat="1" ht="15.75" hidden="1" x14ac:dyDescent="0.25">
      <c r="A1522" s="275" t="s">
        <v>1020</v>
      </c>
      <c r="B1522" s="276" t="s">
        <v>1021</v>
      </c>
      <c r="C1522" s="277" t="e">
        <f>SUM(C1523:C1528)</f>
        <v>#REF!</v>
      </c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</row>
    <row r="1523" spans="1:58" s="55" customFormat="1" ht="30.75" hidden="1" x14ac:dyDescent="0.25">
      <c r="A1523" s="274" t="s">
        <v>1022</v>
      </c>
      <c r="B1523" s="67" t="s">
        <v>1023</v>
      </c>
      <c r="C1523" s="19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</row>
    <row r="1524" spans="1:58" s="55" customFormat="1" ht="30.75" hidden="1" x14ac:dyDescent="0.25">
      <c r="A1524" s="272" t="s">
        <v>1024</v>
      </c>
      <c r="B1524" s="67" t="s">
        <v>1011</v>
      </c>
      <c r="C1524" s="273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</row>
    <row r="1525" spans="1:58" s="55" customFormat="1" ht="15.75" hidden="1" x14ac:dyDescent="0.25">
      <c r="A1525" s="272" t="s">
        <v>1025</v>
      </c>
      <c r="B1525" s="67" t="s">
        <v>1026</v>
      </c>
      <c r="C1525" s="193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</row>
    <row r="1526" spans="1:58" s="55" customFormat="1" ht="30.75" hidden="1" x14ac:dyDescent="0.25">
      <c r="A1526" s="272" t="s">
        <v>1027</v>
      </c>
      <c r="B1526" s="67" t="s">
        <v>1015</v>
      </c>
      <c r="C1526" s="193">
        <f>+C428</f>
        <v>0</v>
      </c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</row>
    <row r="1527" spans="1:58" s="55" customFormat="1" ht="30.75" hidden="1" x14ac:dyDescent="0.25">
      <c r="A1527" s="272" t="s">
        <v>1028</v>
      </c>
      <c r="B1527" s="67" t="s">
        <v>1029</v>
      </c>
      <c r="C1527" s="273">
        <f>+C482+C483+C486+C339+C429</f>
        <v>966550282</v>
      </c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</row>
    <row r="1528" spans="1:58" s="55" customFormat="1" ht="15.75" hidden="1" x14ac:dyDescent="0.25">
      <c r="A1528" s="274" t="s">
        <v>1030</v>
      </c>
      <c r="B1528" s="67" t="s">
        <v>1031</v>
      </c>
      <c r="C1528" s="273" t="e">
        <f>+#REF!+#REF!+#REF!+#REF!+#REF!+#REF!+#REF!+#REF!+#REF!+#REF!+#REF!+#REF!+#REF!</f>
        <v>#REF!</v>
      </c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</row>
    <row r="1529" spans="1:58" s="55" customFormat="1" ht="31.5" hidden="1" x14ac:dyDescent="0.25">
      <c r="A1529" s="275" t="s">
        <v>1032</v>
      </c>
      <c r="B1529" s="276" t="s">
        <v>1033</v>
      </c>
      <c r="C1529" s="278" t="e">
        <f>+C1530+C1544+C1551</f>
        <v>#REF!</v>
      </c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</row>
    <row r="1530" spans="1:58" s="55" customFormat="1" ht="31.5" hidden="1" x14ac:dyDescent="0.25">
      <c r="A1530" s="275" t="s">
        <v>1034</v>
      </c>
      <c r="B1530" s="276" t="s">
        <v>1035</v>
      </c>
      <c r="C1530" s="193">
        <f>SUM(C1531:C1543)</f>
        <v>0</v>
      </c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</row>
    <row r="1531" spans="1:58" s="55" customFormat="1" ht="15.75" hidden="1" x14ac:dyDescent="0.25">
      <c r="A1531" s="274" t="s">
        <v>1036</v>
      </c>
      <c r="B1531" s="67" t="s">
        <v>1037</v>
      </c>
      <c r="C1531" s="193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</row>
    <row r="1532" spans="1:58" s="55" customFormat="1" ht="15.75" hidden="1" x14ac:dyDescent="0.25">
      <c r="A1532" s="274" t="s">
        <v>1038</v>
      </c>
      <c r="B1532" s="67" t="s">
        <v>1039</v>
      </c>
      <c r="C1532" s="193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</row>
    <row r="1533" spans="1:58" s="55" customFormat="1" ht="15.75" hidden="1" x14ac:dyDescent="0.25">
      <c r="A1533" s="274" t="s">
        <v>1040</v>
      </c>
      <c r="B1533" s="67" t="s">
        <v>1041</v>
      </c>
      <c r="C1533" s="27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</row>
    <row r="1534" spans="1:58" s="55" customFormat="1" ht="15.75" hidden="1" x14ac:dyDescent="0.25">
      <c r="A1534" s="274" t="s">
        <v>1042</v>
      </c>
      <c r="B1534" s="67" t="s">
        <v>1043</v>
      </c>
      <c r="C1534" s="193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</row>
    <row r="1535" spans="1:58" s="55" customFormat="1" ht="15.75" hidden="1" x14ac:dyDescent="0.25">
      <c r="A1535" s="274" t="s">
        <v>1044</v>
      </c>
      <c r="B1535" s="67" t="s">
        <v>1045</v>
      </c>
      <c r="C1535" s="193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</row>
    <row r="1536" spans="1:58" s="55" customFormat="1" ht="15.75" hidden="1" x14ac:dyDescent="0.25">
      <c r="A1536" s="274" t="s">
        <v>1046</v>
      </c>
      <c r="B1536" s="67" t="s">
        <v>1047</v>
      </c>
      <c r="C1536" s="193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</row>
    <row r="1537" spans="1:58" s="55" customFormat="1" ht="15.75" hidden="1" x14ac:dyDescent="0.25">
      <c r="A1537" s="274" t="s">
        <v>1048</v>
      </c>
      <c r="B1537" s="67" t="s">
        <v>1049</v>
      </c>
      <c r="C1537" s="193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</row>
    <row r="1538" spans="1:58" s="55" customFormat="1" ht="15.75" hidden="1" x14ac:dyDescent="0.25">
      <c r="A1538" s="274" t="s">
        <v>1050</v>
      </c>
      <c r="B1538" s="67" t="s">
        <v>1051</v>
      </c>
      <c r="C1538" s="193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</row>
    <row r="1539" spans="1:58" s="55" customFormat="1" ht="15.75" hidden="1" x14ac:dyDescent="0.25">
      <c r="A1539" s="274" t="s">
        <v>1052</v>
      </c>
      <c r="B1539" s="67" t="s">
        <v>1053</v>
      </c>
      <c r="C1539" s="193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</row>
    <row r="1540" spans="1:58" s="55" customFormat="1" ht="15.75" hidden="1" x14ac:dyDescent="0.25">
      <c r="A1540" s="274" t="s">
        <v>1054</v>
      </c>
      <c r="B1540" s="67" t="s">
        <v>1055</v>
      </c>
      <c r="C1540" s="193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</row>
    <row r="1541" spans="1:58" s="55" customFormat="1" ht="15.75" hidden="1" x14ac:dyDescent="0.25">
      <c r="A1541" s="274" t="s">
        <v>1056</v>
      </c>
      <c r="B1541" s="67" t="s">
        <v>1057</v>
      </c>
      <c r="C1541" s="193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</row>
    <row r="1542" spans="1:58" s="55" customFormat="1" ht="15.75" hidden="1" x14ac:dyDescent="0.25">
      <c r="A1542" s="274" t="s">
        <v>1058</v>
      </c>
      <c r="B1542" s="67" t="s">
        <v>1059</v>
      </c>
      <c r="C1542" s="273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</row>
    <row r="1543" spans="1:58" s="55" customFormat="1" ht="15.75" hidden="1" x14ac:dyDescent="0.25">
      <c r="A1543" s="274" t="s">
        <v>1060</v>
      </c>
      <c r="B1543" s="67" t="s">
        <v>1061</v>
      </c>
      <c r="C1543" s="27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</row>
    <row r="1544" spans="1:58" s="55" customFormat="1" ht="31.5" hidden="1" x14ac:dyDescent="0.25">
      <c r="A1544" s="275" t="s">
        <v>1062</v>
      </c>
      <c r="B1544" s="276" t="s">
        <v>1063</v>
      </c>
      <c r="C1544" s="278">
        <f>SUM(C1545:C1550)</f>
        <v>0</v>
      </c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</row>
    <row r="1545" spans="1:58" s="55" customFormat="1" ht="15.75" hidden="1" x14ac:dyDescent="0.25">
      <c r="A1545" s="272" t="s">
        <v>1064</v>
      </c>
      <c r="B1545" s="67" t="s">
        <v>1037</v>
      </c>
      <c r="C1545" s="273">
        <f>+C1187</f>
        <v>0</v>
      </c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</row>
    <row r="1546" spans="1:58" s="55" customFormat="1" ht="15.75" hidden="1" x14ac:dyDescent="0.25">
      <c r="A1546" s="274" t="s">
        <v>1065</v>
      </c>
      <c r="B1546" s="67" t="s">
        <v>1041</v>
      </c>
      <c r="C1546" s="273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</row>
    <row r="1547" spans="1:58" s="55" customFormat="1" ht="15.75" hidden="1" x14ac:dyDescent="0.25">
      <c r="A1547" s="272" t="s">
        <v>1066</v>
      </c>
      <c r="B1547" s="67" t="s">
        <v>1043</v>
      </c>
      <c r="C1547" s="273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</row>
    <row r="1548" spans="1:58" s="55" customFormat="1" ht="15.75" hidden="1" x14ac:dyDescent="0.25">
      <c r="A1548" s="272" t="s">
        <v>1067</v>
      </c>
      <c r="B1548" s="67" t="s">
        <v>1047</v>
      </c>
      <c r="C1548" s="273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</row>
    <row r="1549" spans="1:58" s="55" customFormat="1" ht="15.75" hidden="1" x14ac:dyDescent="0.25">
      <c r="A1549" s="274" t="s">
        <v>1068</v>
      </c>
      <c r="B1549" s="67" t="s">
        <v>1069</v>
      </c>
      <c r="C1549" s="27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</row>
    <row r="1550" spans="1:58" s="55" customFormat="1" ht="15.75" hidden="1" x14ac:dyDescent="0.25">
      <c r="A1550" s="272" t="s">
        <v>1070</v>
      </c>
      <c r="B1550" s="67" t="s">
        <v>1053</v>
      </c>
      <c r="C1550" s="273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</row>
    <row r="1551" spans="1:58" s="55" customFormat="1" ht="47.25" hidden="1" x14ac:dyDescent="0.25">
      <c r="A1551" s="275" t="s">
        <v>1071</v>
      </c>
      <c r="B1551" s="276" t="s">
        <v>1072</v>
      </c>
      <c r="C1551" s="278" t="e">
        <f>SUM(C1552:C1564)</f>
        <v>#REF!</v>
      </c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</row>
    <row r="1552" spans="1:58" s="55" customFormat="1" ht="15.75" hidden="1" x14ac:dyDescent="0.25">
      <c r="A1552" s="274" t="s">
        <v>1073</v>
      </c>
      <c r="B1552" s="67" t="s">
        <v>1037</v>
      </c>
      <c r="C1552" s="273" t="e">
        <f>+C1160+C249+#REF!+C277</f>
        <v>#REF!</v>
      </c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</row>
    <row r="1553" spans="1:58" s="55" customFormat="1" ht="15.75" hidden="1" x14ac:dyDescent="0.25">
      <c r="A1553" s="274" t="s">
        <v>1074</v>
      </c>
      <c r="B1553" s="67" t="s">
        <v>1039</v>
      </c>
      <c r="C1553" s="273">
        <f>+C221+C226</f>
        <v>0</v>
      </c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</row>
    <row r="1554" spans="1:58" s="55" customFormat="1" ht="15.75" hidden="1" x14ac:dyDescent="0.25">
      <c r="A1554" s="274" t="s">
        <v>1075</v>
      </c>
      <c r="B1554" s="67" t="s">
        <v>1041</v>
      </c>
      <c r="C1554" s="273">
        <f>+C1155</f>
        <v>55199123062</v>
      </c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</row>
    <row r="1555" spans="1:58" s="55" customFormat="1" ht="15.75" hidden="1" x14ac:dyDescent="0.25">
      <c r="A1555" s="274" t="s">
        <v>1076</v>
      </c>
      <c r="B1555" s="67" t="s">
        <v>1043</v>
      </c>
      <c r="C1555" s="279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</row>
    <row r="1556" spans="1:58" s="55" customFormat="1" ht="15.75" hidden="1" x14ac:dyDescent="0.25">
      <c r="A1556" s="274" t="s">
        <v>1077</v>
      </c>
      <c r="B1556" s="67" t="s">
        <v>1045</v>
      </c>
      <c r="C1556" s="273" t="e">
        <f>SUM(C684:C796)+#REF!+C241-#REF!-#REF!-#REF!-#REF!-#REF!-#REF!-C717-C750-#REF!-#REF!-C786-C795-#REF!-#REF!-#REF!-C685-C688-C760-#REF!-C773-#REF!-#REF!-C780</f>
        <v>#REF!</v>
      </c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</row>
    <row r="1557" spans="1:58" s="55" customFormat="1" ht="15.75" hidden="1" x14ac:dyDescent="0.25">
      <c r="A1557" s="274" t="s">
        <v>1078</v>
      </c>
      <c r="B1557" s="67" t="s">
        <v>1047</v>
      </c>
      <c r="C1557" s="273">
        <v>0</v>
      </c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</row>
    <row r="1558" spans="1:58" s="55" customFormat="1" ht="15.75" hidden="1" x14ac:dyDescent="0.25">
      <c r="A1558" s="274" t="s">
        <v>1079</v>
      </c>
      <c r="B1558" s="67" t="s">
        <v>1049</v>
      </c>
      <c r="C1558" s="193" t="e">
        <f>+#REF!+#REF!+C803</f>
        <v>#REF!</v>
      </c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</row>
    <row r="1559" spans="1:58" s="55" customFormat="1" ht="15.75" hidden="1" x14ac:dyDescent="0.25">
      <c r="A1559" s="274" t="s">
        <v>1080</v>
      </c>
      <c r="B1559" s="67" t="s">
        <v>1051</v>
      </c>
      <c r="C1559" s="193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</row>
    <row r="1560" spans="1:58" s="55" customFormat="1" ht="15.75" hidden="1" x14ac:dyDescent="0.25">
      <c r="A1560" s="274" t="s">
        <v>1081</v>
      </c>
      <c r="B1560" s="67" t="s">
        <v>1053</v>
      </c>
      <c r="C1560" s="273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</row>
    <row r="1561" spans="1:58" s="55" customFormat="1" ht="15.75" hidden="1" x14ac:dyDescent="0.25">
      <c r="A1561" s="274" t="s">
        <v>1082</v>
      </c>
      <c r="B1561" s="67" t="s">
        <v>1055</v>
      </c>
      <c r="C1561" s="273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</row>
    <row r="1562" spans="1:58" s="55" customFormat="1" ht="15.75" hidden="1" x14ac:dyDescent="0.25">
      <c r="A1562" s="274" t="s">
        <v>1083</v>
      </c>
      <c r="B1562" s="67" t="s">
        <v>1057</v>
      </c>
      <c r="C1562" s="193" t="e">
        <f>+C961+C966+C967+#REF!+#REF!+#REF!+#REF!+#REF!+C972+#REF!+#REF!</f>
        <v>#REF!</v>
      </c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</row>
    <row r="1563" spans="1:58" s="55" customFormat="1" ht="15.75" hidden="1" x14ac:dyDescent="0.25">
      <c r="A1563" s="274" t="s">
        <v>1084</v>
      </c>
      <c r="B1563" s="67" t="s">
        <v>1059</v>
      </c>
      <c r="C1563" s="193">
        <f>+C892+C898</f>
        <v>0</v>
      </c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</row>
    <row r="1564" spans="1:58" s="55" customFormat="1" ht="15.75" hidden="1" x14ac:dyDescent="0.25">
      <c r="A1564" s="274" t="s">
        <v>1085</v>
      </c>
      <c r="B1564" s="67" t="s">
        <v>1086</v>
      </c>
      <c r="C1564" s="273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</row>
    <row r="1565" spans="1:58" s="55" customFormat="1" ht="15.75" hidden="1" x14ac:dyDescent="0.25">
      <c r="A1565" s="274" t="s">
        <v>1087</v>
      </c>
      <c r="B1565" s="67" t="s">
        <v>1061</v>
      </c>
      <c r="C1565" s="193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</row>
    <row r="1566" spans="1:58" s="55" customFormat="1" ht="31.5" hidden="1" x14ac:dyDescent="0.25">
      <c r="A1566" s="274" t="s">
        <v>1088</v>
      </c>
      <c r="B1566" s="276" t="s">
        <v>1089</v>
      </c>
      <c r="C1566" s="278" t="e">
        <f>+C1567+C1581+C1588</f>
        <v>#REF!</v>
      </c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</row>
    <row r="1567" spans="1:58" s="55" customFormat="1" ht="31.5" hidden="1" x14ac:dyDescent="0.25">
      <c r="A1567" s="274" t="s">
        <v>1090</v>
      </c>
      <c r="B1567" s="63" t="s">
        <v>1035</v>
      </c>
      <c r="C1567" s="193">
        <f>SUM(C1568:C1580)</f>
        <v>0</v>
      </c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</row>
    <row r="1568" spans="1:58" s="55" customFormat="1" ht="15.75" hidden="1" x14ac:dyDescent="0.25">
      <c r="A1568" s="274" t="s">
        <v>1091</v>
      </c>
      <c r="B1568" s="67" t="s">
        <v>1037</v>
      </c>
      <c r="C1568" s="273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</row>
    <row r="1569" spans="1:58" s="55" customFormat="1" ht="15.75" hidden="1" x14ac:dyDescent="0.25">
      <c r="A1569" s="274" t="s">
        <v>1092</v>
      </c>
      <c r="B1569" s="67" t="s">
        <v>1039</v>
      </c>
      <c r="C1569" s="193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</row>
    <row r="1570" spans="1:58" s="55" customFormat="1" ht="15.75" hidden="1" x14ac:dyDescent="0.25">
      <c r="A1570" s="274" t="s">
        <v>1093</v>
      </c>
      <c r="B1570" s="67" t="s">
        <v>1041</v>
      </c>
      <c r="C1570" s="193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</row>
    <row r="1571" spans="1:58" s="55" customFormat="1" ht="15.75" hidden="1" x14ac:dyDescent="0.25">
      <c r="A1571" s="274" t="s">
        <v>1094</v>
      </c>
      <c r="B1571" s="67" t="s">
        <v>1043</v>
      </c>
      <c r="C1571" s="193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</row>
    <row r="1572" spans="1:58" s="55" customFormat="1" ht="15.75" hidden="1" x14ac:dyDescent="0.25">
      <c r="A1572" s="274" t="s">
        <v>1095</v>
      </c>
      <c r="B1572" s="67" t="s">
        <v>1045</v>
      </c>
      <c r="C1572" s="193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</row>
    <row r="1573" spans="1:58" s="55" customFormat="1" ht="15.75" hidden="1" x14ac:dyDescent="0.25">
      <c r="A1573" s="274" t="s">
        <v>1096</v>
      </c>
      <c r="B1573" s="67" t="s">
        <v>1047</v>
      </c>
      <c r="C1573" s="19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</row>
    <row r="1574" spans="1:58" s="55" customFormat="1" ht="15.75" hidden="1" x14ac:dyDescent="0.25">
      <c r="A1574" s="274" t="s">
        <v>1097</v>
      </c>
      <c r="B1574" s="67" t="s">
        <v>1049</v>
      </c>
      <c r="C1574" s="273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</row>
    <row r="1575" spans="1:58" s="55" customFormat="1" ht="15.75" hidden="1" x14ac:dyDescent="0.25">
      <c r="A1575" s="274" t="s">
        <v>1098</v>
      </c>
      <c r="B1575" s="67" t="s">
        <v>1051</v>
      </c>
      <c r="C1575" s="193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</row>
    <row r="1576" spans="1:58" s="55" customFormat="1" ht="15.75" hidden="1" x14ac:dyDescent="0.25">
      <c r="A1576" s="274" t="s">
        <v>1099</v>
      </c>
      <c r="B1576" s="67" t="s">
        <v>1053</v>
      </c>
      <c r="C1576" s="193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</row>
    <row r="1577" spans="1:58" s="55" customFormat="1" ht="15.75" hidden="1" x14ac:dyDescent="0.25">
      <c r="A1577" s="274" t="s">
        <v>1100</v>
      </c>
      <c r="B1577" s="67" t="s">
        <v>1055</v>
      </c>
      <c r="C1577" s="273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</row>
    <row r="1578" spans="1:58" s="55" customFormat="1" ht="15.75" hidden="1" x14ac:dyDescent="0.25">
      <c r="A1578" s="274" t="s">
        <v>1101</v>
      </c>
      <c r="B1578" s="67" t="s">
        <v>1057</v>
      </c>
      <c r="C1578" s="273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</row>
    <row r="1579" spans="1:58" s="55" customFormat="1" ht="15.75" hidden="1" x14ac:dyDescent="0.25">
      <c r="A1579" s="274" t="s">
        <v>1102</v>
      </c>
      <c r="B1579" s="67" t="s">
        <v>1059</v>
      </c>
      <c r="C1579" s="273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</row>
    <row r="1580" spans="1:58" s="55" customFormat="1" ht="15.75" hidden="1" x14ac:dyDescent="0.25">
      <c r="A1580" s="274" t="s">
        <v>1103</v>
      </c>
      <c r="B1580" s="67" t="s">
        <v>1104</v>
      </c>
      <c r="C1580" s="273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</row>
    <row r="1581" spans="1:58" s="55" customFormat="1" ht="31.5" hidden="1" x14ac:dyDescent="0.25">
      <c r="A1581" s="274" t="s">
        <v>1105</v>
      </c>
      <c r="B1581" s="63" t="s">
        <v>1063</v>
      </c>
      <c r="C1581" s="189">
        <f>SUM(C1582:C1587)</f>
        <v>0</v>
      </c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</row>
    <row r="1582" spans="1:58" s="55" customFormat="1" ht="15.75" hidden="1" x14ac:dyDescent="0.25">
      <c r="A1582" s="272" t="s">
        <v>1106</v>
      </c>
      <c r="B1582" s="67" t="s">
        <v>1037</v>
      </c>
      <c r="C1582" s="193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</row>
    <row r="1583" spans="1:58" s="55" customFormat="1" ht="15.75" hidden="1" x14ac:dyDescent="0.25">
      <c r="A1583" s="274" t="s">
        <v>1107</v>
      </c>
      <c r="B1583" s="67" t="s">
        <v>1041</v>
      </c>
      <c r="C1583" s="19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</row>
    <row r="1584" spans="1:58" s="55" customFormat="1" ht="15.75" hidden="1" x14ac:dyDescent="0.25">
      <c r="A1584" s="272" t="s">
        <v>1108</v>
      </c>
      <c r="B1584" s="67" t="s">
        <v>1043</v>
      </c>
      <c r="C1584" s="193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</row>
    <row r="1585" spans="1:58" s="55" customFormat="1" ht="15.75" hidden="1" x14ac:dyDescent="0.25">
      <c r="A1585" s="272" t="s">
        <v>1109</v>
      </c>
      <c r="B1585" s="67" t="s">
        <v>1047</v>
      </c>
      <c r="C1585" s="193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</row>
    <row r="1586" spans="1:58" s="55" customFormat="1" ht="15.75" hidden="1" x14ac:dyDescent="0.25">
      <c r="A1586" s="274" t="s">
        <v>1110</v>
      </c>
      <c r="B1586" s="67" t="s">
        <v>1051</v>
      </c>
      <c r="C1586" s="193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</row>
    <row r="1587" spans="1:58" s="55" customFormat="1" ht="15.75" hidden="1" x14ac:dyDescent="0.25">
      <c r="A1587" s="272" t="s">
        <v>1111</v>
      </c>
      <c r="B1587" s="67" t="s">
        <v>1053</v>
      </c>
      <c r="C1587" s="193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</row>
    <row r="1588" spans="1:58" s="55" customFormat="1" ht="47.25" hidden="1" x14ac:dyDescent="0.25">
      <c r="A1588" s="275" t="s">
        <v>1112</v>
      </c>
      <c r="B1588" s="276" t="s">
        <v>1072</v>
      </c>
      <c r="C1588" s="189" t="e">
        <f>SUM(C1589:C1602)</f>
        <v>#REF!</v>
      </c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</row>
    <row r="1589" spans="1:58" s="55" customFormat="1" ht="15.75" hidden="1" x14ac:dyDescent="0.25">
      <c r="A1589" s="274" t="s">
        <v>1113</v>
      </c>
      <c r="B1589" s="67" t="s">
        <v>1037</v>
      </c>
      <c r="C1589" s="193" t="e">
        <f>+#REF!+C1161</f>
        <v>#REF!</v>
      </c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</row>
    <row r="1590" spans="1:58" s="55" customFormat="1" ht="15.75" hidden="1" x14ac:dyDescent="0.25">
      <c r="A1590" s="274" t="s">
        <v>1114</v>
      </c>
      <c r="B1590" s="67" t="s">
        <v>1039</v>
      </c>
      <c r="C1590" s="193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</row>
    <row r="1591" spans="1:58" s="55" customFormat="1" ht="15.75" hidden="1" x14ac:dyDescent="0.25">
      <c r="A1591" s="274" t="s">
        <v>1115</v>
      </c>
      <c r="B1591" s="67" t="s">
        <v>1041</v>
      </c>
      <c r="C1591" s="193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</row>
    <row r="1592" spans="1:58" s="55" customFormat="1" ht="15.75" hidden="1" x14ac:dyDescent="0.25">
      <c r="A1592" s="274" t="s">
        <v>1116</v>
      </c>
      <c r="B1592" s="67" t="s">
        <v>1043</v>
      </c>
      <c r="C1592" s="193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</row>
    <row r="1593" spans="1:58" s="55" customFormat="1" ht="15.75" hidden="1" x14ac:dyDescent="0.25">
      <c r="A1593" s="274" t="s">
        <v>1117</v>
      </c>
      <c r="B1593" s="67" t="s">
        <v>1045</v>
      </c>
      <c r="C1593" s="27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</row>
    <row r="1594" spans="1:58" s="55" customFormat="1" ht="15.75" hidden="1" x14ac:dyDescent="0.25">
      <c r="A1594" s="274" t="s">
        <v>1118</v>
      </c>
      <c r="B1594" s="67" t="s">
        <v>1047</v>
      </c>
      <c r="C1594" s="279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</row>
    <row r="1595" spans="1:58" s="55" customFormat="1" ht="15.75" hidden="1" x14ac:dyDescent="0.25">
      <c r="A1595" s="274" t="s">
        <v>1119</v>
      </c>
      <c r="B1595" s="67" t="s">
        <v>1049</v>
      </c>
      <c r="C1595" s="273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</row>
    <row r="1596" spans="1:58" s="55" customFormat="1" ht="15.75" hidden="1" x14ac:dyDescent="0.25">
      <c r="A1596" s="274" t="s">
        <v>1120</v>
      </c>
      <c r="B1596" s="67" t="s">
        <v>1051</v>
      </c>
      <c r="C1596" s="193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</row>
    <row r="1597" spans="1:58" s="55" customFormat="1" ht="15.75" hidden="1" x14ac:dyDescent="0.25">
      <c r="A1597" s="274" t="s">
        <v>1121</v>
      </c>
      <c r="B1597" s="67" t="s">
        <v>1053</v>
      </c>
      <c r="C1597" s="193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</row>
    <row r="1598" spans="1:58" s="55" customFormat="1" ht="15.75" hidden="1" x14ac:dyDescent="0.25">
      <c r="A1598" s="274" t="s">
        <v>1122</v>
      </c>
      <c r="B1598" s="67" t="s">
        <v>1055</v>
      </c>
      <c r="C1598" s="273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</row>
    <row r="1599" spans="1:58" s="55" customFormat="1" ht="15.75" hidden="1" x14ac:dyDescent="0.25">
      <c r="A1599" s="274" t="s">
        <v>1123</v>
      </c>
      <c r="B1599" s="67" t="s">
        <v>1057</v>
      </c>
      <c r="C1599" s="273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</row>
    <row r="1600" spans="1:58" s="55" customFormat="1" ht="15.75" hidden="1" x14ac:dyDescent="0.25">
      <c r="A1600" s="274" t="s">
        <v>1124</v>
      </c>
      <c r="B1600" s="67" t="s">
        <v>1059</v>
      </c>
      <c r="C1600" s="193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</row>
    <row r="1601" spans="1:58" s="55" customFormat="1" ht="15.75" hidden="1" x14ac:dyDescent="0.25">
      <c r="A1601" s="274" t="s">
        <v>1125</v>
      </c>
      <c r="B1601" s="67" t="s">
        <v>1086</v>
      </c>
      <c r="C1601" s="193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</row>
    <row r="1602" spans="1:58" s="55" customFormat="1" ht="15.75" hidden="1" x14ac:dyDescent="0.25">
      <c r="A1602" s="274" t="s">
        <v>1126</v>
      </c>
      <c r="B1602" s="67" t="s">
        <v>1104</v>
      </c>
      <c r="C1602" s="193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</row>
    <row r="1603" spans="1:58" s="55" customFormat="1" ht="15.75" hidden="1" x14ac:dyDescent="0.25">
      <c r="A1603" s="275" t="s">
        <v>1127</v>
      </c>
      <c r="B1603" s="276" t="s">
        <v>1128</v>
      </c>
      <c r="C1603" s="189" t="e">
        <f>+C1618+C1604+C1624</f>
        <v>#REF!</v>
      </c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</row>
    <row r="1604" spans="1:58" s="55" customFormat="1" ht="31.5" hidden="1" x14ac:dyDescent="0.25">
      <c r="A1604" s="275" t="s">
        <v>1129</v>
      </c>
      <c r="B1604" s="276" t="s">
        <v>1035</v>
      </c>
      <c r="C1604" s="193" t="e">
        <f>SUM(C1605:C1617)</f>
        <v>#REF!</v>
      </c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</row>
    <row r="1605" spans="1:58" s="55" customFormat="1" ht="15.75" hidden="1" x14ac:dyDescent="0.25">
      <c r="A1605" s="274" t="s">
        <v>1130</v>
      </c>
      <c r="B1605" s="67" t="s">
        <v>1037</v>
      </c>
      <c r="C1605" s="193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</row>
    <row r="1606" spans="1:58" s="55" customFormat="1" ht="15.75" hidden="1" x14ac:dyDescent="0.25">
      <c r="A1606" s="274" t="s">
        <v>1131</v>
      </c>
      <c r="B1606" s="67" t="s">
        <v>1039</v>
      </c>
      <c r="C1606" s="193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</row>
    <row r="1607" spans="1:58" s="55" customFormat="1" ht="15.75" hidden="1" x14ac:dyDescent="0.25">
      <c r="A1607" s="274" t="s">
        <v>1132</v>
      </c>
      <c r="B1607" s="67" t="s">
        <v>1041</v>
      </c>
      <c r="C1607" s="193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</row>
    <row r="1608" spans="1:58" s="55" customFormat="1" ht="15.75" hidden="1" x14ac:dyDescent="0.25">
      <c r="A1608" s="274" t="s">
        <v>1133</v>
      </c>
      <c r="B1608" s="67" t="s">
        <v>1043</v>
      </c>
      <c r="C1608" s="193">
        <f>+C583</f>
        <v>0</v>
      </c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</row>
    <row r="1609" spans="1:58" s="55" customFormat="1" ht="15.75" hidden="1" x14ac:dyDescent="0.25">
      <c r="A1609" s="274" t="s">
        <v>1134</v>
      </c>
      <c r="B1609" s="67" t="s">
        <v>1045</v>
      </c>
      <c r="C1609" s="273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</row>
    <row r="1610" spans="1:58" s="55" customFormat="1" ht="15.75" hidden="1" x14ac:dyDescent="0.25">
      <c r="A1610" s="274" t="s">
        <v>1135</v>
      </c>
      <c r="B1610" s="67" t="s">
        <v>1047</v>
      </c>
      <c r="C1610" s="273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</row>
    <row r="1611" spans="1:58" s="55" customFormat="1" ht="15.75" hidden="1" x14ac:dyDescent="0.25">
      <c r="A1611" s="274" t="s">
        <v>1136</v>
      </c>
      <c r="B1611" s="67" t="s">
        <v>1049</v>
      </c>
      <c r="C1611" s="193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</row>
    <row r="1612" spans="1:58" s="55" customFormat="1" ht="15.75" hidden="1" x14ac:dyDescent="0.25">
      <c r="A1612" s="274" t="s">
        <v>1137</v>
      </c>
      <c r="B1612" s="67" t="s">
        <v>1051</v>
      </c>
      <c r="C1612" s="273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</row>
    <row r="1613" spans="1:58" s="55" customFormat="1" ht="15.75" hidden="1" x14ac:dyDescent="0.25">
      <c r="A1613" s="274" t="s">
        <v>1138</v>
      </c>
      <c r="B1613" s="67" t="s">
        <v>1053</v>
      </c>
      <c r="C1613" s="193" t="e">
        <f>+#REF!</f>
        <v>#REF!</v>
      </c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</row>
    <row r="1614" spans="1:58" s="55" customFormat="1" ht="15.75" hidden="1" x14ac:dyDescent="0.25">
      <c r="A1614" s="274" t="s">
        <v>1139</v>
      </c>
      <c r="B1614" s="67" t="s">
        <v>1055</v>
      </c>
      <c r="C1614" s="193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</row>
    <row r="1615" spans="1:58" s="55" customFormat="1" ht="15.75" hidden="1" x14ac:dyDescent="0.25">
      <c r="A1615" s="274" t="s">
        <v>1140</v>
      </c>
      <c r="B1615" s="67" t="s">
        <v>1057</v>
      </c>
      <c r="C1615" s="193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</row>
    <row r="1616" spans="1:58" s="55" customFormat="1" ht="15.75" hidden="1" x14ac:dyDescent="0.25">
      <c r="A1616" s="274" t="s">
        <v>1141</v>
      </c>
      <c r="B1616" s="67" t="s">
        <v>1059</v>
      </c>
      <c r="C1616" s="193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</row>
    <row r="1617" spans="1:58" s="55" customFormat="1" ht="15.75" hidden="1" x14ac:dyDescent="0.25">
      <c r="A1617" s="274" t="s">
        <v>1142</v>
      </c>
      <c r="B1617" s="67" t="s">
        <v>1104</v>
      </c>
      <c r="C1617" s="193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</row>
    <row r="1618" spans="1:58" s="55" customFormat="1" ht="31.5" hidden="1" x14ac:dyDescent="0.25">
      <c r="A1618" s="275" t="s">
        <v>1143</v>
      </c>
      <c r="B1618" s="276" t="s">
        <v>1063</v>
      </c>
      <c r="C1618" s="189" t="e">
        <f>SUM(C1619:C1623)</f>
        <v>#REF!</v>
      </c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</row>
    <row r="1619" spans="1:58" s="55" customFormat="1" ht="15.75" hidden="1" x14ac:dyDescent="0.25">
      <c r="A1619" s="274" t="s">
        <v>1144</v>
      </c>
      <c r="B1619" s="67" t="s">
        <v>1037</v>
      </c>
      <c r="C1619" s="193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</row>
    <row r="1620" spans="1:58" s="55" customFormat="1" ht="15.75" hidden="1" x14ac:dyDescent="0.25">
      <c r="A1620" s="274" t="s">
        <v>1145</v>
      </c>
      <c r="B1620" s="67" t="s">
        <v>1041</v>
      </c>
      <c r="C1620" s="193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</row>
    <row r="1621" spans="1:58" s="55" customFormat="1" ht="15.75" hidden="1" x14ac:dyDescent="0.25">
      <c r="A1621" s="274" t="s">
        <v>1146</v>
      </c>
      <c r="B1621" s="67" t="s">
        <v>1043</v>
      </c>
      <c r="C1621" s="193" t="e">
        <f>+#REF!+C650+C655+#REF!+#REF!+C580+#REF!</f>
        <v>#REF!</v>
      </c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</row>
    <row r="1622" spans="1:58" s="55" customFormat="1" ht="15.75" hidden="1" x14ac:dyDescent="0.25">
      <c r="A1622" s="274" t="s">
        <v>1147</v>
      </c>
      <c r="B1622" s="67" t="s">
        <v>1047</v>
      </c>
      <c r="C1622" s="193" t="e">
        <f>+#REF!+C427+C481+C484+C485+C487+C489+#REF!+C536+#REF!+C491+#REF!</f>
        <v>#REF!</v>
      </c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</row>
    <row r="1623" spans="1:58" s="55" customFormat="1" ht="15.75" hidden="1" x14ac:dyDescent="0.25">
      <c r="A1623" s="274" t="s">
        <v>1148</v>
      </c>
      <c r="B1623" s="67" t="s">
        <v>1053</v>
      </c>
      <c r="C1623" s="19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</row>
    <row r="1624" spans="1:58" s="55" customFormat="1" ht="34.5" hidden="1" customHeight="1" x14ac:dyDescent="0.25">
      <c r="A1624" s="274" t="s">
        <v>1149</v>
      </c>
      <c r="B1624" s="63" t="s">
        <v>1072</v>
      </c>
      <c r="C1624" s="278" t="e">
        <f>SUM(C1625:C1638)</f>
        <v>#REF!</v>
      </c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</row>
    <row r="1625" spans="1:58" s="55" customFormat="1" ht="15.75" hidden="1" x14ac:dyDescent="0.25">
      <c r="A1625" s="274" t="s">
        <v>1150</v>
      </c>
      <c r="B1625" s="67" t="s">
        <v>1037</v>
      </c>
      <c r="C1625" s="193" t="e">
        <f>+C314+#REF!+#REF!+C309+C311+C248+#REF!+C317+#REF!</f>
        <v>#REF!</v>
      </c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</row>
    <row r="1626" spans="1:58" s="55" customFormat="1" ht="15.75" hidden="1" x14ac:dyDescent="0.25">
      <c r="A1626" s="274" t="s">
        <v>1151</v>
      </c>
      <c r="B1626" s="67" t="s">
        <v>1152</v>
      </c>
      <c r="C1626" s="273" t="e">
        <f>+#REF!+C223+#REF!+C231+C233+#REF!+#REF!+#REF!+#REF!+C230</f>
        <v>#REF!</v>
      </c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</row>
    <row r="1627" spans="1:58" s="55" customFormat="1" ht="15.75" hidden="1" x14ac:dyDescent="0.25">
      <c r="A1627" s="274" t="s">
        <v>1153</v>
      </c>
      <c r="B1627" s="67" t="s">
        <v>1041</v>
      </c>
      <c r="C1627" s="193">
        <f>+C1154+C1159+C1163+C1168+C1164</f>
        <v>859985314717.974</v>
      </c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</row>
    <row r="1628" spans="1:58" s="55" customFormat="1" ht="15.75" hidden="1" x14ac:dyDescent="0.25">
      <c r="A1628" s="274" t="s">
        <v>1154</v>
      </c>
      <c r="B1628" s="67" t="s">
        <v>1043</v>
      </c>
      <c r="C1628" s="193" t="e">
        <f>+#REF!+#REF!+C572+#REF!+#REF!+#REF!+C578+#REF!+#REF!+#REF!+#REF!+#REF!</f>
        <v>#REF!</v>
      </c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</row>
    <row r="1629" spans="1:58" s="55" customFormat="1" ht="15.75" hidden="1" x14ac:dyDescent="0.25">
      <c r="A1629" s="274" t="s">
        <v>1155</v>
      </c>
      <c r="B1629" s="67" t="s">
        <v>1045</v>
      </c>
      <c r="C1629" s="193" t="e">
        <f>+C188+#REF!+#REF!+#REF!+#REF!+#REF!+#REF!+#REF!+#REF!+#REF!+C717+C750+#REF!+#REF!+C795+C786+#REF!+#REF!+#REF!+C685+C688+C760+#REF!+C773+#REF!+#REF!+C780+C240+#REF!</f>
        <v>#REF!</v>
      </c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</row>
    <row r="1630" spans="1:58" s="55" customFormat="1" ht="15.75" hidden="1" x14ac:dyDescent="0.25">
      <c r="A1630" s="274" t="s">
        <v>1156</v>
      </c>
      <c r="B1630" s="67" t="s">
        <v>1047</v>
      </c>
      <c r="C1630" s="193" t="e">
        <f>+#REF!+C493+C528+C530+C532</f>
        <v>#REF!</v>
      </c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</row>
    <row r="1631" spans="1:58" s="55" customFormat="1" ht="15.75" hidden="1" x14ac:dyDescent="0.25">
      <c r="A1631" s="274" t="s">
        <v>1157</v>
      </c>
      <c r="B1631" s="67" t="s">
        <v>1049</v>
      </c>
      <c r="C1631" s="193" t="e">
        <f>+C881+#REF!</f>
        <v>#REF!</v>
      </c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</row>
    <row r="1632" spans="1:58" s="55" customFormat="1" ht="15.75" hidden="1" x14ac:dyDescent="0.25">
      <c r="A1632" s="274" t="s">
        <v>1158</v>
      </c>
      <c r="B1632" s="67" t="s">
        <v>1051</v>
      </c>
      <c r="C1632" s="193" t="e">
        <f>+C252+#REF!+#REF!+C254+#REF!</f>
        <v>#REF!</v>
      </c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</row>
    <row r="1633" spans="1:58" s="55" customFormat="1" ht="15.75" hidden="1" x14ac:dyDescent="0.25">
      <c r="A1633" s="274" t="s">
        <v>1159</v>
      </c>
      <c r="B1633" s="67" t="s">
        <v>1053</v>
      </c>
      <c r="C1633" s="19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</row>
    <row r="1634" spans="1:58" s="55" customFormat="1" ht="15.75" hidden="1" x14ac:dyDescent="0.25">
      <c r="A1634" s="274" t="s">
        <v>1160</v>
      </c>
      <c r="B1634" s="67" t="s">
        <v>1055</v>
      </c>
      <c r="C1634" s="193" t="e">
        <f>+#REF!+C273+#REF!+C933+C1130</f>
        <v>#REF!</v>
      </c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</row>
    <row r="1635" spans="1:58" s="55" customFormat="1" ht="15.75" hidden="1" x14ac:dyDescent="0.25">
      <c r="A1635" s="274" t="s">
        <v>1161</v>
      </c>
      <c r="B1635" s="67" t="s">
        <v>1057</v>
      </c>
      <c r="C1635" s="193" t="e">
        <f>+C956+C964+C965+C971+C974+#REF!+#REF!+#REF!+#REF!+#REF!+#REF!+#REF!+#REF!+#REF!+#REF!+#REF!+C1124+#REF!+#REF!</f>
        <v>#REF!</v>
      </c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</row>
    <row r="1636" spans="1:58" s="55" customFormat="1" ht="15.75" hidden="1" x14ac:dyDescent="0.25">
      <c r="A1636" s="274" t="s">
        <v>1162</v>
      </c>
      <c r="B1636" s="67" t="s">
        <v>1059</v>
      </c>
      <c r="C1636" s="193" t="e">
        <f>+C893+C896+C901+C903+C904+C908+C912+C913+C916+C923+C926+C943+C891+#REF!+#REF!+#REF!+#REF!+C929+C937+C940</f>
        <v>#REF!</v>
      </c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</row>
    <row r="1637" spans="1:58" s="55" customFormat="1" ht="15.75" hidden="1" x14ac:dyDescent="0.25">
      <c r="A1637" s="274" t="s">
        <v>1163</v>
      </c>
      <c r="B1637" s="67" t="s">
        <v>1086</v>
      </c>
      <c r="C1637" s="193" t="e">
        <f>+C1027+#REF!+C1075+C1082+C1092+C1094+C1097+C1106+#REF!+#REF!+#REF!+#REF!+#REF!+#REF!+C1068+C1018+C1029+C1031+#REF!+#REF!+#REF!</f>
        <v>#REF!</v>
      </c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</row>
    <row r="1638" spans="1:58" s="55" customFormat="1" ht="15.75" hidden="1" x14ac:dyDescent="0.25">
      <c r="A1638" s="274" t="s">
        <v>1164</v>
      </c>
      <c r="B1638" s="67" t="s">
        <v>1104</v>
      </c>
      <c r="C1638" s="193" t="e">
        <f>+#REF!+#REF!+C1073+C1086+C1100+C1110+C1114+C271+C265+#REF!+C1134+C1145+C1126+C918+C319+C1118+C1120+C1066+#REF!+#REF!+C299+C1099+C1111+C1112+C1176+C1178+C1180+#REF!</f>
        <v>#REF!</v>
      </c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</row>
    <row r="1639" spans="1:58" s="55" customFormat="1" ht="15.75" hidden="1" x14ac:dyDescent="0.25">
      <c r="A1639" s="274" t="s">
        <v>1165</v>
      </c>
      <c r="B1639" s="276" t="s">
        <v>1166</v>
      </c>
      <c r="C1639" s="193">
        <v>0</v>
      </c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</row>
    <row r="1640" spans="1:58" s="55" customFormat="1" ht="15.75" hidden="1" x14ac:dyDescent="0.25">
      <c r="A1640" s="274" t="s">
        <v>758</v>
      </c>
      <c r="B1640" s="276" t="s">
        <v>1167</v>
      </c>
      <c r="C1640" s="278" t="e">
        <f>+C1641+C1646</f>
        <v>#REF!</v>
      </c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</row>
    <row r="1641" spans="1:58" s="55" customFormat="1" ht="15.75" hidden="1" x14ac:dyDescent="0.25">
      <c r="A1641" s="274" t="s">
        <v>1168</v>
      </c>
      <c r="B1641" s="276" t="s">
        <v>1169</v>
      </c>
      <c r="C1641" s="278" t="e">
        <f>SUM(C1642:C1645)</f>
        <v>#REF!</v>
      </c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</row>
    <row r="1642" spans="1:58" s="55" customFormat="1" ht="15.75" hidden="1" x14ac:dyDescent="0.25">
      <c r="A1642" s="274" t="s">
        <v>1170</v>
      </c>
      <c r="B1642" s="67" t="s">
        <v>1171</v>
      </c>
      <c r="C1642" s="273" t="e">
        <f>+#REF!</f>
        <v>#REF!</v>
      </c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</row>
    <row r="1643" spans="1:58" s="55" customFormat="1" ht="15.75" hidden="1" x14ac:dyDescent="0.25">
      <c r="A1643" s="274" t="s">
        <v>1172</v>
      </c>
      <c r="B1643" s="67" t="s">
        <v>1173</v>
      </c>
      <c r="C1643" s="193" t="e">
        <f>+#REF!</f>
        <v>#REF!</v>
      </c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</row>
    <row r="1644" spans="1:58" s="55" customFormat="1" ht="15.75" hidden="1" x14ac:dyDescent="0.25">
      <c r="A1644" s="274" t="s">
        <v>1174</v>
      </c>
      <c r="B1644" s="67" t="s">
        <v>1175</v>
      </c>
      <c r="C1644" s="193">
        <v>0</v>
      </c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</row>
    <row r="1645" spans="1:58" s="55" customFormat="1" ht="15.75" hidden="1" x14ac:dyDescent="0.25">
      <c r="A1645" s="274" t="s">
        <v>1176</v>
      </c>
      <c r="B1645" s="67" t="s">
        <v>1177</v>
      </c>
      <c r="C1645" s="273" t="e">
        <f>+#REF!+#REF!+#REF!</f>
        <v>#REF!</v>
      </c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</row>
    <row r="1646" spans="1:58" s="55" customFormat="1" ht="15.75" hidden="1" x14ac:dyDescent="0.25">
      <c r="A1646" s="274" t="s">
        <v>1178</v>
      </c>
      <c r="B1646" s="63" t="s">
        <v>1179</v>
      </c>
      <c r="C1646" s="278">
        <f>SUM(C1647:C1649)</f>
        <v>0</v>
      </c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</row>
    <row r="1647" spans="1:58" s="55" customFormat="1" ht="15.75" hidden="1" x14ac:dyDescent="0.25">
      <c r="A1647" s="274" t="s">
        <v>1180</v>
      </c>
      <c r="B1647" s="67" t="s">
        <v>1171</v>
      </c>
      <c r="C1647" s="273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</row>
    <row r="1648" spans="1:58" s="55" customFormat="1" ht="15.75" hidden="1" x14ac:dyDescent="0.25">
      <c r="A1648" s="274" t="s">
        <v>1181</v>
      </c>
      <c r="B1648" s="67" t="s">
        <v>1173</v>
      </c>
      <c r="C1648" s="273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</row>
    <row r="1649" spans="1:58" s="55" customFormat="1" ht="15.75" hidden="1" x14ac:dyDescent="0.25">
      <c r="A1649" s="274" t="s">
        <v>1182</v>
      </c>
      <c r="B1649" s="67" t="s">
        <v>1175</v>
      </c>
      <c r="C1649" s="273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</row>
    <row r="1650" spans="1:58" s="55" customFormat="1" ht="15.75" hidden="1" x14ac:dyDescent="0.25">
      <c r="A1650" s="280"/>
      <c r="B1650" s="281"/>
      <c r="C1650" s="97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</row>
    <row r="1651" spans="1:58" s="55" customFormat="1" ht="15.75" hidden="1" x14ac:dyDescent="0.25">
      <c r="A1651" s="282"/>
      <c r="B1651" s="241"/>
      <c r="C1651" s="97" t="e">
        <f>+C1657+C1467</f>
        <v>#REF!</v>
      </c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</row>
    <row r="1652" spans="1:58" s="55" customFormat="1" ht="60.75" hidden="1" x14ac:dyDescent="0.25">
      <c r="A1652" s="283" t="s">
        <v>1183</v>
      </c>
      <c r="B1652" s="284"/>
      <c r="C1652" s="97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</row>
    <row r="1653" spans="1:58" s="55" customFormat="1" ht="15.75" hidden="1" x14ac:dyDescent="0.25">
      <c r="A1653" s="233"/>
      <c r="B1653" s="284"/>
      <c r="C1653" s="229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</row>
    <row r="1654" spans="1:58" s="55" customFormat="1" ht="31.5" hidden="1" x14ac:dyDescent="0.25">
      <c r="A1654" s="285" t="s">
        <v>1184</v>
      </c>
      <c r="B1654" s="286" t="s">
        <v>843</v>
      </c>
      <c r="C1654" s="287" t="s">
        <v>1185</v>
      </c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</row>
    <row r="1655" spans="1:58" s="55" customFormat="1" ht="15.75" hidden="1" x14ac:dyDescent="0.25">
      <c r="A1655" s="288"/>
      <c r="B1655" s="289"/>
      <c r="C1655" s="290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</row>
    <row r="1656" spans="1:58" s="55" customFormat="1" ht="16.5" hidden="1" thickBot="1" x14ac:dyDescent="0.3">
      <c r="A1656" s="291"/>
      <c r="B1656" s="292"/>
      <c r="C1656" s="293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</row>
    <row r="1657" spans="1:58" s="55" customFormat="1" ht="15.75" hidden="1" x14ac:dyDescent="0.25">
      <c r="A1657" s="246" t="s">
        <v>1186</v>
      </c>
      <c r="B1657" s="294"/>
      <c r="C1657" s="295" t="e">
        <f>SUM(C1658:C1660)</f>
        <v>#REF!</v>
      </c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</row>
    <row r="1658" spans="1:58" s="55" customFormat="1" ht="15.75" hidden="1" x14ac:dyDescent="0.25">
      <c r="A1658" s="252" t="s">
        <v>1187</v>
      </c>
      <c r="B1658" s="296" t="s">
        <v>1188</v>
      </c>
      <c r="C1658" s="297" t="e">
        <f>+#REF!+#REF!</f>
        <v>#REF!</v>
      </c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</row>
    <row r="1659" spans="1:58" s="55" customFormat="1" ht="15.75" hidden="1" x14ac:dyDescent="0.25">
      <c r="A1659" s="298" t="s">
        <v>1189</v>
      </c>
      <c r="B1659" s="296" t="s">
        <v>1190</v>
      </c>
      <c r="C1659" s="297" t="e">
        <f>+#REF!</f>
        <v>#REF!</v>
      </c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</row>
    <row r="1660" spans="1:58" s="55" customFormat="1" ht="16.5" hidden="1" thickBot="1" x14ac:dyDescent="0.3">
      <c r="A1660" s="299" t="s">
        <v>1191</v>
      </c>
      <c r="B1660" s="300" t="s">
        <v>1192</v>
      </c>
      <c r="C1660" s="301" t="e">
        <f>+#REF!</f>
        <v>#REF!</v>
      </c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</row>
    <row r="1661" spans="1:58" s="302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</row>
  </sheetData>
  <mergeCells count="9">
    <mergeCell ref="B1430:C1430"/>
    <mergeCell ref="B1654:B1656"/>
    <mergeCell ref="C1654:C1656"/>
    <mergeCell ref="B1301:C1301"/>
    <mergeCell ref="B1302:C1302"/>
    <mergeCell ref="B1370:C1370"/>
    <mergeCell ref="B1371:C1371"/>
    <mergeCell ref="B1427:C1427"/>
    <mergeCell ref="B1428:C1428"/>
  </mergeCells>
  <pageMargins left="1.1023622047244095" right="0.51181102362204722" top="1.3385826771653544" bottom="1.3385826771653544" header="0.31496062992125984" footer="0.31496062992125984"/>
  <pageSetup paperSize="258" scale="90" orientation="portrait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/>
  </sheetViews>
  <sheetFormatPr baseColWidth="10" defaultRowHeight="15" x14ac:dyDescent="0.25"/>
  <cols>
    <col min="1" max="1" width="4.28515625" customWidth="1"/>
    <col min="2" max="2" width="48.7109375" customWidth="1"/>
    <col min="3" max="3" width="16.5703125" customWidth="1"/>
  </cols>
  <sheetData>
    <row r="2" spans="2:6" x14ac:dyDescent="0.25">
      <c r="B2" s="44" t="s">
        <v>41</v>
      </c>
      <c r="C2" s="44" t="s">
        <v>29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10" t="s">
        <v>15</v>
      </c>
      <c r="C6" s="6">
        <v>200000000</v>
      </c>
      <c r="D6" s="6">
        <v>200000000</v>
      </c>
      <c r="E6" s="6"/>
      <c r="F6" s="6"/>
    </row>
    <row r="7" spans="2:6" x14ac:dyDescent="0.25">
      <c r="B7" s="10" t="s">
        <v>9</v>
      </c>
      <c r="C7" s="6">
        <v>100000000</v>
      </c>
      <c r="D7" s="6">
        <v>100000000</v>
      </c>
      <c r="E7" s="6"/>
      <c r="F7" s="6"/>
    </row>
    <row r="8" spans="2:6" ht="15.75" thickBot="1" x14ac:dyDescent="0.3">
      <c r="C8" s="2"/>
    </row>
    <row r="9" spans="2:6" ht="15.75" thickBot="1" x14ac:dyDescent="0.3">
      <c r="B9" s="7" t="s">
        <v>55</v>
      </c>
      <c r="C9" s="8">
        <f>SUM(C6:C7)</f>
        <v>300000000</v>
      </c>
      <c r="D9" s="8">
        <f t="shared" ref="D9:F9" si="0">SUM(D6:D7)</f>
        <v>300000000</v>
      </c>
      <c r="E9" s="8">
        <f t="shared" si="0"/>
        <v>0</v>
      </c>
      <c r="F9" s="8">
        <f t="shared" si="0"/>
        <v>0</v>
      </c>
    </row>
    <row r="10" spans="2:6" x14ac:dyDescent="0.25">
      <c r="C10" s="2"/>
    </row>
    <row r="11" spans="2:6" x14ac:dyDescent="0.25">
      <c r="C11" s="2"/>
    </row>
    <row r="12" spans="2:6" x14ac:dyDescent="0.25">
      <c r="B12" s="3"/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/>
  </sheetViews>
  <sheetFormatPr baseColWidth="10" defaultRowHeight="15" x14ac:dyDescent="0.25"/>
  <cols>
    <col min="1" max="1" width="4.28515625" customWidth="1"/>
    <col min="2" max="2" width="44.42578125" customWidth="1"/>
    <col min="3" max="3" width="17.28515625" customWidth="1"/>
    <col min="4" max="4" width="13.140625" bestFit="1" customWidth="1"/>
  </cols>
  <sheetData>
    <row r="2" spans="2:6" x14ac:dyDescent="0.25">
      <c r="B2" s="45" t="s">
        <v>30</v>
      </c>
      <c r="C2" s="45" t="s">
        <v>30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ht="30" x14ac:dyDescent="0.25">
      <c r="B6" s="10" t="s">
        <v>63</v>
      </c>
      <c r="C6" s="9">
        <v>2145785000</v>
      </c>
      <c r="D6" s="9">
        <v>2145785000</v>
      </c>
      <c r="E6" s="9"/>
      <c r="F6" s="9"/>
    </row>
    <row r="7" spans="2:6" ht="15.75" thickBot="1" x14ac:dyDescent="0.3">
      <c r="C7" s="2"/>
    </row>
    <row r="8" spans="2:6" ht="15.75" thickBot="1" x14ac:dyDescent="0.3">
      <c r="B8" s="7" t="s">
        <v>56</v>
      </c>
      <c r="C8" s="8">
        <f>SUM(C6:C6)</f>
        <v>2145785000</v>
      </c>
      <c r="D8" s="8">
        <f t="shared" ref="D8:F8" si="0">SUM(D6:D6)</f>
        <v>2145785000</v>
      </c>
      <c r="E8" s="8">
        <f t="shared" si="0"/>
        <v>0</v>
      </c>
      <c r="F8" s="8">
        <f t="shared" si="0"/>
        <v>0</v>
      </c>
    </row>
    <row r="9" spans="2:6" x14ac:dyDescent="0.25">
      <c r="C9" s="2"/>
    </row>
    <row r="10" spans="2:6" x14ac:dyDescent="0.25">
      <c r="C10" s="2"/>
    </row>
    <row r="11" spans="2:6" x14ac:dyDescent="0.25">
      <c r="B11" s="3"/>
      <c r="C11" s="2"/>
    </row>
    <row r="12" spans="2:6" x14ac:dyDescent="0.25"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E22" sqref="E22"/>
    </sheetView>
  </sheetViews>
  <sheetFormatPr baseColWidth="10" defaultRowHeight="15" x14ac:dyDescent="0.25"/>
  <cols>
    <col min="1" max="1" width="3" customWidth="1"/>
    <col min="2" max="2" width="30.5703125" bestFit="1" customWidth="1"/>
    <col min="3" max="3" width="20.28515625" customWidth="1"/>
    <col min="4" max="6" width="13.140625" bestFit="1" customWidth="1"/>
  </cols>
  <sheetData>
    <row r="2" spans="2:6" ht="30" customHeight="1" x14ac:dyDescent="0.25">
      <c r="B2" s="46" t="s">
        <v>57</v>
      </c>
      <c r="C2" s="46"/>
      <c r="D2" s="46"/>
      <c r="E2" s="46"/>
      <c r="F2" s="46"/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10" t="s">
        <v>2</v>
      </c>
      <c r="C6" s="9">
        <f>SUM(D6:F6)</f>
        <v>8198595457.8327303</v>
      </c>
      <c r="D6" s="9">
        <v>7000000000</v>
      </c>
      <c r="E6" s="9">
        <v>1198595457.8327303</v>
      </c>
      <c r="F6" s="9"/>
    </row>
    <row r="7" spans="2:6" ht="15.75" thickBot="1" x14ac:dyDescent="0.3">
      <c r="C7" s="2"/>
    </row>
    <row r="8" spans="2:6" ht="15.75" thickBot="1" x14ac:dyDescent="0.3">
      <c r="B8" s="7" t="s">
        <v>58</v>
      </c>
      <c r="C8" s="8">
        <f>SUM(C6:C6)</f>
        <v>8198595457.8327303</v>
      </c>
      <c r="D8" s="8">
        <f t="shared" ref="D8:E8" si="0">SUM(D6:D6)</f>
        <v>7000000000</v>
      </c>
      <c r="E8" s="8">
        <f t="shared" si="0"/>
        <v>1198595457.8327303</v>
      </c>
      <c r="F8" s="8">
        <f>SUM(F6:F6)</f>
        <v>0</v>
      </c>
    </row>
    <row r="9" spans="2:6" x14ac:dyDescent="0.25">
      <c r="C9" s="2"/>
    </row>
    <row r="10" spans="2:6" x14ac:dyDescent="0.25">
      <c r="C10" s="2"/>
    </row>
    <row r="11" spans="2:6" x14ac:dyDescent="0.25">
      <c r="B11" s="3"/>
      <c r="C11" s="2"/>
    </row>
    <row r="12" spans="2:6" x14ac:dyDescent="0.25"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mergeCells count="1">
    <mergeCell ref="B2:F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/>
  </sheetViews>
  <sheetFormatPr baseColWidth="10" defaultRowHeight="15" x14ac:dyDescent="0.25"/>
  <cols>
    <col min="1" max="1" width="4.28515625" customWidth="1"/>
    <col min="2" max="2" width="49.140625" customWidth="1"/>
    <col min="3" max="3" width="20.28515625" customWidth="1"/>
    <col min="4" max="4" width="13.140625" bestFit="1" customWidth="1"/>
  </cols>
  <sheetData>
    <row r="2" spans="2:6" x14ac:dyDescent="0.25">
      <c r="B2" s="47" t="s">
        <v>59</v>
      </c>
      <c r="C2" s="47" t="s">
        <v>31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10" t="s">
        <v>15</v>
      </c>
      <c r="C6" s="12">
        <v>1250000000</v>
      </c>
      <c r="D6" s="12">
        <v>1250000000</v>
      </c>
      <c r="E6" s="12"/>
      <c r="F6" s="12"/>
    </row>
    <row r="7" spans="2:6" x14ac:dyDescent="0.25">
      <c r="B7" s="10" t="s">
        <v>32</v>
      </c>
      <c r="C7" s="6">
        <v>4360000000</v>
      </c>
      <c r="D7" s="6">
        <v>4360000000</v>
      </c>
      <c r="E7" s="6"/>
      <c r="F7" s="6"/>
    </row>
    <row r="8" spans="2:6" ht="15.75" thickBot="1" x14ac:dyDescent="0.3">
      <c r="C8" s="2"/>
    </row>
    <row r="9" spans="2:6" ht="15.75" thickBot="1" x14ac:dyDescent="0.3">
      <c r="B9" s="7" t="s">
        <v>60</v>
      </c>
      <c r="C9" s="8">
        <f>SUM(C6:C7)</f>
        <v>5610000000</v>
      </c>
      <c r="D9" s="8">
        <f t="shared" ref="D9:F9" si="0">SUM(D6:D7)</f>
        <v>5610000000</v>
      </c>
      <c r="E9" s="8">
        <f t="shared" si="0"/>
        <v>0</v>
      </c>
      <c r="F9" s="8">
        <f t="shared" si="0"/>
        <v>0</v>
      </c>
    </row>
    <row r="10" spans="2:6" x14ac:dyDescent="0.25">
      <c r="C10" s="2"/>
    </row>
    <row r="11" spans="2:6" x14ac:dyDescent="0.25">
      <c r="C11" s="2"/>
    </row>
    <row r="12" spans="2:6" x14ac:dyDescent="0.25">
      <c r="B12" s="3"/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zoomScaleNormal="100" workbookViewId="0"/>
  </sheetViews>
  <sheetFormatPr baseColWidth="10" defaultRowHeight="15" x14ac:dyDescent="0.25"/>
  <cols>
    <col min="1" max="1" width="4.28515625" customWidth="1"/>
    <col min="2" max="2" width="41.5703125" customWidth="1"/>
    <col min="3" max="4" width="14.140625" bestFit="1" customWidth="1"/>
  </cols>
  <sheetData>
    <row r="2" spans="2:6" x14ac:dyDescent="0.25">
      <c r="B2" s="48" t="s">
        <v>61</v>
      </c>
      <c r="C2" s="48" t="s">
        <v>33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13" t="s">
        <v>9</v>
      </c>
      <c r="C6" s="9">
        <f>SUM(D6:F6)</f>
        <v>39209734207</v>
      </c>
      <c r="D6" s="9">
        <v>39209734207</v>
      </c>
      <c r="E6" s="12"/>
      <c r="F6" s="12"/>
    </row>
    <row r="7" spans="2:6" ht="15.75" thickBot="1" x14ac:dyDescent="0.3">
      <c r="B7" s="16"/>
      <c r="C7" s="17"/>
      <c r="D7" s="18"/>
      <c r="E7" s="18"/>
      <c r="F7" s="18"/>
    </row>
    <row r="8" spans="2:6" ht="15.75" thickBot="1" x14ac:dyDescent="0.3">
      <c r="B8" s="7" t="s">
        <v>62</v>
      </c>
      <c r="C8" s="8">
        <f>SUM(C6:C6)</f>
        <v>39209734207</v>
      </c>
      <c r="D8" s="8">
        <f t="shared" ref="D8:F8" si="0">SUM(D6:D6)</f>
        <v>39209734207</v>
      </c>
      <c r="E8" s="8">
        <f t="shared" si="0"/>
        <v>0</v>
      </c>
      <c r="F8" s="8">
        <f t="shared" si="0"/>
        <v>0</v>
      </c>
    </row>
    <row r="9" spans="2:6" x14ac:dyDescent="0.25">
      <c r="C9" s="2"/>
    </row>
    <row r="10" spans="2:6" x14ac:dyDescent="0.25">
      <c r="C10" s="2"/>
    </row>
    <row r="11" spans="2:6" x14ac:dyDescent="0.25">
      <c r="B11" s="3"/>
      <c r="C11" s="2"/>
    </row>
    <row r="12" spans="2:6" x14ac:dyDescent="0.25"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"/>
  <sheetViews>
    <sheetView workbookViewId="0">
      <selection activeCell="I8" sqref="I8"/>
    </sheetView>
  </sheetViews>
  <sheetFormatPr baseColWidth="10" defaultRowHeight="15" x14ac:dyDescent="0.25"/>
  <cols>
    <col min="2" max="2" width="34.85546875" customWidth="1"/>
    <col min="3" max="5" width="14.7109375" bestFit="1" customWidth="1"/>
    <col min="6" max="6" width="15.140625" bestFit="1" customWidth="1"/>
  </cols>
  <sheetData>
    <row r="2" spans="2:6" ht="15.75" thickBot="1" x14ac:dyDescent="0.3"/>
    <row r="3" spans="2:6" x14ac:dyDescent="0.25">
      <c r="B3" s="19" t="s">
        <v>67</v>
      </c>
      <c r="C3" s="20" t="s">
        <v>65</v>
      </c>
      <c r="D3" s="20" t="s">
        <v>37</v>
      </c>
      <c r="E3" s="20" t="s">
        <v>66</v>
      </c>
      <c r="F3" s="21" t="s">
        <v>34</v>
      </c>
    </row>
    <row r="4" spans="2:6" x14ac:dyDescent="0.25">
      <c r="B4" s="22" t="s">
        <v>38</v>
      </c>
      <c r="C4" s="26">
        <v>41537824622</v>
      </c>
      <c r="D4" s="26">
        <v>3522324680</v>
      </c>
      <c r="E4" s="26">
        <v>50422680939</v>
      </c>
      <c r="F4" s="36">
        <f t="shared" ref="F4:F16" si="0">SUM(C4:E4)</f>
        <v>95482830241</v>
      </c>
    </row>
    <row r="5" spans="2:6" x14ac:dyDescent="0.25">
      <c r="B5" s="22" t="s">
        <v>43</v>
      </c>
      <c r="C5" s="26">
        <v>18370327732</v>
      </c>
      <c r="D5" s="26">
        <v>74294000139</v>
      </c>
      <c r="E5" s="26">
        <v>93756996807</v>
      </c>
      <c r="F5" s="36">
        <f t="shared" si="0"/>
        <v>186421324678</v>
      </c>
    </row>
    <row r="6" spans="2:6" x14ac:dyDescent="0.25">
      <c r="B6" s="22" t="s">
        <v>68</v>
      </c>
      <c r="C6" s="26">
        <v>45193508413</v>
      </c>
      <c r="D6" s="26">
        <v>234822214721</v>
      </c>
      <c r="E6" s="26">
        <v>8225417375</v>
      </c>
      <c r="F6" s="36">
        <f t="shared" si="0"/>
        <v>288241140509</v>
      </c>
    </row>
    <row r="7" spans="2:6" x14ac:dyDescent="0.25">
      <c r="B7" s="22" t="s">
        <v>35</v>
      </c>
      <c r="C7" s="26">
        <v>600000000</v>
      </c>
      <c r="D7" s="26">
        <v>2365754746</v>
      </c>
      <c r="E7" s="26">
        <v>70000000</v>
      </c>
      <c r="F7" s="36">
        <f t="shared" si="0"/>
        <v>3035754746</v>
      </c>
    </row>
    <row r="8" spans="2:6" x14ac:dyDescent="0.25">
      <c r="B8" s="22" t="s">
        <v>69</v>
      </c>
      <c r="C8" s="26">
        <v>6539000000</v>
      </c>
      <c r="D8" s="26">
        <v>873911981</v>
      </c>
      <c r="E8" s="26">
        <v>300000000</v>
      </c>
      <c r="F8" s="36">
        <f t="shared" si="0"/>
        <v>7712911981</v>
      </c>
    </row>
    <row r="9" spans="2:6" x14ac:dyDescent="0.25">
      <c r="B9" s="22" t="s">
        <v>49</v>
      </c>
      <c r="C9" s="26">
        <v>9445785000</v>
      </c>
      <c r="D9" s="26">
        <v>0</v>
      </c>
      <c r="E9" s="26">
        <v>7536424000</v>
      </c>
      <c r="F9" s="36">
        <f t="shared" si="0"/>
        <v>16982209000</v>
      </c>
    </row>
    <row r="10" spans="2:6" x14ac:dyDescent="0.25">
      <c r="B10" s="22" t="s">
        <v>51</v>
      </c>
      <c r="C10" s="26">
        <v>5000000000</v>
      </c>
      <c r="D10" s="26">
        <v>6479562836</v>
      </c>
      <c r="E10" s="26">
        <v>6020000000</v>
      </c>
      <c r="F10" s="36">
        <f t="shared" si="0"/>
        <v>17499562836</v>
      </c>
    </row>
    <row r="11" spans="2:6" x14ac:dyDescent="0.25">
      <c r="B11" s="22" t="s">
        <v>53</v>
      </c>
      <c r="C11" s="26">
        <v>5993000000</v>
      </c>
      <c r="D11" s="26">
        <v>0</v>
      </c>
      <c r="E11" s="26">
        <v>325000000</v>
      </c>
      <c r="F11" s="36">
        <f t="shared" si="0"/>
        <v>6318000000</v>
      </c>
    </row>
    <row r="12" spans="2:6" x14ac:dyDescent="0.25">
      <c r="B12" s="22" t="s">
        <v>41</v>
      </c>
      <c r="C12" s="26">
        <v>300000000</v>
      </c>
      <c r="D12" s="26">
        <v>0</v>
      </c>
      <c r="E12" s="26">
        <v>0</v>
      </c>
      <c r="F12" s="36">
        <f t="shared" si="0"/>
        <v>300000000</v>
      </c>
    </row>
    <row r="13" spans="2:6" x14ac:dyDescent="0.25">
      <c r="B13" s="22" t="s">
        <v>70</v>
      </c>
      <c r="C13" s="26">
        <v>2145785000</v>
      </c>
      <c r="D13" s="26">
        <v>0</v>
      </c>
      <c r="E13" s="26">
        <v>0</v>
      </c>
      <c r="F13" s="36">
        <f t="shared" si="0"/>
        <v>2145785000</v>
      </c>
    </row>
    <row r="14" spans="2:6" x14ac:dyDescent="0.25">
      <c r="B14" s="22" t="s">
        <v>36</v>
      </c>
      <c r="C14" s="26">
        <v>7000000000</v>
      </c>
      <c r="D14" s="26">
        <v>1198595457.8327303</v>
      </c>
      <c r="E14" s="26">
        <v>0</v>
      </c>
      <c r="F14" s="36">
        <f t="shared" si="0"/>
        <v>8198595457.8327303</v>
      </c>
    </row>
    <row r="15" spans="2:6" x14ac:dyDescent="0.25">
      <c r="B15" s="22" t="s">
        <v>59</v>
      </c>
      <c r="C15" s="26">
        <v>5610000000</v>
      </c>
      <c r="D15" s="26">
        <v>0</v>
      </c>
      <c r="E15" s="26">
        <v>0</v>
      </c>
      <c r="F15" s="36">
        <f t="shared" si="0"/>
        <v>5610000000</v>
      </c>
    </row>
    <row r="16" spans="2:6" x14ac:dyDescent="0.25">
      <c r="B16" s="22" t="s">
        <v>61</v>
      </c>
      <c r="C16" s="26">
        <v>39209734207</v>
      </c>
      <c r="D16" s="26">
        <v>0</v>
      </c>
      <c r="E16" s="26">
        <v>0</v>
      </c>
      <c r="F16" s="36">
        <f t="shared" si="0"/>
        <v>39209734207</v>
      </c>
    </row>
    <row r="17" spans="2:6" ht="15.75" thickBot="1" x14ac:dyDescent="0.3">
      <c r="B17" s="23" t="s">
        <v>34</v>
      </c>
      <c r="C17" s="24">
        <f t="shared" ref="C17:E17" si="1">SUM(C4:C16)</f>
        <v>186944964974</v>
      </c>
      <c r="D17" s="24">
        <f t="shared" si="1"/>
        <v>323556364560.8327</v>
      </c>
      <c r="E17" s="24">
        <f t="shared" si="1"/>
        <v>166656519121</v>
      </c>
      <c r="F17" s="25">
        <f>SUM(F4:F16)</f>
        <v>677157848655.83276</v>
      </c>
    </row>
    <row r="68" spans="2:4" ht="15.75" thickBot="1" x14ac:dyDescent="0.3"/>
    <row r="69" spans="2:4" x14ac:dyDescent="0.25">
      <c r="B69" s="27" t="s">
        <v>67</v>
      </c>
      <c r="C69" s="28" t="s">
        <v>72</v>
      </c>
      <c r="D69" s="29" t="s">
        <v>73</v>
      </c>
    </row>
    <row r="70" spans="2:4" x14ac:dyDescent="0.25">
      <c r="B70" s="30" t="s">
        <v>38</v>
      </c>
      <c r="C70" s="31">
        <v>128946699163</v>
      </c>
      <c r="D70" s="32">
        <v>95482830241</v>
      </c>
    </row>
    <row r="71" spans="2:4" x14ac:dyDescent="0.25">
      <c r="B71" s="30" t="s">
        <v>43</v>
      </c>
      <c r="C71" s="31">
        <v>158195653812</v>
      </c>
      <c r="D71" s="32">
        <v>186421324678</v>
      </c>
    </row>
    <row r="72" spans="2:4" x14ac:dyDescent="0.25">
      <c r="B72" s="30" t="s">
        <v>68</v>
      </c>
      <c r="C72" s="31">
        <v>182161169165</v>
      </c>
      <c r="D72" s="32">
        <v>288241140509</v>
      </c>
    </row>
    <row r="73" spans="2:4" x14ac:dyDescent="0.25">
      <c r="B73" s="30" t="s">
        <v>35</v>
      </c>
      <c r="C73" s="31">
        <v>1853739736</v>
      </c>
      <c r="D73" s="32">
        <v>3035754746</v>
      </c>
    </row>
    <row r="74" spans="2:4" x14ac:dyDescent="0.25">
      <c r="B74" s="30" t="s">
        <v>69</v>
      </c>
      <c r="C74" s="31">
        <v>6880562604</v>
      </c>
      <c r="D74" s="32">
        <v>7712911981</v>
      </c>
    </row>
    <row r="75" spans="2:4" x14ac:dyDescent="0.25">
      <c r="B75" s="30" t="s">
        <v>49</v>
      </c>
      <c r="C75" s="31">
        <v>8763444634</v>
      </c>
      <c r="D75" s="32">
        <v>16982209000</v>
      </c>
    </row>
    <row r="76" spans="2:4" x14ac:dyDescent="0.25">
      <c r="B76" s="30" t="s">
        <v>51</v>
      </c>
      <c r="C76" s="31">
        <v>13610101000</v>
      </c>
      <c r="D76" s="32">
        <v>17499562836</v>
      </c>
    </row>
    <row r="77" spans="2:4" x14ac:dyDescent="0.25">
      <c r="B77" s="30" t="s">
        <v>53</v>
      </c>
      <c r="C77" s="31">
        <v>7815348644</v>
      </c>
      <c r="D77" s="32">
        <v>6318000000</v>
      </c>
    </row>
    <row r="78" spans="2:4" x14ac:dyDescent="0.25">
      <c r="B78" s="30" t="s">
        <v>41</v>
      </c>
      <c r="C78" s="31">
        <v>1319000000</v>
      </c>
      <c r="D78" s="32">
        <v>300000000</v>
      </c>
    </row>
    <row r="79" spans="2:4" x14ac:dyDescent="0.25">
      <c r="B79" s="30" t="s">
        <v>70</v>
      </c>
      <c r="C79" s="31">
        <v>2908599999</v>
      </c>
      <c r="D79" s="32">
        <v>2145785000</v>
      </c>
    </row>
    <row r="80" spans="2:4" x14ac:dyDescent="0.25">
      <c r="B80" s="30" t="s">
        <v>36</v>
      </c>
      <c r="C80" s="31">
        <v>1948832284</v>
      </c>
      <c r="D80" s="32">
        <v>8198595457.8327303</v>
      </c>
    </row>
    <row r="81" spans="2:4" x14ac:dyDescent="0.25">
      <c r="B81" s="30" t="s">
        <v>59</v>
      </c>
      <c r="C81" s="31">
        <v>3847000000</v>
      </c>
      <c r="D81" s="32">
        <v>5610000000</v>
      </c>
    </row>
    <row r="82" spans="2:4" x14ac:dyDescent="0.25">
      <c r="B82" s="30" t="s">
        <v>61</v>
      </c>
      <c r="C82" s="31">
        <v>117317286742</v>
      </c>
      <c r="D82" s="32">
        <v>39209734207</v>
      </c>
    </row>
    <row r="83" spans="2:4" ht="15.75" thickBot="1" x14ac:dyDescent="0.3">
      <c r="B83" s="33" t="s">
        <v>34</v>
      </c>
      <c r="C83" s="34">
        <v>635567437783</v>
      </c>
      <c r="D83" s="35">
        <v>677157848655.83276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9" sqref="F9"/>
    </sheetView>
  </sheetViews>
  <sheetFormatPr baseColWidth="10" defaultRowHeight="15" x14ac:dyDescent="0.25"/>
  <cols>
    <col min="1" max="1" width="2.5703125" customWidth="1"/>
    <col min="2" max="2" width="39.85546875" customWidth="1"/>
    <col min="3" max="3" width="16" customWidth="1"/>
    <col min="4" max="4" width="14.140625" bestFit="1" customWidth="1"/>
    <col min="5" max="5" width="12.7109375" bestFit="1" customWidth="1"/>
    <col min="6" max="6" width="13.7109375" bestFit="1" customWidth="1"/>
  </cols>
  <sheetData>
    <row r="2" spans="2:6" x14ac:dyDescent="0.25">
      <c r="B2" s="37" t="s">
        <v>38</v>
      </c>
      <c r="C2" s="37"/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5" t="s">
        <v>0</v>
      </c>
      <c r="C6" s="6">
        <f t="shared" ref="C6:C11" si="0">SUM(D6:F6)</f>
        <v>1500000000</v>
      </c>
      <c r="D6" s="6">
        <v>1500000000</v>
      </c>
      <c r="E6" s="6"/>
      <c r="F6" s="6"/>
    </row>
    <row r="7" spans="2:6" x14ac:dyDescent="0.25">
      <c r="B7" s="5" t="s">
        <v>1</v>
      </c>
      <c r="C7" s="6">
        <f>SUM(D7:F7)</f>
        <v>3090793988</v>
      </c>
      <c r="E7" s="6"/>
      <c r="F7" s="6">
        <v>3090793988</v>
      </c>
    </row>
    <row r="8" spans="2:6" x14ac:dyDescent="0.25">
      <c r="B8" s="5" t="s">
        <v>2</v>
      </c>
      <c r="C8" s="6">
        <f t="shared" si="0"/>
        <v>1000</v>
      </c>
      <c r="D8" s="6"/>
      <c r="E8" s="6"/>
      <c r="F8" s="6">
        <v>1000</v>
      </c>
    </row>
    <row r="9" spans="2:6" ht="30" x14ac:dyDescent="0.25">
      <c r="B9" s="10" t="s">
        <v>71</v>
      </c>
      <c r="C9" s="6">
        <f t="shared" si="0"/>
        <v>1000000000</v>
      </c>
      <c r="D9" s="15">
        <v>1000000000</v>
      </c>
      <c r="E9" s="6"/>
      <c r="F9" s="6"/>
    </row>
    <row r="10" spans="2:6" x14ac:dyDescent="0.25">
      <c r="B10" s="5" t="s">
        <v>3</v>
      </c>
      <c r="C10" s="6">
        <f t="shared" si="0"/>
        <v>35663003622</v>
      </c>
      <c r="D10" s="6">
        <v>34000000622</v>
      </c>
      <c r="E10" s="6">
        <v>150000000</v>
      </c>
      <c r="F10" s="6">
        <v>1513003000</v>
      </c>
    </row>
    <row r="11" spans="2:6" x14ac:dyDescent="0.25">
      <c r="B11" s="5" t="s">
        <v>4</v>
      </c>
      <c r="C11" s="6">
        <f t="shared" si="0"/>
        <v>11057824000</v>
      </c>
      <c r="D11" s="6">
        <v>5037824000</v>
      </c>
      <c r="E11" s="6"/>
      <c r="F11" s="6">
        <v>6020000000</v>
      </c>
    </row>
    <row r="12" spans="2:6" x14ac:dyDescent="0.25">
      <c r="B12" s="5" t="s">
        <v>5</v>
      </c>
      <c r="C12" s="6">
        <f>SUM(D12:F12)</f>
        <v>43171207631</v>
      </c>
      <c r="D12" s="6"/>
      <c r="E12" s="6">
        <v>3372324680</v>
      </c>
      <c r="F12" s="6">
        <v>39798882951</v>
      </c>
    </row>
    <row r="13" spans="2:6" ht="15.75" thickBot="1" x14ac:dyDescent="0.3">
      <c r="C13" s="2"/>
    </row>
    <row r="14" spans="2:6" ht="15.75" thickBot="1" x14ac:dyDescent="0.3">
      <c r="B14" s="7" t="s">
        <v>42</v>
      </c>
      <c r="C14" s="8">
        <f>SUM(C6:C12)</f>
        <v>95482830241</v>
      </c>
      <c r="D14" s="8">
        <f>SUM(D6:D12)</f>
        <v>41537824622</v>
      </c>
      <c r="E14" s="8">
        <f t="shared" ref="E14:F14" si="1">SUM(E6:E12)</f>
        <v>3522324680</v>
      </c>
      <c r="F14" s="8">
        <f t="shared" si="1"/>
        <v>50422680939</v>
      </c>
    </row>
    <row r="15" spans="2:6" x14ac:dyDescent="0.25">
      <c r="C15" s="2"/>
    </row>
    <row r="16" spans="2:6" x14ac:dyDescent="0.25">
      <c r="C16" s="2"/>
    </row>
    <row r="17" spans="3:3" x14ac:dyDescent="0.25">
      <c r="C17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/>
  </sheetViews>
  <sheetFormatPr baseColWidth="10" defaultRowHeight="15" x14ac:dyDescent="0.25"/>
  <cols>
    <col min="1" max="1" width="4.28515625" customWidth="1"/>
    <col min="2" max="2" width="51.85546875" customWidth="1"/>
    <col min="3" max="3" width="20.28515625" customWidth="1"/>
    <col min="4" max="5" width="13.7109375" bestFit="1" customWidth="1"/>
    <col min="6" max="6" width="14.7109375" bestFit="1" customWidth="1"/>
  </cols>
  <sheetData>
    <row r="2" spans="2:6" x14ac:dyDescent="0.25">
      <c r="B2" s="38" t="s">
        <v>43</v>
      </c>
      <c r="C2" s="38" t="s">
        <v>6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5" t="s">
        <v>7</v>
      </c>
      <c r="C6" s="6">
        <f>SUM(D6:F6)</f>
        <v>3422431914</v>
      </c>
      <c r="D6" s="6">
        <v>3422431914</v>
      </c>
      <c r="E6" s="6"/>
      <c r="F6" s="6"/>
    </row>
    <row r="7" spans="2:6" x14ac:dyDescent="0.25">
      <c r="B7" s="5" t="s">
        <v>8</v>
      </c>
      <c r="C7" s="6">
        <f t="shared" ref="C7:C12" si="0">SUM(D7:F7)</f>
        <v>3346412413</v>
      </c>
      <c r="D7" s="6">
        <v>2730611794</v>
      </c>
      <c r="E7" s="6"/>
      <c r="F7" s="6">
        <v>615800619</v>
      </c>
    </row>
    <row r="8" spans="2:6" x14ac:dyDescent="0.25">
      <c r="B8" s="5" t="s">
        <v>9</v>
      </c>
      <c r="C8" s="6">
        <f t="shared" si="0"/>
        <v>100000000</v>
      </c>
      <c r="D8" s="6">
        <v>100000000</v>
      </c>
      <c r="E8" s="6"/>
      <c r="F8" s="6"/>
    </row>
    <row r="9" spans="2:6" ht="30" x14ac:dyDescent="0.25">
      <c r="B9" s="10" t="s">
        <v>10</v>
      </c>
      <c r="C9" s="6">
        <f t="shared" si="0"/>
        <v>476180000</v>
      </c>
      <c r="D9" s="11"/>
      <c r="E9" s="11">
        <v>476180000</v>
      </c>
      <c r="F9" s="11"/>
    </row>
    <row r="10" spans="2:6" x14ac:dyDescent="0.25">
      <c r="B10" s="5" t="s">
        <v>11</v>
      </c>
      <c r="C10" s="6">
        <f t="shared" si="0"/>
        <v>295675684</v>
      </c>
      <c r="D10" s="6"/>
      <c r="E10" s="6">
        <v>295675684</v>
      </c>
      <c r="F10" s="6"/>
    </row>
    <row r="11" spans="2:6" x14ac:dyDescent="0.25">
      <c r="B11" s="5" t="s">
        <v>12</v>
      </c>
      <c r="C11" s="6">
        <f t="shared" si="0"/>
        <v>39600000</v>
      </c>
      <c r="D11" s="9"/>
      <c r="E11" s="9">
        <v>39600000</v>
      </c>
      <c r="F11" s="9"/>
    </row>
    <row r="12" spans="2:6" ht="30" x14ac:dyDescent="0.25">
      <c r="B12" s="10" t="s">
        <v>13</v>
      </c>
      <c r="C12" s="6">
        <f t="shared" si="0"/>
        <v>178741024667</v>
      </c>
      <c r="D12" s="6">
        <v>12117284024</v>
      </c>
      <c r="E12" s="6">
        <v>73482544455</v>
      </c>
      <c r="F12" s="6">
        <v>93141196188</v>
      </c>
    </row>
    <row r="13" spans="2:6" ht="15.75" thickBot="1" x14ac:dyDescent="0.3">
      <c r="C13" s="2"/>
    </row>
    <row r="14" spans="2:6" ht="15.75" thickBot="1" x14ac:dyDescent="0.3">
      <c r="B14" s="7" t="s">
        <v>44</v>
      </c>
      <c r="C14" s="8">
        <f>SUM(C6:C12)</f>
        <v>186421324678</v>
      </c>
      <c r="D14" s="8">
        <f t="shared" ref="D14:F14" si="1">SUM(D6:D12)</f>
        <v>18370327732</v>
      </c>
      <c r="E14" s="8">
        <f t="shared" si="1"/>
        <v>74294000139</v>
      </c>
      <c r="F14" s="8">
        <f t="shared" si="1"/>
        <v>93756996807</v>
      </c>
    </row>
    <row r="15" spans="2:6" x14ac:dyDescent="0.25">
      <c r="C15" s="2"/>
    </row>
    <row r="16" spans="2:6" x14ac:dyDescent="0.25">
      <c r="C16" s="2"/>
    </row>
    <row r="17" spans="2:3" x14ac:dyDescent="0.25">
      <c r="B17" s="3"/>
      <c r="C17" s="2"/>
    </row>
    <row r="18" spans="2:3" x14ac:dyDescent="0.25">
      <c r="C18" s="2"/>
    </row>
    <row r="19" spans="2:3" x14ac:dyDescent="0.25">
      <c r="C19" s="2"/>
    </row>
    <row r="20" spans="2:3" x14ac:dyDescent="0.25">
      <c r="C20" s="2"/>
    </row>
    <row r="21" spans="2:3" x14ac:dyDescent="0.25">
      <c r="C21" s="2"/>
    </row>
    <row r="22" spans="2:3" x14ac:dyDescent="0.25">
      <c r="C22" s="2"/>
    </row>
    <row r="23" spans="2:3" x14ac:dyDescent="0.25">
      <c r="C23" s="2"/>
    </row>
    <row r="24" spans="2:3" x14ac:dyDescent="0.25">
      <c r="C24" s="2"/>
    </row>
    <row r="25" spans="2:3" x14ac:dyDescent="0.25">
      <c r="C25" s="2"/>
    </row>
    <row r="26" spans="2:3" x14ac:dyDescent="0.25">
      <c r="C26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/>
  </sheetViews>
  <sheetFormatPr baseColWidth="10" defaultRowHeight="15" x14ac:dyDescent="0.25"/>
  <cols>
    <col min="1" max="1" width="4.28515625" customWidth="1"/>
    <col min="2" max="2" width="51" customWidth="1"/>
    <col min="3" max="3" width="20.28515625" customWidth="1"/>
    <col min="4" max="4" width="14.140625" bestFit="1" customWidth="1"/>
    <col min="5" max="5" width="15.140625" bestFit="1" customWidth="1"/>
    <col min="6" max="6" width="13.140625" bestFit="1" customWidth="1"/>
  </cols>
  <sheetData>
    <row r="2" spans="2:6" x14ac:dyDescent="0.25">
      <c r="B2" s="39" t="s">
        <v>45</v>
      </c>
      <c r="C2" s="39" t="s">
        <v>14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ht="30" x14ac:dyDescent="0.25">
      <c r="B6" s="10" t="s">
        <v>16</v>
      </c>
      <c r="C6" s="9">
        <f>SUM(D6:F6)</f>
        <v>288241140509</v>
      </c>
      <c r="D6" s="9">
        <v>45193508413</v>
      </c>
      <c r="E6" s="6">
        <v>234822214721</v>
      </c>
      <c r="F6" s="6">
        <v>8225417375</v>
      </c>
    </row>
    <row r="7" spans="2:6" ht="15.75" thickBot="1" x14ac:dyDescent="0.3">
      <c r="C7" s="2"/>
    </row>
    <row r="8" spans="2:6" ht="15.75" thickBot="1" x14ac:dyDescent="0.3">
      <c r="B8" s="7" t="s">
        <v>46</v>
      </c>
      <c r="C8" s="8">
        <f>SUM(C6:C6)</f>
        <v>288241140509</v>
      </c>
      <c r="D8" s="8">
        <f t="shared" ref="D8:F8" si="0">SUM(D6:D6)</f>
        <v>45193508413</v>
      </c>
      <c r="E8" s="8">
        <f t="shared" si="0"/>
        <v>234822214721</v>
      </c>
      <c r="F8" s="8">
        <f t="shared" si="0"/>
        <v>8225417375</v>
      </c>
    </row>
    <row r="9" spans="2:6" x14ac:dyDescent="0.25">
      <c r="C9" s="2"/>
    </row>
    <row r="10" spans="2:6" x14ac:dyDescent="0.25">
      <c r="C10" s="2"/>
    </row>
    <row r="11" spans="2:6" x14ac:dyDescent="0.25">
      <c r="B11" s="3"/>
      <c r="C11" s="2"/>
    </row>
    <row r="12" spans="2:6" x14ac:dyDescent="0.25">
      <c r="C12" s="3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/>
  </sheetViews>
  <sheetFormatPr baseColWidth="10" defaultRowHeight="15" x14ac:dyDescent="0.25"/>
  <cols>
    <col min="1" max="1" width="4.28515625" customWidth="1"/>
    <col min="2" max="2" width="59" customWidth="1"/>
    <col min="3" max="3" width="20.28515625" customWidth="1"/>
    <col min="5" max="5" width="12.7109375" bestFit="1" customWidth="1"/>
  </cols>
  <sheetData>
    <row r="2" spans="2:6" ht="33.75" customHeight="1" x14ac:dyDescent="0.25">
      <c r="B2" s="40" t="s">
        <v>17</v>
      </c>
      <c r="C2" s="40" t="s">
        <v>17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ht="30" x14ac:dyDescent="0.25">
      <c r="B6" s="10" t="s">
        <v>10</v>
      </c>
      <c r="C6" s="6">
        <f>SUM(D6:F6)</f>
        <v>179740000</v>
      </c>
      <c r="D6" s="9">
        <v>94050000</v>
      </c>
      <c r="E6" s="9">
        <v>85690000</v>
      </c>
      <c r="F6" s="6"/>
    </row>
    <row r="7" spans="2:6" x14ac:dyDescent="0.25">
      <c r="B7" s="10" t="s">
        <v>11</v>
      </c>
      <c r="C7" s="6">
        <f t="shared" ref="C7:C8" si="0">SUM(D7:F7)</f>
        <v>552918839</v>
      </c>
      <c r="D7" s="9">
        <v>166645000</v>
      </c>
      <c r="E7" s="9">
        <v>386273839</v>
      </c>
      <c r="F7" s="6"/>
    </row>
    <row r="8" spans="2:6" ht="30" x14ac:dyDescent="0.25">
      <c r="B8" s="10" t="s">
        <v>18</v>
      </c>
      <c r="C8" s="6">
        <f t="shared" si="0"/>
        <v>2303095907</v>
      </c>
      <c r="D8" s="9">
        <v>339305000</v>
      </c>
      <c r="E8" s="6">
        <v>1893790907</v>
      </c>
      <c r="F8" s="9">
        <v>70000000</v>
      </c>
    </row>
    <row r="9" spans="2:6" ht="15.75" thickBot="1" x14ac:dyDescent="0.3">
      <c r="C9" s="2"/>
    </row>
    <row r="10" spans="2:6" ht="15.75" thickBot="1" x14ac:dyDescent="0.3">
      <c r="B10" s="7" t="s">
        <v>47</v>
      </c>
      <c r="C10" s="8">
        <f>SUM(C6:C8)</f>
        <v>3035754746</v>
      </c>
      <c r="D10" s="8">
        <f t="shared" ref="D10:F10" si="1">SUM(D6:D8)</f>
        <v>600000000</v>
      </c>
      <c r="E10" s="8">
        <f t="shared" si="1"/>
        <v>2365754746</v>
      </c>
      <c r="F10" s="8">
        <f t="shared" si="1"/>
        <v>70000000</v>
      </c>
    </row>
    <row r="11" spans="2:6" x14ac:dyDescent="0.25">
      <c r="C11" s="2"/>
    </row>
    <row r="12" spans="2:6" x14ac:dyDescent="0.25">
      <c r="C12" s="2"/>
    </row>
    <row r="13" spans="2:6" x14ac:dyDescent="0.25">
      <c r="B13" s="3"/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/>
  </sheetViews>
  <sheetFormatPr baseColWidth="10" defaultRowHeight="15" x14ac:dyDescent="0.25"/>
  <cols>
    <col min="1" max="1" width="4.28515625" customWidth="1"/>
    <col min="2" max="2" width="53.7109375" customWidth="1"/>
    <col min="3" max="3" width="15.85546875" customWidth="1"/>
    <col min="4" max="4" width="13.140625" bestFit="1" customWidth="1"/>
    <col min="7" max="7" width="11.42578125" customWidth="1"/>
  </cols>
  <sheetData>
    <row r="2" spans="2:6" x14ac:dyDescent="0.25">
      <c r="B2" s="41" t="s">
        <v>19</v>
      </c>
      <c r="C2" s="41" t="s">
        <v>19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ht="30" x14ac:dyDescent="0.25">
      <c r="B6" s="10" t="s">
        <v>64</v>
      </c>
      <c r="C6" s="9">
        <f>SUM(D6:F6)</f>
        <v>7712911981</v>
      </c>
      <c r="D6" s="9">
        <v>6539000000</v>
      </c>
      <c r="E6" s="9">
        <v>873911981</v>
      </c>
      <c r="F6" s="9">
        <v>300000000</v>
      </c>
    </row>
    <row r="7" spans="2:6" ht="15.75" thickBot="1" x14ac:dyDescent="0.3">
      <c r="C7" s="2"/>
    </row>
    <row r="8" spans="2:6" ht="15.75" thickBot="1" x14ac:dyDescent="0.3">
      <c r="B8" s="7" t="s">
        <v>48</v>
      </c>
      <c r="C8" s="8">
        <f>SUM(C6:C6)</f>
        <v>7712911981</v>
      </c>
      <c r="D8" s="8">
        <f t="shared" ref="D8:F8" si="0">SUM(D6:D6)</f>
        <v>6539000000</v>
      </c>
      <c r="E8" s="8">
        <f t="shared" si="0"/>
        <v>873911981</v>
      </c>
      <c r="F8" s="8">
        <f t="shared" si="0"/>
        <v>300000000</v>
      </c>
    </row>
    <row r="9" spans="2:6" x14ac:dyDescent="0.25">
      <c r="C9" s="2"/>
    </row>
    <row r="10" spans="2:6" x14ac:dyDescent="0.25">
      <c r="C10" s="2"/>
    </row>
    <row r="11" spans="2:6" x14ac:dyDescent="0.25">
      <c r="B11" s="3"/>
      <c r="C11" s="2"/>
    </row>
    <row r="12" spans="2:6" x14ac:dyDescent="0.25">
      <c r="C12" s="2"/>
    </row>
    <row r="13" spans="2:6" x14ac:dyDescent="0.25"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workbookViewId="0"/>
  </sheetViews>
  <sheetFormatPr baseColWidth="10" defaultRowHeight="15" x14ac:dyDescent="0.25"/>
  <cols>
    <col min="1" max="1" width="4.28515625" customWidth="1"/>
    <col min="2" max="2" width="59" customWidth="1"/>
    <col min="3" max="3" width="20.28515625" customWidth="1"/>
    <col min="4" max="4" width="13.7109375" bestFit="1" customWidth="1"/>
    <col min="5" max="5" width="6.42578125" customWidth="1"/>
    <col min="6" max="6" width="13.140625" bestFit="1" customWidth="1"/>
  </cols>
  <sheetData>
    <row r="2" spans="2:6" x14ac:dyDescent="0.25">
      <c r="B2" s="42" t="s">
        <v>49</v>
      </c>
      <c r="C2" s="42" t="s">
        <v>20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5" t="s">
        <v>15</v>
      </c>
      <c r="C6" s="6">
        <f>SUM(D6:F6)</f>
        <v>2220001000</v>
      </c>
      <c r="D6" s="6">
        <v>2220000000</v>
      </c>
      <c r="E6" s="6"/>
      <c r="F6" s="6">
        <v>1000</v>
      </c>
    </row>
    <row r="7" spans="2:6" ht="30" x14ac:dyDescent="0.25">
      <c r="B7" s="10" t="s">
        <v>10</v>
      </c>
      <c r="C7" s="6">
        <f t="shared" ref="C7:C11" si="0">SUM(D7:F7)</f>
        <v>1100010000</v>
      </c>
      <c r="D7" s="9">
        <v>1100000000</v>
      </c>
      <c r="E7" s="6"/>
      <c r="F7" s="6">
        <v>10000</v>
      </c>
    </row>
    <row r="8" spans="2:6" x14ac:dyDescent="0.25">
      <c r="B8" s="10" t="s">
        <v>11</v>
      </c>
      <c r="C8" s="6">
        <f t="shared" si="0"/>
        <v>1800000000</v>
      </c>
      <c r="D8" s="14">
        <v>1800000000</v>
      </c>
      <c r="E8" s="14"/>
      <c r="F8" s="14"/>
    </row>
    <row r="9" spans="2:6" x14ac:dyDescent="0.25">
      <c r="B9" s="10" t="s">
        <v>12</v>
      </c>
      <c r="C9" s="6">
        <f t="shared" si="0"/>
        <v>1140000000</v>
      </c>
      <c r="D9" s="14">
        <v>1140000000</v>
      </c>
      <c r="E9" s="14"/>
      <c r="F9" s="14"/>
    </row>
    <row r="10" spans="2:6" x14ac:dyDescent="0.25">
      <c r="B10" s="5" t="s">
        <v>21</v>
      </c>
      <c r="C10" s="6">
        <f t="shared" si="0"/>
        <v>800000000</v>
      </c>
      <c r="D10" s="9">
        <v>800000000</v>
      </c>
      <c r="E10" s="9"/>
      <c r="F10" s="9"/>
    </row>
    <row r="11" spans="2:6" x14ac:dyDescent="0.25">
      <c r="B11" s="5" t="s">
        <v>22</v>
      </c>
      <c r="C11" s="6">
        <f t="shared" si="0"/>
        <v>9922198000</v>
      </c>
      <c r="D11" s="9">
        <v>2385785000</v>
      </c>
      <c r="E11" s="9"/>
      <c r="F11" s="9">
        <v>7536413000</v>
      </c>
    </row>
    <row r="12" spans="2:6" ht="15.75" thickBot="1" x14ac:dyDescent="0.3">
      <c r="C12" s="2"/>
    </row>
    <row r="13" spans="2:6" ht="15.75" thickBot="1" x14ac:dyDescent="0.3">
      <c r="B13" s="7" t="s">
        <v>50</v>
      </c>
      <c r="C13" s="8">
        <f>SUM(C6:C11)</f>
        <v>16982209000</v>
      </c>
      <c r="D13" s="8">
        <f>SUM(D6:D11)</f>
        <v>9445785000</v>
      </c>
      <c r="E13" s="8">
        <f>SUM(E6:E11)</f>
        <v>0</v>
      </c>
      <c r="F13" s="8">
        <f>SUM(F6:F11)</f>
        <v>7536424000</v>
      </c>
    </row>
    <row r="14" spans="2:6" x14ac:dyDescent="0.25">
      <c r="C14" s="2"/>
    </row>
    <row r="15" spans="2:6" x14ac:dyDescent="0.25">
      <c r="C15" s="2"/>
    </row>
    <row r="16" spans="2:6" x14ac:dyDescent="0.25">
      <c r="B16" s="3"/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workbookViewId="0">
      <selection activeCell="D8" sqref="D8"/>
    </sheetView>
  </sheetViews>
  <sheetFormatPr baseColWidth="10" defaultRowHeight="15" x14ac:dyDescent="0.25"/>
  <cols>
    <col min="1" max="1" width="4.28515625" customWidth="1"/>
    <col min="2" max="2" width="52.85546875" customWidth="1"/>
    <col min="3" max="3" width="17.28515625" customWidth="1"/>
    <col min="4" max="4" width="14" bestFit="1" customWidth="1"/>
    <col min="5" max="6" width="12.7109375" bestFit="1" customWidth="1"/>
  </cols>
  <sheetData>
    <row r="2" spans="2:6" x14ac:dyDescent="0.25">
      <c r="B2" s="37" t="s">
        <v>51</v>
      </c>
      <c r="C2" s="37" t="s">
        <v>23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x14ac:dyDescent="0.25">
      <c r="B6" s="5" t="s">
        <v>15</v>
      </c>
      <c r="C6" s="6">
        <f>SUM(D6:F6)</f>
        <v>1100000000</v>
      </c>
      <c r="D6" s="6">
        <v>1100000000</v>
      </c>
      <c r="E6" s="6"/>
      <c r="F6" s="6"/>
    </row>
    <row r="7" spans="2:6" x14ac:dyDescent="0.25">
      <c r="B7" s="5" t="s">
        <v>24</v>
      </c>
      <c r="C7" s="6">
        <f t="shared" ref="C7:C11" si="0">SUM(D7:F7)</f>
        <v>350000000</v>
      </c>
      <c r="D7" s="6">
        <v>350000000</v>
      </c>
      <c r="E7" s="6"/>
      <c r="F7" s="6"/>
    </row>
    <row r="8" spans="2:6" x14ac:dyDescent="0.25">
      <c r="B8" s="5" t="s">
        <v>11</v>
      </c>
      <c r="C8" s="6">
        <f t="shared" si="0"/>
        <v>12949562836</v>
      </c>
      <c r="D8" s="6">
        <v>1950000000</v>
      </c>
      <c r="E8" s="6">
        <v>4979562836</v>
      </c>
      <c r="F8" s="6">
        <v>6020000000</v>
      </c>
    </row>
    <row r="9" spans="2:6" x14ac:dyDescent="0.25">
      <c r="B9" s="10" t="s">
        <v>25</v>
      </c>
      <c r="C9" s="6">
        <f t="shared" si="0"/>
        <v>300000000</v>
      </c>
      <c r="D9" s="11">
        <v>100000000</v>
      </c>
      <c r="E9" s="11">
        <v>200000000</v>
      </c>
      <c r="F9" s="11"/>
    </row>
    <row r="10" spans="2:6" ht="30" x14ac:dyDescent="0.25">
      <c r="B10" s="10" t="s">
        <v>10</v>
      </c>
      <c r="C10" s="6">
        <f t="shared" si="0"/>
        <v>2320000000</v>
      </c>
      <c r="D10" s="6">
        <v>1020000000</v>
      </c>
      <c r="E10" s="6">
        <v>1300000000</v>
      </c>
      <c r="F10" s="6"/>
    </row>
    <row r="11" spans="2:6" x14ac:dyDescent="0.25">
      <c r="B11" s="5" t="s">
        <v>26</v>
      </c>
      <c r="C11" s="6">
        <f t="shared" si="0"/>
        <v>480000000</v>
      </c>
      <c r="D11" s="6">
        <v>480000000</v>
      </c>
      <c r="E11" s="6"/>
      <c r="F11" s="6"/>
    </row>
    <row r="12" spans="2:6" ht="15.75" thickBot="1" x14ac:dyDescent="0.3">
      <c r="C12" s="2"/>
    </row>
    <row r="13" spans="2:6" ht="15.75" thickBot="1" x14ac:dyDescent="0.3">
      <c r="B13" s="7" t="s">
        <v>52</v>
      </c>
      <c r="C13" s="8">
        <f>SUM(C6:C11)</f>
        <v>17499562836</v>
      </c>
      <c r="D13" s="8">
        <f t="shared" ref="D13:F13" si="1">SUM(D6:D11)</f>
        <v>5000000000</v>
      </c>
      <c r="E13" s="8">
        <f t="shared" si="1"/>
        <v>6479562836</v>
      </c>
      <c r="F13" s="8">
        <f t="shared" si="1"/>
        <v>6020000000</v>
      </c>
    </row>
    <row r="14" spans="2:6" x14ac:dyDescent="0.25">
      <c r="C14" s="2"/>
    </row>
    <row r="15" spans="2:6" x14ac:dyDescent="0.25">
      <c r="C15" s="2"/>
    </row>
    <row r="16" spans="2:6" x14ac:dyDescent="0.25">
      <c r="B16" s="3"/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/>
  </sheetViews>
  <sheetFormatPr baseColWidth="10" defaultRowHeight="15" x14ac:dyDescent="0.25"/>
  <cols>
    <col min="1" max="1" width="4.28515625" customWidth="1"/>
    <col min="2" max="2" width="48.140625" customWidth="1"/>
    <col min="3" max="3" width="16.7109375" customWidth="1"/>
    <col min="4" max="4" width="12.7109375" bestFit="1" customWidth="1"/>
    <col min="5" max="5" width="7.5703125" customWidth="1"/>
  </cols>
  <sheetData>
    <row r="2" spans="2:6" x14ac:dyDescent="0.25">
      <c r="B2" s="43" t="s">
        <v>53</v>
      </c>
      <c r="C2" s="43" t="s">
        <v>27</v>
      </c>
    </row>
    <row r="3" spans="2:6" x14ac:dyDescent="0.25">
      <c r="B3" s="1"/>
      <c r="C3" s="1"/>
    </row>
    <row r="4" spans="2:6" x14ac:dyDescent="0.25">
      <c r="B4" s="1"/>
      <c r="C4" s="1"/>
    </row>
    <row r="5" spans="2:6" x14ac:dyDescent="0.25">
      <c r="B5" s="4" t="s">
        <v>39</v>
      </c>
      <c r="C5" s="4" t="s">
        <v>40</v>
      </c>
      <c r="D5" s="4" t="s">
        <v>65</v>
      </c>
      <c r="E5" s="4" t="s">
        <v>37</v>
      </c>
      <c r="F5" s="4" t="s">
        <v>66</v>
      </c>
    </row>
    <row r="6" spans="2:6" ht="30" x14ac:dyDescent="0.25">
      <c r="B6" s="10" t="s">
        <v>15</v>
      </c>
      <c r="C6" s="6">
        <f>SUM(D6:F6)</f>
        <v>20000000</v>
      </c>
      <c r="D6" s="6">
        <v>20000000</v>
      </c>
      <c r="E6" s="6"/>
      <c r="F6" s="6"/>
    </row>
    <row r="7" spans="2:6" x14ac:dyDescent="0.25">
      <c r="B7" s="10" t="s">
        <v>9</v>
      </c>
      <c r="C7" s="6">
        <f t="shared" ref="C7:C8" si="0">SUM(D7:F7)</f>
        <v>1905000000</v>
      </c>
      <c r="D7" s="6">
        <v>1580000000</v>
      </c>
      <c r="E7" s="6"/>
      <c r="F7" s="6">
        <v>325000000</v>
      </c>
    </row>
    <row r="8" spans="2:6" x14ac:dyDescent="0.25">
      <c r="B8" s="10" t="s">
        <v>28</v>
      </c>
      <c r="C8" s="6">
        <f t="shared" si="0"/>
        <v>4393000000</v>
      </c>
      <c r="D8" s="6">
        <v>4393000000</v>
      </c>
      <c r="E8" s="6"/>
      <c r="F8" s="6"/>
    </row>
    <row r="9" spans="2:6" ht="15.75" thickBot="1" x14ac:dyDescent="0.3">
      <c r="C9" s="2"/>
    </row>
    <row r="10" spans="2:6" ht="15.75" thickBot="1" x14ac:dyDescent="0.3">
      <c r="B10" s="7" t="s">
        <v>54</v>
      </c>
      <c r="C10" s="8">
        <f>SUM(C6:C8)</f>
        <v>6318000000</v>
      </c>
      <c r="D10" s="8">
        <f t="shared" ref="D10:F10" si="1">SUM(D6:D8)</f>
        <v>5993000000</v>
      </c>
      <c r="E10" s="8">
        <f t="shared" si="1"/>
        <v>0</v>
      </c>
      <c r="F10" s="8">
        <f t="shared" si="1"/>
        <v>325000000</v>
      </c>
    </row>
    <row r="11" spans="2:6" x14ac:dyDescent="0.25">
      <c r="C11" s="2"/>
    </row>
    <row r="12" spans="2:6" x14ac:dyDescent="0.25">
      <c r="C12" s="2"/>
    </row>
    <row r="13" spans="2:6" x14ac:dyDescent="0.25">
      <c r="B13" s="3"/>
      <c r="C13" s="2"/>
    </row>
    <row r="14" spans="2:6" x14ac:dyDescent="0.25">
      <c r="C14" s="2"/>
    </row>
    <row r="15" spans="2:6" x14ac:dyDescent="0.25">
      <c r="C15" s="2"/>
    </row>
    <row r="16" spans="2:6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PPTO 2017</vt:lpstr>
      <vt:lpstr>INFRAESTRUCTURA</vt:lpstr>
      <vt:lpstr>SALUD Y AMBIENTE</vt:lpstr>
      <vt:lpstr>EDUCACIÓN</vt:lpstr>
      <vt:lpstr>INDERBU</vt:lpstr>
      <vt:lpstr>IMCT</vt:lpstr>
      <vt:lpstr>INTERIOR</vt:lpstr>
      <vt:lpstr>DESARROLLO SOCIAL</vt:lpstr>
      <vt:lpstr>PLANEACIÓN</vt:lpstr>
      <vt:lpstr>JURÍDICA</vt:lpstr>
      <vt:lpstr>IMEBU</vt:lpstr>
      <vt:lpstr>INVISBU</vt:lpstr>
      <vt:lpstr>ADMINISTRATIVA</vt:lpstr>
      <vt:lpstr>HACIENDA</vt:lpstr>
      <vt:lpstr>RESUMEN</vt:lpstr>
      <vt:lpstr>'PPTO 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mantilla</dc:creator>
  <cp:lastModifiedBy>MONICA</cp:lastModifiedBy>
  <dcterms:created xsi:type="dcterms:W3CDTF">2016-10-01T20:50:58Z</dcterms:created>
  <dcterms:modified xsi:type="dcterms:W3CDTF">2017-10-25T16:36:10Z</dcterms:modified>
</cp:coreProperties>
</file>