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0" hidden="1">'2016'!$B$11:$T$47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I46" i="10"/>
  <c r="I46" i="9"/>
  <c r="M23" i="12"/>
  <c r="L23" i="12"/>
  <c r="K23" i="12"/>
  <c r="I23" i="12"/>
  <c r="J47" i="11"/>
  <c r="L46" i="10"/>
  <c r="N46" i="10"/>
  <c r="R46" i="11"/>
  <c r="L47" i="10"/>
  <c r="N47" i="10"/>
  <c r="R47" i="11"/>
  <c r="H23" i="12"/>
  <c r="I47" i="11"/>
  <c r="N46" i="9"/>
  <c r="Q46" i="11"/>
  <c r="L47" i="9"/>
  <c r="N47" i="9"/>
  <c r="Q47" i="11"/>
  <c r="G23" i="12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N19" i="10"/>
  <c r="R19" i="11"/>
  <c r="L20" i="10"/>
  <c r="N20" i="10"/>
  <c r="R20" i="11"/>
  <c r="L21" i="10"/>
  <c r="N21" i="10"/>
  <c r="R21" i="11"/>
  <c r="N22" i="10"/>
  <c r="R22" i="11"/>
  <c r="L23" i="10"/>
  <c r="N23" i="10"/>
  <c r="R23" i="11"/>
  <c r="L24" i="10"/>
  <c r="N24" i="10"/>
  <c r="R24" i="11"/>
  <c r="L25" i="10"/>
  <c r="N25" i="10"/>
  <c r="R25" i="11"/>
  <c r="L27" i="10"/>
  <c r="N27" i="10"/>
  <c r="R27" i="11"/>
  <c r="L28" i="10"/>
  <c r="N28" i="10"/>
  <c r="R28" i="11"/>
  <c r="L29" i="10"/>
  <c r="N29" i="10"/>
  <c r="R29" i="11"/>
  <c r="N30" i="10"/>
  <c r="R30" i="11"/>
  <c r="N31" i="10"/>
  <c r="R31" i="11"/>
  <c r="N32" i="10"/>
  <c r="R32" i="11"/>
  <c r="N33" i="10"/>
  <c r="R33" i="11"/>
  <c r="L34" i="10"/>
  <c r="N34" i="10"/>
  <c r="R34" i="11"/>
  <c r="L35" i="10"/>
  <c r="N35" i="10"/>
  <c r="R35" i="11"/>
  <c r="N36" i="10"/>
  <c r="R36" i="11"/>
  <c r="L37" i="10"/>
  <c r="N37" i="10"/>
  <c r="R37" i="11"/>
  <c r="N38" i="10"/>
  <c r="R38" i="11"/>
  <c r="N39" i="10"/>
  <c r="R39" i="11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4" i="10"/>
  <c r="N54" i="10"/>
  <c r="R54" i="11"/>
  <c r="L56" i="10"/>
  <c r="N56" i="10"/>
  <c r="R56" i="11"/>
  <c r="L57" i="10"/>
  <c r="N57" i="10"/>
  <c r="R57" i="11"/>
  <c r="R58" i="11"/>
  <c r="L12" i="9"/>
  <c r="N12" i="9"/>
  <c r="Q12" i="11"/>
  <c r="L13" i="9"/>
  <c r="N13" i="9"/>
  <c r="Q13" i="11"/>
  <c r="L14" i="9"/>
  <c r="N14" i="9"/>
  <c r="Q14" i="11"/>
  <c r="N16" i="9"/>
  <c r="Q16" i="11"/>
  <c r="L17" i="9"/>
  <c r="N17" i="9"/>
  <c r="Q17" i="11"/>
  <c r="N18" i="9"/>
  <c r="Q18" i="11"/>
  <c r="N19" i="9"/>
  <c r="Q19" i="11"/>
  <c r="L20" i="9"/>
  <c r="N20" i="9"/>
  <c r="Q20" i="11"/>
  <c r="L21" i="9"/>
  <c r="N21" i="9"/>
  <c r="Q21" i="11"/>
  <c r="N22" i="9"/>
  <c r="Q22" i="11"/>
  <c r="L23" i="9"/>
  <c r="N23" i="9"/>
  <c r="Q23" i="11"/>
  <c r="L24" i="9"/>
  <c r="N24" i="9"/>
  <c r="Q24" i="11"/>
  <c r="L25" i="9"/>
  <c r="N25" i="9"/>
  <c r="Q25" i="11"/>
  <c r="L27" i="9"/>
  <c r="N27" i="9"/>
  <c r="Q27" i="11"/>
  <c r="L28" i="9"/>
  <c r="N28" i="9"/>
  <c r="Q28" i="11"/>
  <c r="L29" i="9"/>
  <c r="N29" i="9"/>
  <c r="Q29" i="11"/>
  <c r="N30" i="9"/>
  <c r="Q30" i="11"/>
  <c r="N31" i="9"/>
  <c r="Q31" i="11"/>
  <c r="N32" i="9"/>
  <c r="Q32" i="11"/>
  <c r="L33" i="9"/>
  <c r="N33" i="9"/>
  <c r="Q33" i="11"/>
  <c r="L34" i="9"/>
  <c r="N34" i="9"/>
  <c r="Q34" i="11"/>
  <c r="N35" i="9"/>
  <c r="Q35" i="11"/>
  <c r="N36" i="9"/>
  <c r="Q36" i="11"/>
  <c r="L37" i="9"/>
  <c r="N37" i="9"/>
  <c r="Q37" i="11"/>
  <c r="N38" i="9"/>
  <c r="Q38" i="11"/>
  <c r="N39" i="9"/>
  <c r="Q39" i="11"/>
  <c r="N40" i="9"/>
  <c r="Q40" i="11"/>
  <c r="L41" i="9"/>
  <c r="N41" i="9"/>
  <c r="Q41" i="11"/>
  <c r="L42" i="9"/>
  <c r="N42" i="9"/>
  <c r="Q42" i="11"/>
  <c r="L43" i="9"/>
  <c r="N43" i="9"/>
  <c r="Q43" i="11"/>
  <c r="N44" i="9"/>
  <c r="Q44" i="11"/>
  <c r="N49" i="9"/>
  <c r="Q49" i="11"/>
  <c r="N50" i="9"/>
  <c r="Q50" i="11"/>
  <c r="L51" i="9"/>
  <c r="N51" i="9"/>
  <c r="Q51" i="11"/>
  <c r="N52" i="9"/>
  <c r="Q52" i="11"/>
  <c r="L54" i="9"/>
  <c r="N54" i="9"/>
  <c r="Q54" i="11"/>
  <c r="L56" i="9"/>
  <c r="N56" i="9"/>
  <c r="Q56" i="11"/>
  <c r="L57" i="9"/>
  <c r="N57" i="9"/>
  <c r="Q57" i="11"/>
  <c r="Q58" i="11"/>
  <c r="W58" i="11"/>
  <c r="V58" i="11"/>
  <c r="U58" i="11"/>
  <c r="S58" i="11"/>
  <c r="N46" i="11"/>
  <c r="M46" i="11"/>
  <c r="R58" i="10"/>
  <c r="Q58" i="10"/>
  <c r="P58" i="10"/>
  <c r="N58" i="10"/>
  <c r="M46" i="10"/>
  <c r="M58" i="10"/>
  <c r="T46" i="10"/>
  <c r="S46" i="10"/>
  <c r="R58" i="9"/>
  <c r="Q58" i="9"/>
  <c r="P58" i="9"/>
  <c r="M12" i="9"/>
  <c r="M13" i="9"/>
  <c r="M14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9" i="9"/>
  <c r="M50" i="9"/>
  <c r="M51" i="9"/>
  <c r="M52" i="9"/>
  <c r="M54" i="9"/>
  <c r="M56" i="9"/>
  <c r="M57" i="9"/>
  <c r="M58" i="9"/>
  <c r="N58" i="9"/>
  <c r="S46" i="9"/>
  <c r="T46" i="9"/>
  <c r="L46" i="9"/>
  <c r="V12" i="11"/>
  <c r="L10" i="12"/>
  <c r="V13" i="11"/>
  <c r="L11" i="12"/>
  <c r="V14" i="11"/>
  <c r="L12" i="12"/>
  <c r="L9" i="12"/>
  <c r="V16" i="11"/>
  <c r="L14" i="12"/>
  <c r="V17" i="11"/>
  <c r="V18" i="11"/>
  <c r="V19" i="11"/>
  <c r="V20" i="11"/>
  <c r="V21" i="11"/>
  <c r="V22" i="11"/>
  <c r="V23" i="11"/>
  <c r="V24" i="11"/>
  <c r="V25" i="11"/>
  <c r="L15" i="12"/>
  <c r="L13" i="12"/>
  <c r="V27" i="11"/>
  <c r="V28" i="11"/>
  <c r="V29" i="11"/>
  <c r="V30" i="11"/>
  <c r="V31" i="11"/>
  <c r="V32" i="11"/>
  <c r="V33" i="11"/>
  <c r="V34" i="11"/>
  <c r="V35" i="11"/>
  <c r="L17" i="12"/>
  <c r="V36" i="11"/>
  <c r="V37" i="11"/>
  <c r="V38" i="11"/>
  <c r="L18" i="12"/>
  <c r="V39" i="11"/>
  <c r="V40" i="11"/>
  <c r="V41" i="11"/>
  <c r="V42" i="11"/>
  <c r="V43" i="11"/>
  <c r="L19" i="12"/>
  <c r="V44" i="11"/>
  <c r="L20" i="12"/>
  <c r="L16" i="12"/>
  <c r="L8" i="12"/>
  <c r="W12" i="11"/>
  <c r="M10" i="12"/>
  <c r="W13" i="11"/>
  <c r="M11" i="12"/>
  <c r="W14" i="11"/>
  <c r="M12" i="12"/>
  <c r="M9" i="12"/>
  <c r="W16" i="11"/>
  <c r="M14" i="12"/>
  <c r="W17" i="11"/>
  <c r="W18" i="11"/>
  <c r="W19" i="11"/>
  <c r="W20" i="11"/>
  <c r="W21" i="11"/>
  <c r="W22" i="11"/>
  <c r="W23" i="11"/>
  <c r="W24" i="11"/>
  <c r="W25" i="11"/>
  <c r="M15" i="12"/>
  <c r="M13" i="12"/>
  <c r="W27" i="11"/>
  <c r="W28" i="11"/>
  <c r="W29" i="11"/>
  <c r="W30" i="11"/>
  <c r="W31" i="11"/>
  <c r="W32" i="11"/>
  <c r="W33" i="11"/>
  <c r="W34" i="11"/>
  <c r="W35" i="11"/>
  <c r="M17" i="12"/>
  <c r="W36" i="11"/>
  <c r="W37" i="11"/>
  <c r="W38" i="11"/>
  <c r="M18" i="12"/>
  <c r="W39" i="11"/>
  <c r="W40" i="11"/>
  <c r="W41" i="11"/>
  <c r="W42" i="11"/>
  <c r="W43" i="11"/>
  <c r="M19" i="12"/>
  <c r="W44" i="11"/>
  <c r="M20" i="12"/>
  <c r="M16" i="12"/>
  <c r="M8" i="12"/>
  <c r="V47" i="11"/>
  <c r="L22" i="12"/>
  <c r="L21" i="12"/>
  <c r="W47" i="11"/>
  <c r="M22" i="12"/>
  <c r="M21" i="12"/>
  <c r="V49" i="11"/>
  <c r="V50" i="11"/>
  <c r="V51" i="11"/>
  <c r="V52" i="11"/>
  <c r="L26" i="12"/>
  <c r="L25" i="12"/>
  <c r="L24" i="12"/>
  <c r="W49" i="11"/>
  <c r="W50" i="11"/>
  <c r="W51" i="11"/>
  <c r="W52" i="11"/>
  <c r="M26" i="12"/>
  <c r="M25" i="12"/>
  <c r="M24" i="12"/>
  <c r="V54" i="11"/>
  <c r="L29" i="12"/>
  <c r="L28" i="12"/>
  <c r="L27" i="12"/>
  <c r="W54" i="11"/>
  <c r="M29" i="12"/>
  <c r="M28" i="12"/>
  <c r="M27" i="12"/>
  <c r="V56" i="11"/>
  <c r="V57" i="11"/>
  <c r="L32" i="12"/>
  <c r="L31" i="12"/>
  <c r="L30" i="12"/>
  <c r="W56" i="11"/>
  <c r="W57" i="11"/>
  <c r="M32" i="12"/>
  <c r="M31" i="12"/>
  <c r="M30" i="12"/>
  <c r="U56" i="11"/>
  <c r="U57" i="11"/>
  <c r="K32" i="12"/>
  <c r="U54" i="11"/>
  <c r="K29" i="12"/>
  <c r="U49" i="11"/>
  <c r="U50" i="11"/>
  <c r="U51" i="11"/>
  <c r="U52" i="11"/>
  <c r="K26" i="12"/>
  <c r="U47" i="11"/>
  <c r="U44" i="11"/>
  <c r="K20" i="12"/>
  <c r="U39" i="11"/>
  <c r="U40" i="11"/>
  <c r="U41" i="11"/>
  <c r="U42" i="11"/>
  <c r="U43" i="11"/>
  <c r="K19" i="12"/>
  <c r="U36" i="11"/>
  <c r="U37" i="11"/>
  <c r="U38" i="11"/>
  <c r="K18" i="12"/>
  <c r="U27" i="11"/>
  <c r="U28" i="11"/>
  <c r="U29" i="11"/>
  <c r="U30" i="11"/>
  <c r="U31" i="11"/>
  <c r="U32" i="11"/>
  <c r="U33" i="11"/>
  <c r="U34" i="11"/>
  <c r="U35" i="11"/>
  <c r="K17" i="12"/>
  <c r="U17" i="11"/>
  <c r="U18" i="11"/>
  <c r="U19" i="11"/>
  <c r="U20" i="11"/>
  <c r="U21" i="11"/>
  <c r="U22" i="11"/>
  <c r="U23" i="11"/>
  <c r="U24" i="11"/>
  <c r="U25" i="11"/>
  <c r="K15" i="12"/>
  <c r="U16" i="11"/>
  <c r="K14" i="12"/>
  <c r="U14" i="11"/>
  <c r="K12" i="12"/>
  <c r="U13" i="11"/>
  <c r="K11" i="12"/>
  <c r="U12" i="11"/>
  <c r="K10" i="12"/>
  <c r="C36" i="12"/>
  <c r="C35" i="12"/>
  <c r="I33" i="12"/>
  <c r="I32" i="12"/>
  <c r="I31" i="12"/>
  <c r="I30" i="12"/>
  <c r="I29" i="12"/>
  <c r="I28" i="12"/>
  <c r="I27" i="12"/>
  <c r="I26" i="12"/>
  <c r="I25" i="12"/>
  <c r="I24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N24" i="8"/>
  <c r="P24" i="11"/>
  <c r="L25" i="8"/>
  <c r="N25" i="8"/>
  <c r="P25" i="11"/>
  <c r="L27" i="8"/>
  <c r="N27" i="8"/>
  <c r="P27" i="11"/>
  <c r="L28" i="8"/>
  <c r="N28" i="8"/>
  <c r="P28" i="11"/>
  <c r="L29" i="8"/>
  <c r="N29" i="8"/>
  <c r="P29" i="11"/>
  <c r="L30" i="8"/>
  <c r="N30" i="8"/>
  <c r="P30" i="11"/>
  <c r="N31" i="8"/>
  <c r="P31" i="11"/>
  <c r="L32" i="8"/>
  <c r="N32" i="8"/>
  <c r="P32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N44" i="8"/>
  <c r="P44" i="11"/>
  <c r="F8" i="12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L16" i="9"/>
  <c r="L44" i="9"/>
  <c r="G8" i="12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H47" i="11"/>
  <c r="L46" i="8"/>
  <c r="N46" i="8"/>
  <c r="P47" i="11"/>
  <c r="F21" i="12"/>
  <c r="G21" i="12"/>
  <c r="H21" i="12"/>
  <c r="F22" i="12"/>
  <c r="G22" i="12"/>
  <c r="H22" i="12"/>
  <c r="F23" i="12"/>
  <c r="H49" i="11"/>
  <c r="H50" i="11"/>
  <c r="H51" i="11"/>
  <c r="H52" i="11"/>
  <c r="L48" i="8"/>
  <c r="N48" i="8"/>
  <c r="P49" i="11"/>
  <c r="N49" i="8"/>
  <c r="P50" i="11"/>
  <c r="N50" i="8"/>
  <c r="P51" i="11"/>
  <c r="N51" i="8"/>
  <c r="P52" i="11"/>
  <c r="F24" i="12"/>
  <c r="I49" i="11"/>
  <c r="I50" i="11"/>
  <c r="I51" i="11"/>
  <c r="I52" i="11"/>
  <c r="G24" i="12"/>
  <c r="J49" i="11"/>
  <c r="J50" i="11"/>
  <c r="J51" i="11"/>
  <c r="J52" i="11"/>
  <c r="H24" i="12"/>
  <c r="F25" i="12"/>
  <c r="G25" i="12"/>
  <c r="H25" i="12"/>
  <c r="F26" i="12"/>
  <c r="G26" i="12"/>
  <c r="H26" i="12"/>
  <c r="H54" i="11"/>
  <c r="F27" i="12"/>
  <c r="I54" i="11"/>
  <c r="G27" i="12"/>
  <c r="J54" i="11"/>
  <c r="H27" i="12"/>
  <c r="F28" i="12"/>
  <c r="G28" i="12"/>
  <c r="H28" i="12"/>
  <c r="F29" i="12"/>
  <c r="G29" i="12"/>
  <c r="H29" i="12"/>
  <c r="H56" i="11"/>
  <c r="H57" i="11"/>
  <c r="L55" i="8"/>
  <c r="N55" i="8"/>
  <c r="P56" i="11"/>
  <c r="L56" i="8"/>
  <c r="N56" i="8"/>
  <c r="P57" i="11"/>
  <c r="F30" i="12"/>
  <c r="I56" i="11"/>
  <c r="I57" i="11"/>
  <c r="G30" i="12"/>
  <c r="J56" i="11"/>
  <c r="J57" i="11"/>
  <c r="H30" i="12"/>
  <c r="F31" i="12"/>
  <c r="G31" i="12"/>
  <c r="H31" i="12"/>
  <c r="F32" i="12"/>
  <c r="G32" i="12"/>
  <c r="H32" i="12"/>
  <c r="N53" i="8"/>
  <c r="P54" i="11"/>
  <c r="P58" i="11"/>
  <c r="F33" i="12"/>
  <c r="G33" i="12"/>
  <c r="H33" i="12"/>
  <c r="L12" i="7"/>
  <c r="N12" i="7"/>
  <c r="O12" i="11"/>
  <c r="L13" i="7"/>
  <c r="N13" i="7"/>
  <c r="O13" i="11"/>
  <c r="L14" i="7"/>
  <c r="N14" i="7"/>
  <c r="O14" i="11"/>
  <c r="N16" i="7"/>
  <c r="O16" i="11"/>
  <c r="L17" i="7"/>
  <c r="N17" i="7"/>
  <c r="O17" i="11"/>
  <c r="N18" i="7"/>
  <c r="O18" i="11"/>
  <c r="N19" i="7"/>
  <c r="O19" i="11"/>
  <c r="L20" i="7"/>
  <c r="N20" i="7"/>
  <c r="O20" i="11"/>
  <c r="L21" i="7"/>
  <c r="N21" i="7"/>
  <c r="O21" i="11"/>
  <c r="N22" i="7"/>
  <c r="O22" i="11"/>
  <c r="N23" i="7"/>
  <c r="O23" i="11"/>
  <c r="N24" i="7"/>
  <c r="O24" i="11"/>
  <c r="L25" i="7"/>
  <c r="N25" i="7"/>
  <c r="O25" i="11"/>
  <c r="L27" i="7"/>
  <c r="N27" i="7"/>
  <c r="O27" i="11"/>
  <c r="L28" i="7"/>
  <c r="N28" i="7"/>
  <c r="O28" i="11"/>
  <c r="L29" i="7"/>
  <c r="N29" i="7"/>
  <c r="O29" i="11"/>
  <c r="N30" i="7"/>
  <c r="O30" i="11"/>
  <c r="L31" i="7"/>
  <c r="N31" i="7"/>
  <c r="O31" i="11"/>
  <c r="N32" i="7"/>
  <c r="O32" i="11"/>
  <c r="N33" i="7"/>
  <c r="O33" i="11"/>
  <c r="L34" i="7"/>
  <c r="N34" i="7"/>
  <c r="O34" i="11"/>
  <c r="N35" i="7"/>
  <c r="O35" i="11"/>
  <c r="N38" i="7"/>
  <c r="O36" i="11"/>
  <c r="N39" i="7"/>
  <c r="O37" i="11"/>
  <c r="N41" i="7"/>
  <c r="O38" i="11"/>
  <c r="L42" i="7"/>
  <c r="N42" i="7"/>
  <c r="O39" i="11"/>
  <c r="L43" i="7"/>
  <c r="N43" i="7"/>
  <c r="O40" i="11"/>
  <c r="L44" i="7"/>
  <c r="N44" i="7"/>
  <c r="O41" i="11"/>
  <c r="N45" i="7"/>
  <c r="O42" i="11"/>
  <c r="N46" i="7"/>
  <c r="O43" i="11"/>
  <c r="N47" i="7"/>
  <c r="O44" i="11"/>
  <c r="L49" i="7"/>
  <c r="N49" i="7"/>
  <c r="O47" i="11"/>
  <c r="N54" i="7"/>
  <c r="O49" i="11"/>
  <c r="N55" i="7"/>
  <c r="O50" i="11"/>
  <c r="N56" i="7"/>
  <c r="O51" i="11"/>
  <c r="N57" i="7"/>
  <c r="O52" i="11"/>
  <c r="N59" i="7"/>
  <c r="O54" i="11"/>
  <c r="L61" i="7"/>
  <c r="N61" i="7"/>
  <c r="O56" i="11"/>
  <c r="L62" i="7"/>
  <c r="N62" i="7"/>
  <c r="O57" i="11"/>
  <c r="O58" i="11"/>
  <c r="E33" i="12"/>
  <c r="G56" i="11"/>
  <c r="G57" i="11"/>
  <c r="E32" i="12"/>
  <c r="E31" i="12"/>
  <c r="E30" i="12"/>
  <c r="G54" i="11"/>
  <c r="E29" i="12"/>
  <c r="E28" i="12"/>
  <c r="E27" i="12"/>
  <c r="G49" i="11"/>
  <c r="G50" i="11"/>
  <c r="G51" i="11"/>
  <c r="G52" i="11"/>
  <c r="E26" i="12"/>
  <c r="E25" i="12"/>
  <c r="E24" i="12"/>
  <c r="G47" i="11"/>
  <c r="E23" i="12"/>
  <c r="E22" i="12"/>
  <c r="E21" i="12"/>
  <c r="G44" i="11"/>
  <c r="E20" i="12"/>
  <c r="G39" i="11"/>
  <c r="G40" i="11"/>
  <c r="G41" i="11"/>
  <c r="G42" i="11"/>
  <c r="G43" i="11"/>
  <c r="E19" i="12"/>
  <c r="G36" i="11"/>
  <c r="G37" i="11"/>
  <c r="G38" i="11"/>
  <c r="E18" i="12"/>
  <c r="G27" i="11"/>
  <c r="G28" i="11"/>
  <c r="G29" i="11"/>
  <c r="G30" i="11"/>
  <c r="G31" i="11"/>
  <c r="G32" i="11"/>
  <c r="G33" i="11"/>
  <c r="G34" i="11"/>
  <c r="G35" i="11"/>
  <c r="E17" i="12"/>
  <c r="E16" i="12"/>
  <c r="G17" i="11"/>
  <c r="G18" i="11"/>
  <c r="G19" i="11"/>
  <c r="G20" i="11"/>
  <c r="G21" i="11"/>
  <c r="G22" i="11"/>
  <c r="G23" i="11"/>
  <c r="G24" i="11"/>
  <c r="G25" i="11"/>
  <c r="E15" i="12"/>
  <c r="G16" i="11"/>
  <c r="E14" i="12"/>
  <c r="E13" i="12"/>
  <c r="G14" i="11"/>
  <c r="E12" i="12"/>
  <c r="G13" i="11"/>
  <c r="E11" i="12"/>
  <c r="G12" i="11"/>
  <c r="E10" i="12"/>
  <c r="E9" i="12"/>
  <c r="E8" i="12"/>
  <c r="M33" i="12"/>
  <c r="L33" i="12"/>
  <c r="O33" i="12"/>
  <c r="K9" i="12"/>
  <c r="K13" i="12"/>
  <c r="K16" i="12"/>
  <c r="K8" i="12"/>
  <c r="K22" i="12"/>
  <c r="K21" i="12"/>
  <c r="K25" i="12"/>
  <c r="K24" i="12"/>
  <c r="K28" i="12"/>
  <c r="K27" i="12"/>
  <c r="K31" i="12"/>
  <c r="K30" i="12"/>
  <c r="K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7" i="11"/>
  <c r="N49" i="11"/>
  <c r="N50" i="11"/>
  <c r="N51" i="11"/>
  <c r="N52" i="11"/>
  <c r="N54" i="11"/>
  <c r="N56" i="11"/>
  <c r="N57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7" i="11"/>
  <c r="M49" i="11"/>
  <c r="M50" i="11"/>
  <c r="M51" i="11"/>
  <c r="M52" i="11"/>
  <c r="M54" i="11"/>
  <c r="M56" i="11"/>
  <c r="M57" i="11"/>
  <c r="L18" i="8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7" i="11"/>
  <c r="L49" i="11"/>
  <c r="L50" i="11"/>
  <c r="L51" i="11"/>
  <c r="L52" i="11"/>
  <c r="L54" i="11"/>
  <c r="L56" i="11"/>
  <c r="L57" i="11"/>
  <c r="K49" i="11"/>
  <c r="K50" i="11"/>
  <c r="K51" i="11"/>
  <c r="K52" i="11"/>
  <c r="K54" i="11"/>
  <c r="K56" i="11"/>
  <c r="K57" i="11"/>
  <c r="K38" i="11"/>
  <c r="K39" i="11"/>
  <c r="K40" i="11"/>
  <c r="K41" i="11"/>
  <c r="K42" i="11"/>
  <c r="K43" i="11"/>
  <c r="K44" i="11"/>
  <c r="K47" i="11"/>
  <c r="K36" i="11"/>
  <c r="K37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7" i="11"/>
  <c r="K28" i="11"/>
  <c r="K29" i="11"/>
  <c r="K30" i="11"/>
  <c r="K31" i="11"/>
  <c r="K32" i="11"/>
  <c r="K33" i="11"/>
  <c r="K34" i="11"/>
  <c r="K35" i="11"/>
  <c r="Y58" i="11"/>
  <c r="X58" i="11"/>
  <c r="Y57" i="11"/>
  <c r="X57" i="11"/>
  <c r="Y56" i="11"/>
  <c r="X56" i="11"/>
  <c r="Y54" i="11"/>
  <c r="X54" i="11"/>
  <c r="Y52" i="11"/>
  <c r="X52" i="11"/>
  <c r="Y51" i="11"/>
  <c r="X51" i="11"/>
  <c r="Y50" i="11"/>
  <c r="X50" i="11"/>
  <c r="Y49" i="11"/>
  <c r="X49" i="11"/>
  <c r="Y47" i="11"/>
  <c r="X47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R57" i="8"/>
  <c r="Q57" i="8"/>
  <c r="P57" i="8"/>
  <c r="N57" i="8"/>
  <c r="M12" i="8"/>
  <c r="M13" i="8"/>
  <c r="M14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/>
  <c r="M48" i="8"/>
  <c r="M49" i="8"/>
  <c r="M50" i="8"/>
  <c r="M51" i="8"/>
  <c r="M53" i="8"/>
  <c r="M55" i="8"/>
  <c r="M56" i="8"/>
  <c r="M57" i="8"/>
  <c r="T58" i="10"/>
  <c r="S58" i="10"/>
  <c r="T58" i="9"/>
  <c r="S58" i="9"/>
  <c r="T54" i="10"/>
  <c r="S54" i="10"/>
  <c r="M54" i="10"/>
  <c r="T54" i="9"/>
  <c r="S54" i="9"/>
  <c r="T53" i="8"/>
  <c r="S53" i="8"/>
  <c r="L53" i="8"/>
  <c r="L36" i="7"/>
  <c r="N36" i="7"/>
  <c r="L37" i="7"/>
  <c r="N37" i="7"/>
  <c r="N40" i="7"/>
  <c r="N51" i="7"/>
  <c r="N52" i="7"/>
  <c r="N63" i="7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7" i="10"/>
  <c r="M49" i="10"/>
  <c r="M50" i="10"/>
  <c r="M51" i="10"/>
  <c r="M52" i="10"/>
  <c r="M56" i="10"/>
  <c r="M57" i="10"/>
  <c r="L44" i="8"/>
  <c r="I57" i="10"/>
  <c r="I56" i="10"/>
  <c r="I47" i="10"/>
  <c r="I34" i="10"/>
  <c r="I29" i="10"/>
  <c r="I28" i="10"/>
  <c r="I27" i="10"/>
  <c r="I23" i="10"/>
  <c r="I21" i="10"/>
  <c r="I20" i="10"/>
  <c r="I17" i="10"/>
  <c r="I14" i="10"/>
  <c r="I12" i="10"/>
  <c r="I13" i="8"/>
  <c r="I13" i="9"/>
  <c r="I13" i="10"/>
  <c r="I16" i="8"/>
  <c r="I16" i="9"/>
  <c r="I16" i="10"/>
  <c r="I18" i="8"/>
  <c r="I18" i="9"/>
  <c r="I18" i="10"/>
  <c r="I19" i="8"/>
  <c r="I19" i="9"/>
  <c r="I19" i="10"/>
  <c r="I22" i="8"/>
  <c r="I22" i="9"/>
  <c r="I22" i="10"/>
  <c r="I24" i="8"/>
  <c r="I24" i="9"/>
  <c r="I24" i="10"/>
  <c r="I25" i="8"/>
  <c r="I25" i="9"/>
  <c r="I25" i="10"/>
  <c r="I30" i="8"/>
  <c r="I30" i="9"/>
  <c r="I30" i="10"/>
  <c r="I31" i="8"/>
  <c r="I31" i="9"/>
  <c r="I31" i="10"/>
  <c r="I32" i="8"/>
  <c r="I32" i="9"/>
  <c r="I32" i="10"/>
  <c r="I33" i="8"/>
  <c r="I33" i="9"/>
  <c r="I33" i="10"/>
  <c r="I35" i="8"/>
  <c r="I35" i="9"/>
  <c r="I35" i="10"/>
  <c r="I36" i="8"/>
  <c r="I36" i="9"/>
  <c r="I36" i="10"/>
  <c r="I37" i="8"/>
  <c r="I37" i="9"/>
  <c r="I37" i="10"/>
  <c r="I38" i="8"/>
  <c r="I38" i="9"/>
  <c r="I38" i="10"/>
  <c r="I39" i="8"/>
  <c r="I39" i="9"/>
  <c r="I39" i="10"/>
  <c r="I40" i="8"/>
  <c r="I40" i="9"/>
  <c r="I40" i="10"/>
  <c r="I41" i="8"/>
  <c r="I41" i="9"/>
  <c r="I41" i="10"/>
  <c r="I42" i="8"/>
  <c r="I42" i="9"/>
  <c r="I42" i="10"/>
  <c r="I43" i="8"/>
  <c r="I43" i="9"/>
  <c r="I43" i="10"/>
  <c r="I44" i="8"/>
  <c r="I44" i="9"/>
  <c r="I44" i="10"/>
  <c r="I48" i="8"/>
  <c r="I49" i="9"/>
  <c r="I49" i="10"/>
  <c r="I49" i="8"/>
  <c r="I50" i="9"/>
  <c r="I50" i="10"/>
  <c r="I50" i="8"/>
  <c r="I51" i="9"/>
  <c r="I51" i="10"/>
  <c r="I51" i="8"/>
  <c r="I52" i="9"/>
  <c r="I52" i="10"/>
  <c r="I57" i="9"/>
  <c r="I56" i="9"/>
  <c r="I47" i="9"/>
  <c r="I34" i="9"/>
  <c r="I29" i="9"/>
  <c r="I28" i="9"/>
  <c r="I27" i="9"/>
  <c r="I23" i="9"/>
  <c r="I21" i="9"/>
  <c r="I20" i="9"/>
  <c r="I17" i="9"/>
  <c r="I14" i="9"/>
  <c r="I12" i="9"/>
  <c r="I56" i="8"/>
  <c r="I55" i="8"/>
  <c r="I46" i="8"/>
  <c r="I34" i="8"/>
  <c r="I29" i="8"/>
  <c r="I28" i="8"/>
  <c r="I27" i="8"/>
  <c r="I23" i="8"/>
  <c r="I21" i="8"/>
  <c r="I20" i="8"/>
  <c r="I17" i="8"/>
  <c r="I14" i="8"/>
  <c r="I12" i="8"/>
  <c r="L31" i="10"/>
  <c r="L32" i="10"/>
  <c r="L33" i="10"/>
  <c r="L36" i="10"/>
  <c r="L38" i="10"/>
  <c r="L39" i="10"/>
  <c r="L40" i="10"/>
  <c r="T57" i="10"/>
  <c r="S57" i="10"/>
  <c r="T56" i="10"/>
  <c r="S56" i="10"/>
  <c r="T52" i="10"/>
  <c r="S52" i="10"/>
  <c r="T51" i="10"/>
  <c r="S51" i="10"/>
  <c r="T50" i="10"/>
  <c r="S50" i="10"/>
  <c r="T49" i="10"/>
  <c r="S49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L30" i="10"/>
  <c r="T29" i="10"/>
  <c r="S29" i="10"/>
  <c r="T28" i="10"/>
  <c r="S28" i="10"/>
  <c r="T27" i="10"/>
  <c r="S27" i="10"/>
  <c r="T25" i="10"/>
  <c r="S25" i="10"/>
  <c r="T24" i="10"/>
  <c r="S24" i="10"/>
  <c r="T23" i="10"/>
  <c r="S23" i="10"/>
  <c r="T22" i="10"/>
  <c r="S22" i="10"/>
  <c r="L22" i="10"/>
  <c r="T21" i="10"/>
  <c r="S21" i="10"/>
  <c r="T20" i="10"/>
  <c r="S20" i="10"/>
  <c r="T19" i="10"/>
  <c r="S19" i="10"/>
  <c r="L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L19" i="9"/>
  <c r="L30" i="9"/>
  <c r="L31" i="9"/>
  <c r="L32" i="9"/>
  <c r="L36" i="9"/>
  <c r="L38" i="9"/>
  <c r="L39" i="9"/>
  <c r="L40" i="9"/>
  <c r="L49" i="9"/>
  <c r="L50" i="9"/>
  <c r="L52" i="9"/>
  <c r="T57" i="9"/>
  <c r="S57" i="9"/>
  <c r="T56" i="9"/>
  <c r="S56" i="9"/>
  <c r="T52" i="9"/>
  <c r="S52" i="9"/>
  <c r="T51" i="9"/>
  <c r="S51" i="9"/>
  <c r="T50" i="9"/>
  <c r="S50" i="9"/>
  <c r="T49" i="9"/>
  <c r="S49" i="9"/>
  <c r="T47" i="9"/>
  <c r="S47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L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5" i="9"/>
  <c r="S25" i="9"/>
  <c r="T24" i="9"/>
  <c r="S24" i="9"/>
  <c r="T23" i="9"/>
  <c r="S23" i="9"/>
  <c r="T22" i="9"/>
  <c r="S22" i="9"/>
  <c r="L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T14" i="9"/>
  <c r="S14" i="9"/>
  <c r="T13" i="9"/>
  <c r="S13" i="9"/>
  <c r="T12" i="9"/>
  <c r="S12" i="9"/>
  <c r="T57" i="8"/>
  <c r="S57" i="8"/>
  <c r="L24" i="8"/>
  <c r="L31" i="8"/>
  <c r="L35" i="8"/>
  <c r="L37" i="8"/>
  <c r="L49" i="8"/>
  <c r="L50" i="8"/>
  <c r="L51" i="8"/>
  <c r="T56" i="8"/>
  <c r="S56" i="8"/>
  <c r="T55" i="8"/>
  <c r="S55" i="8"/>
  <c r="T51" i="8"/>
  <c r="S51" i="8"/>
  <c r="T50" i="8"/>
  <c r="S50" i="8"/>
  <c r="T49" i="8"/>
  <c r="S49" i="8"/>
  <c r="T48" i="8"/>
  <c r="S48" i="8"/>
  <c r="T46" i="8"/>
  <c r="S46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63" i="7"/>
  <c r="R63" i="7"/>
  <c r="P63" i="7"/>
  <c r="L16" i="7"/>
  <c r="L23" i="7"/>
  <c r="L32" i="7"/>
  <c r="L33" i="7"/>
  <c r="L38" i="7"/>
  <c r="L40" i="7"/>
  <c r="L41" i="7"/>
  <c r="L46" i="7"/>
  <c r="L47" i="7"/>
  <c r="L54" i="7"/>
  <c r="L55" i="7"/>
  <c r="L56" i="7"/>
  <c r="L57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1" i="7"/>
  <c r="M52" i="7"/>
  <c r="M54" i="7"/>
  <c r="M55" i="7"/>
  <c r="M56" i="7"/>
  <c r="M57" i="7"/>
  <c r="M59" i="7"/>
  <c r="M61" i="7"/>
  <c r="M62" i="7"/>
  <c r="M63" i="7"/>
  <c r="T63" i="7"/>
  <c r="S63" i="7"/>
  <c r="S13" i="7"/>
  <c r="T13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1" i="7"/>
  <c r="T51" i="7"/>
  <c r="S52" i="7"/>
  <c r="T52" i="7"/>
  <c r="S54" i="7"/>
  <c r="T54" i="7"/>
  <c r="S55" i="7"/>
  <c r="T55" i="7"/>
  <c r="S56" i="7"/>
  <c r="T56" i="7"/>
  <c r="S57" i="7"/>
  <c r="T57" i="7"/>
  <c r="S59" i="7"/>
  <c r="T59" i="7"/>
  <c r="S61" i="7"/>
  <c r="T61" i="7"/>
  <c r="S62" i="7"/>
  <c r="T62" i="7"/>
  <c r="L18" i="7"/>
  <c r="L19" i="7"/>
  <c r="L22" i="7"/>
  <c r="L24" i="7"/>
  <c r="L30" i="7"/>
  <c r="L35" i="7"/>
  <c r="L39" i="7"/>
  <c r="L45" i="7"/>
  <c r="L51" i="7"/>
  <c r="L52" i="7"/>
  <c r="L59" i="7"/>
  <c r="T12" i="7"/>
  <c r="S12" i="7"/>
</calcChain>
</file>

<file path=xl/sharedStrings.xml><?xml version="1.0" encoding="utf-8"?>
<sst xmlns="http://schemas.openxmlformats.org/spreadsheetml/2006/main" count="612" uniqueCount="163">
  <si>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</si>
  <si>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</si>
  <si>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</si>
  <si>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</si>
  <si>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</si>
  <si>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</si>
  <si>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</si>
  <si>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</si>
  <si>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</si>
  <si>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</si>
  <si>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</si>
  <si>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</si>
  <si>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</si>
  <si>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</si>
  <si>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</si>
  <si>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</si>
  <si>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</si>
  <si>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</si>
  <si>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</si>
  <si>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</si>
  <si>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</si>
  <si>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</si>
  <si>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</si>
  <si>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</si>
  <si>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</si>
  <si>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</si>
  <si>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</si>
  <si>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</si>
  <si>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</si>
  <si>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</si>
  <si>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</si>
  <si>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</si>
  <si>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</si>
  <si>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</si>
  <si>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</si>
  <si>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</si>
  <si>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</si>
  <si>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</si>
  <si>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</si>
  <si>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</si>
  <si>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</si>
  <si>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</si>
  <si>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</si>
  <si>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</si>
  <si>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</si>
  <si>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</si>
  <si>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</si>
  <si>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</si>
  <si>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</si>
  <si>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</si>
  <si>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Número de equipos de diseño del taller de arquitectura conformados y mantenidos.</t>
  </si>
  <si>
    <t>Número de propuestas para proyectos básicos realizados que contengan los lineamientos de diseño urbano.</t>
  </si>
  <si>
    <t>Porcentaje de avance de la estructuración del Plan Integral Zonal - PIZ.</t>
  </si>
  <si>
    <t>Porcentaje de avance en la ejecución del Plan Integral Zonal - PIZ.</t>
  </si>
  <si>
    <t>Porcentaje de avance de la realización del estudio que contenga los lineamientos y directrices generales del gran bosque de los cerros orientales de escala metropolitana.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</si>
  <si>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</si>
  <si>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</si>
  <si>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</si>
  <si>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</si>
  <si>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</si>
  <si>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</si>
  <si>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</si>
  <si>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</si>
  <si>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subsectores del gran bosque de los cerros orientales de escala metropolitana diseñados.</t>
  </si>
  <si>
    <t>Número de subsectores de la zona occidental diseñados.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</si>
  <si>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</si>
  <si>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</si>
  <si>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</si>
  <si>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</si>
  <si>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estudios y diseños actualizados de la plaza San Mateo.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</si>
  <si>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</si>
  <si>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</si>
  <si>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</si>
  <si>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</si>
  <si>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</si>
  <si>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</si>
  <si>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</si>
  <si>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</si>
  <si>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DISEÑO URBANO INTELIGENTE Y SUSTENTABLE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</si>
  <si>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</si>
  <si>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</si>
  <si>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</si>
  <si>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</si>
  <si>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SENDEROS PARA LA VIDA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</si>
  <si>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</si>
  <si>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</si>
  <si>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</si>
  <si>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</si>
  <si>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</si>
  <si>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</si>
  <si>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</si>
  <si>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</si>
  <si>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</si>
  <si>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ESPACIOS VERDES PARA LA DEMOCRACIA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</si>
  <si>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</si>
  <si>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</si>
  <si>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</si>
  <si>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</si>
  <si>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</si>
  <si>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</si>
  <si>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</si>
  <si>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2016 - 2019</t>
  </si>
  <si>
    <t>AVANCE EN CUMPLIMIENTO</t>
  </si>
  <si>
    <t>RECURSOS FINANCIEROS 2016 - 2017 (Miles de pesos)</t>
  </si>
  <si>
    <t>RESUMEN CUMPLIMIENTO SECRETARÍA DE PLANEACIÓN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</si>
  <si>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</si>
  <si>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</si>
  <si>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</si>
  <si>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</si>
  <si>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</si>
  <si>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</si>
  <si>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</si>
  <si>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</si>
  <si>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</si>
  <si>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</si>
  <si>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</si>
  <si>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1.1.4</t>
  </si>
  <si>
    <t>Instituciones Democráticas de Base Fortalecidas e Incluyentes</t>
  </si>
  <si>
    <t>1.1.7</t>
  </si>
  <si>
    <t>Gobierno Transparente</t>
  </si>
  <si>
    <t>1.2</t>
  </si>
  <si>
    <t>1.2.3</t>
  </si>
  <si>
    <t>Administración Articulada y Coherente</t>
  </si>
  <si>
    <t>1.2.4</t>
  </si>
  <si>
    <t>Una Ciudad Visible que toma Decisiones Inteligentes</t>
  </si>
  <si>
    <t>1.4</t>
  </si>
  <si>
    <t>1.4.1</t>
  </si>
  <si>
    <t>Ordenamiento Territorial en Marcha</t>
  </si>
  <si>
    <t>1.4.3</t>
  </si>
  <si>
    <t>Una Ciudad que Hace y Ejecuta Planes</t>
  </si>
  <si>
    <t>1.4.4</t>
  </si>
  <si>
    <t>Territorios Vulnerables, Territorios Visibles</t>
  </si>
  <si>
    <t>1.4.5</t>
  </si>
  <si>
    <t>Territorios Metropolitanos, Planes Conjuntos</t>
  </si>
  <si>
    <t>LÍNEA ESTRATÉGICA 2: INCLUSIÓN SOCIAL</t>
  </si>
  <si>
    <t>2.4</t>
  </si>
  <si>
    <t>2.4.1</t>
  </si>
  <si>
    <t>Construyendo mi Hogar</t>
  </si>
  <si>
    <t>LÍNEA ESTRATÉGICA 3: SOSTENIBILIDAD AMBIENTAL</t>
  </si>
  <si>
    <t>3.2</t>
  </si>
  <si>
    <t>3.2.1</t>
  </si>
  <si>
    <t>Conocimientos del Riesgo del Desastre</t>
  </si>
  <si>
    <t>LÍNEA ESTRATÉGICA 4: CALIDAD DE VIDA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</si>
  <si>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</si>
  <si>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</si>
  <si>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</si>
  <si>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</si>
  <si>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</si>
  <si>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5.2.5</t>
  </si>
  <si>
    <t>Mejoramiento del Clima de Negocios</t>
  </si>
  <si>
    <t>PLAN DE DESARROLLO 2016 - 2019</t>
  </si>
  <si>
    <t>Número de hectáreas para lotes urbanizables "20.000 Hogares felices".</t>
  </si>
  <si>
    <t>INVISBU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</si>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</sst>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65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6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67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44" xfId="0" applyNumberFormat="1" applyFont="1" applyFill="1" applyBorder="1" applyAlignment="1">
      <alignment horizontal="center" vertical="center"/>
    </xf>
    <xf numFmtId="9" fontId="8" fillId="5" borderId="34" xfId="0" applyNumberFormat="1" applyFont="1" applyFill="1" applyBorder="1" applyAlignment="1">
      <alignment horizontal="center" vertical="center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9" fontId="8" fillId="5" borderId="64" xfId="0" applyNumberFormat="1" applyFont="1" applyFill="1" applyBorder="1" applyAlignment="1">
      <alignment horizontal="center" vertical="center"/>
    </xf>
    <xf numFmtId="9" fontId="8" fillId="5" borderId="33" xfId="0" applyNumberFormat="1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9" fontId="8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9" fontId="8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7" borderId="46" xfId="0" applyNumberFormat="1" applyFont="1" applyFill="1" applyBorder="1" applyAlignment="1">
      <alignment horizontal="center" vertical="center"/>
    </xf>
    <xf numFmtId="9" fontId="15" fillId="7" borderId="70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45" xfId="0" applyNumberFormat="1" applyFont="1" applyFill="1" applyBorder="1" applyAlignment="1">
      <alignment horizontal="center" vertical="center"/>
    </xf>
    <xf numFmtId="3" fontId="14" fillId="7" borderId="46" xfId="0" applyNumberFormat="1" applyFont="1" applyFill="1" applyBorder="1" applyAlignment="1">
      <alignment horizontal="center" vertical="center"/>
    </xf>
    <xf numFmtId="9" fontId="17" fillId="7" borderId="57" xfId="0" applyNumberFormat="1" applyFont="1" applyFill="1" applyBorder="1" applyAlignment="1" applyProtection="1">
      <alignment horizontal="center" vertical="center"/>
    </xf>
    <xf numFmtId="9" fontId="17" fillId="7" borderId="4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73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>
      <alignment horizontal="center" vertical="center"/>
    </xf>
    <xf numFmtId="3" fontId="6" fillId="8" borderId="63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66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54" xfId="0" applyNumberFormat="1" applyFont="1" applyBorder="1" applyAlignment="1">
      <alignment horizontal="center" vertical="center" wrapText="1"/>
    </xf>
    <xf numFmtId="9" fontId="20" fillId="0" borderId="16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 applyProtection="1">
      <alignment horizontal="center" vertical="center"/>
    </xf>
    <xf numFmtId="9" fontId="5" fillId="0" borderId="33" xfId="0" applyNumberFormat="1" applyFont="1" applyBorder="1" applyAlignment="1" applyProtection="1">
      <alignment horizontal="center" vertical="center"/>
    </xf>
    <xf numFmtId="9" fontId="14" fillId="9" borderId="46" xfId="0" applyNumberFormat="1" applyFont="1" applyFill="1" applyBorder="1" applyAlignment="1">
      <alignment horizontal="center" vertical="center" wrapText="1"/>
    </xf>
    <xf numFmtId="9" fontId="15" fillId="9" borderId="70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45" xfId="0" applyNumberFormat="1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9" fontId="17" fillId="9" borderId="57" xfId="0" applyNumberFormat="1" applyFont="1" applyFill="1" applyBorder="1" applyAlignment="1" applyProtection="1">
      <alignment horizontal="center" vertical="center"/>
    </xf>
    <xf numFmtId="9" fontId="17" fillId="9" borderId="44" xfId="0" applyNumberFormat="1" applyFont="1" applyFill="1" applyBorder="1" applyAlignment="1" applyProtection="1">
      <alignment horizontal="center" vertical="center"/>
    </xf>
    <xf numFmtId="9" fontId="14" fillId="10" borderId="46" xfId="0" applyNumberFormat="1" applyFont="1" applyFill="1" applyBorder="1" applyAlignment="1">
      <alignment horizontal="center" vertical="center" wrapText="1"/>
    </xf>
    <xf numFmtId="9" fontId="15" fillId="10" borderId="70" xfId="0" applyNumberFormat="1" applyFont="1" applyFill="1" applyBorder="1" applyAlignment="1">
      <alignment horizontal="center" vertical="center" wrapText="1"/>
    </xf>
    <xf numFmtId="9" fontId="16" fillId="10" borderId="39" xfId="0" applyNumberFormat="1" applyFont="1" applyFill="1" applyBorder="1" applyAlignment="1">
      <alignment horizontal="center" vertical="center" wrapText="1"/>
    </xf>
    <xf numFmtId="3" fontId="14" fillId="10" borderId="45" xfId="0" applyNumberFormat="1" applyFont="1" applyFill="1" applyBorder="1" applyAlignment="1">
      <alignment horizontal="center" vertical="center"/>
    </xf>
    <xf numFmtId="3" fontId="14" fillId="10" borderId="46" xfId="0" applyNumberFormat="1" applyFont="1" applyFill="1" applyBorder="1" applyAlignment="1">
      <alignment horizontal="center" vertical="center"/>
    </xf>
    <xf numFmtId="9" fontId="14" fillId="10" borderId="57" xfId="0" applyNumberFormat="1" applyFont="1" applyFill="1" applyBorder="1" applyAlignment="1" applyProtection="1">
      <alignment horizontal="center" vertical="center"/>
    </xf>
    <xf numFmtId="9" fontId="14" fillId="10" borderId="44" xfId="0" applyNumberFormat="1" applyFont="1" applyFill="1" applyBorder="1" applyAlignment="1" applyProtection="1">
      <alignment horizontal="center" vertical="center"/>
    </xf>
    <xf numFmtId="9" fontId="14" fillId="11" borderId="46" xfId="0" applyNumberFormat="1" applyFont="1" applyFill="1" applyBorder="1" applyAlignment="1">
      <alignment horizontal="center" vertical="center" wrapText="1"/>
    </xf>
    <xf numFmtId="9" fontId="15" fillId="11" borderId="70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45" xfId="0" applyNumberFormat="1" applyFont="1" applyFill="1" applyBorder="1" applyAlignment="1">
      <alignment horizontal="center" vertical="center"/>
    </xf>
    <xf numFmtId="3" fontId="14" fillId="11" borderId="46" xfId="0" applyNumberFormat="1" applyFont="1" applyFill="1" applyBorder="1" applyAlignment="1">
      <alignment horizontal="center" vertical="center"/>
    </xf>
    <xf numFmtId="9" fontId="14" fillId="12" borderId="57" xfId="0" applyNumberFormat="1" applyFont="1" applyFill="1" applyBorder="1" applyAlignment="1" applyProtection="1">
      <alignment horizontal="center" vertical="center"/>
    </xf>
    <xf numFmtId="9" fontId="14" fillId="12" borderId="44" xfId="0" applyNumberFormat="1" applyFont="1" applyFill="1" applyBorder="1" applyAlignment="1" applyProtection="1">
      <alignment horizontal="center" vertical="center"/>
    </xf>
    <xf numFmtId="9" fontId="14" fillId="13" borderId="46" xfId="0" applyNumberFormat="1" applyFont="1" applyFill="1" applyBorder="1" applyAlignment="1">
      <alignment horizontal="center" vertical="center" wrapText="1"/>
    </xf>
    <xf numFmtId="9" fontId="15" fillId="13" borderId="70" xfId="0" applyNumberFormat="1" applyFont="1" applyFill="1" applyBorder="1" applyAlignment="1">
      <alignment horizontal="center" vertical="center" wrapText="1"/>
    </xf>
    <xf numFmtId="9" fontId="16" fillId="13" borderId="39" xfId="0" applyNumberFormat="1" applyFont="1" applyFill="1" applyBorder="1" applyAlignment="1">
      <alignment horizontal="center" vertical="center" wrapText="1"/>
    </xf>
    <xf numFmtId="3" fontId="14" fillId="13" borderId="45" xfId="0" applyNumberFormat="1" applyFont="1" applyFill="1" applyBorder="1" applyAlignment="1">
      <alignment horizontal="center" vertical="center"/>
    </xf>
    <xf numFmtId="3" fontId="14" fillId="13" borderId="46" xfId="0" applyNumberFormat="1" applyFont="1" applyFill="1" applyBorder="1" applyAlignment="1">
      <alignment horizontal="center" vertical="center"/>
    </xf>
    <xf numFmtId="9" fontId="14" fillId="13" borderId="57" xfId="0" applyNumberFormat="1" applyFont="1" applyFill="1" applyBorder="1" applyAlignment="1" applyProtection="1">
      <alignment horizontal="center" vertical="center"/>
    </xf>
    <xf numFmtId="9" fontId="14" fillId="13" borderId="44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6" xfId="0" applyNumberFormat="1" applyFont="1" applyFill="1" applyBorder="1" applyAlignment="1">
      <alignment horizontal="center" vertical="center" wrapText="1"/>
    </xf>
    <xf numFmtId="9" fontId="8" fillId="2" borderId="70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4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6" fillId="0" borderId="57" xfId="0" applyNumberFormat="1" applyFont="1" applyBorder="1" applyAlignment="1">
      <alignment horizontal="center" vertical="center"/>
    </xf>
    <xf numFmtId="0" fontId="6" fillId="0" borderId="0" xfId="0" applyFont="1" applyFill="1"/>
    <xf numFmtId="0" fontId="6" fillId="4" borderId="7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74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vertical="center" wrapText="1"/>
    </xf>
    <xf numFmtId="3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9" fontId="8" fillId="5" borderId="60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9" fontId="6" fillId="5" borderId="30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justify" vertical="center"/>
    </xf>
    <xf numFmtId="0" fontId="18" fillId="8" borderId="53" xfId="0" applyFont="1" applyFill="1" applyBorder="1" applyAlignment="1">
      <alignment horizontal="justify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71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71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70" xfId="0" applyFont="1" applyFill="1" applyBorder="1" applyAlignment="1">
      <alignment horizontal="justify" vertical="center"/>
    </xf>
    <xf numFmtId="0" fontId="14" fillId="7" borderId="52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1" xfId="0" applyFont="1" applyFill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6" fillId="0" borderId="7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14" fillId="9" borderId="70" xfId="0" applyFont="1" applyFill="1" applyBorder="1" applyAlignment="1">
      <alignment horizontal="justify" vertical="center"/>
    </xf>
    <xf numFmtId="0" fontId="14" fillId="9" borderId="52" xfId="0" applyFont="1" applyFill="1" applyBorder="1" applyAlignment="1">
      <alignment horizontal="justify" vertical="center"/>
    </xf>
    <xf numFmtId="0" fontId="14" fillId="10" borderId="70" xfId="0" applyFont="1" applyFill="1" applyBorder="1" applyAlignment="1">
      <alignment horizontal="justify" vertical="center"/>
    </xf>
    <xf numFmtId="0" fontId="14" fillId="10" borderId="52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8" fillId="2" borderId="52" xfId="0" applyFont="1" applyFill="1" applyBorder="1" applyAlignment="1">
      <alignment horizontal="justify" vertical="center"/>
    </xf>
    <xf numFmtId="0" fontId="14" fillId="11" borderId="70" xfId="0" applyFont="1" applyFill="1" applyBorder="1" applyAlignment="1">
      <alignment horizontal="justify" vertical="center"/>
    </xf>
    <xf numFmtId="0" fontId="14" fillId="11" borderId="52" xfId="0" applyFont="1" applyFill="1" applyBorder="1" applyAlignment="1">
      <alignment horizontal="justify" vertical="center"/>
    </xf>
    <xf numFmtId="0" fontId="14" fillId="13" borderId="70" xfId="0" applyFont="1" applyFill="1" applyBorder="1" applyAlignment="1">
      <alignment horizontal="justify" vertical="center"/>
    </xf>
    <xf numFmtId="0" fontId="14" fillId="13" borderId="52" xfId="0" applyFont="1" applyFill="1" applyBorder="1" applyAlignment="1">
      <alignment horizontal="justify" vertical="center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1422400</xdr:colOff>
      <xdr:row>0</xdr:row>
      <xdr:rowOff>114300</xdr:rowOff>
    </xdr:from>
    <xdr:to>
      <xdr:col>4</xdr:col>
      <xdr:colOff>1054100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71">
        <v>42735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94">
        <v>42370</v>
      </c>
      <c r="F12" s="135">
        <v>42735</v>
      </c>
      <c r="G12" s="102" t="s">
        <v>28</v>
      </c>
      <c r="H12" s="95">
        <v>1</v>
      </c>
      <c r="I12" s="95"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 t="s">
        <v>160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76">
        <v>42370</v>
      </c>
      <c r="F13" s="136">
        <v>42735</v>
      </c>
      <c r="G13" s="63" t="s">
        <v>29</v>
      </c>
      <c r="H13" s="88">
        <v>8</v>
      </c>
      <c r="I13" s="88">
        <v>1</v>
      </c>
      <c r="J13" s="88">
        <v>1</v>
      </c>
      <c r="K13" s="89">
        <v>1</v>
      </c>
      <c r="L13" s="68">
        <f t="shared" ref="L13:L62" si="0">+K13/J13</f>
        <v>1</v>
      </c>
      <c r="M13" s="70">
        <f>DAYS360(E13,$C$8)/DAYS360(E13,F13)</f>
        <v>1</v>
      </c>
      <c r="N13" s="61">
        <f t="shared" ref="N13:N62" si="1">IF(J13=0," -",IF(L13&gt;100%,100%,L13))</f>
        <v>1</v>
      </c>
      <c r="O13" s="81">
        <v>2210842</v>
      </c>
      <c r="P13" s="88">
        <v>33500</v>
      </c>
      <c r="Q13" s="88">
        <v>23650</v>
      </c>
      <c r="R13" s="88">
        <v>0</v>
      </c>
      <c r="S13" s="60">
        <f t="shared" ref="S13:S63" si="2">IF(P13=0," -",Q13/P13)</f>
        <v>0.70597014925373136</v>
      </c>
      <c r="T13" s="61" t="str">
        <f t="shared" ref="T13:T63" si="3">IF(R13=0," -",IF(Q13=0,100%,R13/Q13))</f>
        <v xml:space="preserve"> -</v>
      </c>
    </row>
    <row r="14" spans="2:20" ht="46" thickBot="1">
      <c r="B14" s="375"/>
      <c r="C14" s="374"/>
      <c r="D14" s="109" t="s">
        <v>74</v>
      </c>
      <c r="E14" s="110">
        <v>42370</v>
      </c>
      <c r="F14" s="137">
        <v>42735</v>
      </c>
      <c r="G14" s="127" t="s">
        <v>30</v>
      </c>
      <c r="H14" s="111">
        <v>1</v>
      </c>
      <c r="I14" s="111">
        <v>1</v>
      </c>
      <c r="J14" s="111">
        <v>1</v>
      </c>
      <c r="K14" s="112">
        <v>1</v>
      </c>
      <c r="L14" s="113">
        <f t="shared" si="0"/>
        <v>1</v>
      </c>
      <c r="M14" s="114">
        <f>DAYS360(E14,$C$8)/DAYS360(E14,F14)</f>
        <v>1</v>
      </c>
      <c r="N14" s="115">
        <f t="shared" si="1"/>
        <v>1</v>
      </c>
      <c r="O14" s="116">
        <v>2210289</v>
      </c>
      <c r="P14" s="111">
        <v>0</v>
      </c>
      <c r="Q14" s="111">
        <v>0</v>
      </c>
      <c r="R14" s="111">
        <v>0</v>
      </c>
      <c r="S14" s="117" t="str">
        <f t="shared" si="2"/>
        <v xml:space="preserve"> -</v>
      </c>
      <c r="T14" s="115" t="str">
        <f t="shared" si="3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42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42370</v>
      </c>
      <c r="F16" s="135">
        <v>42735</v>
      </c>
      <c r="G16" s="102" t="s">
        <v>31</v>
      </c>
      <c r="H16" s="101">
        <v>1</v>
      </c>
      <c r="I16" s="101">
        <v>0</v>
      </c>
      <c r="J16" s="101">
        <v>0</v>
      </c>
      <c r="K16" s="103">
        <v>0</v>
      </c>
      <c r="L16" s="97" t="e">
        <f t="shared" si="0"/>
        <v>#DIV/0!</v>
      </c>
      <c r="M16" s="98">
        <f t="shared" ref="M16:M25" si="4">DAYS360(E16,$C$8)/DAYS360(E16,F16)</f>
        <v>1</v>
      </c>
      <c r="N16" s="99" t="str">
        <f t="shared" si="1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2"/>
        <v xml:space="preserve"> -</v>
      </c>
      <c r="T16" s="99" t="str">
        <f t="shared" si="3"/>
        <v xml:space="preserve"> -</v>
      </c>
    </row>
    <row r="17" spans="2:20" ht="30">
      <c r="B17" s="375"/>
      <c r="C17" s="374"/>
      <c r="D17" s="334" t="s">
        <v>76</v>
      </c>
      <c r="E17" s="72">
        <v>42370</v>
      </c>
      <c r="F17" s="138">
        <v>42735</v>
      </c>
      <c r="G17" s="13" t="s">
        <v>32</v>
      </c>
      <c r="H17" s="82">
        <v>1</v>
      </c>
      <c r="I17" s="82">
        <v>1</v>
      </c>
      <c r="J17" s="82">
        <v>1</v>
      </c>
      <c r="K17" s="83">
        <v>1</v>
      </c>
      <c r="L17" s="16">
        <f t="shared" si="0"/>
        <v>1</v>
      </c>
      <c r="M17" s="17">
        <f t="shared" si="4"/>
        <v>1</v>
      </c>
      <c r="N17" s="18">
        <f t="shared" si="1"/>
        <v>1</v>
      </c>
      <c r="O17" s="77">
        <v>2210844</v>
      </c>
      <c r="P17" s="146">
        <v>355000</v>
      </c>
      <c r="Q17" s="146">
        <v>269367</v>
      </c>
      <c r="R17" s="82">
        <v>0</v>
      </c>
      <c r="S17" s="19">
        <f t="shared" si="2"/>
        <v>0.75878028169014089</v>
      </c>
      <c r="T17" s="18" t="str">
        <f t="shared" si="3"/>
        <v xml:space="preserve"> -</v>
      </c>
    </row>
    <row r="18" spans="2:20" ht="30">
      <c r="B18" s="375"/>
      <c r="C18" s="374"/>
      <c r="D18" s="335"/>
      <c r="E18" s="73">
        <v>42370</v>
      </c>
      <c r="F18" s="139">
        <v>42735</v>
      </c>
      <c r="G18" s="8" t="s">
        <v>33</v>
      </c>
      <c r="H18" s="84">
        <v>1</v>
      </c>
      <c r="I18" s="84"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4"/>
        <v>1</v>
      </c>
      <c r="N18" s="23" t="str">
        <f t="shared" si="1"/>
        <v xml:space="preserve"> -</v>
      </c>
      <c r="O18" s="78">
        <v>2210844</v>
      </c>
      <c r="P18" s="143">
        <v>0</v>
      </c>
      <c r="Q18" s="143">
        <v>0</v>
      </c>
      <c r="R18" s="84">
        <v>0</v>
      </c>
      <c r="S18" s="26" t="str">
        <f t="shared" si="2"/>
        <v xml:space="preserve"> -</v>
      </c>
      <c r="T18" s="23" t="str">
        <f t="shared" si="3"/>
        <v xml:space="preserve"> -</v>
      </c>
    </row>
    <row r="19" spans="2:20" ht="30">
      <c r="B19" s="375"/>
      <c r="C19" s="374"/>
      <c r="D19" s="335"/>
      <c r="E19" s="73">
        <v>42370</v>
      </c>
      <c r="F19" s="139">
        <v>42735</v>
      </c>
      <c r="G19" s="8" t="s">
        <v>34</v>
      </c>
      <c r="H19" s="84">
        <v>1</v>
      </c>
      <c r="I19" s="84">
        <v>0</v>
      </c>
      <c r="J19" s="84">
        <v>0</v>
      </c>
      <c r="K19" s="85">
        <v>0</v>
      </c>
      <c r="L19" s="21" t="e">
        <f t="shared" si="0"/>
        <v>#DIV/0!</v>
      </c>
      <c r="M19" s="22">
        <f t="shared" si="4"/>
        <v>1</v>
      </c>
      <c r="N19" s="23" t="str">
        <f t="shared" si="1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2"/>
        <v xml:space="preserve"> -</v>
      </c>
      <c r="T19" s="23" t="str">
        <f t="shared" si="3"/>
        <v xml:space="preserve"> -</v>
      </c>
    </row>
    <row r="20" spans="2:20" ht="30">
      <c r="B20" s="375"/>
      <c r="C20" s="374"/>
      <c r="D20" s="335"/>
      <c r="E20" s="73">
        <v>42370</v>
      </c>
      <c r="F20" s="139">
        <v>42735</v>
      </c>
      <c r="G20" s="8" t="s">
        <v>35</v>
      </c>
      <c r="H20" s="84">
        <v>1</v>
      </c>
      <c r="I20" s="84">
        <v>1</v>
      </c>
      <c r="J20" s="84">
        <v>1</v>
      </c>
      <c r="K20" s="85">
        <v>1</v>
      </c>
      <c r="L20" s="21">
        <f t="shared" si="0"/>
        <v>1</v>
      </c>
      <c r="M20" s="22">
        <f t="shared" si="4"/>
        <v>1</v>
      </c>
      <c r="N20" s="23">
        <f t="shared" si="1"/>
        <v>1</v>
      </c>
      <c r="O20" s="78">
        <v>2210844</v>
      </c>
      <c r="P20" s="84">
        <v>0</v>
      </c>
      <c r="Q20" s="84">
        <v>0</v>
      </c>
      <c r="R20" s="84">
        <v>0</v>
      </c>
      <c r="S20" s="26" t="str">
        <f t="shared" si="2"/>
        <v xml:space="preserve"> -</v>
      </c>
      <c r="T20" s="23" t="str">
        <f t="shared" si="3"/>
        <v xml:space="preserve"> -</v>
      </c>
    </row>
    <row r="21" spans="2:20" ht="30">
      <c r="B21" s="375"/>
      <c r="C21" s="374"/>
      <c r="D21" s="335"/>
      <c r="E21" s="73">
        <v>42370</v>
      </c>
      <c r="F21" s="139">
        <v>42735</v>
      </c>
      <c r="G21" s="8" t="s">
        <v>36</v>
      </c>
      <c r="H21" s="84">
        <v>1</v>
      </c>
      <c r="I21" s="84">
        <v>1</v>
      </c>
      <c r="J21" s="84">
        <v>1</v>
      </c>
      <c r="K21" s="85">
        <v>1</v>
      </c>
      <c r="L21" s="21">
        <f t="shared" si="0"/>
        <v>1</v>
      </c>
      <c r="M21" s="22">
        <f t="shared" si="4"/>
        <v>1</v>
      </c>
      <c r="N21" s="23">
        <f t="shared" si="1"/>
        <v>1</v>
      </c>
      <c r="O21" s="78">
        <v>2210833</v>
      </c>
      <c r="P21" s="84">
        <v>47245</v>
      </c>
      <c r="Q21" s="84">
        <v>25101</v>
      </c>
      <c r="R21" s="84">
        <v>0</v>
      </c>
      <c r="S21" s="26">
        <f t="shared" si="2"/>
        <v>0.53129431685892692</v>
      </c>
      <c r="T21" s="23" t="str">
        <f t="shared" si="3"/>
        <v xml:space="preserve"> -</v>
      </c>
    </row>
    <row r="22" spans="2:20" ht="45">
      <c r="B22" s="375"/>
      <c r="C22" s="374"/>
      <c r="D22" s="335"/>
      <c r="E22" s="73">
        <v>42370</v>
      </c>
      <c r="F22" s="139">
        <v>42735</v>
      </c>
      <c r="G22" s="8" t="s">
        <v>37</v>
      </c>
      <c r="H22" s="84">
        <v>1</v>
      </c>
      <c r="I22" s="84">
        <v>0</v>
      </c>
      <c r="J22" s="84">
        <v>0</v>
      </c>
      <c r="K22" s="85">
        <v>0</v>
      </c>
      <c r="L22" s="21" t="e">
        <f t="shared" si="0"/>
        <v>#DIV/0!</v>
      </c>
      <c r="M22" s="22">
        <f t="shared" si="4"/>
        <v>1</v>
      </c>
      <c r="N22" s="23" t="str">
        <f t="shared" si="1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2"/>
        <v xml:space="preserve"> -</v>
      </c>
      <c r="T22" s="23" t="str">
        <f t="shared" si="3"/>
        <v xml:space="preserve"> -</v>
      </c>
    </row>
    <row r="23" spans="2:20" ht="45">
      <c r="B23" s="375"/>
      <c r="C23" s="374"/>
      <c r="D23" s="335"/>
      <c r="E23" s="73">
        <v>42370</v>
      </c>
      <c r="F23" s="139">
        <v>42735</v>
      </c>
      <c r="G23" s="8" t="s">
        <v>38</v>
      </c>
      <c r="H23" s="84">
        <v>1</v>
      </c>
      <c r="I23" s="84">
        <v>0</v>
      </c>
      <c r="J23" s="84">
        <v>0</v>
      </c>
      <c r="K23" s="85">
        <v>0</v>
      </c>
      <c r="L23" s="21" t="e">
        <f t="shared" si="0"/>
        <v>#DIV/0!</v>
      </c>
      <c r="M23" s="22">
        <f t="shared" si="4"/>
        <v>1</v>
      </c>
      <c r="N23" s="23" t="str">
        <f t="shared" si="1"/>
        <v xml:space="preserve"> -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2"/>
        <v xml:space="preserve"> -</v>
      </c>
      <c r="T23" s="23" t="str">
        <f t="shared" si="3"/>
        <v xml:space="preserve"> -</v>
      </c>
    </row>
    <row r="24" spans="2:20" ht="30">
      <c r="B24" s="375"/>
      <c r="C24" s="374"/>
      <c r="D24" s="335"/>
      <c r="E24" s="73">
        <v>42370</v>
      </c>
      <c r="F24" s="73">
        <v>42735</v>
      </c>
      <c r="G24" s="8" t="s">
        <v>39</v>
      </c>
      <c r="H24" s="84">
        <v>4</v>
      </c>
      <c r="I24" s="84">
        <v>0</v>
      </c>
      <c r="J24" s="84">
        <v>0</v>
      </c>
      <c r="K24" s="85">
        <v>1</v>
      </c>
      <c r="L24" s="21" t="e">
        <f t="shared" si="0"/>
        <v>#DIV/0!</v>
      </c>
      <c r="M24" s="22">
        <f t="shared" si="4"/>
        <v>1</v>
      </c>
      <c r="N24" s="23" t="str">
        <f t="shared" si="1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2"/>
        <v xml:space="preserve"> -</v>
      </c>
      <c r="T24" s="23" t="str">
        <f t="shared" si="3"/>
        <v xml:space="preserve"> -</v>
      </c>
    </row>
    <row r="25" spans="2:20" ht="76" thickBot="1">
      <c r="B25" s="375"/>
      <c r="C25" s="374"/>
      <c r="D25" s="336"/>
      <c r="E25" s="74">
        <v>42370</v>
      </c>
      <c r="F25" s="74">
        <v>42735</v>
      </c>
      <c r="G25" s="11" t="s">
        <v>40</v>
      </c>
      <c r="H25" s="86">
        <v>4</v>
      </c>
      <c r="I25" s="86">
        <v>1</v>
      </c>
      <c r="J25" s="86">
        <v>1</v>
      </c>
      <c r="K25" s="87">
        <v>1</v>
      </c>
      <c r="L25" s="67">
        <f t="shared" si="0"/>
        <v>1</v>
      </c>
      <c r="M25" s="69">
        <f t="shared" si="4"/>
        <v>1</v>
      </c>
      <c r="N25" s="58">
        <f t="shared" si="1"/>
        <v>1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2"/>
        <v xml:space="preserve"> -</v>
      </c>
      <c r="T25" s="58" t="str">
        <f t="shared" si="3"/>
        <v xml:space="preserve"> -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47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7" t="s">
        <v>77</v>
      </c>
      <c r="E27" s="72">
        <v>42370</v>
      </c>
      <c r="F27" s="138">
        <v>42735</v>
      </c>
      <c r="G27" s="13" t="s">
        <v>41</v>
      </c>
      <c r="H27" s="19">
        <v>1</v>
      </c>
      <c r="I27" s="19">
        <v>1</v>
      </c>
      <c r="J27" s="19">
        <v>1</v>
      </c>
      <c r="K27" s="91">
        <v>0.85</v>
      </c>
      <c r="L27" s="16">
        <f t="shared" si="0"/>
        <v>0.85</v>
      </c>
      <c r="M27" s="17">
        <f t="shared" ref="M27:M47" si="5">DAYS360(E27,$C$8)/DAYS360(E27,F27)</f>
        <v>1</v>
      </c>
      <c r="N27" s="18">
        <f t="shared" si="1"/>
        <v>0.85</v>
      </c>
      <c r="O27" s="77">
        <v>2210987</v>
      </c>
      <c r="P27" s="82">
        <v>740333</v>
      </c>
      <c r="Q27" s="82">
        <v>222835</v>
      </c>
      <c r="R27" s="82">
        <v>0</v>
      </c>
      <c r="S27" s="19">
        <f t="shared" si="2"/>
        <v>0.30099293155917672</v>
      </c>
      <c r="T27" s="18" t="str">
        <f t="shared" si="3"/>
        <v xml:space="preserve"> -</v>
      </c>
    </row>
    <row r="28" spans="2:20" ht="30">
      <c r="B28" s="375"/>
      <c r="C28" s="375"/>
      <c r="D28" s="340"/>
      <c r="E28" s="73">
        <v>42370</v>
      </c>
      <c r="F28" s="139">
        <v>42735</v>
      </c>
      <c r="G28" s="8" t="s">
        <v>42</v>
      </c>
      <c r="H28" s="26">
        <v>1</v>
      </c>
      <c r="I28" s="26">
        <v>1</v>
      </c>
      <c r="J28" s="26">
        <v>1</v>
      </c>
      <c r="K28" s="92">
        <v>0.9</v>
      </c>
      <c r="L28" s="21">
        <f t="shared" si="0"/>
        <v>0.9</v>
      </c>
      <c r="M28" s="22">
        <f t="shared" si="5"/>
        <v>1</v>
      </c>
      <c r="N28" s="23">
        <f t="shared" si="1"/>
        <v>0.9</v>
      </c>
      <c r="O28" s="78" t="s">
        <v>161</v>
      </c>
      <c r="P28" s="84">
        <v>740333</v>
      </c>
      <c r="Q28" s="84">
        <v>222835</v>
      </c>
      <c r="R28" s="84">
        <v>0</v>
      </c>
      <c r="S28" s="26">
        <f t="shared" si="2"/>
        <v>0.30099293155917672</v>
      </c>
      <c r="T28" s="23" t="str">
        <f t="shared" si="3"/>
        <v xml:space="preserve"> -</v>
      </c>
    </row>
    <row r="29" spans="2:20" ht="30">
      <c r="B29" s="375"/>
      <c r="C29" s="375"/>
      <c r="D29" s="340"/>
      <c r="E29" s="73">
        <v>42370</v>
      </c>
      <c r="F29" s="139">
        <v>42735</v>
      </c>
      <c r="G29" s="8" t="s">
        <v>43</v>
      </c>
      <c r="H29" s="26">
        <v>1</v>
      </c>
      <c r="I29" s="26">
        <v>1</v>
      </c>
      <c r="J29" s="26">
        <v>1</v>
      </c>
      <c r="K29" s="92">
        <v>0.95</v>
      </c>
      <c r="L29" s="21">
        <f t="shared" si="0"/>
        <v>0.95</v>
      </c>
      <c r="M29" s="22">
        <f t="shared" si="5"/>
        <v>1</v>
      </c>
      <c r="N29" s="23">
        <f t="shared" si="1"/>
        <v>0.95</v>
      </c>
      <c r="O29" s="78" t="s">
        <v>161</v>
      </c>
      <c r="P29" s="84">
        <v>740333</v>
      </c>
      <c r="Q29" s="84">
        <v>222835</v>
      </c>
      <c r="R29" s="84">
        <v>0</v>
      </c>
      <c r="S29" s="26">
        <f t="shared" si="2"/>
        <v>0.30099293155917672</v>
      </c>
      <c r="T29" s="23" t="str">
        <f t="shared" si="3"/>
        <v xml:space="preserve"> -</v>
      </c>
    </row>
    <row r="30" spans="2:20" ht="45">
      <c r="B30" s="375"/>
      <c r="C30" s="375"/>
      <c r="D30" s="340"/>
      <c r="E30" s="73">
        <v>42370</v>
      </c>
      <c r="F30" s="139">
        <v>42735</v>
      </c>
      <c r="G30" s="8" t="s">
        <v>44</v>
      </c>
      <c r="H30" s="84">
        <v>1</v>
      </c>
      <c r="I30" s="84"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5"/>
        <v>1</v>
      </c>
      <c r="N30" s="23" t="str">
        <f t="shared" si="1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2"/>
        <v xml:space="preserve"> -</v>
      </c>
      <c r="T30" s="23" t="str">
        <f t="shared" si="3"/>
        <v xml:space="preserve"> -</v>
      </c>
    </row>
    <row r="31" spans="2:20" ht="30">
      <c r="B31" s="375"/>
      <c r="C31" s="375"/>
      <c r="D31" s="340"/>
      <c r="E31" s="73">
        <v>42370</v>
      </c>
      <c r="F31" s="139">
        <v>42735</v>
      </c>
      <c r="G31" s="8" t="s">
        <v>45</v>
      </c>
      <c r="H31" s="84">
        <v>1</v>
      </c>
      <c r="I31" s="84">
        <v>1</v>
      </c>
      <c r="J31" s="84">
        <v>1</v>
      </c>
      <c r="K31" s="85">
        <v>1</v>
      </c>
      <c r="L31" s="21">
        <f t="shared" si="0"/>
        <v>1</v>
      </c>
      <c r="M31" s="22">
        <f t="shared" si="5"/>
        <v>1</v>
      </c>
      <c r="N31" s="23">
        <f t="shared" si="1"/>
        <v>1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2"/>
        <v xml:space="preserve"> -</v>
      </c>
      <c r="T31" s="23" t="str">
        <f t="shared" si="3"/>
        <v xml:space="preserve"> -</v>
      </c>
    </row>
    <row r="32" spans="2:20" ht="45">
      <c r="B32" s="375"/>
      <c r="C32" s="375"/>
      <c r="D32" s="340"/>
      <c r="E32" s="73">
        <v>42370</v>
      </c>
      <c r="F32" s="139">
        <v>42735</v>
      </c>
      <c r="G32" s="8" t="s">
        <v>46</v>
      </c>
      <c r="H32" s="26">
        <v>1</v>
      </c>
      <c r="I32" s="26">
        <v>0</v>
      </c>
      <c r="J32" s="26">
        <v>0</v>
      </c>
      <c r="K32" s="92">
        <v>0</v>
      </c>
      <c r="L32" s="21" t="e">
        <f t="shared" si="0"/>
        <v>#DIV/0!</v>
      </c>
      <c r="M32" s="22">
        <f t="shared" si="5"/>
        <v>1</v>
      </c>
      <c r="N32" s="23" t="str">
        <f t="shared" si="1"/>
        <v xml:space="preserve"> -</v>
      </c>
      <c r="O32" s="78">
        <v>2210158</v>
      </c>
      <c r="P32" s="143">
        <v>0</v>
      </c>
      <c r="Q32" s="84">
        <v>0</v>
      </c>
      <c r="R32" s="84">
        <v>0</v>
      </c>
      <c r="S32" s="26" t="str">
        <f t="shared" si="2"/>
        <v xml:space="preserve"> -</v>
      </c>
      <c r="T32" s="23" t="str">
        <f t="shared" si="3"/>
        <v xml:space="preserve"> -</v>
      </c>
    </row>
    <row r="33" spans="2:20" ht="30">
      <c r="B33" s="375"/>
      <c r="C33" s="375"/>
      <c r="D33" s="340"/>
      <c r="E33" s="73">
        <v>42370</v>
      </c>
      <c r="F33" s="139">
        <v>42735</v>
      </c>
      <c r="G33" s="8" t="s">
        <v>47</v>
      </c>
      <c r="H33" s="26">
        <v>1</v>
      </c>
      <c r="I33" s="26"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5"/>
        <v>1</v>
      </c>
      <c r="N33" s="23" t="str">
        <f t="shared" si="1"/>
        <v xml:space="preserve"> -</v>
      </c>
      <c r="O33" s="78">
        <v>2210158</v>
      </c>
      <c r="P33" s="143">
        <v>0</v>
      </c>
      <c r="Q33" s="84">
        <v>0</v>
      </c>
      <c r="R33" s="84">
        <v>0</v>
      </c>
      <c r="S33" s="26" t="str">
        <f t="shared" si="2"/>
        <v xml:space="preserve"> -</v>
      </c>
      <c r="T33" s="23" t="str">
        <f t="shared" si="3"/>
        <v xml:space="preserve"> -</v>
      </c>
    </row>
    <row r="34" spans="2:20" ht="30">
      <c r="B34" s="375"/>
      <c r="C34" s="375"/>
      <c r="D34" s="340"/>
      <c r="E34" s="73">
        <v>42370</v>
      </c>
      <c r="F34" s="139">
        <v>42735</v>
      </c>
      <c r="G34" s="8" t="s">
        <v>48</v>
      </c>
      <c r="H34" s="84">
        <v>1</v>
      </c>
      <c r="I34" s="84">
        <v>1</v>
      </c>
      <c r="J34" s="84">
        <v>1</v>
      </c>
      <c r="K34" s="85">
        <v>1</v>
      </c>
      <c r="L34" s="21">
        <f t="shared" si="0"/>
        <v>1</v>
      </c>
      <c r="M34" s="22">
        <f t="shared" si="5"/>
        <v>1</v>
      </c>
      <c r="N34" s="23">
        <f t="shared" si="1"/>
        <v>1</v>
      </c>
      <c r="O34" s="78">
        <v>2210158</v>
      </c>
      <c r="P34" s="84">
        <v>32500</v>
      </c>
      <c r="Q34" s="84">
        <v>32500</v>
      </c>
      <c r="R34" s="84">
        <v>0</v>
      </c>
      <c r="S34" s="26">
        <f t="shared" si="2"/>
        <v>1</v>
      </c>
      <c r="T34" s="23" t="str">
        <f t="shared" si="3"/>
        <v xml:space="preserve"> -</v>
      </c>
    </row>
    <row r="35" spans="2:20" ht="31" thickBot="1">
      <c r="B35" s="375"/>
      <c r="C35" s="375"/>
      <c r="D35" s="341"/>
      <c r="E35" s="104">
        <v>42370</v>
      </c>
      <c r="F35" s="141">
        <v>42735</v>
      </c>
      <c r="G35" s="10" t="s">
        <v>49</v>
      </c>
      <c r="H35" s="105">
        <v>1</v>
      </c>
      <c r="I35" s="105">
        <v>0</v>
      </c>
      <c r="J35" s="105">
        <v>0</v>
      </c>
      <c r="K35" s="106">
        <v>0</v>
      </c>
      <c r="L35" s="37" t="e">
        <f t="shared" si="0"/>
        <v>#DIV/0!</v>
      </c>
      <c r="M35" s="38">
        <f t="shared" si="5"/>
        <v>1</v>
      </c>
      <c r="N35" s="39" t="str">
        <f t="shared" si="1"/>
        <v xml:space="preserve"> -</v>
      </c>
      <c r="O35" s="107" t="s">
        <v>160</v>
      </c>
      <c r="P35" s="105">
        <v>0</v>
      </c>
      <c r="Q35" s="105">
        <v>0</v>
      </c>
      <c r="R35" s="105">
        <v>0</v>
      </c>
      <c r="S35" s="40" t="str">
        <f t="shared" si="2"/>
        <v xml:space="preserve"> -</v>
      </c>
      <c r="T35" s="39" t="str">
        <f t="shared" si="3"/>
        <v xml:space="preserve"> -</v>
      </c>
    </row>
    <row r="36" spans="2:20" ht="30">
      <c r="B36" s="375"/>
      <c r="C36" s="375"/>
      <c r="D36" s="334" t="s">
        <v>78</v>
      </c>
      <c r="E36" s="72">
        <v>42370</v>
      </c>
      <c r="F36" s="138">
        <v>42735</v>
      </c>
      <c r="G36" s="13" t="s">
        <v>50</v>
      </c>
      <c r="H36" s="82">
        <v>1</v>
      </c>
      <c r="I36" s="82">
        <v>1</v>
      </c>
      <c r="J36" s="82">
        <v>1</v>
      </c>
      <c r="K36" s="83">
        <v>1</v>
      </c>
      <c r="L36" s="16">
        <f t="shared" si="0"/>
        <v>1</v>
      </c>
      <c r="M36" s="17">
        <f t="shared" si="5"/>
        <v>1</v>
      </c>
      <c r="N36" s="18">
        <f t="shared" si="1"/>
        <v>1</v>
      </c>
      <c r="O36" s="77">
        <v>2210269</v>
      </c>
      <c r="P36" s="82">
        <v>1000000</v>
      </c>
      <c r="Q36" s="82">
        <v>241300</v>
      </c>
      <c r="R36" s="82">
        <v>0</v>
      </c>
      <c r="S36" s="19">
        <f t="shared" si="2"/>
        <v>0.24129999999999999</v>
      </c>
      <c r="T36" s="18" t="str">
        <f t="shared" si="3"/>
        <v xml:space="preserve"> -</v>
      </c>
    </row>
    <row r="37" spans="2:20" ht="46" thickBot="1">
      <c r="B37" s="375"/>
      <c r="C37" s="375"/>
      <c r="D37" s="336"/>
      <c r="E37" s="74">
        <v>42370</v>
      </c>
      <c r="F37" s="140">
        <v>42735</v>
      </c>
      <c r="G37" s="11" t="s">
        <v>51</v>
      </c>
      <c r="H37" s="86">
        <v>150</v>
      </c>
      <c r="I37" s="86">
        <v>15</v>
      </c>
      <c r="J37" s="86">
        <v>15</v>
      </c>
      <c r="K37" s="87">
        <v>15</v>
      </c>
      <c r="L37" s="67">
        <f t="shared" si="0"/>
        <v>1</v>
      </c>
      <c r="M37" s="69">
        <f t="shared" si="5"/>
        <v>1</v>
      </c>
      <c r="N37" s="58">
        <f t="shared" si="1"/>
        <v>1</v>
      </c>
      <c r="O37" s="79">
        <v>2210905</v>
      </c>
      <c r="P37" s="86">
        <v>0</v>
      </c>
      <c r="Q37" s="86">
        <v>0</v>
      </c>
      <c r="R37" s="86">
        <v>0</v>
      </c>
      <c r="S37" s="57" t="str">
        <f t="shared" si="2"/>
        <v xml:space="preserve"> -</v>
      </c>
      <c r="T37" s="58" t="str">
        <f t="shared" si="3"/>
        <v xml:space="preserve"> -</v>
      </c>
    </row>
    <row r="38" spans="2:20" ht="30">
      <c r="B38" s="375"/>
      <c r="C38" s="375"/>
      <c r="D38" s="339" t="s">
        <v>79</v>
      </c>
      <c r="E38" s="118">
        <v>42370</v>
      </c>
      <c r="F38" s="142">
        <v>42735</v>
      </c>
      <c r="G38" s="12" t="s">
        <v>52</v>
      </c>
      <c r="H38" s="119">
        <v>1</v>
      </c>
      <c r="I38" s="119">
        <v>0</v>
      </c>
      <c r="J38" s="119">
        <v>0</v>
      </c>
      <c r="K38" s="120">
        <v>0</v>
      </c>
      <c r="L38" s="121" t="e">
        <f t="shared" si="0"/>
        <v>#DIV/0!</v>
      </c>
      <c r="M38" s="122">
        <f t="shared" si="5"/>
        <v>1</v>
      </c>
      <c r="N38" s="123" t="str">
        <f t="shared" si="1"/>
        <v xml:space="preserve"> -</v>
      </c>
      <c r="O38" s="124">
        <v>2210158</v>
      </c>
      <c r="P38" s="145">
        <v>0</v>
      </c>
      <c r="Q38" s="125">
        <v>0</v>
      </c>
      <c r="R38" s="125">
        <v>0</v>
      </c>
      <c r="S38" s="119" t="str">
        <f t="shared" si="2"/>
        <v xml:space="preserve"> -</v>
      </c>
      <c r="T38" s="123" t="str">
        <f t="shared" si="3"/>
        <v xml:space="preserve"> -</v>
      </c>
    </row>
    <row r="39" spans="2:20" ht="30">
      <c r="B39" s="375"/>
      <c r="C39" s="375"/>
      <c r="D39" s="340"/>
      <c r="E39" s="73">
        <v>42370</v>
      </c>
      <c r="F39" s="139">
        <v>42735</v>
      </c>
      <c r="G39" s="8" t="s">
        <v>53</v>
      </c>
      <c r="H39" s="26">
        <v>1</v>
      </c>
      <c r="I39" s="26">
        <v>0</v>
      </c>
      <c r="J39" s="26">
        <v>0</v>
      </c>
      <c r="K39" s="92">
        <v>0</v>
      </c>
      <c r="L39" s="21" t="e">
        <f t="shared" si="0"/>
        <v>#DIV/0!</v>
      </c>
      <c r="M39" s="22">
        <f t="shared" si="5"/>
        <v>1</v>
      </c>
      <c r="N39" s="23" t="str">
        <f t="shared" si="1"/>
        <v xml:space="preserve"> -</v>
      </c>
      <c r="O39" s="78">
        <v>2210158</v>
      </c>
      <c r="P39" s="84">
        <v>0</v>
      </c>
      <c r="Q39" s="84">
        <v>0</v>
      </c>
      <c r="R39" s="84">
        <v>0</v>
      </c>
      <c r="S39" s="26" t="str">
        <f t="shared" si="2"/>
        <v xml:space="preserve"> -</v>
      </c>
      <c r="T39" s="23" t="str">
        <f t="shared" si="3"/>
        <v xml:space="preserve"> -</v>
      </c>
    </row>
    <row r="40" spans="2:20" ht="60">
      <c r="B40" s="375"/>
      <c r="C40" s="375"/>
      <c r="D40" s="340"/>
      <c r="E40" s="73">
        <v>42370</v>
      </c>
      <c r="F40" s="139">
        <v>42735</v>
      </c>
      <c r="G40" s="8" t="s">
        <v>54</v>
      </c>
      <c r="H40" s="26">
        <v>1</v>
      </c>
      <c r="I40" s="26">
        <v>0</v>
      </c>
      <c r="J40" s="26">
        <v>0</v>
      </c>
      <c r="K40" s="92">
        <v>0</v>
      </c>
      <c r="L40" s="21" t="e">
        <f t="shared" si="0"/>
        <v>#DIV/0!</v>
      </c>
      <c r="M40" s="22">
        <f t="shared" si="5"/>
        <v>1</v>
      </c>
      <c r="N40" s="23" t="str">
        <f t="shared" si="1"/>
        <v xml:space="preserve"> -</v>
      </c>
      <c r="O40" s="78">
        <v>2210270</v>
      </c>
      <c r="P40" s="143">
        <v>0</v>
      </c>
      <c r="Q40" s="84">
        <v>0</v>
      </c>
      <c r="R40" s="84">
        <v>0</v>
      </c>
      <c r="S40" s="26" t="str">
        <f t="shared" si="2"/>
        <v xml:space="preserve"> -</v>
      </c>
      <c r="T40" s="23" t="str">
        <f t="shared" si="3"/>
        <v xml:space="preserve"> -</v>
      </c>
    </row>
    <row r="41" spans="2:20" ht="31" thickBot="1">
      <c r="B41" s="375"/>
      <c r="C41" s="375"/>
      <c r="D41" s="341"/>
      <c r="E41" s="104">
        <v>42370</v>
      </c>
      <c r="F41" s="141">
        <v>42735</v>
      </c>
      <c r="G41" s="10" t="s">
        <v>55</v>
      </c>
      <c r="H41" s="40">
        <v>1</v>
      </c>
      <c r="I41" s="40">
        <v>0</v>
      </c>
      <c r="J41" s="40">
        <v>0</v>
      </c>
      <c r="K41" s="108">
        <v>0</v>
      </c>
      <c r="L41" s="37" t="e">
        <f t="shared" si="0"/>
        <v>#DIV/0!</v>
      </c>
      <c r="M41" s="38">
        <f t="shared" si="5"/>
        <v>1</v>
      </c>
      <c r="N41" s="39" t="str">
        <f t="shared" si="1"/>
        <v xml:space="preserve"> -</v>
      </c>
      <c r="O41" s="107">
        <v>2210158</v>
      </c>
      <c r="P41" s="144">
        <v>0</v>
      </c>
      <c r="Q41" s="105">
        <v>0</v>
      </c>
      <c r="R41" s="105">
        <v>0</v>
      </c>
      <c r="S41" s="40" t="str">
        <f t="shared" si="2"/>
        <v xml:space="preserve"> -</v>
      </c>
      <c r="T41" s="39" t="str">
        <f t="shared" si="3"/>
        <v xml:space="preserve"> -</v>
      </c>
    </row>
    <row r="42" spans="2:20" ht="60">
      <c r="B42" s="375"/>
      <c r="C42" s="375"/>
      <c r="D42" s="334" t="s">
        <v>80</v>
      </c>
      <c r="E42" s="72">
        <v>42370</v>
      </c>
      <c r="F42" s="138">
        <v>42735</v>
      </c>
      <c r="G42" s="13" t="s">
        <v>56</v>
      </c>
      <c r="H42" s="19">
        <v>1</v>
      </c>
      <c r="I42" s="19">
        <v>0.1</v>
      </c>
      <c r="J42" s="19">
        <v>0.1</v>
      </c>
      <c r="K42" s="91">
        <v>0.15</v>
      </c>
      <c r="L42" s="16">
        <f t="shared" si="0"/>
        <v>1.4999999999999998</v>
      </c>
      <c r="M42" s="17">
        <f t="shared" si="5"/>
        <v>1</v>
      </c>
      <c r="N42" s="18">
        <f t="shared" si="1"/>
        <v>1</v>
      </c>
      <c r="O42" s="77">
        <v>2210159</v>
      </c>
      <c r="P42" s="82">
        <v>36750</v>
      </c>
      <c r="Q42" s="82">
        <v>36750</v>
      </c>
      <c r="R42" s="82">
        <v>0</v>
      </c>
      <c r="S42" s="19">
        <f t="shared" si="2"/>
        <v>1</v>
      </c>
      <c r="T42" s="18" t="str">
        <f t="shared" si="3"/>
        <v xml:space="preserve"> -</v>
      </c>
    </row>
    <row r="43" spans="2:20" ht="60">
      <c r="B43" s="375"/>
      <c r="C43" s="375"/>
      <c r="D43" s="335"/>
      <c r="E43" s="73">
        <v>42370</v>
      </c>
      <c r="F43" s="139">
        <v>42735</v>
      </c>
      <c r="G43" s="8" t="s">
        <v>57</v>
      </c>
      <c r="H43" s="26">
        <v>1</v>
      </c>
      <c r="I43" s="26">
        <v>0.1</v>
      </c>
      <c r="J43" s="26">
        <v>0.1</v>
      </c>
      <c r="K43" s="92">
        <v>0.15</v>
      </c>
      <c r="L43" s="21">
        <f t="shared" si="0"/>
        <v>1.4999999999999998</v>
      </c>
      <c r="M43" s="22">
        <f t="shared" si="5"/>
        <v>1</v>
      </c>
      <c r="N43" s="23">
        <f t="shared" si="1"/>
        <v>1</v>
      </c>
      <c r="O43" s="78">
        <v>2210159</v>
      </c>
      <c r="P43" s="84">
        <v>0</v>
      </c>
      <c r="Q43" s="84">
        <v>0</v>
      </c>
      <c r="R43" s="84">
        <v>0</v>
      </c>
      <c r="S43" s="26" t="str">
        <f t="shared" si="2"/>
        <v xml:space="preserve"> -</v>
      </c>
      <c r="T43" s="23" t="str">
        <f t="shared" si="3"/>
        <v xml:space="preserve"> -</v>
      </c>
    </row>
    <row r="44" spans="2:20" ht="30">
      <c r="B44" s="375"/>
      <c r="C44" s="375"/>
      <c r="D44" s="335"/>
      <c r="E44" s="73">
        <v>42370</v>
      </c>
      <c r="F44" s="139">
        <v>42735</v>
      </c>
      <c r="G44" s="8" t="s">
        <v>58</v>
      </c>
      <c r="H44" s="84">
        <v>10</v>
      </c>
      <c r="I44" s="84">
        <v>1</v>
      </c>
      <c r="J44" s="84">
        <v>1</v>
      </c>
      <c r="K44" s="149">
        <v>0.5</v>
      </c>
      <c r="L44" s="21">
        <f t="shared" si="0"/>
        <v>0.5</v>
      </c>
      <c r="M44" s="22">
        <f t="shared" si="5"/>
        <v>1</v>
      </c>
      <c r="N44" s="23">
        <f t="shared" si="1"/>
        <v>0.5</v>
      </c>
      <c r="O44" s="78">
        <v>2210159</v>
      </c>
      <c r="P44" s="84">
        <v>0</v>
      </c>
      <c r="Q44" s="84">
        <v>0</v>
      </c>
      <c r="R44" s="84">
        <v>0</v>
      </c>
      <c r="S44" s="26" t="str">
        <f t="shared" si="2"/>
        <v xml:space="preserve"> -</v>
      </c>
      <c r="T44" s="23" t="str">
        <f t="shared" si="3"/>
        <v xml:space="preserve"> -</v>
      </c>
    </row>
    <row r="45" spans="2:20" ht="75">
      <c r="B45" s="375"/>
      <c r="C45" s="375"/>
      <c r="D45" s="335"/>
      <c r="E45" s="73">
        <v>42370</v>
      </c>
      <c r="F45" s="139">
        <v>42735</v>
      </c>
      <c r="G45" s="8" t="s">
        <v>59</v>
      </c>
      <c r="H45" s="84">
        <v>1</v>
      </c>
      <c r="I45" s="84">
        <v>0</v>
      </c>
      <c r="J45" s="84">
        <v>0</v>
      </c>
      <c r="K45" s="85">
        <v>0</v>
      </c>
      <c r="L45" s="21" t="e">
        <f t="shared" si="0"/>
        <v>#DIV/0!</v>
      </c>
      <c r="M45" s="22">
        <f t="shared" si="5"/>
        <v>1</v>
      </c>
      <c r="N45" s="23" t="str">
        <f t="shared" si="1"/>
        <v xml:space="preserve"> -</v>
      </c>
      <c r="O45" s="78" t="s">
        <v>160</v>
      </c>
      <c r="P45" s="84">
        <v>0</v>
      </c>
      <c r="Q45" s="84">
        <v>0</v>
      </c>
      <c r="R45" s="84">
        <v>0</v>
      </c>
      <c r="S45" s="26" t="str">
        <f t="shared" si="2"/>
        <v xml:space="preserve"> -</v>
      </c>
      <c r="T45" s="23" t="str">
        <f t="shared" si="3"/>
        <v xml:space="preserve"> -</v>
      </c>
    </row>
    <row r="46" spans="2:20" ht="76" thickBot="1">
      <c r="B46" s="375"/>
      <c r="C46" s="375"/>
      <c r="D46" s="336"/>
      <c r="E46" s="74">
        <v>42370</v>
      </c>
      <c r="F46" s="74">
        <v>42735</v>
      </c>
      <c r="G46" s="11" t="s">
        <v>60</v>
      </c>
      <c r="H46" s="86">
        <v>20</v>
      </c>
      <c r="I46" s="86">
        <v>0</v>
      </c>
      <c r="J46" s="86">
        <v>0</v>
      </c>
      <c r="K46" s="87">
        <v>0</v>
      </c>
      <c r="L46" s="67" t="e">
        <f t="shared" si="0"/>
        <v>#DIV/0!</v>
      </c>
      <c r="M46" s="69">
        <f t="shared" si="5"/>
        <v>1</v>
      </c>
      <c r="N46" s="58" t="str">
        <f t="shared" si="1"/>
        <v xml:space="preserve"> -</v>
      </c>
      <c r="O46" s="79" t="s">
        <v>160</v>
      </c>
      <c r="P46" s="86">
        <v>0</v>
      </c>
      <c r="Q46" s="86">
        <v>0</v>
      </c>
      <c r="R46" s="86">
        <v>0</v>
      </c>
      <c r="S46" s="57" t="str">
        <f t="shared" si="2"/>
        <v xml:space="preserve"> -</v>
      </c>
      <c r="T46" s="58" t="str">
        <f t="shared" si="3"/>
        <v xml:space="preserve"> -</v>
      </c>
    </row>
    <row r="47" spans="2:20" ht="76" thickBot="1">
      <c r="B47" s="372"/>
      <c r="C47" s="372"/>
      <c r="D47" s="126" t="s">
        <v>81</v>
      </c>
      <c r="E47" s="110">
        <v>42370</v>
      </c>
      <c r="F47" s="110">
        <v>42735</v>
      </c>
      <c r="G47" s="127" t="s">
        <v>61</v>
      </c>
      <c r="H47" s="111">
        <v>1</v>
      </c>
      <c r="I47" s="111">
        <v>0</v>
      </c>
      <c r="J47" s="111">
        <v>0</v>
      </c>
      <c r="K47" s="112">
        <v>0</v>
      </c>
      <c r="L47" s="113" t="e">
        <f t="shared" si="0"/>
        <v>#DIV/0!</v>
      </c>
      <c r="M47" s="114">
        <f t="shared" si="5"/>
        <v>1</v>
      </c>
      <c r="N47" s="115" t="str">
        <f t="shared" si="1"/>
        <v xml:space="preserve"> -</v>
      </c>
      <c r="O47" s="116" t="s">
        <v>160</v>
      </c>
      <c r="P47" s="111">
        <v>0</v>
      </c>
      <c r="Q47" s="111">
        <v>0</v>
      </c>
      <c r="R47" s="111">
        <v>0</v>
      </c>
      <c r="S47" s="117" t="str">
        <f t="shared" si="2"/>
        <v xml:space="preserve"> -</v>
      </c>
      <c r="T47" s="115" t="str">
        <f t="shared" si="3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52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1" thickBot="1">
      <c r="B49" s="66" t="s">
        <v>91</v>
      </c>
      <c r="C49" s="66" t="s">
        <v>90</v>
      </c>
      <c r="D49" s="64" t="s">
        <v>82</v>
      </c>
      <c r="E49" s="76">
        <v>42370</v>
      </c>
      <c r="F49" s="76">
        <v>42735</v>
      </c>
      <c r="G49" s="63" t="s">
        <v>62</v>
      </c>
      <c r="H49" s="88">
        <v>1</v>
      </c>
      <c r="I49" s="88">
        <v>1</v>
      </c>
      <c r="J49" s="88">
        <v>1</v>
      </c>
      <c r="K49" s="89">
        <v>0</v>
      </c>
      <c r="L49" s="68">
        <f t="shared" si="0"/>
        <v>0</v>
      </c>
      <c r="M49" s="70">
        <f>DAYS360(E49,$C$8)/DAYS360(E49,F49)</f>
        <v>1</v>
      </c>
      <c r="N49" s="61">
        <f t="shared" si="1"/>
        <v>0</v>
      </c>
      <c r="O49" s="81">
        <v>2210169</v>
      </c>
      <c r="P49" s="88">
        <v>0</v>
      </c>
      <c r="Q49" s="88">
        <v>0</v>
      </c>
      <c r="R49" s="88">
        <v>0</v>
      </c>
      <c r="S49" s="60" t="str">
        <f t="shared" si="2"/>
        <v xml:space="preserve"> -</v>
      </c>
      <c r="T49" s="61" t="str">
        <f t="shared" si="3"/>
        <v xml:space="preserve"> -</v>
      </c>
    </row>
    <row r="50" spans="2:20" ht="13" customHeight="1" thickBot="1">
      <c r="B50" s="65"/>
      <c r="C50" s="51"/>
      <c r="D50" s="50"/>
      <c r="E50" s="75"/>
      <c r="F50" s="75"/>
      <c r="G50" s="51"/>
      <c r="H50" s="52"/>
      <c r="I50" s="52"/>
      <c r="J50" s="52"/>
      <c r="K50" s="52"/>
      <c r="L50" s="53"/>
      <c r="M50" s="54"/>
      <c r="N50" s="54"/>
      <c r="O50" s="80"/>
      <c r="P50" s="90"/>
      <c r="Q50" s="90"/>
      <c r="R50" s="90"/>
      <c r="S50" s="54"/>
      <c r="T50" s="55"/>
    </row>
    <row r="51" spans="2:20" ht="45">
      <c r="B51" s="371" t="s">
        <v>95</v>
      </c>
      <c r="C51" s="371" t="s">
        <v>93</v>
      </c>
      <c r="D51" s="337" t="s">
        <v>83</v>
      </c>
      <c r="E51" s="72">
        <v>42370</v>
      </c>
      <c r="F51" s="72">
        <v>42735</v>
      </c>
      <c r="G51" s="15" t="s">
        <v>63</v>
      </c>
      <c r="H51" s="82">
        <v>1</v>
      </c>
      <c r="I51" s="82">
        <v>0</v>
      </c>
      <c r="J51" s="82">
        <v>0</v>
      </c>
      <c r="K51" s="83">
        <v>0</v>
      </c>
      <c r="L51" s="16" t="e">
        <f t="shared" si="0"/>
        <v>#DIV/0!</v>
      </c>
      <c r="M51" s="17">
        <f>DAYS360(E51,$C$8)/DAYS360(E51,F51)</f>
        <v>1</v>
      </c>
      <c r="N51" s="18" t="str">
        <f t="shared" si="1"/>
        <v xml:space="preserve"> -</v>
      </c>
      <c r="O51" s="77">
        <v>2210270</v>
      </c>
      <c r="P51" s="146">
        <v>0</v>
      </c>
      <c r="Q51" s="82">
        <v>0</v>
      </c>
      <c r="R51" s="82">
        <v>0</v>
      </c>
      <c r="S51" s="19" t="str">
        <f t="shared" si="2"/>
        <v xml:space="preserve"> -</v>
      </c>
      <c r="T51" s="18" t="str">
        <f t="shared" si="3"/>
        <v xml:space="preserve"> -</v>
      </c>
    </row>
    <row r="52" spans="2:20" ht="31" thickBot="1">
      <c r="B52" s="375"/>
      <c r="C52" s="372"/>
      <c r="D52" s="338"/>
      <c r="E52" s="74">
        <v>42370</v>
      </c>
      <c r="F52" s="74">
        <v>42735</v>
      </c>
      <c r="G52" s="62" t="s">
        <v>64</v>
      </c>
      <c r="H52" s="86">
        <v>1</v>
      </c>
      <c r="I52" s="86">
        <v>0</v>
      </c>
      <c r="J52" s="86">
        <v>0</v>
      </c>
      <c r="K52" s="87">
        <v>0</v>
      </c>
      <c r="L52" s="67" t="e">
        <f t="shared" si="0"/>
        <v>#DIV/0!</v>
      </c>
      <c r="M52" s="69">
        <f>DAYS360(E52,$C$8)/DAYS360(E52,F52)</f>
        <v>1</v>
      </c>
      <c r="N52" s="58" t="str">
        <f t="shared" si="1"/>
        <v xml:space="preserve"> -</v>
      </c>
      <c r="O52" s="79">
        <v>2210270</v>
      </c>
      <c r="P52" s="147">
        <v>0</v>
      </c>
      <c r="Q52" s="86">
        <v>0</v>
      </c>
      <c r="R52" s="86">
        <v>0</v>
      </c>
      <c r="S52" s="57" t="str">
        <f t="shared" si="2"/>
        <v xml:space="preserve"> -</v>
      </c>
      <c r="T52" s="58" t="str">
        <f t="shared" si="3"/>
        <v xml:space="preserve"> -</v>
      </c>
    </row>
    <row r="53" spans="2:20" ht="13" customHeight="1" thickBot="1">
      <c r="B53" s="375"/>
      <c r="C53" s="35"/>
      <c r="D53" s="9"/>
      <c r="E53" s="41"/>
      <c r="F53" s="41"/>
      <c r="G53" s="34"/>
      <c r="H53" s="42"/>
      <c r="I53" s="42"/>
      <c r="J53" s="42"/>
      <c r="K53" s="42"/>
      <c r="L53" s="43"/>
      <c r="M53" s="34"/>
      <c r="N53" s="34"/>
      <c r="O53" s="34"/>
      <c r="P53" s="42"/>
      <c r="Q53" s="42"/>
      <c r="R53" s="42"/>
      <c r="S53" s="36"/>
      <c r="T53" s="44"/>
    </row>
    <row r="54" spans="2:20" ht="30">
      <c r="B54" s="375"/>
      <c r="C54" s="371" t="s">
        <v>94</v>
      </c>
      <c r="D54" s="337" t="s">
        <v>84</v>
      </c>
      <c r="E54" s="72">
        <v>42370</v>
      </c>
      <c r="F54" s="72">
        <v>42735</v>
      </c>
      <c r="G54" s="15" t="s">
        <v>65</v>
      </c>
      <c r="H54" s="82">
        <v>2</v>
      </c>
      <c r="I54" s="82">
        <v>0</v>
      </c>
      <c r="J54" s="82">
        <v>0</v>
      </c>
      <c r="K54" s="83">
        <v>0</v>
      </c>
      <c r="L54" s="16" t="e">
        <f t="shared" si="0"/>
        <v>#DIV/0!</v>
      </c>
      <c r="M54" s="17">
        <f>DAYS360(E54,$C$8)/DAYS360(E54,F54)</f>
        <v>1</v>
      </c>
      <c r="N54" s="18" t="str">
        <f t="shared" si="1"/>
        <v xml:space="preserve"> -</v>
      </c>
      <c r="O54" s="77">
        <v>2210847</v>
      </c>
      <c r="P54" s="82">
        <v>0</v>
      </c>
      <c r="Q54" s="82">
        <v>0</v>
      </c>
      <c r="R54" s="82">
        <v>0</v>
      </c>
      <c r="S54" s="19" t="str">
        <f t="shared" si="2"/>
        <v xml:space="preserve"> -</v>
      </c>
      <c r="T54" s="18" t="str">
        <f t="shared" si="3"/>
        <v xml:space="preserve"> -</v>
      </c>
    </row>
    <row r="55" spans="2:20" ht="30">
      <c r="B55" s="375"/>
      <c r="C55" s="375"/>
      <c r="D55" s="340"/>
      <c r="E55" s="73">
        <v>42370</v>
      </c>
      <c r="F55" s="73">
        <v>42735</v>
      </c>
      <c r="G55" s="14" t="s">
        <v>66</v>
      </c>
      <c r="H55" s="84">
        <v>1</v>
      </c>
      <c r="I55" s="84">
        <v>0</v>
      </c>
      <c r="J55" s="84">
        <v>0</v>
      </c>
      <c r="K55" s="85">
        <v>0</v>
      </c>
      <c r="L55" s="21" t="e">
        <f t="shared" si="0"/>
        <v>#DIV/0!</v>
      </c>
      <c r="M55" s="22">
        <f>DAYS360(E55,$C$8)/DAYS360(E55,F55)</f>
        <v>1</v>
      </c>
      <c r="N55" s="23" t="str">
        <f t="shared" si="1"/>
        <v xml:space="preserve"> -</v>
      </c>
      <c r="O55" s="78">
        <v>2210847</v>
      </c>
      <c r="P55" s="84">
        <v>0</v>
      </c>
      <c r="Q55" s="84">
        <v>0</v>
      </c>
      <c r="R55" s="84">
        <v>0</v>
      </c>
      <c r="S55" s="26" t="str">
        <f t="shared" si="2"/>
        <v xml:space="preserve"> -</v>
      </c>
      <c r="T55" s="23" t="str">
        <f t="shared" si="3"/>
        <v xml:space="preserve"> -</v>
      </c>
    </row>
    <row r="56" spans="2:20" ht="45">
      <c r="B56" s="375"/>
      <c r="C56" s="375"/>
      <c r="D56" s="340"/>
      <c r="E56" s="73">
        <v>42370</v>
      </c>
      <c r="F56" s="73">
        <v>42735</v>
      </c>
      <c r="G56" s="14" t="s">
        <v>67</v>
      </c>
      <c r="H56" s="84">
        <v>1</v>
      </c>
      <c r="I56" s="84">
        <v>0</v>
      </c>
      <c r="J56" s="84">
        <v>0</v>
      </c>
      <c r="K56" s="85">
        <v>0</v>
      </c>
      <c r="L56" s="21" t="e">
        <f t="shared" si="0"/>
        <v>#DIV/0!</v>
      </c>
      <c r="M56" s="22">
        <f>DAYS360(E56,$C$8)/DAYS360(E56,F56)</f>
        <v>1</v>
      </c>
      <c r="N56" s="23" t="str">
        <f t="shared" si="1"/>
        <v xml:space="preserve"> -</v>
      </c>
      <c r="O56" s="78" t="s">
        <v>160</v>
      </c>
      <c r="P56" s="84">
        <v>0</v>
      </c>
      <c r="Q56" s="84">
        <v>0</v>
      </c>
      <c r="R56" s="84">
        <v>0</v>
      </c>
      <c r="S56" s="26" t="str">
        <f t="shared" si="2"/>
        <v xml:space="preserve"> -</v>
      </c>
      <c r="T56" s="23" t="str">
        <f t="shared" si="3"/>
        <v xml:space="preserve"> -</v>
      </c>
    </row>
    <row r="57" spans="2:20" ht="46" thickBot="1">
      <c r="B57" s="372"/>
      <c r="C57" s="372"/>
      <c r="D57" s="338"/>
      <c r="E57" s="74">
        <v>42370</v>
      </c>
      <c r="F57" s="74">
        <v>42735</v>
      </c>
      <c r="G57" s="62" t="s">
        <v>68</v>
      </c>
      <c r="H57" s="86">
        <v>1</v>
      </c>
      <c r="I57" s="86">
        <v>0</v>
      </c>
      <c r="J57" s="86">
        <v>0</v>
      </c>
      <c r="K57" s="87">
        <v>0</v>
      </c>
      <c r="L57" s="67" t="e">
        <f t="shared" si="0"/>
        <v>#DIV/0!</v>
      </c>
      <c r="M57" s="69">
        <f>DAYS360(E57,$C$8)/DAYS360(E57,F57)</f>
        <v>1</v>
      </c>
      <c r="N57" s="58" t="str">
        <f t="shared" si="1"/>
        <v xml:space="preserve"> -</v>
      </c>
      <c r="O57" s="79">
        <v>2210847</v>
      </c>
      <c r="P57" s="86">
        <v>0</v>
      </c>
      <c r="Q57" s="86">
        <v>0</v>
      </c>
      <c r="R57" s="86">
        <v>0</v>
      </c>
      <c r="S57" s="57" t="str">
        <f t="shared" si="2"/>
        <v xml:space="preserve"> -</v>
      </c>
      <c r="T57" s="58" t="str">
        <f t="shared" si="3"/>
        <v xml:space="preserve"> -</v>
      </c>
    </row>
    <row r="58" spans="2:20" ht="13" customHeight="1" thickBot="1">
      <c r="B58" s="65"/>
      <c r="C58" s="51"/>
      <c r="D58" s="50"/>
      <c r="E58" s="75"/>
      <c r="F58" s="75"/>
      <c r="G58" s="51"/>
      <c r="H58" s="52"/>
      <c r="I58" s="52"/>
      <c r="J58" s="52"/>
      <c r="K58" s="52"/>
      <c r="L58" s="53"/>
      <c r="M58" s="54"/>
      <c r="N58" s="54"/>
      <c r="O58" s="80"/>
      <c r="P58" s="90"/>
      <c r="Q58" s="90"/>
      <c r="R58" s="90"/>
      <c r="S58" s="54"/>
      <c r="T58" s="55"/>
    </row>
    <row r="59" spans="2:20" ht="46" thickBot="1">
      <c r="B59" s="66" t="s">
        <v>96</v>
      </c>
      <c r="C59" s="66" t="s">
        <v>97</v>
      </c>
      <c r="D59" s="64" t="s">
        <v>85</v>
      </c>
      <c r="E59" s="76">
        <v>42370</v>
      </c>
      <c r="F59" s="76">
        <v>42735</v>
      </c>
      <c r="G59" s="63" t="s">
        <v>69</v>
      </c>
      <c r="H59" s="88">
        <v>1</v>
      </c>
      <c r="I59" s="88">
        <v>0</v>
      </c>
      <c r="J59" s="88">
        <v>0</v>
      </c>
      <c r="K59" s="89">
        <v>0</v>
      </c>
      <c r="L59" s="68" t="e">
        <f t="shared" si="0"/>
        <v>#DIV/0!</v>
      </c>
      <c r="M59" s="70">
        <f>DAYS360(E59,$C$8)/DAYS360(E59,F59)</f>
        <v>1</v>
      </c>
      <c r="N59" s="61" t="str">
        <f t="shared" si="1"/>
        <v xml:space="preserve"> -</v>
      </c>
      <c r="O59" s="81" t="s">
        <v>160</v>
      </c>
      <c r="P59" s="88">
        <v>0</v>
      </c>
      <c r="Q59" s="88">
        <v>0</v>
      </c>
      <c r="R59" s="88">
        <v>0</v>
      </c>
      <c r="S59" s="60" t="str">
        <f t="shared" si="2"/>
        <v xml:space="preserve"> -</v>
      </c>
      <c r="T59" s="61" t="str">
        <f t="shared" si="3"/>
        <v xml:space="preserve"> -</v>
      </c>
    </row>
    <row r="60" spans="2:20" ht="13" customHeight="1" thickBot="1">
      <c r="B60" s="65"/>
      <c r="C60" s="51"/>
      <c r="D60" s="50"/>
      <c r="E60" s="75"/>
      <c r="F60" s="75"/>
      <c r="G60" s="51"/>
      <c r="H60" s="52"/>
      <c r="I60" s="52"/>
      <c r="J60" s="52"/>
      <c r="K60" s="52"/>
      <c r="L60" s="53"/>
      <c r="M60" s="54"/>
      <c r="N60" s="54"/>
      <c r="O60" s="80"/>
      <c r="P60" s="90"/>
      <c r="Q60" s="90"/>
      <c r="R60" s="90"/>
      <c r="S60" s="54"/>
      <c r="T60" s="55"/>
    </row>
    <row r="61" spans="2:20" ht="30">
      <c r="B61" s="371" t="s">
        <v>99</v>
      </c>
      <c r="C61" s="371" t="s">
        <v>98</v>
      </c>
      <c r="D61" s="337" t="s">
        <v>86</v>
      </c>
      <c r="E61" s="72">
        <v>42370</v>
      </c>
      <c r="F61" s="72">
        <v>42735</v>
      </c>
      <c r="G61" s="13" t="s">
        <v>70</v>
      </c>
      <c r="H61" s="82">
        <v>1</v>
      </c>
      <c r="I61" s="82">
        <v>1</v>
      </c>
      <c r="J61" s="82">
        <v>1</v>
      </c>
      <c r="K61" s="83">
        <v>1</v>
      </c>
      <c r="L61" s="16">
        <f t="shared" si="0"/>
        <v>1</v>
      </c>
      <c r="M61" s="17">
        <f>DAYS360(E61,$C$8)/DAYS360(E61,F61)</f>
        <v>1</v>
      </c>
      <c r="N61" s="18">
        <f t="shared" si="1"/>
        <v>1</v>
      </c>
      <c r="O61" s="77">
        <v>0</v>
      </c>
      <c r="P61" s="82">
        <v>0</v>
      </c>
      <c r="Q61" s="82">
        <v>0</v>
      </c>
      <c r="R61" s="82">
        <v>0</v>
      </c>
      <c r="S61" s="19" t="str">
        <f t="shared" si="2"/>
        <v xml:space="preserve"> -</v>
      </c>
      <c r="T61" s="18" t="str">
        <f t="shared" si="3"/>
        <v xml:space="preserve"> -</v>
      </c>
    </row>
    <row r="62" spans="2:20" ht="61" thickBot="1">
      <c r="B62" s="372"/>
      <c r="C62" s="372"/>
      <c r="D62" s="338"/>
      <c r="E62" s="74">
        <v>42370</v>
      </c>
      <c r="F62" s="74">
        <v>42735</v>
      </c>
      <c r="G62" s="11" t="s">
        <v>71</v>
      </c>
      <c r="H62" s="86">
        <v>1</v>
      </c>
      <c r="I62" s="86">
        <v>1</v>
      </c>
      <c r="J62" s="86">
        <v>1</v>
      </c>
      <c r="K62" s="87">
        <v>1</v>
      </c>
      <c r="L62" s="67">
        <f t="shared" si="0"/>
        <v>1</v>
      </c>
      <c r="M62" s="69">
        <f>DAYS360(E62,$C$8)/DAYS360(E62,F62)</f>
        <v>1</v>
      </c>
      <c r="N62" s="58">
        <f t="shared" si="1"/>
        <v>1</v>
      </c>
      <c r="O62" s="79" t="s">
        <v>160</v>
      </c>
      <c r="P62" s="86">
        <v>0</v>
      </c>
      <c r="Q62" s="86">
        <v>0</v>
      </c>
      <c r="R62" s="86">
        <v>0</v>
      </c>
      <c r="S62" s="57" t="str">
        <f t="shared" si="2"/>
        <v xml:space="preserve"> -</v>
      </c>
      <c r="T62" s="58" t="str">
        <f t="shared" si="3"/>
        <v xml:space="preserve"> -</v>
      </c>
    </row>
    <row r="63" spans="2:20" ht="21" customHeight="1" thickBot="1">
      <c r="M63" s="128">
        <f>+AVERAGE(M12:M14,M16:M25,M27:M47,M49,M51:M52,M54:M57,M59,M61:M62)</f>
        <v>1</v>
      </c>
      <c r="N63" s="129">
        <f>+AVERAGE(N12:N14,N16:N25,N27:N47,N49,N51:N52,N54:N57,N59,N61:N62)</f>
        <v>0.90999999999999992</v>
      </c>
      <c r="O63" s="56"/>
      <c r="P63" s="130">
        <f>+SUM(P12:P14,P16:P25,P27:P47,P49,P51:P52,P54:P57,P59,P61:P62)</f>
        <v>3725994</v>
      </c>
      <c r="Q63" s="131">
        <f>+SUM(Q12:Q14,Q16:Q25,Q27:Q47,Q49,Q51:Q52,Q54:Q57,Q59,Q61:Q62)</f>
        <v>1297173</v>
      </c>
      <c r="R63" s="131">
        <f>+SUM(R12:R14,R16:R25,R27:R47,R49,R51:R52,R54:R57,R59,R61:R62)</f>
        <v>0</v>
      </c>
      <c r="S63" s="132">
        <f t="shared" si="2"/>
        <v>0.34814146238560773</v>
      </c>
      <c r="T63" s="129" t="str">
        <f t="shared" si="3"/>
        <v xml:space="preserve"> -</v>
      </c>
    </row>
  </sheetData>
  <mergeCells count="35">
    <mergeCell ref="C61:C62"/>
    <mergeCell ref="B61:B62"/>
    <mergeCell ref="D54:D57"/>
    <mergeCell ref="D61:D62"/>
    <mergeCell ref="C12:C14"/>
    <mergeCell ref="C16:C25"/>
    <mergeCell ref="C27:C47"/>
    <mergeCell ref="B12:B47"/>
    <mergeCell ref="C51:C52"/>
    <mergeCell ref="C54:C57"/>
    <mergeCell ref="B51:B57"/>
    <mergeCell ref="D17:D25"/>
    <mergeCell ref="D27:D3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O9:T10"/>
    <mergeCell ref="J10:J11"/>
    <mergeCell ref="M10:M11"/>
    <mergeCell ref="H10:H11"/>
    <mergeCell ref="I10:I11"/>
    <mergeCell ref="N10:N11"/>
    <mergeCell ref="D42:D46"/>
    <mergeCell ref="D51:D52"/>
    <mergeCell ref="D36:D37"/>
    <mergeCell ref="D38:D4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71">
        <v>43100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94">
        <v>42736</v>
      </c>
      <c r="F12" s="135">
        <v>43100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 t="s">
        <v>160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76">
        <v>42736</v>
      </c>
      <c r="F13" s="136">
        <v>43100</v>
      </c>
      <c r="G13" s="63" t="s">
        <v>29</v>
      </c>
      <c r="H13" s="88">
        <v>8</v>
      </c>
      <c r="I13" s="86">
        <f>+J13+('2016'!I13-'2016'!K13)</f>
        <v>3</v>
      </c>
      <c r="J13" s="88">
        <v>3</v>
      </c>
      <c r="K13" s="89">
        <v>3</v>
      </c>
      <c r="L13" s="68">
        <f t="shared" ref="L13:L56" si="0">+K13/J13</f>
        <v>1</v>
      </c>
      <c r="M13" s="70">
        <f t="shared" ref="M13:M56" si="1">DAYS360(E13,$C$8)/DAYS360(E13,F13)</f>
        <v>1</v>
      </c>
      <c r="N13" s="61">
        <f t="shared" ref="N13:N56" si="2">IF(J13=0," -",IF(L13&gt;100%,100%,L13))</f>
        <v>1</v>
      </c>
      <c r="O13" s="81">
        <v>2210842</v>
      </c>
      <c r="P13" s="88">
        <v>169800</v>
      </c>
      <c r="Q13" s="88">
        <v>169800</v>
      </c>
      <c r="R13" s="88">
        <v>270000</v>
      </c>
      <c r="S13" s="60">
        <f t="shared" ref="S13:S57" si="3">IF(P13=0," -",Q13/P13)</f>
        <v>1</v>
      </c>
      <c r="T13" s="61">
        <f t="shared" ref="T13:T57" si="4">IF(R13=0," -",IF(Q13=0,100%,R13/Q13))</f>
        <v>1.5901060070671378</v>
      </c>
    </row>
    <row r="14" spans="2:20" ht="46" thickBot="1">
      <c r="B14" s="375"/>
      <c r="C14" s="374"/>
      <c r="D14" s="109" t="s">
        <v>74</v>
      </c>
      <c r="E14" s="110">
        <v>42736</v>
      </c>
      <c r="F14" s="137">
        <v>43100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762900</v>
      </c>
      <c r="Q14" s="111">
        <v>728851</v>
      </c>
      <c r="R14" s="111">
        <v>0</v>
      </c>
      <c r="S14" s="117">
        <f t="shared" si="3"/>
        <v>0.95536898676104343</v>
      </c>
      <c r="T14" s="115" t="str">
        <f t="shared" si="4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42736</v>
      </c>
      <c r="F16" s="135">
        <v>43100</v>
      </c>
      <c r="G16" s="102" t="s">
        <v>31</v>
      </c>
      <c r="H16" s="101">
        <v>1</v>
      </c>
      <c r="I16" s="57">
        <f>+J16+('2016'!I16-'2016'!K16)</f>
        <v>0.4</v>
      </c>
      <c r="J16" s="101">
        <v>0.4</v>
      </c>
      <c r="K16" s="103">
        <v>2E-3</v>
      </c>
      <c r="L16" s="97">
        <f t="shared" si="0"/>
        <v>5.0000000000000001E-3</v>
      </c>
      <c r="M16" s="98">
        <f t="shared" si="1"/>
        <v>1</v>
      </c>
      <c r="N16" s="99">
        <f t="shared" si="2"/>
        <v>5.0000000000000001E-3</v>
      </c>
      <c r="O16" s="100">
        <v>2210158</v>
      </c>
      <c r="P16" s="95">
        <v>18133</v>
      </c>
      <c r="Q16" s="95">
        <v>18133</v>
      </c>
      <c r="R16" s="95">
        <v>0</v>
      </c>
      <c r="S16" s="101">
        <f t="shared" si="3"/>
        <v>1</v>
      </c>
      <c r="T16" s="99" t="str">
        <f t="shared" si="4"/>
        <v xml:space="preserve"> -</v>
      </c>
    </row>
    <row r="17" spans="2:20" ht="30">
      <c r="B17" s="375"/>
      <c r="C17" s="374"/>
      <c r="D17" s="334" t="s">
        <v>76</v>
      </c>
      <c r="E17" s="72">
        <v>42736</v>
      </c>
      <c r="F17" s="138">
        <v>43100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214127</v>
      </c>
      <c r="Q17" s="82">
        <v>213327</v>
      </c>
      <c r="R17" s="82">
        <v>0</v>
      </c>
      <c r="S17" s="19">
        <f t="shared" si="3"/>
        <v>0.99626389946153449</v>
      </c>
      <c r="T17" s="18" t="str">
        <f t="shared" si="4"/>
        <v xml:space="preserve"> -</v>
      </c>
    </row>
    <row r="18" spans="2:20" ht="30">
      <c r="B18" s="375"/>
      <c r="C18" s="374"/>
      <c r="D18" s="335"/>
      <c r="E18" s="73">
        <v>42736</v>
      </c>
      <c r="F18" s="139">
        <v>43100</v>
      </c>
      <c r="G18" s="8" t="s">
        <v>33</v>
      </c>
      <c r="H18" s="84">
        <v>1</v>
      </c>
      <c r="I18" s="84">
        <f>+J18+('2016'!I18-'2016'!K18)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5"/>
      <c r="C19" s="374"/>
      <c r="D19" s="335"/>
      <c r="E19" s="73">
        <v>42736</v>
      </c>
      <c r="F19" s="139">
        <v>43100</v>
      </c>
      <c r="G19" s="8" t="s">
        <v>34</v>
      </c>
      <c r="H19" s="84">
        <v>1</v>
      </c>
      <c r="I19" s="84">
        <f>+J19+('2016'!I19-'2016'!K19)</f>
        <v>1</v>
      </c>
      <c r="J19" s="84">
        <v>1</v>
      </c>
      <c r="K19" s="85">
        <v>0</v>
      </c>
      <c r="L19" s="21">
        <f t="shared" si="0"/>
        <v>0</v>
      </c>
      <c r="M19" s="22">
        <f t="shared" si="1"/>
        <v>1</v>
      </c>
      <c r="N19" s="23">
        <f t="shared" si="2"/>
        <v>0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5"/>
      <c r="C20" s="374"/>
      <c r="D20" s="335"/>
      <c r="E20" s="73">
        <v>42736</v>
      </c>
      <c r="F20" s="139">
        <v>43100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176000</v>
      </c>
      <c r="Q20" s="84">
        <v>176000</v>
      </c>
      <c r="R20" s="84">
        <v>0</v>
      </c>
      <c r="S20" s="26">
        <f t="shared" si="3"/>
        <v>1</v>
      </c>
      <c r="T20" s="23" t="str">
        <f t="shared" si="4"/>
        <v xml:space="preserve"> -</v>
      </c>
    </row>
    <row r="21" spans="2:20" ht="30">
      <c r="B21" s="375"/>
      <c r="C21" s="374"/>
      <c r="D21" s="335"/>
      <c r="E21" s="73">
        <v>42736</v>
      </c>
      <c r="F21" s="139">
        <v>43100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495469.88413000002</v>
      </c>
      <c r="Q21" s="84">
        <v>273720</v>
      </c>
      <c r="R21" s="84">
        <v>0</v>
      </c>
      <c r="S21" s="26">
        <f t="shared" si="3"/>
        <v>0.55244528228113676</v>
      </c>
      <c r="T21" s="23" t="str">
        <f t="shared" si="4"/>
        <v xml:space="preserve"> -</v>
      </c>
    </row>
    <row r="22" spans="2:20" ht="45">
      <c r="B22" s="375"/>
      <c r="C22" s="374"/>
      <c r="D22" s="335"/>
      <c r="E22" s="73">
        <v>42736</v>
      </c>
      <c r="F22" s="139">
        <v>43100</v>
      </c>
      <c r="G22" s="8" t="s">
        <v>37</v>
      </c>
      <c r="H22" s="84">
        <v>1</v>
      </c>
      <c r="I22" s="84">
        <f>+J22+('2016'!I22-'2016'!K22)</f>
        <v>1</v>
      </c>
      <c r="J22" s="84">
        <v>1</v>
      </c>
      <c r="K22" s="85">
        <v>0</v>
      </c>
      <c r="L22" s="21">
        <f t="shared" si="0"/>
        <v>0</v>
      </c>
      <c r="M22" s="22">
        <f t="shared" si="1"/>
        <v>1</v>
      </c>
      <c r="N22" s="23">
        <f t="shared" si="2"/>
        <v>0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5"/>
      <c r="C23" s="374"/>
      <c r="D23" s="335"/>
      <c r="E23" s="73">
        <v>42736</v>
      </c>
      <c r="F23" s="139">
        <v>43100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0</v>
      </c>
      <c r="L23" s="21">
        <f t="shared" si="0"/>
        <v>0</v>
      </c>
      <c r="M23" s="22">
        <f t="shared" si="1"/>
        <v>1</v>
      </c>
      <c r="N23" s="23">
        <f t="shared" si="2"/>
        <v>0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5"/>
      <c r="C24" s="374"/>
      <c r="D24" s="335"/>
      <c r="E24" s="73">
        <v>42736</v>
      </c>
      <c r="F24" s="139">
        <v>43100</v>
      </c>
      <c r="G24" s="8" t="s">
        <v>39</v>
      </c>
      <c r="H24" s="84">
        <v>4</v>
      </c>
      <c r="I24" s="84">
        <f>+J24+('2016'!I24-'2016'!K24)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5"/>
      <c r="C25" s="374"/>
      <c r="D25" s="336"/>
      <c r="E25" s="74">
        <v>42736</v>
      </c>
      <c r="F25" s="74">
        <v>43100</v>
      </c>
      <c r="G25" s="11" t="s">
        <v>40</v>
      </c>
      <c r="H25" s="86">
        <v>4</v>
      </c>
      <c r="I25" s="86">
        <f>+J25+('2016'!I25-'2016'!K25)</f>
        <v>1</v>
      </c>
      <c r="J25" s="86">
        <v>1</v>
      </c>
      <c r="K25" s="87">
        <v>1</v>
      </c>
      <c r="L25" s="67">
        <f t="shared" si="0"/>
        <v>1</v>
      </c>
      <c r="M25" s="69">
        <f t="shared" si="1"/>
        <v>1</v>
      </c>
      <c r="N25" s="58">
        <f t="shared" si="2"/>
        <v>1</v>
      </c>
      <c r="O25" s="79">
        <v>2210100</v>
      </c>
      <c r="P25" s="86">
        <v>102000</v>
      </c>
      <c r="Q25" s="86">
        <v>102000</v>
      </c>
      <c r="R25" s="86">
        <v>344000</v>
      </c>
      <c r="S25" s="57">
        <f t="shared" si="3"/>
        <v>1</v>
      </c>
      <c r="T25" s="58">
        <f t="shared" si="4"/>
        <v>3.3725490196078431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4" t="s">
        <v>77</v>
      </c>
      <c r="E27" s="72">
        <v>42736</v>
      </c>
      <c r="F27" s="138">
        <v>43100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0.14000000000000001</v>
      </c>
      <c r="L27" s="16">
        <f t="shared" si="0"/>
        <v>0.14000000000000001</v>
      </c>
      <c r="M27" s="17">
        <f t="shared" si="1"/>
        <v>1</v>
      </c>
      <c r="N27" s="18">
        <f t="shared" si="2"/>
        <v>0.14000000000000001</v>
      </c>
      <c r="O27" s="77">
        <v>2210987</v>
      </c>
      <c r="P27" s="82">
        <v>0</v>
      </c>
      <c r="Q27" s="82">
        <v>0</v>
      </c>
      <c r="R27" s="82">
        <v>0</v>
      </c>
      <c r="S27" s="19" t="str">
        <f t="shared" si="3"/>
        <v xml:space="preserve"> -</v>
      </c>
      <c r="T27" s="18" t="str">
        <f t="shared" si="4"/>
        <v xml:space="preserve"> -</v>
      </c>
    </row>
    <row r="28" spans="2:20" ht="30">
      <c r="B28" s="375"/>
      <c r="C28" s="375"/>
      <c r="D28" s="335"/>
      <c r="E28" s="73">
        <v>42736</v>
      </c>
      <c r="F28" s="139">
        <v>43100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0.93</v>
      </c>
      <c r="L28" s="21">
        <f t="shared" si="0"/>
        <v>0.93</v>
      </c>
      <c r="M28" s="22">
        <f t="shared" si="1"/>
        <v>1</v>
      </c>
      <c r="N28" s="23">
        <f t="shared" si="2"/>
        <v>0.93</v>
      </c>
      <c r="O28" s="78" t="s">
        <v>161</v>
      </c>
      <c r="P28" s="84">
        <v>462325</v>
      </c>
      <c r="Q28" s="84">
        <v>442180</v>
      </c>
      <c r="R28" s="84">
        <v>0</v>
      </c>
      <c r="S28" s="26">
        <f t="shared" si="3"/>
        <v>0.95642675606986427</v>
      </c>
      <c r="T28" s="23" t="str">
        <f t="shared" si="4"/>
        <v xml:space="preserve"> -</v>
      </c>
    </row>
    <row r="29" spans="2:20" ht="30">
      <c r="B29" s="375"/>
      <c r="C29" s="375"/>
      <c r="D29" s="335"/>
      <c r="E29" s="73">
        <v>42736</v>
      </c>
      <c r="F29" s="139">
        <v>43100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0.93</v>
      </c>
      <c r="L29" s="21">
        <f t="shared" si="0"/>
        <v>0.93</v>
      </c>
      <c r="M29" s="22">
        <f t="shared" si="1"/>
        <v>1</v>
      </c>
      <c r="N29" s="23">
        <f t="shared" si="2"/>
        <v>0.93</v>
      </c>
      <c r="O29" s="78" t="s">
        <v>161</v>
      </c>
      <c r="P29" s="84">
        <v>462325</v>
      </c>
      <c r="Q29" s="84">
        <v>442180</v>
      </c>
      <c r="R29" s="84">
        <v>0</v>
      </c>
      <c r="S29" s="26">
        <f t="shared" si="3"/>
        <v>0.95642675606986427</v>
      </c>
      <c r="T29" s="23" t="str">
        <f t="shared" si="4"/>
        <v xml:space="preserve"> -</v>
      </c>
    </row>
    <row r="30" spans="2:20" ht="45">
      <c r="B30" s="375"/>
      <c r="C30" s="375"/>
      <c r="D30" s="335"/>
      <c r="E30" s="73">
        <v>42736</v>
      </c>
      <c r="F30" s="139">
        <v>43100</v>
      </c>
      <c r="G30" s="8" t="s">
        <v>44</v>
      </c>
      <c r="H30" s="84">
        <v>1</v>
      </c>
      <c r="I30" s="84">
        <f>+J30+('2016'!I30-'2016'!K30)</f>
        <v>1</v>
      </c>
      <c r="J30" s="84">
        <v>1</v>
      </c>
      <c r="K30" s="85">
        <v>1</v>
      </c>
      <c r="L30" s="21">
        <f t="shared" si="0"/>
        <v>1</v>
      </c>
      <c r="M30" s="22">
        <f t="shared" si="1"/>
        <v>1</v>
      </c>
      <c r="N30" s="23">
        <f t="shared" si="2"/>
        <v>1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5"/>
      <c r="C31" s="375"/>
      <c r="D31" s="335"/>
      <c r="E31" s="73">
        <v>42736</v>
      </c>
      <c r="F31" s="139">
        <v>43100</v>
      </c>
      <c r="G31" s="8" t="s">
        <v>45</v>
      </c>
      <c r="H31" s="84">
        <v>1</v>
      </c>
      <c r="I31" s="84">
        <f>+J31+('2016'!I31-'2016'!K31)</f>
        <v>0</v>
      </c>
      <c r="J31" s="84">
        <v>0</v>
      </c>
      <c r="K31" s="85">
        <v>1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44000</v>
      </c>
      <c r="Q31" s="84">
        <v>44000</v>
      </c>
      <c r="R31" s="84">
        <v>0</v>
      </c>
      <c r="S31" s="26">
        <f t="shared" si="3"/>
        <v>1</v>
      </c>
      <c r="T31" s="23" t="str">
        <f t="shared" si="4"/>
        <v xml:space="preserve"> -</v>
      </c>
    </row>
    <row r="32" spans="2:20" ht="45">
      <c r="B32" s="375"/>
      <c r="C32" s="375"/>
      <c r="D32" s="335"/>
      <c r="E32" s="73">
        <v>42736</v>
      </c>
      <c r="F32" s="139">
        <v>43100</v>
      </c>
      <c r="G32" s="8" t="s">
        <v>46</v>
      </c>
      <c r="H32" s="26">
        <v>1</v>
      </c>
      <c r="I32" s="26">
        <f>+J32+('2016'!I32-'2016'!K32)</f>
        <v>1</v>
      </c>
      <c r="J32" s="26">
        <v>1</v>
      </c>
      <c r="K32" s="92">
        <v>0.8</v>
      </c>
      <c r="L32" s="21">
        <f t="shared" si="0"/>
        <v>0.8</v>
      </c>
      <c r="M32" s="22">
        <f t="shared" si="1"/>
        <v>1</v>
      </c>
      <c r="N32" s="23">
        <f t="shared" si="2"/>
        <v>0.8</v>
      </c>
      <c r="O32" s="78">
        <v>2210158</v>
      </c>
      <c r="P32" s="84">
        <v>62000</v>
      </c>
      <c r="Q32" s="84">
        <v>61999</v>
      </c>
      <c r="R32" s="84">
        <v>0</v>
      </c>
      <c r="S32" s="26">
        <f t="shared" si="3"/>
        <v>0.99998387096774188</v>
      </c>
      <c r="T32" s="23" t="str">
        <f t="shared" si="4"/>
        <v xml:space="preserve"> -</v>
      </c>
    </row>
    <row r="33" spans="2:20" ht="30">
      <c r="B33" s="375"/>
      <c r="C33" s="375"/>
      <c r="D33" s="335"/>
      <c r="E33" s="73">
        <v>42736</v>
      </c>
      <c r="F33" s="139">
        <v>43100</v>
      </c>
      <c r="G33" s="8" t="s">
        <v>47</v>
      </c>
      <c r="H33" s="26">
        <v>1</v>
      </c>
      <c r="I33" s="26">
        <f>+J33+('2016'!I33-'2016'!K33)</f>
        <v>0.6</v>
      </c>
      <c r="J33" s="26">
        <v>0.6</v>
      </c>
      <c r="K33" s="92">
        <v>0.6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75"/>
      <c r="C34" s="375"/>
      <c r="D34" s="335"/>
      <c r="E34" s="73">
        <v>42736</v>
      </c>
      <c r="F34" s="139">
        <v>43100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2210158</v>
      </c>
      <c r="P34" s="84">
        <v>241000</v>
      </c>
      <c r="Q34" s="84">
        <v>241000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75"/>
      <c r="C35" s="375"/>
      <c r="D35" s="336"/>
      <c r="E35" s="74">
        <v>42736</v>
      </c>
      <c r="F35" s="140">
        <v>43100</v>
      </c>
      <c r="G35" s="11" t="s">
        <v>49</v>
      </c>
      <c r="H35" s="86">
        <v>1</v>
      </c>
      <c r="I35" s="86">
        <f>+J35+('2016'!I35-'2016'!K35)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5"/>
      <c r="C36" s="375"/>
      <c r="D36" s="339" t="s">
        <v>79</v>
      </c>
      <c r="E36" s="118">
        <v>42736</v>
      </c>
      <c r="F36" s="142">
        <v>43100</v>
      </c>
      <c r="G36" s="12" t="s">
        <v>52</v>
      </c>
      <c r="H36" s="119">
        <v>1</v>
      </c>
      <c r="I36" s="119">
        <f>+J36+('2016'!I38-'2016'!K38)</f>
        <v>1</v>
      </c>
      <c r="J36" s="119">
        <v>1</v>
      </c>
      <c r="K36" s="120">
        <v>0.9</v>
      </c>
      <c r="L36" s="121">
        <f t="shared" si="0"/>
        <v>0.9</v>
      </c>
      <c r="M36" s="122">
        <f t="shared" si="1"/>
        <v>1</v>
      </c>
      <c r="N36" s="123">
        <f t="shared" si="2"/>
        <v>0.9</v>
      </c>
      <c r="O36" s="124">
        <v>2210158</v>
      </c>
      <c r="P36" s="125">
        <v>1035842</v>
      </c>
      <c r="Q36" s="125">
        <v>1035842</v>
      </c>
      <c r="R36" s="125">
        <v>259672</v>
      </c>
      <c r="S36" s="119">
        <f t="shared" si="3"/>
        <v>1</v>
      </c>
      <c r="T36" s="123">
        <f t="shared" si="4"/>
        <v>0.25068688081773088</v>
      </c>
    </row>
    <row r="37" spans="2:20" ht="30">
      <c r="B37" s="375"/>
      <c r="C37" s="375"/>
      <c r="D37" s="340"/>
      <c r="E37" s="73">
        <v>42736</v>
      </c>
      <c r="F37" s="139">
        <v>43100</v>
      </c>
      <c r="G37" s="8" t="s">
        <v>53</v>
      </c>
      <c r="H37" s="26">
        <v>1</v>
      </c>
      <c r="I37" s="26">
        <f>+J37+('2016'!I39-'2016'!K39)</f>
        <v>0</v>
      </c>
      <c r="J37" s="26">
        <v>0</v>
      </c>
      <c r="K37" s="92">
        <v>0</v>
      </c>
      <c r="L37" s="21" t="e">
        <f t="shared" si="0"/>
        <v>#DIV/0!</v>
      </c>
      <c r="M37" s="22">
        <f t="shared" si="1"/>
        <v>1</v>
      </c>
      <c r="N37" s="23" t="str">
        <f t="shared" si="2"/>
        <v xml:space="preserve"> -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5"/>
      <c r="C38" s="375"/>
      <c r="D38" s="341"/>
      <c r="E38" s="104">
        <v>42736</v>
      </c>
      <c r="F38" s="141">
        <v>43100</v>
      </c>
      <c r="G38" s="10" t="s">
        <v>55</v>
      </c>
      <c r="H38" s="40">
        <v>1</v>
      </c>
      <c r="I38" s="57">
        <f>+J38+('2016'!I41-'2016'!K41)</f>
        <v>1</v>
      </c>
      <c r="J38" s="40">
        <v>1</v>
      </c>
      <c r="K38" s="108">
        <v>0.95</v>
      </c>
      <c r="L38" s="37">
        <f t="shared" si="0"/>
        <v>0.95</v>
      </c>
      <c r="M38" s="38">
        <f t="shared" si="1"/>
        <v>1</v>
      </c>
      <c r="N38" s="39">
        <f t="shared" si="2"/>
        <v>0.95</v>
      </c>
      <c r="O38" s="107">
        <v>2210158</v>
      </c>
      <c r="P38" s="105">
        <v>1014000</v>
      </c>
      <c r="Q38" s="105">
        <v>1014000</v>
      </c>
      <c r="R38" s="105">
        <v>243800</v>
      </c>
      <c r="S38" s="40">
        <f t="shared" si="3"/>
        <v>1</v>
      </c>
      <c r="T38" s="39">
        <f t="shared" si="4"/>
        <v>0.24043392504930966</v>
      </c>
    </row>
    <row r="39" spans="2:20" ht="60">
      <c r="B39" s="375"/>
      <c r="C39" s="375"/>
      <c r="D39" s="334" t="s">
        <v>80</v>
      </c>
      <c r="E39" s="72">
        <v>42736</v>
      </c>
      <c r="F39" s="138">
        <v>43100</v>
      </c>
      <c r="G39" s="13" t="s">
        <v>56</v>
      </c>
      <c r="H39" s="19">
        <v>1</v>
      </c>
      <c r="I39" s="119">
        <f>+J39+('2016'!I42-'2016'!K42)</f>
        <v>0.85000000000000009</v>
      </c>
      <c r="J39" s="19">
        <v>0.9</v>
      </c>
      <c r="K39" s="91">
        <v>0.5</v>
      </c>
      <c r="L39" s="16">
        <f t="shared" si="0"/>
        <v>0.55555555555555558</v>
      </c>
      <c r="M39" s="17">
        <f t="shared" si="1"/>
        <v>1</v>
      </c>
      <c r="N39" s="18">
        <f t="shared" si="2"/>
        <v>0.55555555555555558</v>
      </c>
      <c r="O39" s="77">
        <v>2210159</v>
      </c>
      <c r="P39" s="82">
        <v>0</v>
      </c>
      <c r="Q39" s="82">
        <v>0</v>
      </c>
      <c r="R39" s="82">
        <v>0</v>
      </c>
      <c r="S39" s="19" t="str">
        <f t="shared" si="3"/>
        <v xml:space="preserve"> -</v>
      </c>
      <c r="T39" s="18" t="str">
        <f t="shared" si="4"/>
        <v xml:space="preserve"> -</v>
      </c>
    </row>
    <row r="40" spans="2:20" ht="60">
      <c r="B40" s="375"/>
      <c r="C40" s="375"/>
      <c r="D40" s="335"/>
      <c r="E40" s="73">
        <v>42736</v>
      </c>
      <c r="F40" s="139">
        <v>43100</v>
      </c>
      <c r="G40" s="8" t="s">
        <v>57</v>
      </c>
      <c r="H40" s="26">
        <v>1</v>
      </c>
      <c r="I40" s="26">
        <f>+J40+('2016'!I43-'2016'!K43)</f>
        <v>0.85000000000000009</v>
      </c>
      <c r="J40" s="26">
        <v>0.9</v>
      </c>
      <c r="K40" s="92">
        <v>0.5</v>
      </c>
      <c r="L40" s="21">
        <f t="shared" si="0"/>
        <v>0.55555555555555558</v>
      </c>
      <c r="M40" s="22">
        <f t="shared" si="1"/>
        <v>1</v>
      </c>
      <c r="N40" s="23">
        <f t="shared" si="2"/>
        <v>0.55555555555555558</v>
      </c>
      <c r="O40" s="78">
        <v>2210159</v>
      </c>
      <c r="P40" s="84">
        <v>0</v>
      </c>
      <c r="Q40" s="84">
        <v>0</v>
      </c>
      <c r="R40" s="84">
        <v>0</v>
      </c>
      <c r="S40" s="26" t="str">
        <f t="shared" si="3"/>
        <v xml:space="preserve"> -</v>
      </c>
      <c r="T40" s="23" t="str">
        <f t="shared" si="4"/>
        <v xml:space="preserve"> -</v>
      </c>
    </row>
    <row r="41" spans="2:20" ht="30">
      <c r="B41" s="375"/>
      <c r="C41" s="375"/>
      <c r="D41" s="335"/>
      <c r="E41" s="73">
        <v>42736</v>
      </c>
      <c r="F41" s="139">
        <v>43100</v>
      </c>
      <c r="G41" s="8" t="s">
        <v>58</v>
      </c>
      <c r="H41" s="84">
        <v>10</v>
      </c>
      <c r="I41" s="84">
        <f>+J41+('2016'!I44-'2016'!K44)</f>
        <v>3.5</v>
      </c>
      <c r="J41" s="84">
        <v>3</v>
      </c>
      <c r="K41" s="85">
        <v>5</v>
      </c>
      <c r="L41" s="21">
        <f t="shared" si="0"/>
        <v>1.6666666666666667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5"/>
      <c r="C42" s="375"/>
      <c r="D42" s="335"/>
      <c r="E42" s="73">
        <v>42736</v>
      </c>
      <c r="F42" s="139">
        <v>43100</v>
      </c>
      <c r="G42" s="8" t="s">
        <v>59</v>
      </c>
      <c r="H42" s="84">
        <v>1</v>
      </c>
      <c r="I42" s="84">
        <f>+J42+('2016'!I45-'2016'!K45)</f>
        <v>1</v>
      </c>
      <c r="J42" s="84">
        <v>1</v>
      </c>
      <c r="K42" s="85">
        <v>0</v>
      </c>
      <c r="L42" s="21">
        <f t="shared" si="0"/>
        <v>0</v>
      </c>
      <c r="M42" s="22">
        <f t="shared" si="1"/>
        <v>1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5"/>
      <c r="C43" s="375"/>
      <c r="D43" s="336"/>
      <c r="E43" s="74">
        <v>42736</v>
      </c>
      <c r="F43" s="74">
        <v>43100</v>
      </c>
      <c r="G43" s="11" t="s">
        <v>60</v>
      </c>
      <c r="H43" s="86">
        <v>20</v>
      </c>
      <c r="I43" s="86">
        <f>+J43+('2016'!I46-'2016'!K46)</f>
        <v>7</v>
      </c>
      <c r="J43" s="86">
        <v>7</v>
      </c>
      <c r="K43" s="87">
        <v>8</v>
      </c>
      <c r="L43" s="67">
        <f t="shared" si="0"/>
        <v>1.1428571428571428</v>
      </c>
      <c r="M43" s="69">
        <f t="shared" si="1"/>
        <v>1</v>
      </c>
      <c r="N43" s="58">
        <f t="shared" si="2"/>
        <v>1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72"/>
      <c r="C44" s="372"/>
      <c r="D44" s="126" t="s">
        <v>81</v>
      </c>
      <c r="E44" s="110">
        <v>42736</v>
      </c>
      <c r="F44" s="110">
        <v>43100</v>
      </c>
      <c r="G44" s="127" t="s">
        <v>61</v>
      </c>
      <c r="H44" s="111">
        <v>1</v>
      </c>
      <c r="I44" s="86">
        <f>+J44+('2016'!I47-'2016'!K47)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65"/>
      <c r="C45" s="51"/>
      <c r="D45" s="50"/>
      <c r="E45" s="75"/>
      <c r="F45" s="75"/>
      <c r="G45" s="51"/>
      <c r="H45" s="52"/>
      <c r="I45" s="133"/>
      <c r="J45" s="52"/>
      <c r="K45" s="52"/>
      <c r="L45" s="53"/>
      <c r="M45" s="54"/>
      <c r="N45" s="54"/>
      <c r="O45" s="80"/>
      <c r="P45" s="90"/>
      <c r="Q45" s="90"/>
      <c r="R45" s="90"/>
      <c r="S45" s="54"/>
      <c r="T45" s="55"/>
    </row>
    <row r="46" spans="2:20" ht="31" thickBot="1">
      <c r="B46" s="66" t="s">
        <v>91</v>
      </c>
      <c r="C46" s="66" t="s">
        <v>90</v>
      </c>
      <c r="D46" s="64" t="s">
        <v>82</v>
      </c>
      <c r="E46" s="76">
        <v>42736</v>
      </c>
      <c r="F46" s="76">
        <v>43100</v>
      </c>
      <c r="G46" s="63" t="s">
        <v>62</v>
      </c>
      <c r="H46" s="88">
        <v>1</v>
      </c>
      <c r="I46" s="86">
        <f>+J46</f>
        <v>1</v>
      </c>
      <c r="J46" s="88">
        <v>1</v>
      </c>
      <c r="K46" s="303">
        <v>0.1</v>
      </c>
      <c r="L46" s="68">
        <f t="shared" si="0"/>
        <v>0.1</v>
      </c>
      <c r="M46" s="70">
        <f t="shared" si="1"/>
        <v>1</v>
      </c>
      <c r="N46" s="61">
        <f t="shared" si="2"/>
        <v>0.1</v>
      </c>
      <c r="O46" s="81">
        <v>2210169</v>
      </c>
      <c r="P46" s="88">
        <v>0</v>
      </c>
      <c r="Q46" s="88">
        <v>0</v>
      </c>
      <c r="R46" s="88">
        <v>0</v>
      </c>
      <c r="S46" s="60" t="str">
        <f t="shared" si="3"/>
        <v xml:space="preserve"> -</v>
      </c>
      <c r="T46" s="61" t="str">
        <f t="shared" si="4"/>
        <v xml:space="preserve"> -</v>
      </c>
    </row>
    <row r="47" spans="2:20" ht="13" customHeight="1" thickBot="1">
      <c r="B47" s="65"/>
      <c r="C47" s="51"/>
      <c r="D47" s="50"/>
      <c r="E47" s="75"/>
      <c r="F47" s="75"/>
      <c r="G47" s="51"/>
      <c r="H47" s="52"/>
      <c r="I47" s="148"/>
      <c r="J47" s="52"/>
      <c r="K47" s="52"/>
      <c r="L47" s="53"/>
      <c r="M47" s="54"/>
      <c r="N47" s="54"/>
      <c r="O47" s="80"/>
      <c r="P47" s="90"/>
      <c r="Q47" s="90"/>
      <c r="R47" s="90"/>
      <c r="S47" s="54"/>
      <c r="T47" s="55"/>
    </row>
    <row r="48" spans="2:20" ht="30">
      <c r="B48" s="375" t="s">
        <v>95</v>
      </c>
      <c r="C48" s="371" t="s">
        <v>94</v>
      </c>
      <c r="D48" s="337" t="s">
        <v>84</v>
      </c>
      <c r="E48" s="72">
        <v>42736</v>
      </c>
      <c r="F48" s="72">
        <v>43100</v>
      </c>
      <c r="G48" s="15" t="s">
        <v>65</v>
      </c>
      <c r="H48" s="82">
        <v>2</v>
      </c>
      <c r="I48" s="125">
        <f>+J48+('2016'!I54-'2016'!K54)</f>
        <v>1</v>
      </c>
      <c r="J48" s="82">
        <v>1</v>
      </c>
      <c r="K48" s="83">
        <v>0</v>
      </c>
      <c r="L48" s="16">
        <f t="shared" si="0"/>
        <v>0</v>
      </c>
      <c r="M48" s="17">
        <f t="shared" si="1"/>
        <v>1</v>
      </c>
      <c r="N48" s="18">
        <f t="shared" si="2"/>
        <v>0</v>
      </c>
      <c r="O48" s="77">
        <v>2210847</v>
      </c>
      <c r="P48" s="82">
        <v>0</v>
      </c>
      <c r="Q48" s="82">
        <v>0</v>
      </c>
      <c r="R48" s="82">
        <v>0</v>
      </c>
      <c r="S48" s="19" t="str">
        <f t="shared" si="3"/>
        <v xml:space="preserve"> -</v>
      </c>
      <c r="T48" s="18" t="str">
        <f t="shared" si="4"/>
        <v xml:space="preserve"> -</v>
      </c>
    </row>
    <row r="49" spans="2:20" ht="30">
      <c r="B49" s="375"/>
      <c r="C49" s="375"/>
      <c r="D49" s="340"/>
      <c r="E49" s="73">
        <v>42736</v>
      </c>
      <c r="F49" s="73">
        <v>43100</v>
      </c>
      <c r="G49" s="14" t="s">
        <v>66</v>
      </c>
      <c r="H49" s="84">
        <v>1</v>
      </c>
      <c r="I49" s="84">
        <f>+J49+('2016'!I55-'2016'!K55)</f>
        <v>0</v>
      </c>
      <c r="J49" s="84">
        <v>0</v>
      </c>
      <c r="K49" s="85">
        <v>0</v>
      </c>
      <c r="L49" s="21" t="e">
        <f t="shared" si="0"/>
        <v>#DIV/0!</v>
      </c>
      <c r="M49" s="22">
        <f t="shared" si="1"/>
        <v>1</v>
      </c>
      <c r="N49" s="23" t="str">
        <f t="shared" si="2"/>
        <v xml:space="preserve"> -</v>
      </c>
      <c r="O49" s="78">
        <v>2210847</v>
      </c>
      <c r="P49" s="84">
        <v>0</v>
      </c>
      <c r="Q49" s="84">
        <v>0</v>
      </c>
      <c r="R49" s="84">
        <v>0</v>
      </c>
      <c r="S49" s="26" t="str">
        <f t="shared" si="3"/>
        <v xml:space="preserve"> -</v>
      </c>
      <c r="T49" s="23" t="str">
        <f t="shared" si="4"/>
        <v xml:space="preserve"> -</v>
      </c>
    </row>
    <row r="50" spans="2:20" ht="45">
      <c r="B50" s="375"/>
      <c r="C50" s="375"/>
      <c r="D50" s="340"/>
      <c r="E50" s="73">
        <v>42736</v>
      </c>
      <c r="F50" s="73">
        <v>43100</v>
      </c>
      <c r="G50" s="14" t="s">
        <v>67</v>
      </c>
      <c r="H50" s="84">
        <v>1</v>
      </c>
      <c r="I50" s="84">
        <f>+J50+('2016'!I56-'2016'!K56)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 t="s">
        <v>160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6" thickBot="1">
      <c r="B51" s="372"/>
      <c r="C51" s="372"/>
      <c r="D51" s="338"/>
      <c r="E51" s="74">
        <v>42736</v>
      </c>
      <c r="F51" s="74">
        <v>43100</v>
      </c>
      <c r="G51" s="62" t="s">
        <v>68</v>
      </c>
      <c r="H51" s="86">
        <v>1</v>
      </c>
      <c r="I51" s="86">
        <f>+J51+('2016'!I57-'2016'!K57)</f>
        <v>0</v>
      </c>
      <c r="J51" s="86">
        <v>0</v>
      </c>
      <c r="K51" s="87">
        <v>0</v>
      </c>
      <c r="L51" s="67" t="e">
        <f t="shared" si="0"/>
        <v>#DIV/0!</v>
      </c>
      <c r="M51" s="69">
        <f t="shared" si="1"/>
        <v>1</v>
      </c>
      <c r="N51" s="58" t="str">
        <f t="shared" si="2"/>
        <v xml:space="preserve"> -</v>
      </c>
      <c r="O51" s="79">
        <v>2210847</v>
      </c>
      <c r="P51" s="86">
        <v>0</v>
      </c>
      <c r="Q51" s="86">
        <v>0</v>
      </c>
      <c r="R51" s="86">
        <v>0</v>
      </c>
      <c r="S51" s="57" t="str">
        <f t="shared" si="3"/>
        <v xml:space="preserve"> -</v>
      </c>
      <c r="T51" s="58" t="str">
        <f t="shared" si="4"/>
        <v xml:space="preserve"> -</v>
      </c>
    </row>
    <row r="52" spans="2:20" ht="16" thickBot="1">
      <c r="B52" s="65"/>
      <c r="C52" s="51"/>
      <c r="D52" s="50"/>
      <c r="E52" s="75"/>
      <c r="F52" s="75"/>
      <c r="G52" s="51"/>
      <c r="H52" s="52"/>
      <c r="I52" s="52"/>
      <c r="J52" s="52"/>
      <c r="K52" s="52"/>
      <c r="L52" s="53"/>
      <c r="M52" s="54"/>
      <c r="N52" s="54"/>
      <c r="O52" s="80"/>
      <c r="P52" s="90"/>
      <c r="Q52" s="90"/>
      <c r="R52" s="90"/>
      <c r="S52" s="54"/>
      <c r="T52" s="55"/>
    </row>
    <row r="53" spans="2:20" ht="46" thickBot="1">
      <c r="B53" s="66" t="s">
        <v>96</v>
      </c>
      <c r="C53" s="66" t="s">
        <v>97</v>
      </c>
      <c r="D53" s="64" t="s">
        <v>85</v>
      </c>
      <c r="E53" s="76">
        <v>42736</v>
      </c>
      <c r="F53" s="76">
        <v>43100</v>
      </c>
      <c r="G53" s="63" t="s">
        <v>100</v>
      </c>
      <c r="H53" s="88">
        <v>6600</v>
      </c>
      <c r="I53" s="88"/>
      <c r="J53" s="88">
        <v>0</v>
      </c>
      <c r="K53" s="89">
        <v>0</v>
      </c>
      <c r="L53" s="68" t="e">
        <f t="shared" ref="L53" si="5">+K53/J53</f>
        <v>#DIV/0!</v>
      </c>
      <c r="M53" s="70">
        <f>DAYS360(E53,$C$8)/DAYS360(E53,F53)</f>
        <v>1</v>
      </c>
      <c r="N53" s="61" t="str">
        <f t="shared" ref="N53" si="6">IF(J53=0," -",IF(L53&gt;100%,100%,L53))</f>
        <v xml:space="preserve"> -</v>
      </c>
      <c r="O53" s="81">
        <v>0</v>
      </c>
      <c r="P53" s="88">
        <v>0</v>
      </c>
      <c r="Q53" s="88">
        <v>0</v>
      </c>
      <c r="R53" s="88">
        <v>0</v>
      </c>
      <c r="S53" s="60" t="str">
        <f t="shared" ref="S53" si="7">IF(P53=0," -",Q53/P53)</f>
        <v xml:space="preserve"> -</v>
      </c>
      <c r="T53" s="61" t="str">
        <f t="shared" ref="T53" si="8">IF(R53=0," -",IF(Q53=0,100%,R53/Q53))</f>
        <v xml:space="preserve"> -</v>
      </c>
    </row>
    <row r="54" spans="2:20" ht="13" customHeight="1" thickBot="1">
      <c r="B54" s="65"/>
      <c r="C54" s="51"/>
      <c r="D54" s="50"/>
      <c r="E54" s="75"/>
      <c r="F54" s="75"/>
      <c r="G54" s="51"/>
      <c r="H54" s="52"/>
      <c r="I54" s="150"/>
      <c r="J54" s="52"/>
      <c r="K54" s="52"/>
      <c r="L54" s="53"/>
      <c r="M54" s="54"/>
      <c r="N54" s="54"/>
      <c r="O54" s="80"/>
      <c r="P54" s="90"/>
      <c r="Q54" s="90"/>
      <c r="R54" s="90"/>
      <c r="S54" s="54"/>
      <c r="T54" s="55"/>
    </row>
    <row r="55" spans="2:20" ht="30">
      <c r="B55" s="371" t="s">
        <v>99</v>
      </c>
      <c r="C55" s="371" t="s">
        <v>98</v>
      </c>
      <c r="D55" s="337" t="s">
        <v>86</v>
      </c>
      <c r="E55" s="72">
        <v>42736</v>
      </c>
      <c r="F55" s="72">
        <v>43100</v>
      </c>
      <c r="G55" s="13" t="s">
        <v>70</v>
      </c>
      <c r="H55" s="82">
        <v>1</v>
      </c>
      <c r="I55" s="125">
        <f>+J55</f>
        <v>1</v>
      </c>
      <c r="J55" s="82">
        <v>1</v>
      </c>
      <c r="K55" s="83">
        <v>0</v>
      </c>
      <c r="L55" s="16">
        <f t="shared" si="0"/>
        <v>0</v>
      </c>
      <c r="M55" s="17">
        <f t="shared" si="1"/>
        <v>1</v>
      </c>
      <c r="N55" s="18">
        <f t="shared" si="2"/>
        <v>0</v>
      </c>
      <c r="O55" s="77">
        <v>0</v>
      </c>
      <c r="P55" s="82">
        <v>0</v>
      </c>
      <c r="Q55" s="82">
        <v>0</v>
      </c>
      <c r="R55" s="82">
        <v>0</v>
      </c>
      <c r="S55" s="19" t="str">
        <f t="shared" si="3"/>
        <v xml:space="preserve"> -</v>
      </c>
      <c r="T55" s="18" t="str">
        <f t="shared" si="4"/>
        <v xml:space="preserve"> -</v>
      </c>
    </row>
    <row r="56" spans="2:20" ht="61" thickBot="1">
      <c r="B56" s="372"/>
      <c r="C56" s="372"/>
      <c r="D56" s="338"/>
      <c r="E56" s="74">
        <v>42736</v>
      </c>
      <c r="F56" s="74">
        <v>43100</v>
      </c>
      <c r="G56" s="11" t="s">
        <v>71</v>
      </c>
      <c r="H56" s="86">
        <v>1</v>
      </c>
      <c r="I56" s="86">
        <f>+J56</f>
        <v>1</v>
      </c>
      <c r="J56" s="86">
        <v>1</v>
      </c>
      <c r="K56" s="87">
        <v>1</v>
      </c>
      <c r="L56" s="67">
        <f t="shared" si="0"/>
        <v>1</v>
      </c>
      <c r="M56" s="69">
        <f t="shared" si="1"/>
        <v>1</v>
      </c>
      <c r="N56" s="58">
        <f t="shared" si="2"/>
        <v>1</v>
      </c>
      <c r="O56" s="79" t="s">
        <v>160</v>
      </c>
      <c r="P56" s="86">
        <v>0</v>
      </c>
      <c r="Q56" s="86">
        <v>0</v>
      </c>
      <c r="R56" s="86">
        <v>0</v>
      </c>
      <c r="S56" s="57" t="str">
        <f t="shared" si="3"/>
        <v xml:space="preserve"> -</v>
      </c>
      <c r="T56" s="58" t="str">
        <f t="shared" si="4"/>
        <v xml:space="preserve"> -</v>
      </c>
    </row>
    <row r="57" spans="2:20" ht="21" customHeight="1" thickBot="1">
      <c r="M57" s="128">
        <f>+AVERAGE(M12:M14,M16:M25,M27:M44,M46,M48:M51,M53,M55:M56)</f>
        <v>1</v>
      </c>
      <c r="N57" s="129">
        <f>+AVERAGE(N12:N14,N16:N25,N27:N44,N46,N48:N51,N53,N55:N56)</f>
        <v>0.65055555555555555</v>
      </c>
      <c r="O57" s="56"/>
      <c r="P57" s="130">
        <f>+SUM(P12:P14,P16:P25,P27:P44,P46,P48:P51,P53,P55:P56)</f>
        <v>5259921.8841300001</v>
      </c>
      <c r="Q57" s="131">
        <f>+SUM(Q12:Q14,Q16:Q25,Q27:Q44,Q46,Q48:Q51,Q53,Q55:Q56)</f>
        <v>4963032</v>
      </c>
      <c r="R57" s="131">
        <f>+SUM(R12:R14,R16:R25,R27:R44,R46,R48:R51,R53,R55:R56)</f>
        <v>1117472</v>
      </c>
      <c r="S57" s="132">
        <f t="shared" si="3"/>
        <v>0.94355621800662803</v>
      </c>
      <c r="T57" s="129">
        <f t="shared" si="4"/>
        <v>0.22515913659230891</v>
      </c>
    </row>
  </sheetData>
  <mergeCells count="32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M10:M11"/>
    <mergeCell ref="H10:H11"/>
    <mergeCell ref="N10:N11"/>
    <mergeCell ref="K10:K11"/>
    <mergeCell ref="I10:I11"/>
    <mergeCell ref="J10:J11"/>
    <mergeCell ref="B55:B56"/>
    <mergeCell ref="C55:C56"/>
    <mergeCell ref="D55:D56"/>
    <mergeCell ref="B12:B44"/>
    <mergeCell ref="C12:C14"/>
    <mergeCell ref="C16:C25"/>
    <mergeCell ref="D17:D25"/>
    <mergeCell ref="C27:C44"/>
    <mergeCell ref="D27:D35"/>
    <mergeCell ref="D36:D38"/>
    <mergeCell ref="D39:D43"/>
    <mergeCell ref="B48:B51"/>
    <mergeCell ref="C48:C51"/>
    <mergeCell ref="D48:D5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71">
        <v>43434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135">
        <v>43101</v>
      </c>
      <c r="F12" s="135">
        <v>43465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0.91388888888888886</v>
      </c>
      <c r="N12" s="99">
        <f>IF(J12=0," -",IF(L12&gt;100%,100%,L12))</f>
        <v>1</v>
      </c>
      <c r="O12" s="100" t="s">
        <v>160</v>
      </c>
      <c r="P12" s="95">
        <v>21000</v>
      </c>
      <c r="Q12" s="95">
        <v>21000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136">
        <v>43101</v>
      </c>
      <c r="F13" s="136">
        <v>43465</v>
      </c>
      <c r="G13" s="63" t="s">
        <v>29</v>
      </c>
      <c r="H13" s="88">
        <v>8</v>
      </c>
      <c r="I13" s="86">
        <f>+J13+('2017'!I13-'2017'!K13)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0.91388888888888886</v>
      </c>
      <c r="N13" s="61">
        <f t="shared" ref="N13:N57" si="2">IF(J13=0," -",IF(L13&gt;100%,100%,L13))</f>
        <v>1</v>
      </c>
      <c r="O13" s="81">
        <v>2210842</v>
      </c>
      <c r="P13" s="88">
        <v>10200</v>
      </c>
      <c r="Q13" s="88">
        <v>10200</v>
      </c>
      <c r="R13" s="88">
        <v>0</v>
      </c>
      <c r="S13" s="60">
        <f t="shared" ref="S13:S58" si="3">IF(P13=0," -",Q13/P13)</f>
        <v>1</v>
      </c>
      <c r="T13" s="61" t="str">
        <f t="shared" ref="T13:T58" si="4">IF(R13=0," -",IF(Q13=0,100%,R13/Q13))</f>
        <v xml:space="preserve"> -</v>
      </c>
    </row>
    <row r="14" spans="2:20" ht="46" thickBot="1">
      <c r="B14" s="375"/>
      <c r="C14" s="374"/>
      <c r="D14" s="109" t="s">
        <v>74</v>
      </c>
      <c r="E14" s="137">
        <v>43101</v>
      </c>
      <c r="F14" s="137">
        <v>43465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0.91388888888888886</v>
      </c>
      <c r="N14" s="115">
        <f t="shared" si="2"/>
        <v>1</v>
      </c>
      <c r="O14" s="116">
        <v>2210289</v>
      </c>
      <c r="P14" s="111">
        <v>1209060</v>
      </c>
      <c r="Q14" s="111">
        <v>736509</v>
      </c>
      <c r="R14" s="111">
        <v>0</v>
      </c>
      <c r="S14" s="117">
        <f t="shared" si="3"/>
        <v>0.60915835442409805</v>
      </c>
      <c r="T14" s="115" t="str">
        <f t="shared" si="4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43101</v>
      </c>
      <c r="F16" s="135">
        <v>43465</v>
      </c>
      <c r="G16" s="102" t="s">
        <v>31</v>
      </c>
      <c r="H16" s="101">
        <v>1</v>
      </c>
      <c r="I16" s="57">
        <f>+J16+('2017'!I16-'2017'!K16)</f>
        <v>0.39800000000000002</v>
      </c>
      <c r="J16" s="101">
        <v>0</v>
      </c>
      <c r="K16" s="103">
        <v>0</v>
      </c>
      <c r="L16" s="97" t="e">
        <f t="shared" si="0"/>
        <v>#DIV/0!</v>
      </c>
      <c r="M16" s="98">
        <f t="shared" si="1"/>
        <v>0.91388888888888886</v>
      </c>
      <c r="N16" s="99" t="str">
        <f t="shared" si="2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75"/>
      <c r="C17" s="374"/>
      <c r="D17" s="334" t="s">
        <v>76</v>
      </c>
      <c r="E17" s="72">
        <v>43101</v>
      </c>
      <c r="F17" s="138">
        <v>43465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0.91388888888888886</v>
      </c>
      <c r="N17" s="18">
        <f t="shared" si="2"/>
        <v>1</v>
      </c>
      <c r="O17" s="77">
        <v>2210844</v>
      </c>
      <c r="P17" s="82">
        <v>354600</v>
      </c>
      <c r="Q17" s="82">
        <v>202797</v>
      </c>
      <c r="R17" s="82">
        <v>0</v>
      </c>
      <c r="S17" s="19">
        <f t="shared" si="3"/>
        <v>0.57190355329949238</v>
      </c>
      <c r="T17" s="18" t="str">
        <f t="shared" si="4"/>
        <v xml:space="preserve"> -</v>
      </c>
    </row>
    <row r="18" spans="2:20" ht="30">
      <c r="B18" s="375"/>
      <c r="C18" s="374"/>
      <c r="D18" s="335"/>
      <c r="E18" s="73">
        <v>43101</v>
      </c>
      <c r="F18" s="139">
        <v>43465</v>
      </c>
      <c r="G18" s="8" t="s">
        <v>33</v>
      </c>
      <c r="H18" s="84">
        <v>1</v>
      </c>
      <c r="I18" s="84">
        <f>+J18+('2017'!I18-'2017'!K18)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0.91388888888888886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75"/>
      <c r="C19" s="374"/>
      <c r="D19" s="335"/>
      <c r="E19" s="73">
        <v>43101</v>
      </c>
      <c r="F19" s="139">
        <v>43465</v>
      </c>
      <c r="G19" s="8" t="s">
        <v>34</v>
      </c>
      <c r="H19" s="84">
        <v>1</v>
      </c>
      <c r="I19" s="84">
        <f>+J19+('2017'!I19-'2017'!K19)</f>
        <v>1</v>
      </c>
      <c r="J19" s="84">
        <v>0</v>
      </c>
      <c r="K19" s="85">
        <v>0</v>
      </c>
      <c r="L19" s="21" t="e">
        <f t="shared" si="0"/>
        <v>#DIV/0!</v>
      </c>
      <c r="M19" s="22">
        <f t="shared" si="1"/>
        <v>0.91388888888888886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5"/>
      <c r="C20" s="374"/>
      <c r="D20" s="335"/>
      <c r="E20" s="73">
        <v>43101</v>
      </c>
      <c r="F20" s="139">
        <v>43465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0.91388888888888886</v>
      </c>
      <c r="N20" s="23">
        <f t="shared" si="2"/>
        <v>1</v>
      </c>
      <c r="O20" s="78">
        <v>2210844</v>
      </c>
      <c r="P20" s="84">
        <v>204600</v>
      </c>
      <c r="Q20" s="84">
        <v>194076</v>
      </c>
      <c r="R20" s="84">
        <v>0</v>
      </c>
      <c r="S20" s="26">
        <f t="shared" si="3"/>
        <v>0.94856304985337248</v>
      </c>
      <c r="T20" s="23" t="str">
        <f t="shared" si="4"/>
        <v xml:space="preserve"> -</v>
      </c>
    </row>
    <row r="21" spans="2:20" ht="30">
      <c r="B21" s="375"/>
      <c r="C21" s="374"/>
      <c r="D21" s="335"/>
      <c r="E21" s="73">
        <v>43101</v>
      </c>
      <c r="F21" s="139">
        <v>43465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0.91388888888888886</v>
      </c>
      <c r="N21" s="23">
        <f t="shared" si="2"/>
        <v>1</v>
      </c>
      <c r="O21" s="78">
        <v>2210833</v>
      </c>
      <c r="P21" s="84">
        <v>389909</v>
      </c>
      <c r="Q21" s="84">
        <v>72730.455000000002</v>
      </c>
      <c r="R21" s="84">
        <v>0</v>
      </c>
      <c r="S21" s="26">
        <f t="shared" si="3"/>
        <v>0.1865318702569061</v>
      </c>
      <c r="T21" s="23" t="str">
        <f t="shared" si="4"/>
        <v xml:space="preserve"> -</v>
      </c>
    </row>
    <row r="22" spans="2:20" ht="45">
      <c r="B22" s="375"/>
      <c r="C22" s="374"/>
      <c r="D22" s="335"/>
      <c r="E22" s="73">
        <v>43101</v>
      </c>
      <c r="F22" s="139">
        <v>43465</v>
      </c>
      <c r="G22" s="8" t="s">
        <v>37</v>
      </c>
      <c r="H22" s="84">
        <v>1</v>
      </c>
      <c r="I22" s="84">
        <f>+J22+('2017'!I22-'2017'!K22)</f>
        <v>1</v>
      </c>
      <c r="J22" s="84">
        <v>0</v>
      </c>
      <c r="K22" s="85">
        <v>0</v>
      </c>
      <c r="L22" s="21" t="e">
        <f t="shared" si="0"/>
        <v>#DIV/0!</v>
      </c>
      <c r="M22" s="22">
        <f t="shared" si="1"/>
        <v>0.91388888888888886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5"/>
      <c r="C23" s="374"/>
      <c r="D23" s="335"/>
      <c r="E23" s="73">
        <v>43101</v>
      </c>
      <c r="F23" s="139">
        <v>43465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0.91388888888888886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75"/>
      <c r="C24" s="374"/>
      <c r="D24" s="335"/>
      <c r="E24" s="73">
        <v>43101</v>
      </c>
      <c r="F24" s="139">
        <v>43465</v>
      </c>
      <c r="G24" s="8" t="s">
        <v>39</v>
      </c>
      <c r="H24" s="84">
        <v>4</v>
      </c>
      <c r="I24" s="84">
        <f>+J24+('2017'!I24-'2017'!K24)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0.91388888888888886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5"/>
      <c r="C25" s="374"/>
      <c r="D25" s="336"/>
      <c r="E25" s="74">
        <v>43101</v>
      </c>
      <c r="F25" s="74">
        <v>43465</v>
      </c>
      <c r="G25" s="11" t="s">
        <v>40</v>
      </c>
      <c r="H25" s="86">
        <v>4</v>
      </c>
      <c r="I25" s="86">
        <f>+J25+('2017'!I25-'2017'!K25)</f>
        <v>0</v>
      </c>
      <c r="J25" s="86">
        <v>0</v>
      </c>
      <c r="K25" s="87">
        <v>0</v>
      </c>
      <c r="L25" s="67" t="e">
        <f t="shared" si="0"/>
        <v>#DIV/0!</v>
      </c>
      <c r="M25" s="69">
        <f t="shared" si="1"/>
        <v>0.91388888888888886</v>
      </c>
      <c r="N25" s="58" t="str">
        <f t="shared" si="2"/>
        <v xml:space="preserve"> -</v>
      </c>
      <c r="O25" s="79">
        <v>2210100</v>
      </c>
      <c r="P25" s="86">
        <v>100000</v>
      </c>
      <c r="Q25" s="86">
        <v>14800</v>
      </c>
      <c r="R25" s="86">
        <v>0</v>
      </c>
      <c r="S25" s="57">
        <f t="shared" si="3"/>
        <v>0.14799999999999999</v>
      </c>
      <c r="T25" s="58" t="str">
        <f t="shared" si="4"/>
        <v xml:space="preserve"> -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4" t="s">
        <v>77</v>
      </c>
      <c r="E27" s="72">
        <v>43101</v>
      </c>
      <c r="F27" s="138">
        <v>43465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0.23</v>
      </c>
      <c r="L27" s="16">
        <f t="shared" si="0"/>
        <v>0.23</v>
      </c>
      <c r="M27" s="17">
        <f t="shared" si="1"/>
        <v>0.91388888888888886</v>
      </c>
      <c r="N27" s="18">
        <f t="shared" si="2"/>
        <v>0.23</v>
      </c>
      <c r="O27" s="77">
        <v>2210987</v>
      </c>
      <c r="P27" s="82">
        <v>127085</v>
      </c>
      <c r="Q27" s="82">
        <v>124855</v>
      </c>
      <c r="R27" s="82">
        <v>0</v>
      </c>
      <c r="S27" s="19">
        <f t="shared" si="3"/>
        <v>0.98245268914506034</v>
      </c>
      <c r="T27" s="18" t="str">
        <f t="shared" si="4"/>
        <v xml:space="preserve"> -</v>
      </c>
    </row>
    <row r="28" spans="2:20" ht="30">
      <c r="B28" s="375"/>
      <c r="C28" s="375"/>
      <c r="D28" s="335"/>
      <c r="E28" s="73">
        <v>43101</v>
      </c>
      <c r="F28" s="139">
        <v>43465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0.5</v>
      </c>
      <c r="L28" s="21">
        <f t="shared" si="0"/>
        <v>0.5</v>
      </c>
      <c r="M28" s="22">
        <f t="shared" si="1"/>
        <v>0.91388888888888886</v>
      </c>
      <c r="N28" s="23">
        <f t="shared" si="2"/>
        <v>0.5</v>
      </c>
      <c r="O28" s="78" t="s">
        <v>161</v>
      </c>
      <c r="P28" s="84">
        <v>127084</v>
      </c>
      <c r="Q28" s="84">
        <v>124854</v>
      </c>
      <c r="R28" s="84">
        <v>0</v>
      </c>
      <c r="S28" s="26">
        <f t="shared" si="3"/>
        <v>0.98245255106858453</v>
      </c>
      <c r="T28" s="23" t="str">
        <f t="shared" si="4"/>
        <v xml:space="preserve"> -</v>
      </c>
    </row>
    <row r="29" spans="2:20" ht="30">
      <c r="B29" s="375"/>
      <c r="C29" s="375"/>
      <c r="D29" s="335"/>
      <c r="E29" s="73">
        <v>43101</v>
      </c>
      <c r="F29" s="139">
        <v>43465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0.92</v>
      </c>
      <c r="L29" s="21">
        <f t="shared" si="0"/>
        <v>0.92</v>
      </c>
      <c r="M29" s="22">
        <f t="shared" si="1"/>
        <v>0.91388888888888886</v>
      </c>
      <c r="N29" s="23">
        <f t="shared" si="2"/>
        <v>0.92</v>
      </c>
      <c r="O29" s="78" t="s">
        <v>161</v>
      </c>
      <c r="P29" s="84">
        <v>127084</v>
      </c>
      <c r="Q29" s="84">
        <v>124854</v>
      </c>
      <c r="R29" s="84">
        <v>0</v>
      </c>
      <c r="S29" s="26">
        <f t="shared" si="3"/>
        <v>0.98245255106858453</v>
      </c>
      <c r="T29" s="23" t="str">
        <f t="shared" si="4"/>
        <v xml:space="preserve"> -</v>
      </c>
    </row>
    <row r="30" spans="2:20" ht="45">
      <c r="B30" s="375"/>
      <c r="C30" s="375"/>
      <c r="D30" s="335"/>
      <c r="E30" s="73">
        <v>43101</v>
      </c>
      <c r="F30" s="139">
        <v>43465</v>
      </c>
      <c r="G30" s="8" t="s">
        <v>44</v>
      </c>
      <c r="H30" s="84">
        <v>1</v>
      </c>
      <c r="I30" s="84">
        <f>+J30+('2017'!I30-'2017'!K30)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0.91388888888888886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5"/>
      <c r="C31" s="375"/>
      <c r="D31" s="335"/>
      <c r="E31" s="73">
        <v>43101</v>
      </c>
      <c r="F31" s="139">
        <v>43465</v>
      </c>
      <c r="G31" s="8" t="s">
        <v>45</v>
      </c>
      <c r="H31" s="84">
        <v>1</v>
      </c>
      <c r="I31" s="84">
        <f>+J31+('2017'!I31-'2017'!K31)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0.91388888888888886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75"/>
      <c r="C32" s="375"/>
      <c r="D32" s="335"/>
      <c r="E32" s="73">
        <v>43101</v>
      </c>
      <c r="F32" s="139">
        <v>43465</v>
      </c>
      <c r="G32" s="8" t="s">
        <v>46</v>
      </c>
      <c r="H32" s="26">
        <v>1</v>
      </c>
      <c r="I32" s="26">
        <f>+J32+('2017'!I32-'2017'!K32)</f>
        <v>0.19999999999999996</v>
      </c>
      <c r="J32" s="26">
        <v>0</v>
      </c>
      <c r="K32" s="92">
        <v>0.08</v>
      </c>
      <c r="L32" s="21" t="e">
        <f t="shared" si="0"/>
        <v>#DIV/0!</v>
      </c>
      <c r="M32" s="22">
        <f t="shared" si="1"/>
        <v>0.91388888888888886</v>
      </c>
      <c r="N32" s="23" t="str">
        <f t="shared" si="2"/>
        <v xml:space="preserve"> -</v>
      </c>
      <c r="O32" s="78">
        <v>2210158</v>
      </c>
      <c r="P32" s="84">
        <v>0</v>
      </c>
      <c r="Q32" s="84">
        <v>0</v>
      </c>
      <c r="R32" s="84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75"/>
      <c r="C33" s="375"/>
      <c r="D33" s="335"/>
      <c r="E33" s="73">
        <v>43101</v>
      </c>
      <c r="F33" s="139">
        <v>43465</v>
      </c>
      <c r="G33" s="8" t="s">
        <v>47</v>
      </c>
      <c r="H33" s="26">
        <v>1</v>
      </c>
      <c r="I33" s="26">
        <f>+J33+('2017'!I33-'2017'!K33)</f>
        <v>0.4</v>
      </c>
      <c r="J33" s="26">
        <v>0.4</v>
      </c>
      <c r="K33" s="92">
        <v>0.4</v>
      </c>
      <c r="L33" s="21">
        <f t="shared" si="0"/>
        <v>1</v>
      </c>
      <c r="M33" s="22">
        <f t="shared" si="1"/>
        <v>0.91388888888888886</v>
      </c>
      <c r="N33" s="23">
        <f t="shared" si="2"/>
        <v>1</v>
      </c>
      <c r="O33" s="78">
        <v>2210158</v>
      </c>
      <c r="P33" s="84">
        <v>152250</v>
      </c>
      <c r="Q33" s="84">
        <v>145711.15900000001</v>
      </c>
      <c r="R33" s="84">
        <v>0</v>
      </c>
      <c r="S33" s="26">
        <f t="shared" si="3"/>
        <v>0.95705194745484412</v>
      </c>
      <c r="T33" s="23" t="str">
        <f t="shared" si="4"/>
        <v xml:space="preserve"> -</v>
      </c>
    </row>
    <row r="34" spans="2:20" ht="30">
      <c r="B34" s="375"/>
      <c r="C34" s="375"/>
      <c r="D34" s="335"/>
      <c r="E34" s="73">
        <v>43101</v>
      </c>
      <c r="F34" s="139">
        <v>43465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0.91388888888888886</v>
      </c>
      <c r="N34" s="23">
        <f t="shared" si="2"/>
        <v>1</v>
      </c>
      <c r="O34" s="78">
        <v>2210158</v>
      </c>
      <c r="P34" s="84">
        <v>152250</v>
      </c>
      <c r="Q34" s="84">
        <v>145711.15900000001</v>
      </c>
      <c r="R34" s="84">
        <v>0</v>
      </c>
      <c r="S34" s="26">
        <f t="shared" si="3"/>
        <v>0.95705194745484412</v>
      </c>
      <c r="T34" s="23" t="str">
        <f t="shared" si="4"/>
        <v xml:space="preserve"> -</v>
      </c>
    </row>
    <row r="35" spans="2:20" ht="31" thickBot="1">
      <c r="B35" s="375"/>
      <c r="C35" s="375"/>
      <c r="D35" s="336"/>
      <c r="E35" s="74">
        <v>43101</v>
      </c>
      <c r="F35" s="140">
        <v>43465</v>
      </c>
      <c r="G35" s="11" t="s">
        <v>49</v>
      </c>
      <c r="H35" s="86">
        <v>1</v>
      </c>
      <c r="I35" s="86">
        <f>+J35+('2017'!I35-'2017'!K35)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0.91388888888888886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5"/>
      <c r="C36" s="375"/>
      <c r="D36" s="339" t="s">
        <v>79</v>
      </c>
      <c r="E36" s="118">
        <v>43101</v>
      </c>
      <c r="F36" s="142">
        <v>43465</v>
      </c>
      <c r="G36" s="12" t="s">
        <v>52</v>
      </c>
      <c r="H36" s="119">
        <v>1</v>
      </c>
      <c r="I36" s="119">
        <f>+J36+('2017'!I36-'2017'!K36)</f>
        <v>9.9999999999999978E-2</v>
      </c>
      <c r="J36" s="119">
        <v>0</v>
      </c>
      <c r="K36" s="120">
        <v>0.1</v>
      </c>
      <c r="L36" s="121" t="e">
        <f t="shared" si="0"/>
        <v>#DIV/0!</v>
      </c>
      <c r="M36" s="122">
        <f t="shared" si="1"/>
        <v>0.91388888888888886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75"/>
      <c r="C37" s="375"/>
      <c r="D37" s="340"/>
      <c r="E37" s="73">
        <v>43101</v>
      </c>
      <c r="F37" s="139">
        <v>43465</v>
      </c>
      <c r="G37" s="8" t="s">
        <v>53</v>
      </c>
      <c r="H37" s="26">
        <v>1</v>
      </c>
      <c r="I37" s="26">
        <f>+J37+('2017'!I37-'2017'!K37)</f>
        <v>0.1</v>
      </c>
      <c r="J37" s="26">
        <v>0.1</v>
      </c>
      <c r="K37" s="92">
        <v>0.03</v>
      </c>
      <c r="L37" s="21">
        <f t="shared" si="0"/>
        <v>0.3</v>
      </c>
      <c r="M37" s="22">
        <f t="shared" si="1"/>
        <v>0.91388888888888886</v>
      </c>
      <c r="N37" s="23">
        <f t="shared" si="2"/>
        <v>0.3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75"/>
      <c r="C38" s="375"/>
      <c r="D38" s="341"/>
      <c r="E38" s="104">
        <v>43101</v>
      </c>
      <c r="F38" s="141">
        <v>43465</v>
      </c>
      <c r="G38" s="10" t="s">
        <v>55</v>
      </c>
      <c r="H38" s="40">
        <v>1</v>
      </c>
      <c r="I38" s="57">
        <f>+J38+('2017'!I38-'2017'!K38)</f>
        <v>5.0000000000000044E-2</v>
      </c>
      <c r="J38" s="40">
        <v>0</v>
      </c>
      <c r="K38" s="108">
        <v>0.05</v>
      </c>
      <c r="L38" s="37" t="e">
        <f t="shared" si="0"/>
        <v>#DIV/0!</v>
      </c>
      <c r="M38" s="38">
        <f t="shared" si="1"/>
        <v>0.91388888888888886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75"/>
      <c r="C39" s="375"/>
      <c r="D39" s="334" t="s">
        <v>80</v>
      </c>
      <c r="E39" s="72">
        <v>43101</v>
      </c>
      <c r="F39" s="138">
        <v>43465</v>
      </c>
      <c r="G39" s="13" t="s">
        <v>56</v>
      </c>
      <c r="H39" s="19">
        <v>1</v>
      </c>
      <c r="I39" s="119">
        <f>+J39+('2017'!I39-'2017'!K39)</f>
        <v>0.35000000000000009</v>
      </c>
      <c r="J39" s="19">
        <v>0</v>
      </c>
      <c r="K39" s="91">
        <v>0.3</v>
      </c>
      <c r="L39" s="16" t="e">
        <f t="shared" si="0"/>
        <v>#DIV/0!</v>
      </c>
      <c r="M39" s="17">
        <f t="shared" si="1"/>
        <v>0.91388888888888886</v>
      </c>
      <c r="N39" s="18" t="str">
        <f t="shared" si="2"/>
        <v xml:space="preserve"> -</v>
      </c>
      <c r="O39" s="77">
        <v>2210159</v>
      </c>
      <c r="P39" s="82">
        <v>174000</v>
      </c>
      <c r="Q39" s="82">
        <v>168200</v>
      </c>
      <c r="R39" s="82">
        <v>0</v>
      </c>
      <c r="S39" s="19">
        <f t="shared" si="3"/>
        <v>0.96666666666666667</v>
      </c>
      <c r="T39" s="18" t="str">
        <f t="shared" si="4"/>
        <v xml:space="preserve"> -</v>
      </c>
    </row>
    <row r="40" spans="2:20" ht="60">
      <c r="B40" s="375"/>
      <c r="C40" s="375"/>
      <c r="D40" s="335"/>
      <c r="E40" s="73">
        <v>43101</v>
      </c>
      <c r="F40" s="139">
        <v>43465</v>
      </c>
      <c r="G40" s="8" t="s">
        <v>57</v>
      </c>
      <c r="H40" s="26">
        <v>1</v>
      </c>
      <c r="I40" s="26">
        <f>+J40+('2017'!I40-'2017'!K40)</f>
        <v>0.35000000000000009</v>
      </c>
      <c r="J40" s="26">
        <v>0</v>
      </c>
      <c r="K40" s="92">
        <v>0.3</v>
      </c>
      <c r="L40" s="21" t="e">
        <f t="shared" si="0"/>
        <v>#DIV/0!</v>
      </c>
      <c r="M40" s="22">
        <f t="shared" si="1"/>
        <v>0.91388888888888886</v>
      </c>
      <c r="N40" s="23" t="str">
        <f t="shared" si="2"/>
        <v xml:space="preserve"> -</v>
      </c>
      <c r="O40" s="78">
        <v>2210159</v>
      </c>
      <c r="P40" s="84">
        <v>174000</v>
      </c>
      <c r="Q40" s="84">
        <v>168200</v>
      </c>
      <c r="R40" s="84">
        <v>0</v>
      </c>
      <c r="S40" s="26">
        <f t="shared" si="3"/>
        <v>0.96666666666666667</v>
      </c>
      <c r="T40" s="23" t="str">
        <f t="shared" si="4"/>
        <v xml:space="preserve"> -</v>
      </c>
    </row>
    <row r="41" spans="2:20" ht="30">
      <c r="B41" s="375"/>
      <c r="C41" s="375"/>
      <c r="D41" s="335"/>
      <c r="E41" s="73">
        <v>43101</v>
      </c>
      <c r="F41" s="139">
        <v>43465</v>
      </c>
      <c r="G41" s="8" t="s">
        <v>58</v>
      </c>
      <c r="H41" s="84">
        <v>10</v>
      </c>
      <c r="I41" s="84">
        <f>+J41+('2017'!I41-'2017'!K41)</f>
        <v>2.5</v>
      </c>
      <c r="J41" s="84">
        <v>4</v>
      </c>
      <c r="K41" s="85">
        <v>6</v>
      </c>
      <c r="L41" s="21">
        <f t="shared" si="0"/>
        <v>1.5</v>
      </c>
      <c r="M41" s="22">
        <f t="shared" si="1"/>
        <v>0.91388888888888886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75"/>
      <c r="C42" s="375"/>
      <c r="D42" s="335"/>
      <c r="E42" s="73">
        <v>43101</v>
      </c>
      <c r="F42" s="139">
        <v>43465</v>
      </c>
      <c r="G42" s="8" t="s">
        <v>59</v>
      </c>
      <c r="H42" s="84">
        <v>1</v>
      </c>
      <c r="I42" s="84">
        <f>+J42+('2017'!I42-'2017'!K42)</f>
        <v>2</v>
      </c>
      <c r="J42" s="84">
        <v>1</v>
      </c>
      <c r="K42" s="85">
        <v>0</v>
      </c>
      <c r="L42" s="21">
        <f t="shared" si="0"/>
        <v>0</v>
      </c>
      <c r="M42" s="22">
        <f t="shared" si="1"/>
        <v>0.91388888888888886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5"/>
      <c r="C43" s="375"/>
      <c r="D43" s="336"/>
      <c r="E43" s="74">
        <v>43101</v>
      </c>
      <c r="F43" s="140">
        <v>43465</v>
      </c>
      <c r="G43" s="11" t="s">
        <v>60</v>
      </c>
      <c r="H43" s="86">
        <v>20</v>
      </c>
      <c r="I43" s="86">
        <f>+J43+('2017'!I43-'2017'!K43)</f>
        <v>6</v>
      </c>
      <c r="J43" s="86">
        <v>7</v>
      </c>
      <c r="K43" s="87">
        <v>2</v>
      </c>
      <c r="L43" s="67">
        <f t="shared" si="0"/>
        <v>0.2857142857142857</v>
      </c>
      <c r="M43" s="69">
        <f t="shared" si="1"/>
        <v>0.91388888888888886</v>
      </c>
      <c r="N43" s="58">
        <f t="shared" si="2"/>
        <v>0.2857142857142857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72"/>
      <c r="C44" s="372"/>
      <c r="D44" s="126" t="s">
        <v>81</v>
      </c>
      <c r="E44" s="110">
        <v>43101</v>
      </c>
      <c r="F44" s="137">
        <v>43465</v>
      </c>
      <c r="G44" s="127" t="s">
        <v>61</v>
      </c>
      <c r="H44" s="111">
        <v>1</v>
      </c>
      <c r="I44" s="111">
        <f>+J44+('2017'!I44-'2017'!K44)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0.91388888888888886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75" t="s">
        <v>91</v>
      </c>
      <c r="C46" s="375" t="s">
        <v>90</v>
      </c>
      <c r="D46" s="389" t="s">
        <v>82</v>
      </c>
      <c r="E46" s="73">
        <v>43101</v>
      </c>
      <c r="F46" s="73">
        <v>43465</v>
      </c>
      <c r="G46" s="14" t="s">
        <v>151</v>
      </c>
      <c r="H46" s="84">
        <v>200</v>
      </c>
      <c r="I46" s="84">
        <f>+H46</f>
        <v>200</v>
      </c>
      <c r="J46" s="84">
        <v>0</v>
      </c>
      <c r="K46" s="85">
        <v>0</v>
      </c>
      <c r="L46" s="21" t="e">
        <f t="shared" ref="L46" si="5">+K46/J46</f>
        <v>#DIV/0!</v>
      </c>
      <c r="M46" s="17">
        <f t="shared" ref="M46" si="6">DAYS360(E46,$C$8)/DAYS360(E46,F46)</f>
        <v>0.91388888888888886</v>
      </c>
      <c r="N46" s="18" t="str">
        <f t="shared" ref="N46" si="7">IF(J46=0," -",IF(L46&gt;100%,100%,L46))</f>
        <v xml:space="preserve"> -</v>
      </c>
      <c r="O46" s="312" t="s">
        <v>160</v>
      </c>
      <c r="P46" s="84">
        <v>0</v>
      </c>
      <c r="Q46" s="84">
        <v>0</v>
      </c>
      <c r="R46" s="84">
        <v>0</v>
      </c>
      <c r="S46" s="19" t="str">
        <f t="shared" ref="S46" si="8">IF(P46=0," -",Q46/P46)</f>
        <v xml:space="preserve"> -</v>
      </c>
      <c r="T46" s="18" t="str">
        <f t="shared" ref="T46" si="9">IF(R46=0," -",IF(Q46=0,100%,R46/Q46))</f>
        <v xml:space="preserve"> -</v>
      </c>
    </row>
    <row r="47" spans="2:20" ht="30" customHeight="1" thickBot="1">
      <c r="B47" s="372"/>
      <c r="C47" s="372"/>
      <c r="D47" s="390"/>
      <c r="E47" s="74">
        <v>43101</v>
      </c>
      <c r="F47" s="74">
        <v>43465</v>
      </c>
      <c r="G47" s="11" t="s">
        <v>62</v>
      </c>
      <c r="H47" s="86">
        <v>1</v>
      </c>
      <c r="I47" s="86">
        <f>+J47</f>
        <v>1</v>
      </c>
      <c r="J47" s="86">
        <v>1</v>
      </c>
      <c r="K47" s="328">
        <v>0.1</v>
      </c>
      <c r="L47" s="67">
        <f t="shared" si="0"/>
        <v>0.1</v>
      </c>
      <c r="M47" s="114">
        <f t="shared" si="1"/>
        <v>0.91388888888888886</v>
      </c>
      <c r="N47" s="115">
        <f t="shared" si="2"/>
        <v>0.1</v>
      </c>
      <c r="O47" s="79">
        <v>2210169</v>
      </c>
      <c r="P47" s="86">
        <v>0</v>
      </c>
      <c r="Q47" s="86">
        <v>0</v>
      </c>
      <c r="R47" s="86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75" t="s">
        <v>95</v>
      </c>
      <c r="C49" s="371" t="s">
        <v>94</v>
      </c>
      <c r="D49" s="337" t="s">
        <v>84</v>
      </c>
      <c r="E49" s="72">
        <v>43101</v>
      </c>
      <c r="F49" s="72">
        <v>43465</v>
      </c>
      <c r="G49" s="15" t="s">
        <v>65</v>
      </c>
      <c r="H49" s="82">
        <v>2</v>
      </c>
      <c r="I49" s="125">
        <f>+J49+('2017'!I48-'2017'!K48)</f>
        <v>1</v>
      </c>
      <c r="J49" s="82">
        <v>0</v>
      </c>
      <c r="K49" s="83">
        <v>1</v>
      </c>
      <c r="L49" s="16" t="e">
        <f t="shared" si="0"/>
        <v>#DIV/0!</v>
      </c>
      <c r="M49" s="17">
        <f t="shared" si="1"/>
        <v>0.91388888888888886</v>
      </c>
      <c r="N49" s="18" t="str">
        <f t="shared" si="2"/>
        <v xml:space="preserve"> -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>
      <c r="B50" s="375"/>
      <c r="C50" s="375"/>
      <c r="D50" s="340"/>
      <c r="E50" s="73">
        <v>43101</v>
      </c>
      <c r="F50" s="73">
        <v>43465</v>
      </c>
      <c r="G50" s="14" t="s">
        <v>66</v>
      </c>
      <c r="H50" s="84">
        <v>1</v>
      </c>
      <c r="I50" s="84">
        <f>+J50+('2017'!I49-'2017'!K49)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0.91388888888888886</v>
      </c>
      <c r="N50" s="23" t="str">
        <f t="shared" si="2"/>
        <v xml:space="preserve"> -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5">
      <c r="B51" s="375"/>
      <c r="C51" s="375"/>
      <c r="D51" s="340"/>
      <c r="E51" s="73">
        <v>43101</v>
      </c>
      <c r="F51" s="73">
        <v>43465</v>
      </c>
      <c r="G51" s="14" t="s">
        <v>67</v>
      </c>
      <c r="H51" s="84">
        <v>1</v>
      </c>
      <c r="I51" s="84">
        <f>+J51+('2017'!I50-'2017'!K50)</f>
        <v>0</v>
      </c>
      <c r="J51" s="84">
        <v>0</v>
      </c>
      <c r="K51" s="85">
        <v>0</v>
      </c>
      <c r="L51" s="21" t="e">
        <f t="shared" si="0"/>
        <v>#DIV/0!</v>
      </c>
      <c r="M51" s="22">
        <f t="shared" si="1"/>
        <v>0.91388888888888886</v>
      </c>
      <c r="N51" s="23" t="str">
        <f t="shared" si="2"/>
        <v xml:space="preserve"> -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46" thickBot="1">
      <c r="B52" s="372"/>
      <c r="C52" s="372"/>
      <c r="D52" s="338"/>
      <c r="E52" s="74">
        <v>43101</v>
      </c>
      <c r="F52" s="74">
        <v>43465</v>
      </c>
      <c r="G52" s="62" t="s">
        <v>68</v>
      </c>
      <c r="H52" s="86">
        <v>1</v>
      </c>
      <c r="I52" s="86">
        <f>+J52+('2017'!I51-'2017'!K51)</f>
        <v>0</v>
      </c>
      <c r="J52" s="86">
        <v>0</v>
      </c>
      <c r="K52" s="87">
        <v>0</v>
      </c>
      <c r="L52" s="67" t="e">
        <f t="shared" si="0"/>
        <v>#DIV/0!</v>
      </c>
      <c r="M52" s="69">
        <f t="shared" si="1"/>
        <v>0.91388888888888886</v>
      </c>
      <c r="N52" s="58" t="str">
        <f t="shared" si="2"/>
        <v xml:space="preserve"> -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43101</v>
      </c>
      <c r="F54" s="76">
        <v>43465</v>
      </c>
      <c r="G54" s="63" t="s">
        <v>100</v>
      </c>
      <c r="H54" s="88">
        <v>6600</v>
      </c>
      <c r="I54" s="88"/>
      <c r="J54" s="88">
        <v>3300</v>
      </c>
      <c r="K54" s="89">
        <v>0</v>
      </c>
      <c r="L54" s="68">
        <f t="shared" ref="L54" si="10">+K54/J54</f>
        <v>0</v>
      </c>
      <c r="M54" s="70">
        <f>DAYS360(E54,$C$8)/DAYS360(E54,F54)</f>
        <v>0.91388888888888886</v>
      </c>
      <c r="N54" s="61">
        <f t="shared" ref="N54" si="11">IF(J54=0," -",IF(L54&gt;100%,100%,L54))</f>
        <v>0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71" t="s">
        <v>99</v>
      </c>
      <c r="C56" s="371" t="s">
        <v>98</v>
      </c>
      <c r="D56" s="337" t="s">
        <v>86</v>
      </c>
      <c r="E56" s="72">
        <v>43101</v>
      </c>
      <c r="F56" s="72">
        <v>43465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0.91388888888888886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72"/>
      <c r="C57" s="372"/>
      <c r="D57" s="338"/>
      <c r="E57" s="74">
        <v>43101</v>
      </c>
      <c r="F57" s="74">
        <v>43465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0.91388888888888886</v>
      </c>
      <c r="N57" s="58">
        <f t="shared" si="2"/>
        <v>1</v>
      </c>
      <c r="O57" s="79" t="s">
        <v>160</v>
      </c>
      <c r="P57" s="86">
        <v>21000</v>
      </c>
      <c r="Q57" s="86">
        <v>21000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0.91388888888888897</v>
      </c>
      <c r="N58" s="129">
        <f>+AVERAGE(N12:N14,N16:N25,N27:N44,N46:N47,N49:N52,N54,N56:N57)</f>
        <v>0.71678571428571436</v>
      </c>
      <c r="O58" s="56"/>
      <c r="P58" s="130">
        <f>+SUM(P12:P14,P16:P25,P27:P44,P46:P47,P49:P52,P54,P56:P57)</f>
        <v>3344122</v>
      </c>
      <c r="Q58" s="131">
        <f>+SUM(Q12:Q14,Q16:Q25,Q27:Q44,Q46:Q47,Q49:Q52,Q54,Q56:Q57)</f>
        <v>2275497.773</v>
      </c>
      <c r="R58" s="131">
        <f>+SUM(R12:R14,R16:R25,R27:R44,R46:R47,R49:R52,R54,R56:R57)</f>
        <v>0</v>
      </c>
      <c r="S58" s="132">
        <f t="shared" si="3"/>
        <v>0.68044699714902745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83" t="s">
        <v>153</v>
      </c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5"/>
    </row>
    <row r="62" spans="2:20" ht="16" thickBot="1"/>
    <row r="63" spans="2:20" ht="20" customHeight="1" thickBot="1">
      <c r="B63" s="386" t="s">
        <v>154</v>
      </c>
      <c r="C63" s="387"/>
      <c r="D63" s="387"/>
      <c r="E63" s="387" t="s">
        <v>17</v>
      </c>
      <c r="F63" s="387"/>
      <c r="G63" s="329" t="s">
        <v>18</v>
      </c>
      <c r="H63" s="387" t="s">
        <v>0</v>
      </c>
      <c r="I63" s="387"/>
      <c r="J63" s="387"/>
      <c r="K63" s="387" t="s">
        <v>155</v>
      </c>
      <c r="L63" s="387"/>
      <c r="M63" s="387"/>
      <c r="N63" s="388"/>
    </row>
    <row r="64" spans="2:20" ht="17" customHeight="1">
      <c r="B64" s="376" t="s">
        <v>156</v>
      </c>
      <c r="C64" s="377"/>
      <c r="D64" s="377"/>
      <c r="E64" s="378" t="s">
        <v>157</v>
      </c>
      <c r="F64" s="378"/>
      <c r="G64" s="378" t="s">
        <v>87</v>
      </c>
      <c r="H64" s="378" t="s">
        <v>74</v>
      </c>
      <c r="I64" s="378"/>
      <c r="J64" s="378"/>
      <c r="K64" s="378" t="s">
        <v>158</v>
      </c>
      <c r="L64" s="378"/>
      <c r="M64" s="378"/>
      <c r="N64" s="380"/>
    </row>
    <row r="65" spans="2:14" ht="90" customHeight="1" thickBot="1">
      <c r="B65" s="336" t="s">
        <v>159</v>
      </c>
      <c r="C65" s="382"/>
      <c r="D65" s="382"/>
      <c r="E65" s="379"/>
      <c r="F65" s="379"/>
      <c r="G65" s="379"/>
      <c r="H65" s="379"/>
      <c r="I65" s="379"/>
      <c r="J65" s="379"/>
      <c r="K65" s="379"/>
      <c r="L65" s="379"/>
      <c r="M65" s="379"/>
      <c r="N65" s="381"/>
    </row>
  </sheetData>
  <mergeCells count="46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46:B47"/>
    <mergeCell ref="M10:M11"/>
    <mergeCell ref="I10:I11"/>
    <mergeCell ref="H10:H11"/>
    <mergeCell ref="J10:J11"/>
    <mergeCell ref="B61:N61"/>
    <mergeCell ref="B63:D63"/>
    <mergeCell ref="E63:F63"/>
    <mergeCell ref="H63:J63"/>
    <mergeCell ref="K63:N63"/>
    <mergeCell ref="B64:D64"/>
    <mergeCell ref="E64:F65"/>
    <mergeCell ref="G64:G65"/>
    <mergeCell ref="H64:J65"/>
    <mergeCell ref="K64:N65"/>
    <mergeCell ref="B65:D6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71"/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0" t="s">
        <v>24</v>
      </c>
      <c r="P9" s="361"/>
      <c r="Q9" s="361"/>
      <c r="R9" s="361"/>
      <c r="S9" s="361"/>
      <c r="T9" s="362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30" t="s">
        <v>25</v>
      </c>
      <c r="I10" s="330" t="s">
        <v>26</v>
      </c>
      <c r="J10" s="366" t="s">
        <v>1</v>
      </c>
      <c r="K10" s="358" t="s">
        <v>8</v>
      </c>
      <c r="L10" s="6"/>
      <c r="M10" s="368" t="s">
        <v>9</v>
      </c>
      <c r="N10" s="332" t="s">
        <v>10</v>
      </c>
      <c r="O10" s="363"/>
      <c r="P10" s="364"/>
      <c r="Q10" s="364"/>
      <c r="R10" s="364"/>
      <c r="S10" s="364"/>
      <c r="T10" s="365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30"/>
      <c r="H11" s="370"/>
      <c r="I11" s="331"/>
      <c r="J11" s="367"/>
      <c r="K11" s="359"/>
      <c r="L11" s="20"/>
      <c r="M11" s="369"/>
      <c r="N11" s="333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71" t="s">
        <v>92</v>
      </c>
      <c r="C12" s="373" t="s">
        <v>87</v>
      </c>
      <c r="D12" s="93" t="s">
        <v>72</v>
      </c>
      <c r="E12" s="94">
        <v>43466</v>
      </c>
      <c r="F12" s="135">
        <v>43830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/>
      <c r="L12" s="97">
        <f>+K12/J12</f>
        <v>0</v>
      </c>
      <c r="M12" s="98">
        <f>DAYS360(E12,$C$8)/DAYS360(E12,F12)</f>
        <v>-119.00277777777778</v>
      </c>
      <c r="N12" s="99">
        <f>IF(J12=0," -",IF(L12&gt;100%,100%,L12))</f>
        <v>0</v>
      </c>
      <c r="O12" s="100" t="s">
        <v>160</v>
      </c>
      <c r="P12" s="95">
        <v>0</v>
      </c>
      <c r="Q12" s="95"/>
      <c r="R12" s="95"/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75"/>
      <c r="C13" s="374"/>
      <c r="D13" s="59" t="s">
        <v>73</v>
      </c>
      <c r="E13" s="76">
        <v>43466</v>
      </c>
      <c r="F13" s="136">
        <v>43830</v>
      </c>
      <c r="G13" s="63" t="s">
        <v>29</v>
      </c>
      <c r="H13" s="88">
        <v>8</v>
      </c>
      <c r="I13" s="86">
        <f>+J13+('2018'!I13-'2018'!K13)</f>
        <v>2</v>
      </c>
      <c r="J13" s="88">
        <v>2</v>
      </c>
      <c r="K13" s="89"/>
      <c r="L13" s="68">
        <f t="shared" ref="L13:L57" si="0">+K13/J13</f>
        <v>0</v>
      </c>
      <c r="M13" s="70">
        <f t="shared" ref="M13:M57" si="1">DAYS360(E13,$C$8)/DAYS360(E13,F13)</f>
        <v>-119.00277777777778</v>
      </c>
      <c r="N13" s="61">
        <f t="shared" ref="N13:N57" si="2">IF(J13=0," -",IF(L13&gt;100%,100%,L13))</f>
        <v>0</v>
      </c>
      <c r="O13" s="81">
        <v>2210842</v>
      </c>
      <c r="P13" s="88">
        <v>20000</v>
      </c>
      <c r="Q13" s="88"/>
      <c r="R13" s="88"/>
      <c r="S13" s="60">
        <f t="shared" ref="S13:S58" si="3">IF(P13=0," -",Q13/P13)</f>
        <v>0</v>
      </c>
      <c r="T13" s="61" t="str">
        <f t="shared" ref="T13:T58" si="4">IF(R13=0," -",IF(Q13=0,100%,R13/Q13))</f>
        <v xml:space="preserve"> -</v>
      </c>
    </row>
    <row r="14" spans="2:20" ht="46" thickBot="1">
      <c r="B14" s="375"/>
      <c r="C14" s="374"/>
      <c r="D14" s="109" t="s">
        <v>74</v>
      </c>
      <c r="E14" s="110">
        <v>43466</v>
      </c>
      <c r="F14" s="137">
        <v>43830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/>
      <c r="L14" s="113">
        <f t="shared" si="0"/>
        <v>0</v>
      </c>
      <c r="M14" s="114">
        <f t="shared" si="1"/>
        <v>-119.00277777777778</v>
      </c>
      <c r="N14" s="115">
        <f t="shared" si="2"/>
        <v>0</v>
      </c>
      <c r="O14" s="116">
        <v>2210289</v>
      </c>
      <c r="P14" s="111">
        <v>0</v>
      </c>
      <c r="Q14" s="111"/>
      <c r="R14" s="111"/>
      <c r="S14" s="117" t="str">
        <f t="shared" si="3"/>
        <v xml:space="preserve"> -</v>
      </c>
      <c r="T14" s="115" t="str">
        <f t="shared" si="4"/>
        <v xml:space="preserve"> -</v>
      </c>
    </row>
    <row r="15" spans="2:20" ht="13" customHeight="1" thickBot="1">
      <c r="B15" s="375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75"/>
      <c r="C16" s="374" t="s">
        <v>88</v>
      </c>
      <c r="D16" s="93" t="s">
        <v>75</v>
      </c>
      <c r="E16" s="94">
        <v>43466</v>
      </c>
      <c r="F16" s="135">
        <v>43830</v>
      </c>
      <c r="G16" s="102" t="s">
        <v>31</v>
      </c>
      <c r="H16" s="101">
        <v>1</v>
      </c>
      <c r="I16" s="57">
        <f>+J16+('2018'!I16-'2018'!K16)</f>
        <v>0.998</v>
      </c>
      <c r="J16" s="101">
        <v>0.6</v>
      </c>
      <c r="K16" s="103"/>
      <c r="L16" s="97">
        <f t="shared" si="0"/>
        <v>0</v>
      </c>
      <c r="M16" s="98">
        <f t="shared" si="1"/>
        <v>-119.00277777777778</v>
      </c>
      <c r="N16" s="99">
        <f t="shared" si="2"/>
        <v>0</v>
      </c>
      <c r="O16" s="100">
        <v>2210158</v>
      </c>
      <c r="P16" s="95">
        <v>0</v>
      </c>
      <c r="Q16" s="95"/>
      <c r="R16" s="95"/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75"/>
      <c r="C17" s="374"/>
      <c r="D17" s="334" t="s">
        <v>76</v>
      </c>
      <c r="E17" s="72">
        <v>43466</v>
      </c>
      <c r="F17" s="138">
        <v>43830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/>
      <c r="L17" s="16">
        <f t="shared" si="0"/>
        <v>0</v>
      </c>
      <c r="M17" s="17">
        <f t="shared" si="1"/>
        <v>-119.00277777777778</v>
      </c>
      <c r="N17" s="18">
        <f t="shared" si="2"/>
        <v>0</v>
      </c>
      <c r="O17" s="77">
        <v>2210844</v>
      </c>
      <c r="P17" s="82">
        <v>0</v>
      </c>
      <c r="Q17" s="82"/>
      <c r="R17" s="82"/>
      <c r="S17" s="19" t="str">
        <f t="shared" si="3"/>
        <v xml:space="preserve"> -</v>
      </c>
      <c r="T17" s="18" t="str">
        <f t="shared" si="4"/>
        <v xml:space="preserve"> -</v>
      </c>
    </row>
    <row r="18" spans="2:20" ht="30">
      <c r="B18" s="375"/>
      <c r="C18" s="374"/>
      <c r="D18" s="335"/>
      <c r="E18" s="73">
        <v>43466</v>
      </c>
      <c r="F18" s="139">
        <v>43830</v>
      </c>
      <c r="G18" s="8" t="s">
        <v>33</v>
      </c>
      <c r="H18" s="84">
        <v>1</v>
      </c>
      <c r="I18" s="84">
        <f>+J18+('2018'!I18-'2018'!K18)</f>
        <v>1</v>
      </c>
      <c r="J18" s="84">
        <v>1</v>
      </c>
      <c r="K18" s="85"/>
      <c r="L18" s="21">
        <f t="shared" si="0"/>
        <v>0</v>
      </c>
      <c r="M18" s="22">
        <f t="shared" si="1"/>
        <v>-119.00277777777778</v>
      </c>
      <c r="N18" s="23">
        <f t="shared" si="2"/>
        <v>0</v>
      </c>
      <c r="O18" s="78">
        <v>2210844</v>
      </c>
      <c r="P18" s="84">
        <v>200000</v>
      </c>
      <c r="Q18" s="84"/>
      <c r="R18" s="84"/>
      <c r="S18" s="26">
        <f t="shared" si="3"/>
        <v>0</v>
      </c>
      <c r="T18" s="23" t="str">
        <f t="shared" si="4"/>
        <v xml:space="preserve"> -</v>
      </c>
    </row>
    <row r="19" spans="2:20" ht="30">
      <c r="B19" s="375"/>
      <c r="C19" s="374"/>
      <c r="D19" s="335"/>
      <c r="E19" s="73">
        <v>43466</v>
      </c>
      <c r="F19" s="139">
        <v>43830</v>
      </c>
      <c r="G19" s="8" t="s">
        <v>34</v>
      </c>
      <c r="H19" s="84">
        <v>1</v>
      </c>
      <c r="I19" s="84">
        <f>+J19+('2018'!I19-'2018'!K19)</f>
        <v>1</v>
      </c>
      <c r="J19" s="84">
        <v>0</v>
      </c>
      <c r="K19" s="85"/>
      <c r="L19" s="21" t="e">
        <f t="shared" si="0"/>
        <v>#DIV/0!</v>
      </c>
      <c r="M19" s="22">
        <f t="shared" si="1"/>
        <v>-119.00277777777778</v>
      </c>
      <c r="N19" s="23" t="str">
        <f t="shared" si="2"/>
        <v xml:space="preserve"> -</v>
      </c>
      <c r="O19" s="78">
        <v>2210844</v>
      </c>
      <c r="P19" s="84">
        <v>0</v>
      </c>
      <c r="Q19" s="84"/>
      <c r="R19" s="84"/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75"/>
      <c r="C20" s="374"/>
      <c r="D20" s="335"/>
      <c r="E20" s="73">
        <v>43466</v>
      </c>
      <c r="F20" s="139">
        <v>43830</v>
      </c>
      <c r="G20" s="8" t="s">
        <v>35</v>
      </c>
      <c r="H20" s="84">
        <v>1</v>
      </c>
      <c r="I20" s="84">
        <f>+J20</f>
        <v>1</v>
      </c>
      <c r="J20" s="84">
        <v>1</v>
      </c>
      <c r="K20" s="85"/>
      <c r="L20" s="21">
        <f t="shared" si="0"/>
        <v>0</v>
      </c>
      <c r="M20" s="22">
        <f t="shared" si="1"/>
        <v>-119.00277777777778</v>
      </c>
      <c r="N20" s="23">
        <f t="shared" si="2"/>
        <v>0</v>
      </c>
      <c r="O20" s="78">
        <v>2210844</v>
      </c>
      <c r="P20" s="84">
        <v>30000</v>
      </c>
      <c r="Q20" s="84"/>
      <c r="R20" s="84"/>
      <c r="S20" s="26">
        <f t="shared" si="3"/>
        <v>0</v>
      </c>
      <c r="T20" s="23" t="str">
        <f t="shared" si="4"/>
        <v xml:space="preserve"> -</v>
      </c>
    </row>
    <row r="21" spans="2:20" ht="30">
      <c r="B21" s="375"/>
      <c r="C21" s="374"/>
      <c r="D21" s="335"/>
      <c r="E21" s="73">
        <v>43466</v>
      </c>
      <c r="F21" s="139">
        <v>43830</v>
      </c>
      <c r="G21" s="8" t="s">
        <v>36</v>
      </c>
      <c r="H21" s="84">
        <v>1</v>
      </c>
      <c r="I21" s="84">
        <f>+J21</f>
        <v>1</v>
      </c>
      <c r="J21" s="84">
        <v>1</v>
      </c>
      <c r="K21" s="85"/>
      <c r="L21" s="21">
        <f t="shared" si="0"/>
        <v>0</v>
      </c>
      <c r="M21" s="22">
        <f t="shared" si="1"/>
        <v>-119.00277777777778</v>
      </c>
      <c r="N21" s="23">
        <f t="shared" si="2"/>
        <v>0</v>
      </c>
      <c r="O21" s="78">
        <v>2210833</v>
      </c>
      <c r="P21" s="84">
        <v>0</v>
      </c>
      <c r="Q21" s="84"/>
      <c r="R21" s="84"/>
      <c r="S21" s="26" t="str">
        <f t="shared" si="3"/>
        <v xml:space="preserve"> -</v>
      </c>
      <c r="T21" s="23" t="str">
        <f t="shared" si="4"/>
        <v xml:space="preserve"> -</v>
      </c>
    </row>
    <row r="22" spans="2:20" ht="45">
      <c r="B22" s="375"/>
      <c r="C22" s="374"/>
      <c r="D22" s="335"/>
      <c r="E22" s="73">
        <v>43466</v>
      </c>
      <c r="F22" s="139">
        <v>43830</v>
      </c>
      <c r="G22" s="8" t="s">
        <v>37</v>
      </c>
      <c r="H22" s="84">
        <v>1</v>
      </c>
      <c r="I22" s="84">
        <f>+J22+('2018'!I22-'2018'!K22)</f>
        <v>1</v>
      </c>
      <c r="J22" s="84">
        <v>0</v>
      </c>
      <c r="K22" s="85"/>
      <c r="L22" s="21" t="e">
        <f t="shared" si="0"/>
        <v>#DIV/0!</v>
      </c>
      <c r="M22" s="22">
        <f t="shared" si="1"/>
        <v>-119.00277777777778</v>
      </c>
      <c r="N22" s="23" t="str">
        <f t="shared" si="2"/>
        <v xml:space="preserve"> -</v>
      </c>
      <c r="O22" s="78">
        <v>2210833</v>
      </c>
      <c r="P22" s="84">
        <v>0</v>
      </c>
      <c r="Q22" s="84"/>
      <c r="R22" s="84"/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75"/>
      <c r="C23" s="374"/>
      <c r="D23" s="335"/>
      <c r="E23" s="73">
        <v>43466</v>
      </c>
      <c r="F23" s="139">
        <v>43830</v>
      </c>
      <c r="G23" s="8" t="s">
        <v>38</v>
      </c>
      <c r="H23" s="84">
        <v>1</v>
      </c>
      <c r="I23" s="84">
        <f>+J23</f>
        <v>1</v>
      </c>
      <c r="J23" s="84">
        <v>1</v>
      </c>
      <c r="K23" s="85"/>
      <c r="L23" s="21">
        <f t="shared" si="0"/>
        <v>0</v>
      </c>
      <c r="M23" s="22">
        <f t="shared" si="1"/>
        <v>-119.00277777777778</v>
      </c>
      <c r="N23" s="23">
        <f t="shared" si="2"/>
        <v>0</v>
      </c>
      <c r="O23" s="78">
        <v>2210100</v>
      </c>
      <c r="P23" s="84">
        <v>500000</v>
      </c>
      <c r="Q23" s="84"/>
      <c r="R23" s="84"/>
      <c r="S23" s="26">
        <f t="shared" si="3"/>
        <v>0</v>
      </c>
      <c r="T23" s="23" t="str">
        <f t="shared" si="4"/>
        <v xml:space="preserve"> -</v>
      </c>
    </row>
    <row r="24" spans="2:20" ht="30">
      <c r="B24" s="375"/>
      <c r="C24" s="374"/>
      <c r="D24" s="335"/>
      <c r="E24" s="73">
        <v>43466</v>
      </c>
      <c r="F24" s="139">
        <v>43830</v>
      </c>
      <c r="G24" s="8" t="s">
        <v>39</v>
      </c>
      <c r="H24" s="84">
        <v>4</v>
      </c>
      <c r="I24" s="84">
        <f>+J24+('2018'!I24-'2018'!K24)</f>
        <v>3</v>
      </c>
      <c r="J24" s="84">
        <v>4</v>
      </c>
      <c r="K24" s="85"/>
      <c r="L24" s="21">
        <f t="shared" si="0"/>
        <v>0</v>
      </c>
      <c r="M24" s="22">
        <f t="shared" si="1"/>
        <v>-119.00277777777778</v>
      </c>
      <c r="N24" s="23">
        <f t="shared" si="2"/>
        <v>0</v>
      </c>
      <c r="O24" s="78" t="s">
        <v>160</v>
      </c>
      <c r="P24" s="84">
        <v>0</v>
      </c>
      <c r="Q24" s="84"/>
      <c r="R24" s="84"/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75"/>
      <c r="C25" s="374"/>
      <c r="D25" s="336"/>
      <c r="E25" s="74">
        <v>43466</v>
      </c>
      <c r="F25" s="140">
        <v>43830</v>
      </c>
      <c r="G25" s="11" t="s">
        <v>40</v>
      </c>
      <c r="H25" s="86">
        <v>4</v>
      </c>
      <c r="I25" s="86">
        <f>+J25+('2018'!I25-'2018'!K25)</f>
        <v>2</v>
      </c>
      <c r="J25" s="86">
        <v>2</v>
      </c>
      <c r="K25" s="87"/>
      <c r="L25" s="67">
        <f t="shared" si="0"/>
        <v>0</v>
      </c>
      <c r="M25" s="69">
        <f t="shared" si="1"/>
        <v>-119.00277777777778</v>
      </c>
      <c r="N25" s="58">
        <f t="shared" si="2"/>
        <v>0</v>
      </c>
      <c r="O25" s="79">
        <v>2210100</v>
      </c>
      <c r="P25" s="86">
        <v>100000</v>
      </c>
      <c r="Q25" s="86"/>
      <c r="R25" s="86"/>
      <c r="S25" s="57">
        <f t="shared" si="3"/>
        <v>0</v>
      </c>
      <c r="T25" s="58" t="str">
        <f t="shared" si="4"/>
        <v xml:space="preserve"> -</v>
      </c>
    </row>
    <row r="26" spans="2:20" ht="13" customHeight="1" thickBot="1">
      <c r="B26" s="375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75"/>
      <c r="C27" s="371" t="s">
        <v>89</v>
      </c>
      <c r="D27" s="334" t="s">
        <v>77</v>
      </c>
      <c r="E27" s="72">
        <v>43466</v>
      </c>
      <c r="F27" s="138">
        <v>43830</v>
      </c>
      <c r="G27" s="13" t="s">
        <v>41</v>
      </c>
      <c r="H27" s="19">
        <v>1</v>
      </c>
      <c r="I27" s="19">
        <f>+J27</f>
        <v>1</v>
      </c>
      <c r="J27" s="19">
        <v>1</v>
      </c>
      <c r="K27" s="91"/>
      <c r="L27" s="16">
        <f t="shared" si="0"/>
        <v>0</v>
      </c>
      <c r="M27" s="17">
        <f t="shared" si="1"/>
        <v>-119.00277777777778</v>
      </c>
      <c r="N27" s="18">
        <f t="shared" si="2"/>
        <v>0</v>
      </c>
      <c r="O27" s="77">
        <v>2210987</v>
      </c>
      <c r="P27" s="82">
        <v>0</v>
      </c>
      <c r="Q27" s="82"/>
      <c r="R27" s="82"/>
      <c r="S27" s="19" t="str">
        <f t="shared" si="3"/>
        <v xml:space="preserve"> -</v>
      </c>
      <c r="T27" s="18" t="str">
        <f t="shared" si="4"/>
        <v xml:space="preserve"> -</v>
      </c>
    </row>
    <row r="28" spans="2:20" ht="30">
      <c r="B28" s="375"/>
      <c r="C28" s="375"/>
      <c r="D28" s="335"/>
      <c r="E28" s="73">
        <v>43466</v>
      </c>
      <c r="F28" s="139">
        <v>43830</v>
      </c>
      <c r="G28" s="8" t="s">
        <v>42</v>
      </c>
      <c r="H28" s="26">
        <v>1</v>
      </c>
      <c r="I28" s="26">
        <f>+J28</f>
        <v>1</v>
      </c>
      <c r="J28" s="26">
        <v>1</v>
      </c>
      <c r="K28" s="92"/>
      <c r="L28" s="21">
        <f t="shared" si="0"/>
        <v>0</v>
      </c>
      <c r="M28" s="22">
        <f t="shared" si="1"/>
        <v>-119.00277777777778</v>
      </c>
      <c r="N28" s="23">
        <f t="shared" si="2"/>
        <v>0</v>
      </c>
      <c r="O28" s="78" t="s">
        <v>161</v>
      </c>
      <c r="P28" s="84">
        <v>0</v>
      </c>
      <c r="Q28" s="84"/>
      <c r="R28" s="84"/>
      <c r="S28" s="26" t="str">
        <f t="shared" si="3"/>
        <v xml:space="preserve"> -</v>
      </c>
      <c r="T28" s="23" t="str">
        <f t="shared" si="4"/>
        <v xml:space="preserve"> -</v>
      </c>
    </row>
    <row r="29" spans="2:20" ht="30">
      <c r="B29" s="375"/>
      <c r="C29" s="375"/>
      <c r="D29" s="335"/>
      <c r="E29" s="73">
        <v>43466</v>
      </c>
      <c r="F29" s="139">
        <v>43830</v>
      </c>
      <c r="G29" s="8" t="s">
        <v>43</v>
      </c>
      <c r="H29" s="26">
        <v>1</v>
      </c>
      <c r="I29" s="26">
        <f>+J29</f>
        <v>1</v>
      </c>
      <c r="J29" s="26">
        <v>1</v>
      </c>
      <c r="K29" s="92"/>
      <c r="L29" s="21">
        <f t="shared" si="0"/>
        <v>0</v>
      </c>
      <c r="M29" s="22">
        <f t="shared" si="1"/>
        <v>-119.00277777777778</v>
      </c>
      <c r="N29" s="23">
        <f t="shared" si="2"/>
        <v>0</v>
      </c>
      <c r="O29" s="78" t="s">
        <v>161</v>
      </c>
      <c r="P29" s="84">
        <v>0</v>
      </c>
      <c r="Q29" s="84"/>
      <c r="R29" s="84"/>
      <c r="S29" s="26" t="str">
        <f t="shared" si="3"/>
        <v xml:space="preserve"> -</v>
      </c>
      <c r="T29" s="23" t="str">
        <f t="shared" si="4"/>
        <v xml:space="preserve"> -</v>
      </c>
    </row>
    <row r="30" spans="2:20" ht="45">
      <c r="B30" s="375"/>
      <c r="C30" s="375"/>
      <c r="D30" s="335"/>
      <c r="E30" s="73">
        <v>43466</v>
      </c>
      <c r="F30" s="139">
        <v>43830</v>
      </c>
      <c r="G30" s="8" t="s">
        <v>44</v>
      </c>
      <c r="H30" s="84">
        <v>1</v>
      </c>
      <c r="I30" s="84">
        <f>+J30+('2018'!I30-'2018'!K30)</f>
        <v>0</v>
      </c>
      <c r="J30" s="84">
        <v>0</v>
      </c>
      <c r="K30" s="85"/>
      <c r="L30" s="21" t="e">
        <f t="shared" si="0"/>
        <v>#DIV/0!</v>
      </c>
      <c r="M30" s="22">
        <f t="shared" si="1"/>
        <v>-119.00277777777778</v>
      </c>
      <c r="N30" s="23" t="str">
        <f t="shared" si="2"/>
        <v xml:space="preserve"> -</v>
      </c>
      <c r="O30" s="78">
        <v>2210906</v>
      </c>
      <c r="P30" s="84">
        <v>0</v>
      </c>
      <c r="Q30" s="84"/>
      <c r="R30" s="84"/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75"/>
      <c r="C31" s="375"/>
      <c r="D31" s="335"/>
      <c r="E31" s="73">
        <v>43466</v>
      </c>
      <c r="F31" s="139">
        <v>43830</v>
      </c>
      <c r="G31" s="8" t="s">
        <v>45</v>
      </c>
      <c r="H31" s="84">
        <v>1</v>
      </c>
      <c r="I31" s="84">
        <f>+J31+('2018'!I31-'2018'!K31)</f>
        <v>-1</v>
      </c>
      <c r="J31" s="84">
        <v>0</v>
      </c>
      <c r="K31" s="85"/>
      <c r="L31" s="21" t="e">
        <f t="shared" si="0"/>
        <v>#DIV/0!</v>
      </c>
      <c r="M31" s="22">
        <f t="shared" si="1"/>
        <v>-119.00277777777778</v>
      </c>
      <c r="N31" s="23" t="str">
        <f t="shared" si="2"/>
        <v xml:space="preserve"> -</v>
      </c>
      <c r="O31" s="78">
        <v>2210158</v>
      </c>
      <c r="P31" s="84">
        <v>0</v>
      </c>
      <c r="Q31" s="84"/>
      <c r="R31" s="84"/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75"/>
      <c r="C32" s="375"/>
      <c r="D32" s="335"/>
      <c r="E32" s="73">
        <v>43466</v>
      </c>
      <c r="F32" s="139">
        <v>43830</v>
      </c>
      <c r="G32" s="8" t="s">
        <v>46</v>
      </c>
      <c r="H32" s="26">
        <v>1</v>
      </c>
      <c r="I32" s="26">
        <f>+J32+('2018'!I32-'2018'!K32)</f>
        <v>0.11999999999999995</v>
      </c>
      <c r="J32" s="26">
        <v>0</v>
      </c>
      <c r="K32" s="92"/>
      <c r="L32" s="21" t="e">
        <f t="shared" si="0"/>
        <v>#DIV/0!</v>
      </c>
      <c r="M32" s="22">
        <f t="shared" si="1"/>
        <v>-119.00277777777778</v>
      </c>
      <c r="N32" s="23" t="str">
        <f t="shared" si="2"/>
        <v xml:space="preserve"> -</v>
      </c>
      <c r="O32" s="78">
        <v>2210158</v>
      </c>
      <c r="P32" s="84">
        <v>0</v>
      </c>
      <c r="Q32" s="84"/>
      <c r="R32" s="84"/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75"/>
      <c r="C33" s="375"/>
      <c r="D33" s="335"/>
      <c r="E33" s="73">
        <v>43466</v>
      </c>
      <c r="F33" s="139">
        <v>43830</v>
      </c>
      <c r="G33" s="8" t="s">
        <v>47</v>
      </c>
      <c r="H33" s="26">
        <v>1</v>
      </c>
      <c r="I33" s="26">
        <f>+J33+('2018'!I33-'2018'!K33)</f>
        <v>0</v>
      </c>
      <c r="J33" s="26">
        <v>0</v>
      </c>
      <c r="K33" s="92"/>
      <c r="L33" s="21" t="e">
        <f t="shared" si="0"/>
        <v>#DIV/0!</v>
      </c>
      <c r="M33" s="22">
        <f t="shared" si="1"/>
        <v>-119.00277777777778</v>
      </c>
      <c r="N33" s="23" t="str">
        <f t="shared" si="2"/>
        <v xml:space="preserve"> -</v>
      </c>
      <c r="O33" s="78">
        <v>2210158</v>
      </c>
      <c r="P33" s="84">
        <v>0</v>
      </c>
      <c r="Q33" s="84"/>
      <c r="R33" s="84"/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75"/>
      <c r="C34" s="375"/>
      <c r="D34" s="335"/>
      <c r="E34" s="73">
        <v>43466</v>
      </c>
      <c r="F34" s="139">
        <v>43830</v>
      </c>
      <c r="G34" s="8" t="s">
        <v>48</v>
      </c>
      <c r="H34" s="84">
        <v>1</v>
      </c>
      <c r="I34" s="84">
        <f>+J34</f>
        <v>1</v>
      </c>
      <c r="J34" s="84">
        <v>1</v>
      </c>
      <c r="K34" s="85"/>
      <c r="L34" s="21">
        <f t="shared" si="0"/>
        <v>0</v>
      </c>
      <c r="M34" s="22">
        <f t="shared" si="1"/>
        <v>-119.00277777777778</v>
      </c>
      <c r="N34" s="23">
        <f t="shared" si="2"/>
        <v>0</v>
      </c>
      <c r="O34" s="78">
        <v>2210158</v>
      </c>
      <c r="P34" s="84">
        <v>0</v>
      </c>
      <c r="Q34" s="84"/>
      <c r="R34" s="84"/>
      <c r="S34" s="26" t="str">
        <f t="shared" si="3"/>
        <v xml:space="preserve"> -</v>
      </c>
      <c r="T34" s="23" t="str">
        <f t="shared" si="4"/>
        <v xml:space="preserve"> -</v>
      </c>
    </row>
    <row r="35" spans="2:20" ht="31" thickBot="1">
      <c r="B35" s="375"/>
      <c r="C35" s="375"/>
      <c r="D35" s="336"/>
      <c r="E35" s="74">
        <v>43466</v>
      </c>
      <c r="F35" s="140">
        <v>43830</v>
      </c>
      <c r="G35" s="11" t="s">
        <v>49</v>
      </c>
      <c r="H35" s="86">
        <v>1</v>
      </c>
      <c r="I35" s="86">
        <f>+J35+('2018'!I35-'2018'!K35)</f>
        <v>1</v>
      </c>
      <c r="J35" s="86">
        <v>1</v>
      </c>
      <c r="K35" s="87"/>
      <c r="L35" s="67">
        <f t="shared" si="0"/>
        <v>0</v>
      </c>
      <c r="M35" s="69">
        <f t="shared" si="1"/>
        <v>-119.00277777777778</v>
      </c>
      <c r="N35" s="58">
        <f t="shared" si="2"/>
        <v>0</v>
      </c>
      <c r="O35" s="79" t="s">
        <v>160</v>
      </c>
      <c r="P35" s="86">
        <v>0</v>
      </c>
      <c r="Q35" s="86"/>
      <c r="R35" s="86"/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75"/>
      <c r="C36" s="375"/>
      <c r="D36" s="339" t="s">
        <v>79</v>
      </c>
      <c r="E36" s="118">
        <v>43466</v>
      </c>
      <c r="F36" s="142">
        <v>43830</v>
      </c>
      <c r="G36" s="12" t="s">
        <v>52</v>
      </c>
      <c r="H36" s="119">
        <v>1</v>
      </c>
      <c r="I36" s="119">
        <f>+J36+('2018'!I36-'2018'!K36)</f>
        <v>-2.7755575615628914E-17</v>
      </c>
      <c r="J36" s="119">
        <v>0</v>
      </c>
      <c r="K36" s="120"/>
      <c r="L36" s="121" t="e">
        <f t="shared" si="0"/>
        <v>#DIV/0!</v>
      </c>
      <c r="M36" s="122">
        <f t="shared" si="1"/>
        <v>-119.00277777777778</v>
      </c>
      <c r="N36" s="123" t="str">
        <f t="shared" si="2"/>
        <v xml:space="preserve"> -</v>
      </c>
      <c r="O36" s="124">
        <v>2210158</v>
      </c>
      <c r="P36" s="125">
        <v>0</v>
      </c>
      <c r="Q36" s="125"/>
      <c r="R36" s="125"/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75"/>
      <c r="C37" s="375"/>
      <c r="D37" s="340"/>
      <c r="E37" s="73">
        <v>43466</v>
      </c>
      <c r="F37" s="139">
        <v>43830</v>
      </c>
      <c r="G37" s="8" t="s">
        <v>53</v>
      </c>
      <c r="H37" s="26">
        <v>1</v>
      </c>
      <c r="I37" s="26">
        <f>+J37+('2018'!I37-'2018'!K37)</f>
        <v>0.97</v>
      </c>
      <c r="J37" s="26">
        <v>0.9</v>
      </c>
      <c r="K37" s="92"/>
      <c r="L37" s="21">
        <f t="shared" si="0"/>
        <v>0</v>
      </c>
      <c r="M37" s="22">
        <f t="shared" si="1"/>
        <v>-119.00277777777778</v>
      </c>
      <c r="N37" s="23">
        <f t="shared" si="2"/>
        <v>0</v>
      </c>
      <c r="O37" s="78">
        <v>2210158</v>
      </c>
      <c r="P37" s="84">
        <v>100000</v>
      </c>
      <c r="Q37" s="84"/>
      <c r="R37" s="84"/>
      <c r="S37" s="26">
        <f t="shared" si="3"/>
        <v>0</v>
      </c>
      <c r="T37" s="23" t="str">
        <f t="shared" si="4"/>
        <v xml:space="preserve"> -</v>
      </c>
    </row>
    <row r="38" spans="2:20" ht="31" thickBot="1">
      <c r="B38" s="375"/>
      <c r="C38" s="375"/>
      <c r="D38" s="341"/>
      <c r="E38" s="104">
        <v>43466</v>
      </c>
      <c r="F38" s="141">
        <v>43830</v>
      </c>
      <c r="G38" s="10" t="s">
        <v>55</v>
      </c>
      <c r="H38" s="40">
        <v>1</v>
      </c>
      <c r="I38" s="57">
        <f>+J38+('2018'!I38-'2018'!K38)</f>
        <v>4.163336342344337E-17</v>
      </c>
      <c r="J38" s="40">
        <v>0</v>
      </c>
      <c r="K38" s="108"/>
      <c r="L38" s="37" t="e">
        <f t="shared" si="0"/>
        <v>#DIV/0!</v>
      </c>
      <c r="M38" s="38">
        <f t="shared" si="1"/>
        <v>-119.00277777777778</v>
      </c>
      <c r="N38" s="39" t="str">
        <f t="shared" si="2"/>
        <v xml:space="preserve"> -</v>
      </c>
      <c r="O38" s="107">
        <v>2210158</v>
      </c>
      <c r="P38" s="105">
        <v>0</v>
      </c>
      <c r="Q38" s="105"/>
      <c r="R38" s="105"/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75"/>
      <c r="C39" s="375"/>
      <c r="D39" s="334" t="s">
        <v>80</v>
      </c>
      <c r="E39" s="72">
        <v>43466</v>
      </c>
      <c r="F39" s="138">
        <v>43830</v>
      </c>
      <c r="G39" s="13" t="s">
        <v>56</v>
      </c>
      <c r="H39" s="19">
        <v>1</v>
      </c>
      <c r="I39" s="119">
        <f>+J39+('2018'!I39-'2018'!K39)</f>
        <v>5.00000000000001E-2</v>
      </c>
      <c r="J39" s="19">
        <v>0</v>
      </c>
      <c r="K39" s="91"/>
      <c r="L39" s="16" t="e">
        <f t="shared" si="0"/>
        <v>#DIV/0!</v>
      </c>
      <c r="M39" s="17">
        <f t="shared" si="1"/>
        <v>-119.00277777777778</v>
      </c>
      <c r="N39" s="18" t="str">
        <f t="shared" si="2"/>
        <v xml:space="preserve"> -</v>
      </c>
      <c r="O39" s="77">
        <v>2210159</v>
      </c>
      <c r="P39" s="82">
        <v>0</v>
      </c>
      <c r="Q39" s="82"/>
      <c r="R39" s="82"/>
      <c r="S39" s="19" t="str">
        <f t="shared" si="3"/>
        <v xml:space="preserve"> -</v>
      </c>
      <c r="T39" s="18" t="str">
        <f t="shared" si="4"/>
        <v xml:space="preserve"> -</v>
      </c>
    </row>
    <row r="40" spans="2:20" ht="60">
      <c r="B40" s="375"/>
      <c r="C40" s="375"/>
      <c r="D40" s="335"/>
      <c r="E40" s="73">
        <v>43466</v>
      </c>
      <c r="F40" s="139">
        <v>43830</v>
      </c>
      <c r="G40" s="8" t="s">
        <v>57</v>
      </c>
      <c r="H40" s="26">
        <v>1</v>
      </c>
      <c r="I40" s="26">
        <f>+J40+('2018'!I40-'2018'!K40)</f>
        <v>5.00000000000001E-2</v>
      </c>
      <c r="J40" s="26">
        <v>0</v>
      </c>
      <c r="K40" s="92"/>
      <c r="L40" s="21" t="e">
        <f t="shared" si="0"/>
        <v>#DIV/0!</v>
      </c>
      <c r="M40" s="22">
        <f t="shared" si="1"/>
        <v>-119.00277777777778</v>
      </c>
      <c r="N40" s="23" t="str">
        <f t="shared" si="2"/>
        <v xml:space="preserve"> -</v>
      </c>
      <c r="O40" s="78">
        <v>2210159</v>
      </c>
      <c r="P40" s="84">
        <v>0</v>
      </c>
      <c r="Q40" s="84"/>
      <c r="R40" s="84"/>
      <c r="S40" s="26" t="str">
        <f t="shared" si="3"/>
        <v xml:space="preserve"> -</v>
      </c>
      <c r="T40" s="23" t="str">
        <f t="shared" si="4"/>
        <v xml:space="preserve"> -</v>
      </c>
    </row>
    <row r="41" spans="2:20" ht="30">
      <c r="B41" s="375"/>
      <c r="C41" s="375"/>
      <c r="D41" s="335"/>
      <c r="E41" s="73">
        <v>43466</v>
      </c>
      <c r="F41" s="139">
        <v>43830</v>
      </c>
      <c r="G41" s="8" t="s">
        <v>58</v>
      </c>
      <c r="H41" s="84">
        <v>10</v>
      </c>
      <c r="I41" s="84">
        <f>+J41+('2018'!I41-'2018'!K41)</f>
        <v>-1.5</v>
      </c>
      <c r="J41" s="84">
        <v>2</v>
      </c>
      <c r="K41" s="85"/>
      <c r="L41" s="21">
        <f t="shared" si="0"/>
        <v>0</v>
      </c>
      <c r="M41" s="22">
        <f t="shared" si="1"/>
        <v>-119.00277777777778</v>
      </c>
      <c r="N41" s="23">
        <f t="shared" si="2"/>
        <v>0</v>
      </c>
      <c r="O41" s="78">
        <v>2210159</v>
      </c>
      <c r="P41" s="84">
        <v>80000</v>
      </c>
      <c r="Q41" s="84"/>
      <c r="R41" s="84"/>
      <c r="S41" s="26">
        <f t="shared" si="3"/>
        <v>0</v>
      </c>
      <c r="T41" s="23" t="str">
        <f t="shared" si="4"/>
        <v xml:space="preserve"> -</v>
      </c>
    </row>
    <row r="42" spans="2:20" ht="75">
      <c r="B42" s="375"/>
      <c r="C42" s="375"/>
      <c r="D42" s="335"/>
      <c r="E42" s="73">
        <v>43466</v>
      </c>
      <c r="F42" s="139">
        <v>43830</v>
      </c>
      <c r="G42" s="8" t="s">
        <v>59</v>
      </c>
      <c r="H42" s="84">
        <v>1</v>
      </c>
      <c r="I42" s="84">
        <f>+J42+('2018'!I42-'2018'!K42)</f>
        <v>3</v>
      </c>
      <c r="J42" s="84">
        <v>1</v>
      </c>
      <c r="K42" s="85"/>
      <c r="L42" s="21">
        <f t="shared" si="0"/>
        <v>0</v>
      </c>
      <c r="M42" s="22">
        <f t="shared" si="1"/>
        <v>-119.00277777777778</v>
      </c>
      <c r="N42" s="23">
        <f t="shared" si="2"/>
        <v>0</v>
      </c>
      <c r="O42" s="78" t="s">
        <v>160</v>
      </c>
      <c r="P42" s="84">
        <v>0</v>
      </c>
      <c r="Q42" s="84"/>
      <c r="R42" s="84"/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75"/>
      <c r="C43" s="375"/>
      <c r="D43" s="336"/>
      <c r="E43" s="74">
        <v>43466</v>
      </c>
      <c r="F43" s="140">
        <v>43830</v>
      </c>
      <c r="G43" s="11" t="s">
        <v>60</v>
      </c>
      <c r="H43" s="86">
        <v>20</v>
      </c>
      <c r="I43" s="86">
        <f>+J43+('2018'!I43-'2018'!K43)</f>
        <v>10</v>
      </c>
      <c r="J43" s="86">
        <v>6</v>
      </c>
      <c r="K43" s="87"/>
      <c r="L43" s="67">
        <f t="shared" si="0"/>
        <v>0</v>
      </c>
      <c r="M43" s="69">
        <f t="shared" si="1"/>
        <v>-119.00277777777778</v>
      </c>
      <c r="N43" s="58">
        <f t="shared" si="2"/>
        <v>0</v>
      </c>
      <c r="O43" s="79" t="s">
        <v>160</v>
      </c>
      <c r="P43" s="86">
        <v>0</v>
      </c>
      <c r="Q43" s="86"/>
      <c r="R43" s="86"/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72"/>
      <c r="C44" s="372"/>
      <c r="D44" s="126" t="s">
        <v>81</v>
      </c>
      <c r="E44" s="110">
        <v>43466</v>
      </c>
      <c r="F44" s="137">
        <v>43830</v>
      </c>
      <c r="G44" s="127" t="s">
        <v>61</v>
      </c>
      <c r="H44" s="111">
        <v>1</v>
      </c>
      <c r="I44" s="86">
        <f>+J44+('2018'!I44-'2018'!K44)</f>
        <v>1</v>
      </c>
      <c r="J44" s="111">
        <v>1</v>
      </c>
      <c r="K44" s="112"/>
      <c r="L44" s="113">
        <f t="shared" si="0"/>
        <v>0</v>
      </c>
      <c r="M44" s="114">
        <f t="shared" si="1"/>
        <v>-119.00277777777778</v>
      </c>
      <c r="N44" s="115">
        <f t="shared" si="2"/>
        <v>0</v>
      </c>
      <c r="O44" s="116" t="s">
        <v>160</v>
      </c>
      <c r="P44" s="111">
        <v>0</v>
      </c>
      <c r="Q44" s="111"/>
      <c r="R44" s="111"/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91" t="s">
        <v>91</v>
      </c>
      <c r="C46" s="375" t="s">
        <v>90</v>
      </c>
      <c r="D46" s="393" t="s">
        <v>82</v>
      </c>
      <c r="E46" s="118">
        <v>43466</v>
      </c>
      <c r="F46" s="118">
        <v>43830</v>
      </c>
      <c r="G46" s="313" t="s">
        <v>151</v>
      </c>
      <c r="H46" s="125">
        <v>200</v>
      </c>
      <c r="I46" s="125">
        <f>+H46</f>
        <v>200</v>
      </c>
      <c r="J46" s="125">
        <v>190</v>
      </c>
      <c r="K46" s="314"/>
      <c r="L46" s="121">
        <f t="shared" ref="L46" si="5">+K46/J46</f>
        <v>0</v>
      </c>
      <c r="M46" s="122">
        <f t="shared" ref="M46" si="6">DAYS360(E46,$C$8)/DAYS360(E46,F46)</f>
        <v>-119.00277777777778</v>
      </c>
      <c r="N46" s="123">
        <f t="shared" ref="N46" si="7">IF(J46=0," -",IF(L46&gt;100%,100%,L46))</f>
        <v>0</v>
      </c>
      <c r="O46" s="315" t="s">
        <v>160</v>
      </c>
      <c r="P46" s="125">
        <v>1000000</v>
      </c>
      <c r="Q46" s="125"/>
      <c r="R46" s="125"/>
      <c r="S46" s="119">
        <f t="shared" ref="S46" si="8">IF(P46=0," -",Q46/P46)</f>
        <v>0</v>
      </c>
      <c r="T46" s="123" t="str">
        <f t="shared" ref="T46" si="9">IF(R46=0," -",IF(Q46=0,100%,R46/Q46))</f>
        <v xml:space="preserve"> -</v>
      </c>
    </row>
    <row r="47" spans="2:20" ht="30" customHeight="1" thickBot="1">
      <c r="B47" s="392"/>
      <c r="C47" s="372"/>
      <c r="D47" s="394"/>
      <c r="E47" s="110">
        <v>43466</v>
      </c>
      <c r="F47" s="110">
        <v>43830</v>
      </c>
      <c r="G47" s="127" t="s">
        <v>62</v>
      </c>
      <c r="H47" s="111">
        <v>1</v>
      </c>
      <c r="I47" s="111">
        <f>+J47</f>
        <v>1</v>
      </c>
      <c r="J47" s="111">
        <v>1</v>
      </c>
      <c r="K47" s="112"/>
      <c r="L47" s="113">
        <f t="shared" si="0"/>
        <v>0</v>
      </c>
      <c r="M47" s="114">
        <f t="shared" si="1"/>
        <v>-119.00277777777778</v>
      </c>
      <c r="N47" s="115">
        <f t="shared" si="2"/>
        <v>0</v>
      </c>
      <c r="O47" s="116">
        <v>2210169</v>
      </c>
      <c r="P47" s="111">
        <v>0</v>
      </c>
      <c r="Q47" s="111"/>
      <c r="R47" s="111"/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75" t="s">
        <v>95</v>
      </c>
      <c r="C49" s="371" t="s">
        <v>94</v>
      </c>
      <c r="D49" s="337" t="s">
        <v>84</v>
      </c>
      <c r="E49" s="72">
        <v>43466</v>
      </c>
      <c r="F49" s="72">
        <v>43830</v>
      </c>
      <c r="G49" s="15" t="s">
        <v>65</v>
      </c>
      <c r="H49" s="82">
        <v>2</v>
      </c>
      <c r="I49" s="125">
        <f>+J49+('2018'!I49-'2018'!K49)</f>
        <v>1</v>
      </c>
      <c r="J49" s="82">
        <v>1</v>
      </c>
      <c r="K49" s="83"/>
      <c r="L49" s="16">
        <f t="shared" si="0"/>
        <v>0</v>
      </c>
      <c r="M49" s="17">
        <f t="shared" si="1"/>
        <v>-119.00277777777778</v>
      </c>
      <c r="N49" s="18">
        <f t="shared" si="2"/>
        <v>0</v>
      </c>
      <c r="O49" s="77">
        <v>2210847</v>
      </c>
      <c r="P49" s="82">
        <v>300000</v>
      </c>
      <c r="Q49" s="82"/>
      <c r="R49" s="82"/>
      <c r="S49" s="19">
        <f t="shared" si="3"/>
        <v>0</v>
      </c>
      <c r="T49" s="18" t="str">
        <f t="shared" si="4"/>
        <v xml:space="preserve"> -</v>
      </c>
    </row>
    <row r="50" spans="2:20" ht="30">
      <c r="B50" s="375"/>
      <c r="C50" s="375"/>
      <c r="D50" s="340"/>
      <c r="E50" s="73">
        <v>43466</v>
      </c>
      <c r="F50" s="73">
        <v>43830</v>
      </c>
      <c r="G50" s="14" t="s">
        <v>66</v>
      </c>
      <c r="H50" s="84">
        <v>1</v>
      </c>
      <c r="I50" s="84">
        <f>+J50+('2018'!I50-'2018'!K50)</f>
        <v>1</v>
      </c>
      <c r="J50" s="84">
        <v>1</v>
      </c>
      <c r="K50" s="85"/>
      <c r="L50" s="21">
        <f t="shared" si="0"/>
        <v>0</v>
      </c>
      <c r="M50" s="22">
        <f t="shared" si="1"/>
        <v>-119.00277777777778</v>
      </c>
      <c r="N50" s="23">
        <f t="shared" si="2"/>
        <v>0</v>
      </c>
      <c r="O50" s="78">
        <v>2210847</v>
      </c>
      <c r="P50" s="84">
        <v>600000</v>
      </c>
      <c r="Q50" s="84"/>
      <c r="R50" s="84"/>
      <c r="S50" s="26">
        <f t="shared" si="3"/>
        <v>0</v>
      </c>
      <c r="T50" s="23" t="str">
        <f t="shared" si="4"/>
        <v xml:space="preserve"> -</v>
      </c>
    </row>
    <row r="51" spans="2:20" ht="45">
      <c r="B51" s="375"/>
      <c r="C51" s="375"/>
      <c r="D51" s="340"/>
      <c r="E51" s="73">
        <v>43466</v>
      </c>
      <c r="F51" s="73">
        <v>43830</v>
      </c>
      <c r="G51" s="14" t="s">
        <v>67</v>
      </c>
      <c r="H51" s="84">
        <v>1</v>
      </c>
      <c r="I51" s="84">
        <f>+J51+('2018'!I51-'2018'!K51)</f>
        <v>1</v>
      </c>
      <c r="J51" s="84">
        <v>1</v>
      </c>
      <c r="K51" s="85"/>
      <c r="L51" s="21">
        <f t="shared" si="0"/>
        <v>0</v>
      </c>
      <c r="M51" s="22">
        <f t="shared" si="1"/>
        <v>-119.00277777777778</v>
      </c>
      <c r="N51" s="23">
        <f t="shared" si="2"/>
        <v>0</v>
      </c>
      <c r="O51" s="78" t="s">
        <v>160</v>
      </c>
      <c r="P51" s="84">
        <v>300000</v>
      </c>
      <c r="Q51" s="84"/>
      <c r="R51" s="84"/>
      <c r="S51" s="26">
        <f t="shared" si="3"/>
        <v>0</v>
      </c>
      <c r="T51" s="23" t="str">
        <f t="shared" si="4"/>
        <v xml:space="preserve"> -</v>
      </c>
    </row>
    <row r="52" spans="2:20" ht="46" thickBot="1">
      <c r="B52" s="372"/>
      <c r="C52" s="372"/>
      <c r="D52" s="338"/>
      <c r="E52" s="74">
        <v>43466</v>
      </c>
      <c r="F52" s="74">
        <v>43830</v>
      </c>
      <c r="G52" s="62" t="s">
        <v>68</v>
      </c>
      <c r="H52" s="86">
        <v>1</v>
      </c>
      <c r="I52" s="86">
        <f>+J52+('2018'!I52-'2018'!K52)</f>
        <v>1</v>
      </c>
      <c r="J52" s="86">
        <v>1</v>
      </c>
      <c r="K52" s="87"/>
      <c r="L52" s="67">
        <f t="shared" si="0"/>
        <v>0</v>
      </c>
      <c r="M52" s="69">
        <f t="shared" si="1"/>
        <v>-119.00277777777778</v>
      </c>
      <c r="N52" s="58">
        <f t="shared" si="2"/>
        <v>0</v>
      </c>
      <c r="O52" s="79">
        <v>2210847</v>
      </c>
      <c r="P52" s="86">
        <v>0</v>
      </c>
      <c r="Q52" s="86"/>
      <c r="R52" s="86"/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43466</v>
      </c>
      <c r="F54" s="76">
        <v>43830</v>
      </c>
      <c r="G54" s="63" t="s">
        <v>100</v>
      </c>
      <c r="H54" s="88">
        <v>6600</v>
      </c>
      <c r="I54" s="88"/>
      <c r="J54" s="88">
        <v>3300</v>
      </c>
      <c r="K54" s="89"/>
      <c r="L54" s="68">
        <f t="shared" ref="L54" si="10">+K54/J54</f>
        <v>0</v>
      </c>
      <c r="M54" s="70">
        <f>DAYS360(E54,$C$8)/DAYS360(E54,F54)</f>
        <v>-119.00277777777778</v>
      </c>
      <c r="N54" s="61">
        <f t="shared" ref="N54" si="11">IF(J54=0," -",IF(L54&gt;100%,100%,L54))</f>
        <v>0</v>
      </c>
      <c r="O54" s="81">
        <v>0</v>
      </c>
      <c r="P54" s="88">
        <v>800000</v>
      </c>
      <c r="Q54" s="88"/>
      <c r="R54" s="88"/>
      <c r="S54" s="60">
        <f t="shared" ref="S54" si="12">IF(P54=0," -",Q54/P54)</f>
        <v>0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71" t="s">
        <v>99</v>
      </c>
      <c r="C56" s="371" t="s">
        <v>98</v>
      </c>
      <c r="D56" s="337" t="s">
        <v>86</v>
      </c>
      <c r="E56" s="72">
        <v>43466</v>
      </c>
      <c r="F56" s="72">
        <v>43830</v>
      </c>
      <c r="G56" s="13" t="s">
        <v>70</v>
      </c>
      <c r="H56" s="82">
        <v>1</v>
      </c>
      <c r="I56" s="125">
        <f>+J56</f>
        <v>1</v>
      </c>
      <c r="J56" s="82">
        <v>1</v>
      </c>
      <c r="K56" s="83"/>
      <c r="L56" s="16">
        <f t="shared" si="0"/>
        <v>0</v>
      </c>
      <c r="M56" s="17">
        <f t="shared" si="1"/>
        <v>-119.00277777777778</v>
      </c>
      <c r="N56" s="18">
        <f t="shared" si="2"/>
        <v>0</v>
      </c>
      <c r="O56" s="77">
        <v>0</v>
      </c>
      <c r="P56" s="82">
        <v>0</v>
      </c>
      <c r="Q56" s="82"/>
      <c r="R56" s="82"/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72"/>
      <c r="C57" s="372"/>
      <c r="D57" s="338"/>
      <c r="E57" s="74">
        <v>43466</v>
      </c>
      <c r="F57" s="74">
        <v>43830</v>
      </c>
      <c r="G57" s="11" t="s">
        <v>71</v>
      </c>
      <c r="H57" s="86">
        <v>1</v>
      </c>
      <c r="I57" s="86">
        <f>+J57</f>
        <v>1</v>
      </c>
      <c r="J57" s="86">
        <v>1</v>
      </c>
      <c r="K57" s="87"/>
      <c r="L57" s="67">
        <f t="shared" si="0"/>
        <v>0</v>
      </c>
      <c r="M57" s="69">
        <f t="shared" si="1"/>
        <v>-119.00277777777778</v>
      </c>
      <c r="N57" s="58">
        <f t="shared" si="2"/>
        <v>0</v>
      </c>
      <c r="O57" s="79" t="s">
        <v>160</v>
      </c>
      <c r="P57" s="86">
        <v>0</v>
      </c>
      <c r="Q57" s="86"/>
      <c r="R57" s="86"/>
      <c r="S57" s="57" t="str">
        <f t="shared" si="3"/>
        <v xml:space="preserve"> -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-119.00277777777777</v>
      </c>
      <c r="N58" s="129">
        <f>+AVERAGE(N12:N14,N16:N25,N27:N44,N46:N47,N49:N52,N54,N56:N57)</f>
        <v>0</v>
      </c>
      <c r="O58" s="56"/>
      <c r="P58" s="130">
        <f>+SUM(P12:P14,P16:P25,P27:P44,P46:P47,P49:P52,P54,P56:P57)</f>
        <v>4030000</v>
      </c>
      <c r="Q58" s="131">
        <f>+SUM(Q12:Q14,Q16:Q25,Q27:Q44,Q46:Q47,Q49:Q52,Q54,Q56:Q57)</f>
        <v>0</v>
      </c>
      <c r="R58" s="131">
        <f>+SUM(R12:R14,R16:R25,R27:R44,R46:R47,R49:R52,R54,R56:R57)</f>
        <v>0</v>
      </c>
      <c r="S58" s="132">
        <f t="shared" si="3"/>
        <v>0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83" t="s">
        <v>153</v>
      </c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5"/>
    </row>
    <row r="62" spans="2:20" ht="16" thickBot="1"/>
    <row r="63" spans="2:20" ht="20" customHeight="1" thickBot="1">
      <c r="B63" s="386" t="s">
        <v>154</v>
      </c>
      <c r="C63" s="387"/>
      <c r="D63" s="387"/>
      <c r="E63" s="387" t="s">
        <v>17</v>
      </c>
      <c r="F63" s="387"/>
      <c r="G63" s="329" t="s">
        <v>18</v>
      </c>
      <c r="H63" s="387" t="s">
        <v>0</v>
      </c>
      <c r="I63" s="387"/>
      <c r="J63" s="387"/>
      <c r="K63" s="387" t="s">
        <v>155</v>
      </c>
      <c r="L63" s="387"/>
      <c r="M63" s="387"/>
      <c r="N63" s="388"/>
    </row>
    <row r="64" spans="2:20" ht="17" customHeight="1">
      <c r="B64" s="376" t="s">
        <v>156</v>
      </c>
      <c r="C64" s="377"/>
      <c r="D64" s="377"/>
      <c r="E64" s="378" t="s">
        <v>157</v>
      </c>
      <c r="F64" s="378"/>
      <c r="G64" s="378" t="s">
        <v>87</v>
      </c>
      <c r="H64" s="378" t="s">
        <v>74</v>
      </c>
      <c r="I64" s="378"/>
      <c r="J64" s="378"/>
      <c r="K64" s="378" t="s">
        <v>158</v>
      </c>
      <c r="L64" s="378"/>
      <c r="M64" s="378"/>
      <c r="N64" s="380"/>
    </row>
    <row r="65" spans="2:14" ht="90" customHeight="1" thickBot="1">
      <c r="B65" s="336" t="s">
        <v>159</v>
      </c>
      <c r="C65" s="382"/>
      <c r="D65" s="382"/>
      <c r="E65" s="379"/>
      <c r="F65" s="379"/>
      <c r="G65" s="379"/>
      <c r="H65" s="379"/>
      <c r="I65" s="379"/>
      <c r="J65" s="379"/>
      <c r="K65" s="379"/>
      <c r="L65" s="379"/>
      <c r="M65" s="379"/>
      <c r="N65" s="381"/>
    </row>
  </sheetData>
  <mergeCells count="46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46:B47"/>
    <mergeCell ref="M10:M11"/>
    <mergeCell ref="I10:I11"/>
    <mergeCell ref="H10:H11"/>
    <mergeCell ref="J10:J11"/>
    <mergeCell ref="B61:N61"/>
    <mergeCell ref="B63:D63"/>
    <mergeCell ref="E63:F63"/>
    <mergeCell ref="H63:J63"/>
    <mergeCell ref="K63:N63"/>
    <mergeCell ref="B64:D64"/>
    <mergeCell ref="E64:F65"/>
    <mergeCell ref="G64:G65"/>
    <mergeCell ref="H64:J65"/>
    <mergeCell ref="K64:N65"/>
    <mergeCell ref="B65:D6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2:25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</row>
    <row r="4" spans="2:25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71">
        <f>+'2018'!C8</f>
        <v>43434</v>
      </c>
      <c r="D8" s="343" t="s">
        <v>3</v>
      </c>
      <c r="E8" s="344"/>
      <c r="F8" s="344"/>
      <c r="G8" s="344"/>
      <c r="H8" s="404"/>
      <c r="I8" s="404"/>
      <c r="J8" s="404"/>
      <c r="K8" s="404"/>
      <c r="L8" s="404"/>
      <c r="M8" s="404"/>
      <c r="N8" s="34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46" t="s">
        <v>17</v>
      </c>
      <c r="C9" s="349" t="s">
        <v>18</v>
      </c>
      <c r="D9" s="352" t="s">
        <v>0</v>
      </c>
      <c r="E9" s="405" t="s">
        <v>5</v>
      </c>
      <c r="F9" s="406"/>
      <c r="G9" s="406"/>
      <c r="H9" s="406"/>
      <c r="I9" s="406"/>
      <c r="J9" s="406"/>
      <c r="K9" s="406"/>
      <c r="L9" s="406"/>
      <c r="M9" s="406"/>
      <c r="N9" s="407"/>
      <c r="O9" s="408" t="s">
        <v>102</v>
      </c>
      <c r="P9" s="409"/>
      <c r="Q9" s="409"/>
      <c r="R9" s="409"/>
      <c r="S9" s="410"/>
      <c r="T9" s="360" t="s">
        <v>103</v>
      </c>
      <c r="U9" s="361"/>
      <c r="V9" s="361"/>
      <c r="W9" s="361"/>
      <c r="X9" s="361"/>
      <c r="Y9" s="362"/>
    </row>
    <row r="10" spans="2:25" ht="17" customHeight="1">
      <c r="B10" s="347"/>
      <c r="C10" s="350"/>
      <c r="D10" s="353"/>
      <c r="E10" s="356" t="s">
        <v>7</v>
      </c>
      <c r="F10" s="330" t="s">
        <v>25</v>
      </c>
      <c r="G10" s="151" t="s">
        <v>1</v>
      </c>
      <c r="H10" s="154" t="s">
        <v>1</v>
      </c>
      <c r="I10" s="156" t="s">
        <v>1</v>
      </c>
      <c r="J10" s="156" t="s">
        <v>1</v>
      </c>
      <c r="K10" s="158" t="s">
        <v>8</v>
      </c>
      <c r="L10" s="156" t="s">
        <v>8</v>
      </c>
      <c r="M10" s="156" t="s">
        <v>8</v>
      </c>
      <c r="N10" s="153" t="s">
        <v>8</v>
      </c>
      <c r="O10" s="411">
        <v>2016</v>
      </c>
      <c r="P10" s="415">
        <v>2017</v>
      </c>
      <c r="Q10" s="417">
        <v>2018</v>
      </c>
      <c r="R10" s="400">
        <v>2019</v>
      </c>
      <c r="S10" s="413" t="s">
        <v>101</v>
      </c>
      <c r="T10" s="363"/>
      <c r="U10" s="364"/>
      <c r="V10" s="364"/>
      <c r="W10" s="364"/>
      <c r="X10" s="364"/>
      <c r="Y10" s="365"/>
    </row>
    <row r="11" spans="2:25" ht="37.5" customHeight="1" thickBot="1">
      <c r="B11" s="348"/>
      <c r="C11" s="351"/>
      <c r="D11" s="354"/>
      <c r="E11" s="330"/>
      <c r="F11" s="370"/>
      <c r="G11" s="152">
        <v>2016</v>
      </c>
      <c r="H11" s="159">
        <v>2017</v>
      </c>
      <c r="I11" s="157">
        <v>2018</v>
      </c>
      <c r="J11" s="157">
        <v>2019</v>
      </c>
      <c r="K11" s="160">
        <v>2016</v>
      </c>
      <c r="L11" s="159">
        <v>2017</v>
      </c>
      <c r="M11" s="157">
        <v>2018</v>
      </c>
      <c r="N11" s="161">
        <v>2019</v>
      </c>
      <c r="O11" s="412"/>
      <c r="P11" s="416"/>
      <c r="Q11" s="418"/>
      <c r="R11" s="401"/>
      <c r="S11" s="414"/>
      <c r="T11" s="155" t="s">
        <v>23</v>
      </c>
      <c r="U11" s="219" t="s">
        <v>20</v>
      </c>
      <c r="V11" s="219" t="s">
        <v>21</v>
      </c>
      <c r="W11" s="219" t="s">
        <v>22</v>
      </c>
      <c r="X11" s="24" t="s">
        <v>14</v>
      </c>
      <c r="Y11" s="25" t="s">
        <v>15</v>
      </c>
    </row>
    <row r="12" spans="2:25" ht="61" thickBot="1">
      <c r="B12" s="371" t="s">
        <v>92</v>
      </c>
      <c r="C12" s="373" t="s">
        <v>87</v>
      </c>
      <c r="D12" s="93" t="s">
        <v>72</v>
      </c>
      <c r="E12" s="102" t="s">
        <v>28</v>
      </c>
      <c r="F12" s="95">
        <v>1</v>
      </c>
      <c r="G12" s="95">
        <f>'2016'!J12</f>
        <v>1</v>
      </c>
      <c r="H12" s="96">
        <f>'2017'!J12</f>
        <v>1</v>
      </c>
      <c r="I12" s="96">
        <f>'2018'!J12</f>
        <v>1</v>
      </c>
      <c r="J12" s="96">
        <f>'2019'!J12</f>
        <v>1</v>
      </c>
      <c r="K12" s="162">
        <f>'2016'!K12</f>
        <v>1</v>
      </c>
      <c r="L12" s="96">
        <f>'2017'!K12</f>
        <v>1</v>
      </c>
      <c r="M12" s="96">
        <f>'2018'!K12</f>
        <v>1</v>
      </c>
      <c r="N12" s="163">
        <f>'2019'!K12</f>
        <v>0</v>
      </c>
      <c r="O12" s="202">
        <f>'2016'!N12</f>
        <v>1</v>
      </c>
      <c r="P12" s="203">
        <f>'2017'!N12</f>
        <v>1</v>
      </c>
      <c r="Q12" s="204">
        <f>'2018'!N12</f>
        <v>1</v>
      </c>
      <c r="R12" s="203">
        <f>'2019'!N12</f>
        <v>0</v>
      </c>
      <c r="S12" s="205">
        <v>0.75</v>
      </c>
      <c r="T12" s="100" t="s">
        <v>160</v>
      </c>
      <c r="U12" s="86">
        <f>+'2016'!P12+'2017'!P12</f>
        <v>0</v>
      </c>
      <c r="V12" s="86">
        <f>+'2016'!Q12+'2017'!Q12</f>
        <v>0</v>
      </c>
      <c r="W12" s="86">
        <f>+'2016'!R12+'2017'!R12</f>
        <v>0</v>
      </c>
      <c r="X12" s="101" t="str">
        <f>IF(U12=0," -",V12/U12)</f>
        <v xml:space="preserve"> -</v>
      </c>
      <c r="Y12" s="99" t="str">
        <f>IF(W12=0," -",IF(V12=0,100%,W12/V12))</f>
        <v xml:space="preserve"> -</v>
      </c>
    </row>
    <row r="13" spans="2:25" ht="61" thickBot="1">
      <c r="B13" s="375"/>
      <c r="C13" s="374"/>
      <c r="D13" s="59" t="s">
        <v>73</v>
      </c>
      <c r="E13" s="63" t="s">
        <v>29</v>
      </c>
      <c r="F13" s="88">
        <v>8</v>
      </c>
      <c r="G13" s="88">
        <f>'2016'!J13</f>
        <v>1</v>
      </c>
      <c r="H13" s="89">
        <f>'2017'!J13</f>
        <v>3</v>
      </c>
      <c r="I13" s="89">
        <f>'2018'!J13</f>
        <v>2</v>
      </c>
      <c r="J13" s="89">
        <f>'2019'!J13</f>
        <v>2</v>
      </c>
      <c r="K13" s="164">
        <f>'2016'!K13</f>
        <v>1</v>
      </c>
      <c r="L13" s="89">
        <f>'2017'!K13</f>
        <v>3</v>
      </c>
      <c r="M13" s="89">
        <f>'2018'!K13</f>
        <v>2</v>
      </c>
      <c r="N13" s="165">
        <f>'2019'!K13</f>
        <v>0</v>
      </c>
      <c r="O13" s="187">
        <f>'2016'!N13</f>
        <v>1</v>
      </c>
      <c r="P13" s="188">
        <f>'2017'!N13</f>
        <v>1</v>
      </c>
      <c r="Q13" s="189">
        <f>'2018'!N13</f>
        <v>1</v>
      </c>
      <c r="R13" s="188">
        <f>'2019'!N13</f>
        <v>0</v>
      </c>
      <c r="S13" s="206">
        <v>0.75</v>
      </c>
      <c r="T13" s="81">
        <v>2210842</v>
      </c>
      <c r="U13" s="111">
        <f>+'2016'!P13+'2017'!P13</f>
        <v>203300</v>
      </c>
      <c r="V13" s="111">
        <f>+'2016'!Q13+'2017'!Q13</f>
        <v>193450</v>
      </c>
      <c r="W13" s="111">
        <f>+'2016'!R13+'2017'!R13</f>
        <v>270000</v>
      </c>
      <c r="X13" s="60">
        <f t="shared" ref="X13:X58" si="0">IF(U13=0," -",V13/U13)</f>
        <v>0.95154943433349726</v>
      </c>
      <c r="Y13" s="61">
        <f t="shared" ref="Y13:Y58" si="1">IF(W13=0," -",IF(V13=0,100%,W13/V13))</f>
        <v>1.3957094856552081</v>
      </c>
    </row>
    <row r="14" spans="2:25" ht="46" thickBot="1">
      <c r="B14" s="375"/>
      <c r="C14" s="374"/>
      <c r="D14" s="109" t="s">
        <v>74</v>
      </c>
      <c r="E14" s="127" t="s">
        <v>30</v>
      </c>
      <c r="F14" s="111">
        <v>1</v>
      </c>
      <c r="G14" s="111">
        <f>'2016'!J14</f>
        <v>1</v>
      </c>
      <c r="H14" s="112">
        <f>'2017'!J14</f>
        <v>1</v>
      </c>
      <c r="I14" s="112">
        <f>'2018'!J14</f>
        <v>1</v>
      </c>
      <c r="J14" s="112">
        <f>'2019'!J14</f>
        <v>1</v>
      </c>
      <c r="K14" s="166">
        <f>'2016'!K14</f>
        <v>1</v>
      </c>
      <c r="L14" s="112">
        <f>'2017'!K14</f>
        <v>1</v>
      </c>
      <c r="M14" s="112">
        <f>'2018'!K14</f>
        <v>1</v>
      </c>
      <c r="N14" s="167">
        <f>'2019'!K14</f>
        <v>0</v>
      </c>
      <c r="O14" s="199">
        <f>'2016'!N14</f>
        <v>1</v>
      </c>
      <c r="P14" s="200">
        <f>'2017'!N14</f>
        <v>1</v>
      </c>
      <c r="Q14" s="201">
        <f>'2018'!N14</f>
        <v>1</v>
      </c>
      <c r="R14" s="200">
        <f>'2019'!N14</f>
        <v>0</v>
      </c>
      <c r="S14" s="207">
        <v>0.75</v>
      </c>
      <c r="T14" s="116">
        <v>2210289</v>
      </c>
      <c r="U14" s="111">
        <f>+'2016'!P14+'2017'!P14</f>
        <v>762900</v>
      </c>
      <c r="V14" s="111">
        <f>+'2016'!Q14+'2017'!Q14</f>
        <v>728851</v>
      </c>
      <c r="W14" s="111">
        <f>+'2016'!R14+'2017'!R14</f>
        <v>0</v>
      </c>
      <c r="X14" s="117">
        <f t="shared" si="0"/>
        <v>0.95536898676104343</v>
      </c>
      <c r="Y14" s="115" t="str">
        <f t="shared" si="1"/>
        <v xml:space="preserve"> -</v>
      </c>
    </row>
    <row r="15" spans="2:25" ht="13" customHeight="1" thickBot="1">
      <c r="B15" s="375"/>
      <c r="C15" s="27"/>
      <c r="D15" s="9"/>
      <c r="E15" s="34"/>
      <c r="F15" s="42"/>
      <c r="G15" s="42"/>
      <c r="H15" s="42"/>
      <c r="I15" s="42"/>
      <c r="J15" s="42"/>
      <c r="K15" s="42"/>
      <c r="L15" s="42"/>
      <c r="M15" s="42"/>
      <c r="N15" s="42"/>
      <c r="O15" s="36"/>
      <c r="P15" s="36"/>
      <c r="Q15" s="36"/>
      <c r="R15" s="36"/>
      <c r="S15" s="220"/>
      <c r="T15" s="34"/>
      <c r="U15" s="29"/>
      <c r="V15" s="211"/>
      <c r="W15" s="28"/>
      <c r="X15" s="36"/>
      <c r="Y15" s="44"/>
    </row>
    <row r="16" spans="2:25" ht="46" thickBot="1">
      <c r="B16" s="375"/>
      <c r="C16" s="374" t="s">
        <v>88</v>
      </c>
      <c r="D16" s="93" t="s">
        <v>75</v>
      </c>
      <c r="E16" s="102" t="s">
        <v>31</v>
      </c>
      <c r="F16" s="101">
        <v>1</v>
      </c>
      <c r="G16" s="101">
        <f>'2016'!J16</f>
        <v>0</v>
      </c>
      <c r="H16" s="103">
        <f>'2017'!J16</f>
        <v>0.4</v>
      </c>
      <c r="I16" s="103">
        <f>'2018'!J16</f>
        <v>0</v>
      </c>
      <c r="J16" s="103">
        <f>'2019'!J16</f>
        <v>0.6</v>
      </c>
      <c r="K16" s="168">
        <f>'2016'!K16</f>
        <v>0</v>
      </c>
      <c r="L16" s="103">
        <f>'2017'!K16</f>
        <v>2E-3</v>
      </c>
      <c r="M16" s="103">
        <f>'2018'!K16</f>
        <v>0</v>
      </c>
      <c r="N16" s="99">
        <f>'2019'!K16</f>
        <v>0</v>
      </c>
      <c r="O16" s="202" t="str">
        <f>'2016'!N16</f>
        <v xml:space="preserve"> -</v>
      </c>
      <c r="P16" s="203">
        <f>'2017'!N16</f>
        <v>5.0000000000000001E-3</v>
      </c>
      <c r="Q16" s="204" t="str">
        <f>'2018'!N16</f>
        <v xml:space="preserve"> -</v>
      </c>
      <c r="R16" s="203">
        <f>'2019'!N16</f>
        <v>0</v>
      </c>
      <c r="S16" s="205">
        <v>2E-3</v>
      </c>
      <c r="T16" s="100">
        <v>2210158</v>
      </c>
      <c r="U16" s="111">
        <f>+'2016'!P16+'2017'!P16</f>
        <v>18133</v>
      </c>
      <c r="V16" s="111">
        <f>+'2016'!Q16+'2017'!Q16</f>
        <v>18133</v>
      </c>
      <c r="W16" s="111">
        <f>+'2016'!R16+'2017'!R16</f>
        <v>0</v>
      </c>
      <c r="X16" s="101">
        <f t="shared" si="0"/>
        <v>1</v>
      </c>
      <c r="Y16" s="99" t="str">
        <f t="shared" si="1"/>
        <v xml:space="preserve"> -</v>
      </c>
    </row>
    <row r="17" spans="2:25" ht="30">
      <c r="B17" s="375"/>
      <c r="C17" s="374"/>
      <c r="D17" s="334" t="s">
        <v>76</v>
      </c>
      <c r="E17" s="13" t="s">
        <v>32</v>
      </c>
      <c r="F17" s="82">
        <v>1</v>
      </c>
      <c r="G17" s="82">
        <f>'2016'!J17</f>
        <v>1</v>
      </c>
      <c r="H17" s="83">
        <f>'2017'!J17</f>
        <v>1</v>
      </c>
      <c r="I17" s="83">
        <f>'2018'!J17</f>
        <v>1</v>
      </c>
      <c r="J17" s="83">
        <f>'2019'!J17</f>
        <v>1</v>
      </c>
      <c r="K17" s="169">
        <f>'2016'!K17</f>
        <v>1</v>
      </c>
      <c r="L17" s="83">
        <f>'2017'!K17</f>
        <v>1</v>
      </c>
      <c r="M17" s="83">
        <f>'2018'!K17</f>
        <v>1</v>
      </c>
      <c r="N17" s="170">
        <f>'2019'!K17</f>
        <v>0</v>
      </c>
      <c r="O17" s="181">
        <f>'2016'!N17</f>
        <v>1</v>
      </c>
      <c r="P17" s="182">
        <f>'2017'!N17</f>
        <v>1</v>
      </c>
      <c r="Q17" s="183">
        <f>'2018'!N17</f>
        <v>1</v>
      </c>
      <c r="R17" s="182">
        <f>'2019'!N17</f>
        <v>0</v>
      </c>
      <c r="S17" s="208">
        <v>0.75</v>
      </c>
      <c r="T17" s="77">
        <v>2210844</v>
      </c>
      <c r="U17" s="125">
        <f>+'2016'!P17+'2017'!P17</f>
        <v>569127</v>
      </c>
      <c r="V17" s="125">
        <f>+'2016'!Q17+'2017'!Q17</f>
        <v>482694</v>
      </c>
      <c r="W17" s="125">
        <f>+'2016'!R17+'2017'!R17</f>
        <v>0</v>
      </c>
      <c r="X17" s="19">
        <f t="shared" si="0"/>
        <v>0.84813055785439806</v>
      </c>
      <c r="Y17" s="18" t="str">
        <f t="shared" si="1"/>
        <v xml:space="preserve"> -</v>
      </c>
    </row>
    <row r="18" spans="2:25" ht="30">
      <c r="B18" s="375"/>
      <c r="C18" s="374"/>
      <c r="D18" s="335"/>
      <c r="E18" s="8" t="s">
        <v>33</v>
      </c>
      <c r="F18" s="84">
        <v>1</v>
      </c>
      <c r="G18" s="84">
        <f>'2016'!J18</f>
        <v>0</v>
      </c>
      <c r="H18" s="85">
        <f>'2017'!J18</f>
        <v>0</v>
      </c>
      <c r="I18" s="85">
        <f>'2018'!J18</f>
        <v>0</v>
      </c>
      <c r="J18" s="85">
        <f>'2019'!J18</f>
        <v>1</v>
      </c>
      <c r="K18" s="171">
        <f>'2016'!K18</f>
        <v>0</v>
      </c>
      <c r="L18" s="85">
        <f>'2017'!K18</f>
        <v>0</v>
      </c>
      <c r="M18" s="85">
        <f>'2018'!K18</f>
        <v>0</v>
      </c>
      <c r="N18" s="172">
        <f>'2019'!K18</f>
        <v>0</v>
      </c>
      <c r="O18" s="190" t="str">
        <f>'2016'!N18</f>
        <v xml:space="preserve"> -</v>
      </c>
      <c r="P18" s="191" t="str">
        <f>'2017'!N18</f>
        <v xml:space="preserve"> -</v>
      </c>
      <c r="Q18" s="192" t="str">
        <f>'2018'!N18</f>
        <v xml:space="preserve"> -</v>
      </c>
      <c r="R18" s="191">
        <f>'2019'!N18</f>
        <v>0</v>
      </c>
      <c r="S18" s="209">
        <v>0</v>
      </c>
      <c r="T18" s="78">
        <v>2210844</v>
      </c>
      <c r="U18" s="84">
        <f>+'2016'!P18+'2017'!P18</f>
        <v>0</v>
      </c>
      <c r="V18" s="84">
        <f>+'2016'!Q18+'2017'!Q18</f>
        <v>0</v>
      </c>
      <c r="W18" s="84">
        <f>+'2016'!R18+'2017'!R18</f>
        <v>0</v>
      </c>
      <c r="X18" s="26" t="str">
        <f t="shared" si="0"/>
        <v xml:space="preserve"> -</v>
      </c>
      <c r="Y18" s="23" t="str">
        <f t="shared" si="1"/>
        <v xml:space="preserve"> -</v>
      </c>
    </row>
    <row r="19" spans="2:25" ht="30">
      <c r="B19" s="375"/>
      <c r="C19" s="374"/>
      <c r="D19" s="335"/>
      <c r="E19" s="8" t="s">
        <v>34</v>
      </c>
      <c r="F19" s="84">
        <v>1</v>
      </c>
      <c r="G19" s="84">
        <f>'2016'!J19</f>
        <v>0</v>
      </c>
      <c r="H19" s="85">
        <f>'2017'!J19</f>
        <v>1</v>
      </c>
      <c r="I19" s="85">
        <f>'2018'!J19</f>
        <v>0</v>
      </c>
      <c r="J19" s="85">
        <f>'2019'!J19</f>
        <v>0</v>
      </c>
      <c r="K19" s="171">
        <f>'2016'!K19</f>
        <v>0</v>
      </c>
      <c r="L19" s="85">
        <f>'2017'!K19</f>
        <v>0</v>
      </c>
      <c r="M19" s="85">
        <f>'2018'!K19</f>
        <v>0</v>
      </c>
      <c r="N19" s="172">
        <f>'2019'!K19</f>
        <v>0</v>
      </c>
      <c r="O19" s="190" t="str">
        <f>'2016'!N19</f>
        <v xml:space="preserve"> -</v>
      </c>
      <c r="P19" s="191">
        <f>'2017'!N19</f>
        <v>0</v>
      </c>
      <c r="Q19" s="192" t="str">
        <f>'2018'!N19</f>
        <v xml:space="preserve"> -</v>
      </c>
      <c r="R19" s="191" t="str">
        <f>'2019'!N19</f>
        <v xml:space="preserve"> -</v>
      </c>
      <c r="S19" s="209">
        <v>0</v>
      </c>
      <c r="T19" s="78">
        <v>2210844</v>
      </c>
      <c r="U19" s="84">
        <f>+'2016'!P19+'2017'!P19</f>
        <v>0</v>
      </c>
      <c r="V19" s="84">
        <f>+'2016'!Q19+'2017'!Q19</f>
        <v>0</v>
      </c>
      <c r="W19" s="84">
        <f>+'2016'!R19+'2017'!R19</f>
        <v>0</v>
      </c>
      <c r="X19" s="26" t="str">
        <f t="shared" si="0"/>
        <v xml:space="preserve"> -</v>
      </c>
      <c r="Y19" s="23" t="str">
        <f t="shared" si="1"/>
        <v xml:space="preserve"> -</v>
      </c>
    </row>
    <row r="20" spans="2:25" ht="30">
      <c r="B20" s="375"/>
      <c r="C20" s="374"/>
      <c r="D20" s="335"/>
      <c r="E20" s="8" t="s">
        <v>35</v>
      </c>
      <c r="F20" s="84">
        <v>1</v>
      </c>
      <c r="G20" s="84">
        <f>'2016'!J20</f>
        <v>1</v>
      </c>
      <c r="H20" s="85">
        <f>'2017'!J20</f>
        <v>1</v>
      </c>
      <c r="I20" s="85">
        <f>'2018'!J20</f>
        <v>1</v>
      </c>
      <c r="J20" s="85">
        <f>'2019'!J20</f>
        <v>1</v>
      </c>
      <c r="K20" s="171">
        <f>'2016'!K20</f>
        <v>1</v>
      </c>
      <c r="L20" s="85">
        <f>'2017'!K20</f>
        <v>1</v>
      </c>
      <c r="M20" s="85">
        <f>'2018'!K20</f>
        <v>1</v>
      </c>
      <c r="N20" s="172">
        <f>'2019'!K20</f>
        <v>0</v>
      </c>
      <c r="O20" s="190">
        <f>'2016'!N20</f>
        <v>1</v>
      </c>
      <c r="P20" s="191">
        <f>'2017'!N20</f>
        <v>1</v>
      </c>
      <c r="Q20" s="192">
        <f>'2018'!N20</f>
        <v>1</v>
      </c>
      <c r="R20" s="191">
        <f>'2019'!N20</f>
        <v>0</v>
      </c>
      <c r="S20" s="209">
        <v>0.75</v>
      </c>
      <c r="T20" s="78">
        <v>2210844</v>
      </c>
      <c r="U20" s="84">
        <f>+'2016'!P20+'2017'!P20</f>
        <v>176000</v>
      </c>
      <c r="V20" s="84">
        <f>+'2016'!Q20+'2017'!Q20</f>
        <v>176000</v>
      </c>
      <c r="W20" s="84">
        <f>+'2016'!R20+'2017'!R20</f>
        <v>0</v>
      </c>
      <c r="X20" s="26">
        <f t="shared" si="0"/>
        <v>1</v>
      </c>
      <c r="Y20" s="23" t="str">
        <f t="shared" si="1"/>
        <v xml:space="preserve"> -</v>
      </c>
    </row>
    <row r="21" spans="2:25" ht="30">
      <c r="B21" s="375"/>
      <c r="C21" s="374"/>
      <c r="D21" s="335"/>
      <c r="E21" s="8" t="s">
        <v>36</v>
      </c>
      <c r="F21" s="84">
        <v>1</v>
      </c>
      <c r="G21" s="84">
        <f>'2016'!J21</f>
        <v>1</v>
      </c>
      <c r="H21" s="85">
        <f>'2017'!J21</f>
        <v>1</v>
      </c>
      <c r="I21" s="85">
        <f>'2018'!J21</f>
        <v>1</v>
      </c>
      <c r="J21" s="85">
        <f>'2019'!J21</f>
        <v>1</v>
      </c>
      <c r="K21" s="171">
        <f>'2016'!K21</f>
        <v>1</v>
      </c>
      <c r="L21" s="85">
        <f>'2017'!K21</f>
        <v>1</v>
      </c>
      <c r="M21" s="85">
        <f>'2018'!K21</f>
        <v>1</v>
      </c>
      <c r="N21" s="172">
        <f>'2019'!K21</f>
        <v>0</v>
      </c>
      <c r="O21" s="190">
        <f>'2016'!N21</f>
        <v>1</v>
      </c>
      <c r="P21" s="191">
        <f>'2017'!N21</f>
        <v>1</v>
      </c>
      <c r="Q21" s="192">
        <f>'2018'!N21</f>
        <v>1</v>
      </c>
      <c r="R21" s="191">
        <f>'2019'!N21</f>
        <v>0</v>
      </c>
      <c r="S21" s="209">
        <v>0.75</v>
      </c>
      <c r="T21" s="78">
        <v>2210833</v>
      </c>
      <c r="U21" s="84">
        <f>+'2016'!P21+'2017'!P21</f>
        <v>542714.88413000002</v>
      </c>
      <c r="V21" s="84">
        <f>+'2016'!Q21+'2017'!Q21</f>
        <v>298821</v>
      </c>
      <c r="W21" s="84">
        <f>+'2016'!R21+'2017'!R21</f>
        <v>0</v>
      </c>
      <c r="X21" s="26">
        <f t="shared" si="0"/>
        <v>0.5506040256828878</v>
      </c>
      <c r="Y21" s="23" t="str">
        <f t="shared" si="1"/>
        <v xml:space="preserve"> -</v>
      </c>
    </row>
    <row r="22" spans="2:25" ht="45">
      <c r="B22" s="375"/>
      <c r="C22" s="374"/>
      <c r="D22" s="335"/>
      <c r="E22" s="8" t="s">
        <v>37</v>
      </c>
      <c r="F22" s="84">
        <v>1</v>
      </c>
      <c r="G22" s="84">
        <f>'2016'!J22</f>
        <v>0</v>
      </c>
      <c r="H22" s="85">
        <f>'2017'!J22</f>
        <v>1</v>
      </c>
      <c r="I22" s="85">
        <f>'2018'!J22</f>
        <v>0</v>
      </c>
      <c r="J22" s="85">
        <f>'2019'!J22</f>
        <v>0</v>
      </c>
      <c r="K22" s="171">
        <f>'2016'!K22</f>
        <v>0</v>
      </c>
      <c r="L22" s="85">
        <f>'2017'!K22</f>
        <v>0</v>
      </c>
      <c r="M22" s="85">
        <f>'2018'!K22</f>
        <v>0</v>
      </c>
      <c r="N22" s="172">
        <f>'2019'!K22</f>
        <v>0</v>
      </c>
      <c r="O22" s="190" t="str">
        <f>'2016'!N22</f>
        <v xml:space="preserve"> -</v>
      </c>
      <c r="P22" s="191">
        <f>'2017'!N22</f>
        <v>0</v>
      </c>
      <c r="Q22" s="192" t="str">
        <f>'2018'!N22</f>
        <v xml:space="preserve"> -</v>
      </c>
      <c r="R22" s="191" t="str">
        <f>'2019'!N22</f>
        <v xml:space="preserve"> -</v>
      </c>
      <c r="S22" s="209">
        <v>0</v>
      </c>
      <c r="T22" s="78">
        <v>2210833</v>
      </c>
      <c r="U22" s="84">
        <f>+'2016'!P22+'2017'!P22</f>
        <v>0</v>
      </c>
      <c r="V22" s="84">
        <f>+'2016'!Q22+'2017'!Q22</f>
        <v>0</v>
      </c>
      <c r="W22" s="84">
        <f>+'2016'!R22+'2017'!R22</f>
        <v>0</v>
      </c>
      <c r="X22" s="26" t="str">
        <f t="shared" si="0"/>
        <v xml:space="preserve"> -</v>
      </c>
      <c r="Y22" s="23" t="str">
        <f t="shared" si="1"/>
        <v xml:space="preserve"> -</v>
      </c>
    </row>
    <row r="23" spans="2:25" ht="45">
      <c r="B23" s="375"/>
      <c r="C23" s="374"/>
      <c r="D23" s="335"/>
      <c r="E23" s="8" t="s">
        <v>38</v>
      </c>
      <c r="F23" s="84">
        <v>1</v>
      </c>
      <c r="G23" s="84">
        <f>'2016'!J23</f>
        <v>0</v>
      </c>
      <c r="H23" s="85">
        <f>'2017'!J23</f>
        <v>1</v>
      </c>
      <c r="I23" s="85">
        <f>'2018'!J23</f>
        <v>1</v>
      </c>
      <c r="J23" s="85">
        <f>'2019'!J23</f>
        <v>1</v>
      </c>
      <c r="K23" s="171">
        <f>'2016'!K23</f>
        <v>0</v>
      </c>
      <c r="L23" s="85">
        <f>'2017'!K23</f>
        <v>0</v>
      </c>
      <c r="M23" s="85">
        <f>'2018'!K23</f>
        <v>1</v>
      </c>
      <c r="N23" s="172">
        <f>'2019'!K23</f>
        <v>0</v>
      </c>
      <c r="O23" s="190" t="str">
        <f>'2016'!N23</f>
        <v xml:space="preserve"> -</v>
      </c>
      <c r="P23" s="191">
        <f>'2017'!N23</f>
        <v>0</v>
      </c>
      <c r="Q23" s="192">
        <f>'2018'!N23</f>
        <v>1</v>
      </c>
      <c r="R23" s="191">
        <f>'2019'!N23</f>
        <v>0</v>
      </c>
      <c r="S23" s="209">
        <v>0.33333333333333331</v>
      </c>
      <c r="T23" s="78">
        <v>2210100</v>
      </c>
      <c r="U23" s="84">
        <f>+'2016'!P23+'2017'!P23</f>
        <v>0</v>
      </c>
      <c r="V23" s="84">
        <f>+'2016'!Q23+'2017'!Q23</f>
        <v>0</v>
      </c>
      <c r="W23" s="84">
        <f>+'2016'!R23+'2017'!R23</f>
        <v>0</v>
      </c>
      <c r="X23" s="26" t="str">
        <f t="shared" si="0"/>
        <v xml:space="preserve"> -</v>
      </c>
      <c r="Y23" s="23" t="str">
        <f t="shared" si="1"/>
        <v xml:space="preserve"> -</v>
      </c>
    </row>
    <row r="24" spans="2:25" ht="30">
      <c r="B24" s="375"/>
      <c r="C24" s="374"/>
      <c r="D24" s="335"/>
      <c r="E24" s="8" t="s">
        <v>39</v>
      </c>
      <c r="F24" s="84">
        <v>4</v>
      </c>
      <c r="G24" s="84">
        <f>'2016'!J24</f>
        <v>0</v>
      </c>
      <c r="H24" s="85">
        <f>'2017'!J24</f>
        <v>0</v>
      </c>
      <c r="I24" s="85">
        <f>'2018'!J24</f>
        <v>0</v>
      </c>
      <c r="J24" s="85">
        <f>'2019'!J24</f>
        <v>4</v>
      </c>
      <c r="K24" s="171">
        <f>'2016'!K24</f>
        <v>1</v>
      </c>
      <c r="L24" s="85">
        <f>'2017'!K24</f>
        <v>0</v>
      </c>
      <c r="M24" s="85">
        <f>'2018'!K24</f>
        <v>0</v>
      </c>
      <c r="N24" s="172">
        <f>'2019'!K24</f>
        <v>0</v>
      </c>
      <c r="O24" s="190" t="str">
        <f>'2016'!N24</f>
        <v xml:space="preserve"> -</v>
      </c>
      <c r="P24" s="191" t="str">
        <f>'2017'!N24</f>
        <v xml:space="preserve"> -</v>
      </c>
      <c r="Q24" s="192" t="str">
        <f>'2018'!N24</f>
        <v xml:space="preserve"> -</v>
      </c>
      <c r="R24" s="191">
        <f>'2019'!N24</f>
        <v>0</v>
      </c>
      <c r="S24" s="209">
        <v>0.25</v>
      </c>
      <c r="T24" s="78" t="s">
        <v>160</v>
      </c>
      <c r="U24" s="84">
        <f>+'2016'!P24+'2017'!P24</f>
        <v>0</v>
      </c>
      <c r="V24" s="84">
        <f>+'2016'!Q24+'2017'!Q24</f>
        <v>0</v>
      </c>
      <c r="W24" s="84">
        <f>+'2016'!R24+'2017'!R24</f>
        <v>0</v>
      </c>
      <c r="X24" s="26" t="str">
        <f t="shared" si="0"/>
        <v xml:space="preserve"> -</v>
      </c>
      <c r="Y24" s="23" t="str">
        <f t="shared" si="1"/>
        <v xml:space="preserve"> -</v>
      </c>
    </row>
    <row r="25" spans="2:25" ht="76" thickBot="1">
      <c r="B25" s="375"/>
      <c r="C25" s="374"/>
      <c r="D25" s="336"/>
      <c r="E25" s="11" t="s">
        <v>40</v>
      </c>
      <c r="F25" s="86">
        <v>4</v>
      </c>
      <c r="G25" s="86">
        <f>'2016'!J25</f>
        <v>1</v>
      </c>
      <c r="H25" s="87">
        <f>'2017'!J25</f>
        <v>1</v>
      </c>
      <c r="I25" s="87">
        <f>'2018'!J25</f>
        <v>0</v>
      </c>
      <c r="J25" s="87">
        <f>'2019'!J25</f>
        <v>2</v>
      </c>
      <c r="K25" s="173">
        <f>'2016'!K25</f>
        <v>1</v>
      </c>
      <c r="L25" s="87">
        <f>'2017'!K25</f>
        <v>1</v>
      </c>
      <c r="M25" s="87">
        <f>'2018'!K25</f>
        <v>0</v>
      </c>
      <c r="N25" s="174">
        <f>'2019'!K25</f>
        <v>0</v>
      </c>
      <c r="O25" s="184">
        <f>'2016'!N25</f>
        <v>1</v>
      </c>
      <c r="P25" s="185">
        <f>'2017'!N25</f>
        <v>1</v>
      </c>
      <c r="Q25" s="186" t="str">
        <f>'2018'!N25</f>
        <v xml:space="preserve"> -</v>
      </c>
      <c r="R25" s="185">
        <f>'2019'!N25</f>
        <v>0</v>
      </c>
      <c r="S25" s="210">
        <v>0.5</v>
      </c>
      <c r="T25" s="79">
        <v>2210100</v>
      </c>
      <c r="U25" s="86">
        <f>+'2016'!P25+'2017'!P25</f>
        <v>102000</v>
      </c>
      <c r="V25" s="86">
        <f>+'2016'!Q25+'2017'!Q25</f>
        <v>102000</v>
      </c>
      <c r="W25" s="86">
        <f>+'2016'!R25+'2017'!R25</f>
        <v>344000</v>
      </c>
      <c r="X25" s="57">
        <f t="shared" si="0"/>
        <v>1</v>
      </c>
      <c r="Y25" s="58">
        <f t="shared" si="1"/>
        <v>3.3725490196078431</v>
      </c>
    </row>
    <row r="26" spans="2:25" ht="13" customHeight="1" thickBot="1">
      <c r="B26" s="375"/>
      <c r="C26" s="27"/>
      <c r="D26" s="45"/>
      <c r="E26" s="28"/>
      <c r="F26" s="47"/>
      <c r="G26" s="47"/>
      <c r="H26" s="47"/>
      <c r="I26" s="47"/>
      <c r="J26" s="47"/>
      <c r="K26" s="47"/>
      <c r="L26" s="47"/>
      <c r="M26" s="47"/>
      <c r="N26" s="47"/>
      <c r="O26" s="29"/>
      <c r="P26" s="29"/>
      <c r="Q26" s="29"/>
      <c r="R26" s="29"/>
      <c r="S26" s="211"/>
      <c r="T26" s="28"/>
      <c r="U26" s="29"/>
      <c r="V26" s="211"/>
      <c r="W26" s="28"/>
      <c r="X26" s="29"/>
      <c r="Y26" s="49"/>
    </row>
    <row r="27" spans="2:25" ht="30">
      <c r="B27" s="375"/>
      <c r="C27" s="371" t="s">
        <v>89</v>
      </c>
      <c r="D27" s="334" t="s">
        <v>77</v>
      </c>
      <c r="E27" s="13" t="s">
        <v>41</v>
      </c>
      <c r="F27" s="19">
        <v>1</v>
      </c>
      <c r="G27" s="19">
        <f>'2016'!J27</f>
        <v>1</v>
      </c>
      <c r="H27" s="91">
        <f>'2017'!J27</f>
        <v>1</v>
      </c>
      <c r="I27" s="91">
        <f>'2018'!J27</f>
        <v>1</v>
      </c>
      <c r="J27" s="91">
        <f>'2019'!J27</f>
        <v>1</v>
      </c>
      <c r="K27" s="175">
        <f>'2016'!K27</f>
        <v>0.85</v>
      </c>
      <c r="L27" s="91">
        <f>'2017'!K27</f>
        <v>0.14000000000000001</v>
      </c>
      <c r="M27" s="91">
        <f>'2018'!K27</f>
        <v>0.23</v>
      </c>
      <c r="N27" s="18">
        <f>'2019'!K27</f>
        <v>0</v>
      </c>
      <c r="O27" s="181">
        <f>'2016'!N27</f>
        <v>0.85</v>
      </c>
      <c r="P27" s="182">
        <f>'2017'!N27</f>
        <v>0.14000000000000001</v>
      </c>
      <c r="Q27" s="183">
        <f>'2018'!N27</f>
        <v>0.23</v>
      </c>
      <c r="R27" s="182">
        <f>'2019'!N27</f>
        <v>0</v>
      </c>
      <c r="S27" s="208">
        <v>0.30499999999999999</v>
      </c>
      <c r="T27" s="77">
        <v>2210987</v>
      </c>
      <c r="U27" s="125">
        <f>+'2016'!P27+'2017'!P27</f>
        <v>740333</v>
      </c>
      <c r="V27" s="125">
        <f>+'2016'!Q27+'2017'!Q27</f>
        <v>222835</v>
      </c>
      <c r="W27" s="125">
        <f>+'2016'!R27+'2017'!R27</f>
        <v>0</v>
      </c>
      <c r="X27" s="19">
        <f t="shared" si="0"/>
        <v>0.30099293155917672</v>
      </c>
      <c r="Y27" s="18" t="str">
        <f t="shared" si="1"/>
        <v xml:space="preserve"> -</v>
      </c>
    </row>
    <row r="28" spans="2:25" ht="30">
      <c r="B28" s="375"/>
      <c r="C28" s="375"/>
      <c r="D28" s="335"/>
      <c r="E28" s="8" t="s">
        <v>42</v>
      </c>
      <c r="F28" s="26">
        <v>1</v>
      </c>
      <c r="G28" s="2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176">
        <f>'2016'!K28</f>
        <v>0.9</v>
      </c>
      <c r="L28" s="92">
        <f>'2017'!K28</f>
        <v>0.93</v>
      </c>
      <c r="M28" s="92">
        <f>'2018'!K28</f>
        <v>0.5</v>
      </c>
      <c r="N28" s="23">
        <f>'2019'!K28</f>
        <v>0</v>
      </c>
      <c r="O28" s="190">
        <f>'2016'!N28</f>
        <v>0.9</v>
      </c>
      <c r="P28" s="191">
        <f>'2017'!N28</f>
        <v>0.93</v>
      </c>
      <c r="Q28" s="192">
        <f>'2018'!N28</f>
        <v>0.5</v>
      </c>
      <c r="R28" s="191">
        <f>'2019'!N28</f>
        <v>0</v>
      </c>
      <c r="S28" s="209">
        <v>0.58250000000000002</v>
      </c>
      <c r="T28" s="78" t="s">
        <v>161</v>
      </c>
      <c r="U28" s="84">
        <f>+'2016'!P28+'2017'!P28</f>
        <v>1202658</v>
      </c>
      <c r="V28" s="84">
        <f>+'2016'!Q28+'2017'!Q28</f>
        <v>665015</v>
      </c>
      <c r="W28" s="84">
        <f>+'2016'!R28+'2017'!R28</f>
        <v>0</v>
      </c>
      <c r="X28" s="26">
        <f t="shared" si="0"/>
        <v>0.5529543727310674</v>
      </c>
      <c r="Y28" s="23" t="str">
        <f t="shared" si="1"/>
        <v xml:space="preserve"> -</v>
      </c>
    </row>
    <row r="29" spans="2:25" ht="30">
      <c r="B29" s="375"/>
      <c r="C29" s="375"/>
      <c r="D29" s="335"/>
      <c r="E29" s="8" t="s">
        <v>43</v>
      </c>
      <c r="F29" s="26">
        <v>1</v>
      </c>
      <c r="G29" s="2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176">
        <f>'2016'!K29</f>
        <v>0.95</v>
      </c>
      <c r="L29" s="92">
        <f>'2017'!K29</f>
        <v>0.93</v>
      </c>
      <c r="M29" s="92">
        <f>'2018'!K29</f>
        <v>0.92</v>
      </c>
      <c r="N29" s="23">
        <f>'2019'!K29</f>
        <v>0</v>
      </c>
      <c r="O29" s="190">
        <f>'2016'!N29</f>
        <v>0.95</v>
      </c>
      <c r="P29" s="191">
        <f>'2017'!N29</f>
        <v>0.93</v>
      </c>
      <c r="Q29" s="192">
        <f>'2018'!N29</f>
        <v>0.92</v>
      </c>
      <c r="R29" s="191">
        <f>'2019'!N29</f>
        <v>0</v>
      </c>
      <c r="S29" s="209">
        <v>0.7</v>
      </c>
      <c r="T29" s="78" t="s">
        <v>161</v>
      </c>
      <c r="U29" s="84">
        <f>+'2016'!P29+'2017'!P29</f>
        <v>1202658</v>
      </c>
      <c r="V29" s="84">
        <f>+'2016'!Q29+'2017'!Q29</f>
        <v>665015</v>
      </c>
      <c r="W29" s="84">
        <f>+'2016'!R29+'2017'!R29</f>
        <v>0</v>
      </c>
      <c r="X29" s="26">
        <f t="shared" si="0"/>
        <v>0.5529543727310674</v>
      </c>
      <c r="Y29" s="23" t="str">
        <f t="shared" si="1"/>
        <v xml:space="preserve"> -</v>
      </c>
    </row>
    <row r="30" spans="2:25" ht="45">
      <c r="B30" s="375"/>
      <c r="C30" s="375"/>
      <c r="D30" s="335"/>
      <c r="E30" s="8" t="s">
        <v>44</v>
      </c>
      <c r="F30" s="84">
        <v>1</v>
      </c>
      <c r="G30" s="84">
        <f>'2016'!J30</f>
        <v>0</v>
      </c>
      <c r="H30" s="85">
        <f>'2017'!J30</f>
        <v>1</v>
      </c>
      <c r="I30" s="85">
        <f>'2018'!J30</f>
        <v>0</v>
      </c>
      <c r="J30" s="85">
        <f>'2019'!J30</f>
        <v>0</v>
      </c>
      <c r="K30" s="171">
        <f>'2016'!K30</f>
        <v>0</v>
      </c>
      <c r="L30" s="85">
        <f>'2017'!K30</f>
        <v>1</v>
      </c>
      <c r="M30" s="85">
        <f>'2018'!K30</f>
        <v>0</v>
      </c>
      <c r="N30" s="172">
        <f>'2019'!K30</f>
        <v>0</v>
      </c>
      <c r="O30" s="190" t="str">
        <f>'2016'!N30</f>
        <v xml:space="preserve"> -</v>
      </c>
      <c r="P30" s="191">
        <f>'2017'!N30</f>
        <v>1</v>
      </c>
      <c r="Q30" s="192" t="str">
        <f>'2018'!N30</f>
        <v xml:space="preserve"> -</v>
      </c>
      <c r="R30" s="191" t="str">
        <f>'2019'!N30</f>
        <v xml:space="preserve"> -</v>
      </c>
      <c r="S30" s="209">
        <v>1</v>
      </c>
      <c r="T30" s="78">
        <v>2210906</v>
      </c>
      <c r="U30" s="84">
        <f>+'2016'!P30+'2017'!P30</f>
        <v>0</v>
      </c>
      <c r="V30" s="84">
        <f>+'2016'!Q30+'2017'!Q30</f>
        <v>0</v>
      </c>
      <c r="W30" s="84">
        <f>+'2016'!R30+'2017'!R30</f>
        <v>0</v>
      </c>
      <c r="X30" s="26" t="str">
        <f t="shared" si="0"/>
        <v xml:space="preserve"> -</v>
      </c>
      <c r="Y30" s="23" t="str">
        <f t="shared" si="1"/>
        <v xml:space="preserve"> -</v>
      </c>
    </row>
    <row r="31" spans="2:25" ht="30">
      <c r="B31" s="375"/>
      <c r="C31" s="375"/>
      <c r="D31" s="335"/>
      <c r="E31" s="8" t="s">
        <v>45</v>
      </c>
      <c r="F31" s="84">
        <v>1</v>
      </c>
      <c r="G31" s="84">
        <f>'2016'!J31</f>
        <v>1</v>
      </c>
      <c r="H31" s="85">
        <f>'2017'!J31</f>
        <v>0</v>
      </c>
      <c r="I31" s="85">
        <f>'2018'!J31</f>
        <v>0</v>
      </c>
      <c r="J31" s="85">
        <f>'2019'!J31</f>
        <v>0</v>
      </c>
      <c r="K31" s="171">
        <f>'2016'!K31</f>
        <v>1</v>
      </c>
      <c r="L31" s="85">
        <f>'2017'!K31</f>
        <v>1</v>
      </c>
      <c r="M31" s="85">
        <f>'2018'!K31</f>
        <v>0</v>
      </c>
      <c r="N31" s="172">
        <f>'2019'!K31</f>
        <v>0</v>
      </c>
      <c r="O31" s="190">
        <f>'2016'!N31</f>
        <v>1</v>
      </c>
      <c r="P31" s="191" t="str">
        <f>'2017'!N31</f>
        <v xml:space="preserve"> -</v>
      </c>
      <c r="Q31" s="192" t="str">
        <f>'2018'!N31</f>
        <v xml:space="preserve"> -</v>
      </c>
      <c r="R31" s="191" t="str">
        <f>'2019'!N31</f>
        <v xml:space="preserve"> -</v>
      </c>
      <c r="S31" s="209">
        <v>1</v>
      </c>
      <c r="T31" s="78">
        <v>2210158</v>
      </c>
      <c r="U31" s="84">
        <f>+'2016'!P31+'2017'!P31</f>
        <v>44000</v>
      </c>
      <c r="V31" s="84">
        <f>+'2016'!Q31+'2017'!Q31</f>
        <v>44000</v>
      </c>
      <c r="W31" s="84">
        <f>+'2016'!R31+'2017'!R31</f>
        <v>0</v>
      </c>
      <c r="X31" s="26">
        <f t="shared" si="0"/>
        <v>1</v>
      </c>
      <c r="Y31" s="23" t="str">
        <f t="shared" si="1"/>
        <v xml:space="preserve"> -</v>
      </c>
    </row>
    <row r="32" spans="2:25" ht="45">
      <c r="B32" s="375"/>
      <c r="C32" s="375"/>
      <c r="D32" s="335"/>
      <c r="E32" s="8" t="s">
        <v>46</v>
      </c>
      <c r="F32" s="26">
        <v>1</v>
      </c>
      <c r="G32" s="26">
        <f>'2016'!J32</f>
        <v>0</v>
      </c>
      <c r="H32" s="92">
        <f>'2017'!J32</f>
        <v>1</v>
      </c>
      <c r="I32" s="92">
        <f>'2018'!J32</f>
        <v>0</v>
      </c>
      <c r="J32" s="92">
        <f>'2019'!J32</f>
        <v>0</v>
      </c>
      <c r="K32" s="176">
        <f>'2016'!K32</f>
        <v>0</v>
      </c>
      <c r="L32" s="92">
        <f>'2017'!K32</f>
        <v>0.8</v>
      </c>
      <c r="M32" s="92">
        <f>'2018'!K32</f>
        <v>0.08</v>
      </c>
      <c r="N32" s="23">
        <f>'2019'!K32</f>
        <v>0</v>
      </c>
      <c r="O32" s="190" t="str">
        <f>'2016'!N32</f>
        <v xml:space="preserve"> -</v>
      </c>
      <c r="P32" s="191">
        <f>'2017'!N32</f>
        <v>0.8</v>
      </c>
      <c r="Q32" s="192" t="str">
        <f>'2018'!N32</f>
        <v xml:space="preserve"> -</v>
      </c>
      <c r="R32" s="191" t="str">
        <f>'2019'!N32</f>
        <v xml:space="preserve"> -</v>
      </c>
      <c r="S32" s="209">
        <v>0.88</v>
      </c>
      <c r="T32" s="78">
        <v>2210158</v>
      </c>
      <c r="U32" s="84">
        <f>+'2016'!P32+'2017'!P32</f>
        <v>62000</v>
      </c>
      <c r="V32" s="84">
        <f>+'2016'!Q32+'2017'!Q32</f>
        <v>61999</v>
      </c>
      <c r="W32" s="84">
        <f>+'2016'!R32+'2017'!R32</f>
        <v>0</v>
      </c>
      <c r="X32" s="26">
        <f t="shared" si="0"/>
        <v>0.99998387096774188</v>
      </c>
      <c r="Y32" s="23" t="str">
        <f t="shared" si="1"/>
        <v xml:space="preserve"> -</v>
      </c>
    </row>
    <row r="33" spans="2:25" ht="30">
      <c r="B33" s="375"/>
      <c r="C33" s="375"/>
      <c r="D33" s="335"/>
      <c r="E33" s="8" t="s">
        <v>47</v>
      </c>
      <c r="F33" s="26">
        <v>1</v>
      </c>
      <c r="G33" s="26">
        <f>'2016'!J33</f>
        <v>0</v>
      </c>
      <c r="H33" s="92">
        <f>'2017'!J33</f>
        <v>0.6</v>
      </c>
      <c r="I33" s="92">
        <f>'2018'!J33</f>
        <v>0.4</v>
      </c>
      <c r="J33" s="92">
        <f>'2019'!J33</f>
        <v>0</v>
      </c>
      <c r="K33" s="176">
        <f>'2016'!K33</f>
        <v>0</v>
      </c>
      <c r="L33" s="92">
        <f>'2017'!K33</f>
        <v>0.6</v>
      </c>
      <c r="M33" s="92">
        <f>'2018'!K33</f>
        <v>0.4</v>
      </c>
      <c r="N33" s="23">
        <f>'2019'!K33</f>
        <v>0</v>
      </c>
      <c r="O33" s="190" t="str">
        <f>'2016'!N33</f>
        <v xml:space="preserve"> -</v>
      </c>
      <c r="P33" s="191">
        <f>'2017'!N33</f>
        <v>1</v>
      </c>
      <c r="Q33" s="192">
        <f>'2018'!N33</f>
        <v>1</v>
      </c>
      <c r="R33" s="191" t="str">
        <f>'2019'!N33</f>
        <v xml:space="preserve"> -</v>
      </c>
      <c r="S33" s="209">
        <v>1</v>
      </c>
      <c r="T33" s="78">
        <v>2210158</v>
      </c>
      <c r="U33" s="84">
        <f>+'2016'!P33+'2017'!P33</f>
        <v>0</v>
      </c>
      <c r="V33" s="84">
        <f>+'2016'!Q33+'2017'!Q33</f>
        <v>0</v>
      </c>
      <c r="W33" s="84">
        <f>+'2016'!R33+'2017'!R33</f>
        <v>0</v>
      </c>
      <c r="X33" s="26" t="str">
        <f t="shared" si="0"/>
        <v xml:space="preserve"> -</v>
      </c>
      <c r="Y33" s="23" t="str">
        <f t="shared" si="1"/>
        <v xml:space="preserve"> -</v>
      </c>
    </row>
    <row r="34" spans="2:25" ht="30">
      <c r="B34" s="375"/>
      <c r="C34" s="375"/>
      <c r="D34" s="335"/>
      <c r="E34" s="8" t="s">
        <v>48</v>
      </c>
      <c r="F34" s="84">
        <v>1</v>
      </c>
      <c r="G34" s="84">
        <f>'2016'!J34</f>
        <v>1</v>
      </c>
      <c r="H34" s="85">
        <f>'2017'!J34</f>
        <v>1</v>
      </c>
      <c r="I34" s="85">
        <f>'2018'!J34</f>
        <v>1</v>
      </c>
      <c r="J34" s="85">
        <f>'2019'!J34</f>
        <v>1</v>
      </c>
      <c r="K34" s="171">
        <f>'2016'!K34</f>
        <v>1</v>
      </c>
      <c r="L34" s="85">
        <f>'2017'!K34</f>
        <v>1</v>
      </c>
      <c r="M34" s="85">
        <f>'2018'!K34</f>
        <v>1</v>
      </c>
      <c r="N34" s="172">
        <f>'2019'!K34</f>
        <v>0</v>
      </c>
      <c r="O34" s="190">
        <f>'2016'!N34</f>
        <v>1</v>
      </c>
      <c r="P34" s="191">
        <f>'2017'!N34</f>
        <v>1</v>
      </c>
      <c r="Q34" s="192">
        <f>'2018'!N34</f>
        <v>1</v>
      </c>
      <c r="R34" s="191">
        <f>'2019'!N34</f>
        <v>0</v>
      </c>
      <c r="S34" s="209">
        <v>0.75</v>
      </c>
      <c r="T34" s="78">
        <v>2210158</v>
      </c>
      <c r="U34" s="84">
        <f>+'2016'!P34+'2017'!P34</f>
        <v>273500</v>
      </c>
      <c r="V34" s="84">
        <f>+'2016'!Q34+'2017'!Q34</f>
        <v>273500</v>
      </c>
      <c r="W34" s="84">
        <f>+'2016'!R34+'2017'!R34</f>
        <v>0</v>
      </c>
      <c r="X34" s="26">
        <f t="shared" si="0"/>
        <v>1</v>
      </c>
      <c r="Y34" s="23" t="str">
        <f t="shared" si="1"/>
        <v xml:space="preserve"> -</v>
      </c>
    </row>
    <row r="35" spans="2:25" ht="31" thickBot="1">
      <c r="B35" s="375"/>
      <c r="C35" s="375"/>
      <c r="D35" s="336"/>
      <c r="E35" s="11" t="s">
        <v>49</v>
      </c>
      <c r="F35" s="86">
        <v>1</v>
      </c>
      <c r="G35" s="86">
        <f>'2016'!J35</f>
        <v>0</v>
      </c>
      <c r="H35" s="87">
        <f>'2017'!J35</f>
        <v>0</v>
      </c>
      <c r="I35" s="87">
        <f>'2018'!J35</f>
        <v>0</v>
      </c>
      <c r="J35" s="87">
        <f>'2019'!J35</f>
        <v>1</v>
      </c>
      <c r="K35" s="173">
        <f>'2016'!K35</f>
        <v>0</v>
      </c>
      <c r="L35" s="87">
        <f>'2017'!K35</f>
        <v>0</v>
      </c>
      <c r="M35" s="87">
        <f>'2018'!K35</f>
        <v>0</v>
      </c>
      <c r="N35" s="174">
        <f>'2019'!K35</f>
        <v>0</v>
      </c>
      <c r="O35" s="184" t="str">
        <f>'2016'!N35</f>
        <v xml:space="preserve"> -</v>
      </c>
      <c r="P35" s="185" t="str">
        <f>'2017'!N35</f>
        <v xml:space="preserve"> -</v>
      </c>
      <c r="Q35" s="186" t="str">
        <f>'2018'!N35</f>
        <v xml:space="preserve"> -</v>
      </c>
      <c r="R35" s="185">
        <f>'2019'!N35</f>
        <v>0</v>
      </c>
      <c r="S35" s="210">
        <v>0</v>
      </c>
      <c r="T35" s="79" t="s">
        <v>160</v>
      </c>
      <c r="U35" s="86">
        <f>+'2016'!P35+'2017'!P35</f>
        <v>0</v>
      </c>
      <c r="V35" s="86">
        <f>+'2016'!Q35+'2017'!Q35</f>
        <v>0</v>
      </c>
      <c r="W35" s="86">
        <f>+'2016'!R35+'2017'!R35</f>
        <v>0</v>
      </c>
      <c r="X35" s="57" t="str">
        <f t="shared" si="0"/>
        <v xml:space="preserve"> -</v>
      </c>
      <c r="Y35" s="58" t="str">
        <f t="shared" si="1"/>
        <v xml:space="preserve"> -</v>
      </c>
    </row>
    <row r="36" spans="2:25" ht="30">
      <c r="B36" s="375"/>
      <c r="C36" s="375"/>
      <c r="D36" s="339" t="s">
        <v>79</v>
      </c>
      <c r="E36" s="12" t="s">
        <v>52</v>
      </c>
      <c r="F36" s="119">
        <v>1</v>
      </c>
      <c r="G36" s="119">
        <f>'2016'!J38</f>
        <v>0</v>
      </c>
      <c r="H36" s="120">
        <f>'2017'!J36</f>
        <v>1</v>
      </c>
      <c r="I36" s="120">
        <f>'2018'!J36</f>
        <v>0</v>
      </c>
      <c r="J36" s="120">
        <f>'2019'!J36</f>
        <v>0</v>
      </c>
      <c r="K36" s="177">
        <f>'2016'!K38</f>
        <v>0</v>
      </c>
      <c r="L36" s="120">
        <f>'2017'!K36</f>
        <v>0.9</v>
      </c>
      <c r="M36" s="120">
        <f>'2018'!K36</f>
        <v>0.1</v>
      </c>
      <c r="N36" s="123">
        <f>'2019'!K36</f>
        <v>0</v>
      </c>
      <c r="O36" s="193" t="str">
        <f>'2016'!N38</f>
        <v xml:space="preserve"> -</v>
      </c>
      <c r="P36" s="194">
        <f>'2017'!N36</f>
        <v>0.9</v>
      </c>
      <c r="Q36" s="195" t="str">
        <f>'2018'!N36</f>
        <v xml:space="preserve"> -</v>
      </c>
      <c r="R36" s="194" t="str">
        <f>'2019'!N36</f>
        <v xml:space="preserve"> -</v>
      </c>
      <c r="S36" s="212">
        <v>1</v>
      </c>
      <c r="T36" s="124">
        <v>2210158</v>
      </c>
      <c r="U36" s="125">
        <f>+'2016'!P38+'2017'!P36</f>
        <v>1035842</v>
      </c>
      <c r="V36" s="125">
        <f>+'2016'!Q38+'2017'!Q36</f>
        <v>1035842</v>
      </c>
      <c r="W36" s="125">
        <f>+'2016'!R38+'2017'!R36</f>
        <v>259672</v>
      </c>
      <c r="X36" s="119">
        <f t="shared" si="0"/>
        <v>1</v>
      </c>
      <c r="Y36" s="123">
        <f t="shared" si="1"/>
        <v>0.25068688081773088</v>
      </c>
    </row>
    <row r="37" spans="2:25" ht="30">
      <c r="B37" s="375"/>
      <c r="C37" s="375"/>
      <c r="D37" s="340"/>
      <c r="E37" s="8" t="s">
        <v>53</v>
      </c>
      <c r="F37" s="26">
        <v>1</v>
      </c>
      <c r="G37" s="26">
        <f>'2016'!J39</f>
        <v>0</v>
      </c>
      <c r="H37" s="92">
        <f>'2017'!J37</f>
        <v>0</v>
      </c>
      <c r="I37" s="92">
        <f>'2018'!J37</f>
        <v>0.1</v>
      </c>
      <c r="J37" s="92">
        <f>'2019'!J37</f>
        <v>0.9</v>
      </c>
      <c r="K37" s="176">
        <f>'2016'!K39</f>
        <v>0</v>
      </c>
      <c r="L37" s="92">
        <f>'2017'!K37</f>
        <v>0</v>
      </c>
      <c r="M37" s="92">
        <f>'2018'!K37</f>
        <v>0.03</v>
      </c>
      <c r="N37" s="23">
        <f>'2019'!K37</f>
        <v>0</v>
      </c>
      <c r="O37" s="190" t="str">
        <f>'2016'!N39</f>
        <v xml:space="preserve"> -</v>
      </c>
      <c r="P37" s="191" t="str">
        <f>'2017'!N37</f>
        <v xml:space="preserve"> -</v>
      </c>
      <c r="Q37" s="192">
        <f>'2018'!N37</f>
        <v>0.3</v>
      </c>
      <c r="R37" s="191">
        <f>'2019'!N37</f>
        <v>0</v>
      </c>
      <c r="S37" s="209">
        <v>0.03</v>
      </c>
      <c r="T37" s="78">
        <v>2210158</v>
      </c>
      <c r="U37" s="125">
        <f>+'2016'!P39+'2017'!P37</f>
        <v>0</v>
      </c>
      <c r="V37" s="125">
        <f>+'2016'!Q39+'2017'!Q37</f>
        <v>0</v>
      </c>
      <c r="W37" s="125">
        <f>+'2016'!R39+'2017'!R37</f>
        <v>0</v>
      </c>
      <c r="X37" s="26" t="str">
        <f t="shared" si="0"/>
        <v xml:space="preserve"> -</v>
      </c>
      <c r="Y37" s="23" t="str">
        <f t="shared" si="1"/>
        <v xml:space="preserve"> -</v>
      </c>
    </row>
    <row r="38" spans="2:25" ht="31" thickBot="1">
      <c r="B38" s="375"/>
      <c r="C38" s="375"/>
      <c r="D38" s="341"/>
      <c r="E38" s="10" t="s">
        <v>55</v>
      </c>
      <c r="F38" s="40">
        <v>1</v>
      </c>
      <c r="G38" s="40">
        <f>'2016'!J41</f>
        <v>0</v>
      </c>
      <c r="H38" s="108">
        <f>'2017'!J38</f>
        <v>1</v>
      </c>
      <c r="I38" s="108">
        <f>'2018'!J38</f>
        <v>0</v>
      </c>
      <c r="J38" s="108">
        <f>'2019'!J38</f>
        <v>0</v>
      </c>
      <c r="K38" s="178">
        <f>'2016'!K41</f>
        <v>0</v>
      </c>
      <c r="L38" s="108">
        <f>'2017'!K38</f>
        <v>0.95</v>
      </c>
      <c r="M38" s="108">
        <f>'2018'!K38</f>
        <v>0.05</v>
      </c>
      <c r="N38" s="39">
        <f>'2019'!K38</f>
        <v>0</v>
      </c>
      <c r="O38" s="196" t="str">
        <f>'2016'!N41</f>
        <v xml:space="preserve"> -</v>
      </c>
      <c r="P38" s="197">
        <f>'2017'!N38</f>
        <v>0.95</v>
      </c>
      <c r="Q38" s="198" t="str">
        <f>'2018'!N38</f>
        <v xml:space="preserve"> -</v>
      </c>
      <c r="R38" s="197" t="str">
        <f>'2019'!N38</f>
        <v xml:space="preserve"> -</v>
      </c>
      <c r="S38" s="213">
        <v>1</v>
      </c>
      <c r="T38" s="107">
        <v>2210158</v>
      </c>
      <c r="U38" s="86">
        <f>+'2016'!P41+'2017'!P38</f>
        <v>1014000</v>
      </c>
      <c r="V38" s="86">
        <f>+'2016'!Q41+'2017'!Q38</f>
        <v>1014000</v>
      </c>
      <c r="W38" s="86">
        <f>+'2016'!R41+'2017'!R38</f>
        <v>243800</v>
      </c>
      <c r="X38" s="40">
        <f t="shared" si="0"/>
        <v>1</v>
      </c>
      <c r="Y38" s="39">
        <f t="shared" si="1"/>
        <v>0.24043392504930966</v>
      </c>
    </row>
    <row r="39" spans="2:25" ht="60">
      <c r="B39" s="375"/>
      <c r="C39" s="375"/>
      <c r="D39" s="334" t="s">
        <v>80</v>
      </c>
      <c r="E39" s="13" t="s">
        <v>56</v>
      </c>
      <c r="F39" s="19">
        <v>1</v>
      </c>
      <c r="G39" s="19">
        <f>'2016'!J42</f>
        <v>0.1</v>
      </c>
      <c r="H39" s="91">
        <f>'2017'!J39</f>
        <v>0.9</v>
      </c>
      <c r="I39" s="91">
        <f>'2018'!J39</f>
        <v>0</v>
      </c>
      <c r="J39" s="91">
        <f>'2019'!J39</f>
        <v>0</v>
      </c>
      <c r="K39" s="175">
        <f>'2016'!K42</f>
        <v>0.15</v>
      </c>
      <c r="L39" s="91">
        <f>'2017'!K39</f>
        <v>0.5</v>
      </c>
      <c r="M39" s="91">
        <f>'2018'!K39</f>
        <v>0.3</v>
      </c>
      <c r="N39" s="18">
        <f>'2019'!K39</f>
        <v>0</v>
      </c>
      <c r="O39" s="181">
        <f>'2016'!N42</f>
        <v>1</v>
      </c>
      <c r="P39" s="182">
        <f>'2017'!N39</f>
        <v>0.55555555555555558</v>
      </c>
      <c r="Q39" s="183" t="str">
        <f>'2018'!N39</f>
        <v xml:space="preserve"> -</v>
      </c>
      <c r="R39" s="182" t="str">
        <f>'2019'!N39</f>
        <v xml:space="preserve"> -</v>
      </c>
      <c r="S39" s="208">
        <v>0.95</v>
      </c>
      <c r="T39" s="77">
        <v>2210159</v>
      </c>
      <c r="U39" s="218">
        <f>+'2016'!P42+'2017'!P39</f>
        <v>36750</v>
      </c>
      <c r="V39" s="218">
        <f>+'2016'!Q42+'2017'!Q39</f>
        <v>36750</v>
      </c>
      <c r="W39" s="218">
        <f>+'2016'!R42+'2017'!R39</f>
        <v>0</v>
      </c>
      <c r="X39" s="19">
        <f t="shared" si="0"/>
        <v>1</v>
      </c>
      <c r="Y39" s="18" t="str">
        <f t="shared" si="1"/>
        <v xml:space="preserve"> -</v>
      </c>
    </row>
    <row r="40" spans="2:25" ht="60">
      <c r="B40" s="375"/>
      <c r="C40" s="375"/>
      <c r="D40" s="335"/>
      <c r="E40" s="8" t="s">
        <v>57</v>
      </c>
      <c r="F40" s="26">
        <v>1</v>
      </c>
      <c r="G40" s="26">
        <f>'2016'!J43</f>
        <v>0.1</v>
      </c>
      <c r="H40" s="92">
        <f>'2017'!J40</f>
        <v>0.9</v>
      </c>
      <c r="I40" s="92">
        <f>'2018'!J40</f>
        <v>0</v>
      </c>
      <c r="J40" s="92">
        <f>'2019'!J40</f>
        <v>0</v>
      </c>
      <c r="K40" s="176">
        <f>'2016'!K43</f>
        <v>0.15</v>
      </c>
      <c r="L40" s="92">
        <f>'2017'!K40</f>
        <v>0.5</v>
      </c>
      <c r="M40" s="92">
        <f>'2018'!K40</f>
        <v>0.3</v>
      </c>
      <c r="N40" s="23">
        <f>'2019'!K40</f>
        <v>0</v>
      </c>
      <c r="O40" s="190">
        <f>'2016'!N43</f>
        <v>1</v>
      </c>
      <c r="P40" s="191">
        <f>'2017'!N40</f>
        <v>0.55555555555555558</v>
      </c>
      <c r="Q40" s="192" t="str">
        <f>'2018'!N40</f>
        <v xml:space="preserve"> -</v>
      </c>
      <c r="R40" s="191" t="str">
        <f>'2019'!N40</f>
        <v xml:space="preserve"> -</v>
      </c>
      <c r="S40" s="209">
        <v>0.95</v>
      </c>
      <c r="T40" s="78">
        <v>2210159</v>
      </c>
      <c r="U40" s="105">
        <f>+'2016'!P43+'2017'!P40</f>
        <v>0</v>
      </c>
      <c r="V40" s="105">
        <f>+'2016'!Q43+'2017'!Q40</f>
        <v>0</v>
      </c>
      <c r="W40" s="105">
        <f>+'2016'!R43+'2017'!R40</f>
        <v>0</v>
      </c>
      <c r="X40" s="26" t="str">
        <f t="shared" si="0"/>
        <v xml:space="preserve"> -</v>
      </c>
      <c r="Y40" s="23" t="str">
        <f t="shared" si="1"/>
        <v xml:space="preserve"> -</v>
      </c>
    </row>
    <row r="41" spans="2:25" ht="30">
      <c r="B41" s="375"/>
      <c r="C41" s="375"/>
      <c r="D41" s="335"/>
      <c r="E41" s="8" t="s">
        <v>58</v>
      </c>
      <c r="F41" s="84">
        <v>10</v>
      </c>
      <c r="G41" s="84">
        <f>'2016'!J44</f>
        <v>1</v>
      </c>
      <c r="H41" s="85">
        <f>'2017'!J41</f>
        <v>3</v>
      </c>
      <c r="I41" s="85">
        <f>'2018'!J41</f>
        <v>4</v>
      </c>
      <c r="J41" s="85">
        <f>'2019'!J41</f>
        <v>2</v>
      </c>
      <c r="K41" s="171">
        <f>'2016'!K44</f>
        <v>0.5</v>
      </c>
      <c r="L41" s="85">
        <f>'2017'!K41</f>
        <v>5</v>
      </c>
      <c r="M41" s="85">
        <f>'2018'!K41</f>
        <v>6</v>
      </c>
      <c r="N41" s="172">
        <f>'2019'!K41</f>
        <v>0</v>
      </c>
      <c r="O41" s="190">
        <f>'2016'!N44</f>
        <v>0.5</v>
      </c>
      <c r="P41" s="191">
        <f>'2017'!N41</f>
        <v>1</v>
      </c>
      <c r="Q41" s="192">
        <f>'2018'!N41</f>
        <v>1</v>
      </c>
      <c r="R41" s="191">
        <f>'2019'!N41</f>
        <v>0</v>
      </c>
      <c r="S41" s="209">
        <v>1</v>
      </c>
      <c r="T41" s="78">
        <v>2210159</v>
      </c>
      <c r="U41" s="105">
        <f>+'2016'!P44+'2017'!P41</f>
        <v>0</v>
      </c>
      <c r="V41" s="105">
        <f>+'2016'!Q44+'2017'!Q41</f>
        <v>0</v>
      </c>
      <c r="W41" s="105">
        <f>+'2016'!R44+'2017'!R41</f>
        <v>0</v>
      </c>
      <c r="X41" s="26" t="str">
        <f t="shared" si="0"/>
        <v xml:space="preserve"> -</v>
      </c>
      <c r="Y41" s="23" t="str">
        <f t="shared" si="1"/>
        <v xml:space="preserve"> -</v>
      </c>
    </row>
    <row r="42" spans="2:25" ht="75">
      <c r="B42" s="375"/>
      <c r="C42" s="375"/>
      <c r="D42" s="335"/>
      <c r="E42" s="8" t="s">
        <v>59</v>
      </c>
      <c r="F42" s="84">
        <v>1</v>
      </c>
      <c r="G42" s="84">
        <f>'2016'!J45</f>
        <v>0</v>
      </c>
      <c r="H42" s="85">
        <f>'2017'!J42</f>
        <v>1</v>
      </c>
      <c r="I42" s="85">
        <f>'2018'!J42</f>
        <v>1</v>
      </c>
      <c r="J42" s="85">
        <f>'2019'!J42</f>
        <v>1</v>
      </c>
      <c r="K42" s="171">
        <f>'2016'!K45</f>
        <v>0</v>
      </c>
      <c r="L42" s="85">
        <f>'2017'!K42</f>
        <v>0</v>
      </c>
      <c r="M42" s="85">
        <f>'2018'!K42</f>
        <v>0</v>
      </c>
      <c r="N42" s="172">
        <f>'2019'!K42</f>
        <v>0</v>
      </c>
      <c r="O42" s="190" t="str">
        <f>'2016'!N45</f>
        <v xml:space="preserve"> -</v>
      </c>
      <c r="P42" s="191">
        <f>'2017'!N42</f>
        <v>0</v>
      </c>
      <c r="Q42" s="192">
        <f>'2018'!N42</f>
        <v>0</v>
      </c>
      <c r="R42" s="191">
        <f>'2019'!N42</f>
        <v>0</v>
      </c>
      <c r="S42" s="209">
        <v>0</v>
      </c>
      <c r="T42" s="78" t="s">
        <v>160</v>
      </c>
      <c r="U42" s="105">
        <f>+'2016'!P45+'2017'!P42</f>
        <v>0</v>
      </c>
      <c r="V42" s="105">
        <f>+'2016'!Q45+'2017'!Q42</f>
        <v>0</v>
      </c>
      <c r="W42" s="105">
        <f>+'2016'!R45+'2017'!R42</f>
        <v>0</v>
      </c>
      <c r="X42" s="26" t="str">
        <f t="shared" si="0"/>
        <v xml:space="preserve"> -</v>
      </c>
      <c r="Y42" s="23" t="str">
        <f t="shared" si="1"/>
        <v xml:space="preserve"> -</v>
      </c>
    </row>
    <row r="43" spans="2:25" ht="76" thickBot="1">
      <c r="B43" s="375"/>
      <c r="C43" s="375"/>
      <c r="D43" s="336"/>
      <c r="E43" s="11" t="s">
        <v>60</v>
      </c>
      <c r="F43" s="86">
        <v>20</v>
      </c>
      <c r="G43" s="86">
        <f>'2016'!J46</f>
        <v>0</v>
      </c>
      <c r="H43" s="87">
        <f>'2017'!J43</f>
        <v>7</v>
      </c>
      <c r="I43" s="87">
        <f>'2018'!J43</f>
        <v>7</v>
      </c>
      <c r="J43" s="87">
        <f>'2019'!J43</f>
        <v>6</v>
      </c>
      <c r="K43" s="173">
        <f>'2016'!K46</f>
        <v>0</v>
      </c>
      <c r="L43" s="87">
        <f>'2017'!K43</f>
        <v>8</v>
      </c>
      <c r="M43" s="87">
        <f>'2018'!K43</f>
        <v>2</v>
      </c>
      <c r="N43" s="174">
        <f>'2019'!K43</f>
        <v>0</v>
      </c>
      <c r="O43" s="184" t="str">
        <f>'2016'!N46</f>
        <v xml:space="preserve"> -</v>
      </c>
      <c r="P43" s="185">
        <f>'2017'!N43</f>
        <v>1</v>
      </c>
      <c r="Q43" s="186">
        <f>'2018'!N43</f>
        <v>0.2857142857142857</v>
      </c>
      <c r="R43" s="185">
        <f>'2019'!N43</f>
        <v>0</v>
      </c>
      <c r="S43" s="210">
        <v>0.5</v>
      </c>
      <c r="T43" s="79" t="s">
        <v>160</v>
      </c>
      <c r="U43" s="86">
        <f>+'2016'!P46+'2017'!P43</f>
        <v>0</v>
      </c>
      <c r="V43" s="86">
        <f>+'2016'!Q46+'2017'!Q43</f>
        <v>0</v>
      </c>
      <c r="W43" s="86">
        <f>+'2016'!R46+'2017'!R43</f>
        <v>0</v>
      </c>
      <c r="X43" s="57" t="str">
        <f t="shared" si="0"/>
        <v xml:space="preserve"> -</v>
      </c>
      <c r="Y43" s="58" t="str">
        <f t="shared" si="1"/>
        <v xml:space="preserve"> -</v>
      </c>
    </row>
    <row r="44" spans="2:25" ht="76" thickBot="1">
      <c r="B44" s="372"/>
      <c r="C44" s="372"/>
      <c r="D44" s="126" t="s">
        <v>81</v>
      </c>
      <c r="E44" s="127" t="s">
        <v>61</v>
      </c>
      <c r="F44" s="111">
        <v>1</v>
      </c>
      <c r="G44" s="111">
        <f>'2016'!J47</f>
        <v>0</v>
      </c>
      <c r="H44" s="112">
        <f>'2017'!J44</f>
        <v>0</v>
      </c>
      <c r="I44" s="112">
        <f>'2018'!J44</f>
        <v>0</v>
      </c>
      <c r="J44" s="112">
        <f>'2019'!J44</f>
        <v>1</v>
      </c>
      <c r="K44" s="166">
        <f>'2016'!K47</f>
        <v>0</v>
      </c>
      <c r="L44" s="112">
        <f>'2017'!K44</f>
        <v>0</v>
      </c>
      <c r="M44" s="112">
        <f>'2018'!K44</f>
        <v>0</v>
      </c>
      <c r="N44" s="167">
        <f>'2019'!K44</f>
        <v>0</v>
      </c>
      <c r="O44" s="199" t="str">
        <f>'2016'!N47</f>
        <v xml:space="preserve"> -</v>
      </c>
      <c r="P44" s="200" t="str">
        <f>'2017'!N44</f>
        <v xml:space="preserve"> -</v>
      </c>
      <c r="Q44" s="201" t="str">
        <f>'2018'!N44</f>
        <v xml:space="preserve"> -</v>
      </c>
      <c r="R44" s="200">
        <f>'2019'!N44</f>
        <v>0</v>
      </c>
      <c r="S44" s="207">
        <v>0</v>
      </c>
      <c r="T44" s="116" t="s">
        <v>160</v>
      </c>
      <c r="U44" s="218">
        <f>+'2016'!P47+'2017'!P44</f>
        <v>0</v>
      </c>
      <c r="V44" s="218">
        <f>+'2016'!Q47+'2017'!Q44</f>
        <v>0</v>
      </c>
      <c r="W44" s="218">
        <f>+'2016'!R47+'2017'!R44</f>
        <v>0</v>
      </c>
      <c r="X44" s="117" t="str">
        <f t="shared" si="0"/>
        <v xml:space="preserve"> -</v>
      </c>
      <c r="Y44" s="115" t="str">
        <f t="shared" si="1"/>
        <v xml:space="preserve"> -</v>
      </c>
    </row>
    <row r="45" spans="2:25" ht="13" customHeight="1" thickBot="1">
      <c r="B45" s="305"/>
      <c r="C45" s="306"/>
      <c r="D45" s="307"/>
      <c r="E45" s="306"/>
      <c r="F45" s="150"/>
      <c r="G45" s="150"/>
      <c r="H45" s="150"/>
      <c r="I45" s="150"/>
      <c r="J45" s="150"/>
      <c r="K45" s="150"/>
      <c r="L45" s="150"/>
      <c r="M45" s="150"/>
      <c r="N45" s="150"/>
      <c r="O45" s="215"/>
      <c r="P45" s="215"/>
      <c r="Q45" s="215"/>
      <c r="R45" s="215"/>
      <c r="S45" s="216"/>
      <c r="T45" s="217"/>
      <c r="U45" s="215"/>
      <c r="V45" s="216"/>
      <c r="W45" s="217"/>
      <c r="X45" s="215"/>
      <c r="Y45" s="311"/>
    </row>
    <row r="46" spans="2:25" s="304" customFormat="1" ht="30" customHeight="1">
      <c r="B46" s="391" t="s">
        <v>91</v>
      </c>
      <c r="C46" s="375" t="s">
        <v>90</v>
      </c>
      <c r="D46" s="402" t="s">
        <v>82</v>
      </c>
      <c r="E46" s="313" t="s">
        <v>151</v>
      </c>
      <c r="F46" s="316">
        <v>200</v>
      </c>
      <c r="G46" s="395" t="s">
        <v>152</v>
      </c>
      <c r="H46" s="396"/>
      <c r="I46" s="316">
        <v>0</v>
      </c>
      <c r="J46" s="318">
        <v>190</v>
      </c>
      <c r="K46" s="397" t="s">
        <v>152</v>
      </c>
      <c r="L46" s="396"/>
      <c r="M46" s="325">
        <f>+'2018'!K46</f>
        <v>0</v>
      </c>
      <c r="N46" s="326">
        <f>+'2019'!K46</f>
        <v>0</v>
      </c>
      <c r="O46" s="398" t="s">
        <v>152</v>
      </c>
      <c r="P46" s="399"/>
      <c r="Q46" s="183" t="str">
        <f>'2018'!N46</f>
        <v xml:space="preserve"> -</v>
      </c>
      <c r="R46" s="327">
        <f>'2019'!N46</f>
        <v>0</v>
      </c>
      <c r="S46" s="208">
        <v>0.01</v>
      </c>
      <c r="T46" s="319" t="s">
        <v>160</v>
      </c>
      <c r="U46" s="320"/>
      <c r="V46" s="321"/>
      <c r="W46" s="322"/>
      <c r="X46" s="320"/>
      <c r="Y46" s="323"/>
    </row>
    <row r="47" spans="2:25" ht="30" customHeight="1" thickBot="1">
      <c r="B47" s="392"/>
      <c r="C47" s="372"/>
      <c r="D47" s="403"/>
      <c r="E47" s="127" t="s">
        <v>62</v>
      </c>
      <c r="F47" s="111">
        <v>1</v>
      </c>
      <c r="G47" s="111">
        <f>'2016'!J49</f>
        <v>1</v>
      </c>
      <c r="H47" s="112">
        <f>'2017'!J46</f>
        <v>1</v>
      </c>
      <c r="I47" s="112">
        <f>'2018'!J47</f>
        <v>1</v>
      </c>
      <c r="J47" s="112">
        <f>'2019'!J47</f>
        <v>1</v>
      </c>
      <c r="K47" s="166">
        <f>'2016'!K49</f>
        <v>0</v>
      </c>
      <c r="L47" s="112">
        <f>'2017'!K46</f>
        <v>0.1</v>
      </c>
      <c r="M47" s="112">
        <f>'2018'!K47</f>
        <v>0.1</v>
      </c>
      <c r="N47" s="167">
        <f>'2019'!K47</f>
        <v>0</v>
      </c>
      <c r="O47" s="199">
        <f>'2016'!N49</f>
        <v>0</v>
      </c>
      <c r="P47" s="200">
        <f>'2017'!N46</f>
        <v>0.1</v>
      </c>
      <c r="Q47" s="201">
        <f>'2018'!N47</f>
        <v>0.1</v>
      </c>
      <c r="R47" s="200">
        <f>'2019'!N47</f>
        <v>0</v>
      </c>
      <c r="S47" s="317">
        <v>2.5000000000000001E-2</v>
      </c>
      <c r="T47" s="324">
        <v>2210169</v>
      </c>
      <c r="U47" s="111">
        <f>+'2016'!P49+'2017'!P46</f>
        <v>0</v>
      </c>
      <c r="V47" s="111">
        <f>+'2016'!Q49+'2017'!Q46</f>
        <v>0</v>
      </c>
      <c r="W47" s="111">
        <f>+'2016'!R49+'2017'!R46</f>
        <v>0</v>
      </c>
      <c r="X47" s="117" t="str">
        <f t="shared" si="0"/>
        <v xml:space="preserve"> -</v>
      </c>
      <c r="Y47" s="115" t="str">
        <f t="shared" si="1"/>
        <v xml:space="preserve"> -</v>
      </c>
    </row>
    <row r="48" spans="2:25" ht="13" customHeight="1" thickBot="1">
      <c r="B48" s="65"/>
      <c r="C48" s="51"/>
      <c r="D48" s="50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4"/>
      <c r="P48" s="54"/>
      <c r="Q48" s="54"/>
      <c r="R48" s="54"/>
      <c r="S48" s="214"/>
      <c r="T48" s="80"/>
      <c r="U48" s="215"/>
      <c r="V48" s="216"/>
      <c r="W48" s="217"/>
      <c r="X48" s="54"/>
      <c r="Y48" s="55"/>
    </row>
    <row r="49" spans="2:25" ht="30">
      <c r="B49" s="375" t="s">
        <v>95</v>
      </c>
      <c r="C49" s="371" t="s">
        <v>94</v>
      </c>
      <c r="D49" s="337" t="s">
        <v>84</v>
      </c>
      <c r="E49" s="15" t="s">
        <v>65</v>
      </c>
      <c r="F49" s="82">
        <v>2</v>
      </c>
      <c r="G49" s="82">
        <f>'2016'!J54</f>
        <v>0</v>
      </c>
      <c r="H49" s="83">
        <f>'2017'!J48</f>
        <v>1</v>
      </c>
      <c r="I49" s="83">
        <f>'2018'!J49</f>
        <v>0</v>
      </c>
      <c r="J49" s="83">
        <f>'2019'!J49</f>
        <v>1</v>
      </c>
      <c r="K49" s="169">
        <f>'2016'!K54</f>
        <v>0</v>
      </c>
      <c r="L49" s="83">
        <f>'2017'!K48</f>
        <v>0</v>
      </c>
      <c r="M49" s="83">
        <f>'2018'!K49</f>
        <v>1</v>
      </c>
      <c r="N49" s="170">
        <f>'2019'!K49</f>
        <v>0</v>
      </c>
      <c r="O49" s="181" t="str">
        <f>'2016'!N54</f>
        <v xml:space="preserve"> -</v>
      </c>
      <c r="P49" s="182">
        <f>'2017'!N48</f>
        <v>0</v>
      </c>
      <c r="Q49" s="183" t="str">
        <f>'2018'!N49</f>
        <v xml:space="preserve"> -</v>
      </c>
      <c r="R49" s="182">
        <f>'2019'!N49</f>
        <v>0</v>
      </c>
      <c r="S49" s="208">
        <v>0</v>
      </c>
      <c r="T49" s="77">
        <v>2210847</v>
      </c>
      <c r="U49" s="84">
        <f>+'2016'!P54+'2017'!P48</f>
        <v>0</v>
      </c>
      <c r="V49" s="84">
        <f>+'2016'!Q54+'2017'!Q48</f>
        <v>0</v>
      </c>
      <c r="W49" s="84">
        <f>+'2016'!R54+'2017'!R48</f>
        <v>0</v>
      </c>
      <c r="X49" s="19" t="str">
        <f t="shared" si="0"/>
        <v xml:space="preserve"> -</v>
      </c>
      <c r="Y49" s="18" t="str">
        <f t="shared" si="1"/>
        <v xml:space="preserve"> -</v>
      </c>
    </row>
    <row r="50" spans="2:25" ht="30">
      <c r="B50" s="375"/>
      <c r="C50" s="375"/>
      <c r="D50" s="340"/>
      <c r="E50" s="14" t="s">
        <v>66</v>
      </c>
      <c r="F50" s="84">
        <v>1</v>
      </c>
      <c r="G50" s="84">
        <f>'2016'!J55</f>
        <v>0</v>
      </c>
      <c r="H50" s="85">
        <f>'2017'!J49</f>
        <v>0</v>
      </c>
      <c r="I50" s="85">
        <f>'2018'!J50</f>
        <v>0</v>
      </c>
      <c r="J50" s="85">
        <f>'2019'!J50</f>
        <v>1</v>
      </c>
      <c r="K50" s="171">
        <f>'2016'!K55</f>
        <v>0</v>
      </c>
      <c r="L50" s="85">
        <f>'2017'!K49</f>
        <v>0</v>
      </c>
      <c r="M50" s="85">
        <f>'2018'!K50</f>
        <v>0</v>
      </c>
      <c r="N50" s="172">
        <f>'2019'!K50</f>
        <v>0</v>
      </c>
      <c r="O50" s="190" t="str">
        <f>'2016'!N55</f>
        <v xml:space="preserve"> -</v>
      </c>
      <c r="P50" s="191" t="str">
        <f>'2017'!N49</f>
        <v xml:space="preserve"> -</v>
      </c>
      <c r="Q50" s="192" t="str">
        <f>'2018'!N50</f>
        <v xml:space="preserve"> -</v>
      </c>
      <c r="R50" s="191">
        <f>'2019'!N50</f>
        <v>0</v>
      </c>
      <c r="S50" s="209">
        <v>0</v>
      </c>
      <c r="T50" s="78">
        <v>2210847</v>
      </c>
      <c r="U50" s="84">
        <f>+'2016'!P55+'2017'!P49</f>
        <v>0</v>
      </c>
      <c r="V50" s="84">
        <f>+'2016'!Q55+'2017'!Q49</f>
        <v>0</v>
      </c>
      <c r="W50" s="84">
        <f>+'2016'!R55+'2017'!R49</f>
        <v>0</v>
      </c>
      <c r="X50" s="26" t="str">
        <f t="shared" si="0"/>
        <v xml:space="preserve"> -</v>
      </c>
      <c r="Y50" s="23" t="str">
        <f t="shared" si="1"/>
        <v xml:space="preserve"> -</v>
      </c>
    </row>
    <row r="51" spans="2:25" ht="45">
      <c r="B51" s="375"/>
      <c r="C51" s="375"/>
      <c r="D51" s="340"/>
      <c r="E51" s="14" t="s">
        <v>67</v>
      </c>
      <c r="F51" s="84">
        <v>1</v>
      </c>
      <c r="G51" s="84">
        <f>'2016'!J56</f>
        <v>0</v>
      </c>
      <c r="H51" s="85">
        <f>'2017'!J50</f>
        <v>0</v>
      </c>
      <c r="I51" s="85">
        <f>'2018'!J51</f>
        <v>0</v>
      </c>
      <c r="J51" s="85">
        <f>'2019'!J51</f>
        <v>1</v>
      </c>
      <c r="K51" s="171">
        <f>'2016'!K56</f>
        <v>0</v>
      </c>
      <c r="L51" s="85">
        <f>'2017'!K50</f>
        <v>0</v>
      </c>
      <c r="M51" s="85">
        <f>'2018'!K51</f>
        <v>0</v>
      </c>
      <c r="N51" s="172">
        <f>'2019'!K51</f>
        <v>0</v>
      </c>
      <c r="O51" s="190" t="str">
        <f>'2016'!N56</f>
        <v xml:space="preserve"> -</v>
      </c>
      <c r="P51" s="191" t="str">
        <f>'2017'!N50</f>
        <v xml:space="preserve"> -</v>
      </c>
      <c r="Q51" s="192" t="str">
        <f>'2018'!N51</f>
        <v xml:space="preserve"> -</v>
      </c>
      <c r="R51" s="191">
        <f>'2019'!N51</f>
        <v>0</v>
      </c>
      <c r="S51" s="209">
        <v>0</v>
      </c>
      <c r="T51" s="78" t="s">
        <v>160</v>
      </c>
      <c r="U51" s="84">
        <f>+'2016'!P56+'2017'!P50</f>
        <v>0</v>
      </c>
      <c r="V51" s="84">
        <f>+'2016'!Q56+'2017'!Q50</f>
        <v>0</v>
      </c>
      <c r="W51" s="84">
        <f>+'2016'!R56+'2017'!R50</f>
        <v>0</v>
      </c>
      <c r="X51" s="26" t="str">
        <f t="shared" si="0"/>
        <v xml:space="preserve"> -</v>
      </c>
      <c r="Y51" s="23" t="str">
        <f t="shared" si="1"/>
        <v xml:space="preserve"> -</v>
      </c>
    </row>
    <row r="52" spans="2:25" ht="46" thickBot="1">
      <c r="B52" s="372"/>
      <c r="C52" s="372"/>
      <c r="D52" s="338"/>
      <c r="E52" s="62" t="s">
        <v>68</v>
      </c>
      <c r="F52" s="86">
        <v>1</v>
      </c>
      <c r="G52" s="86">
        <f>'2016'!J57</f>
        <v>0</v>
      </c>
      <c r="H52" s="87">
        <f>'2017'!J51</f>
        <v>0</v>
      </c>
      <c r="I52" s="87">
        <f>'2018'!J52</f>
        <v>0</v>
      </c>
      <c r="J52" s="87">
        <f>'2019'!J52</f>
        <v>1</v>
      </c>
      <c r="K52" s="173">
        <f>'2016'!K57</f>
        <v>0</v>
      </c>
      <c r="L52" s="87">
        <f>'2017'!K51</f>
        <v>0</v>
      </c>
      <c r="M52" s="87">
        <f>'2018'!K52</f>
        <v>0</v>
      </c>
      <c r="N52" s="174">
        <f>'2019'!K52</f>
        <v>0</v>
      </c>
      <c r="O52" s="184" t="str">
        <f>'2016'!N57</f>
        <v xml:space="preserve"> -</v>
      </c>
      <c r="P52" s="185" t="str">
        <f>'2017'!N51</f>
        <v xml:space="preserve"> -</v>
      </c>
      <c r="Q52" s="186" t="str">
        <f>'2018'!N52</f>
        <v xml:space="preserve"> -</v>
      </c>
      <c r="R52" s="185">
        <f>'2019'!N52</f>
        <v>0</v>
      </c>
      <c r="S52" s="210">
        <v>0</v>
      </c>
      <c r="T52" s="79">
        <v>2210847</v>
      </c>
      <c r="U52" s="84">
        <f>+'2016'!P57+'2017'!P51</f>
        <v>0</v>
      </c>
      <c r="V52" s="84">
        <f>+'2016'!Q57+'2017'!Q51</f>
        <v>0</v>
      </c>
      <c r="W52" s="84">
        <f>+'2016'!R57+'2017'!R51</f>
        <v>0</v>
      </c>
      <c r="X52" s="57" t="str">
        <f t="shared" si="0"/>
        <v xml:space="preserve"> -</v>
      </c>
      <c r="Y52" s="58" t="str">
        <f t="shared" si="1"/>
        <v xml:space="preserve"> -</v>
      </c>
    </row>
    <row r="53" spans="2:25" ht="13" customHeight="1" thickBot="1">
      <c r="B53" s="65"/>
      <c r="C53" s="51"/>
      <c r="D53" s="50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4"/>
      <c r="P53" s="54"/>
      <c r="Q53" s="54"/>
      <c r="R53" s="54"/>
      <c r="S53" s="214"/>
      <c r="T53" s="80"/>
      <c r="U53" s="215"/>
      <c r="V53" s="216"/>
      <c r="W53" s="217"/>
      <c r="X53" s="54"/>
      <c r="Y53" s="55"/>
    </row>
    <row r="54" spans="2:25" ht="46" thickBot="1">
      <c r="B54" s="66" t="s">
        <v>96</v>
      </c>
      <c r="C54" s="66" t="s">
        <v>97</v>
      </c>
      <c r="D54" s="64" t="s">
        <v>85</v>
      </c>
      <c r="E54" s="63" t="s">
        <v>100</v>
      </c>
      <c r="F54" s="88">
        <v>6600</v>
      </c>
      <c r="G54" s="88">
        <f>'2016'!J59</f>
        <v>0</v>
      </c>
      <c r="H54" s="89">
        <f>'2017'!J53</f>
        <v>0</v>
      </c>
      <c r="I54" s="89">
        <f>'2018'!J54</f>
        <v>3300</v>
      </c>
      <c r="J54" s="89">
        <f>'2019'!J54</f>
        <v>3300</v>
      </c>
      <c r="K54" s="164">
        <f>'2016'!K59</f>
        <v>0</v>
      </c>
      <c r="L54" s="89">
        <f>'2017'!K53</f>
        <v>0</v>
      </c>
      <c r="M54" s="89">
        <f>'2018'!K54</f>
        <v>0</v>
      </c>
      <c r="N54" s="165">
        <f>'2019'!K54</f>
        <v>0</v>
      </c>
      <c r="O54" s="187" t="str">
        <f>'2016'!N59</f>
        <v xml:space="preserve"> -</v>
      </c>
      <c r="P54" s="188" t="str">
        <f>'2017'!N53</f>
        <v xml:space="preserve"> -</v>
      </c>
      <c r="Q54" s="189">
        <f>'2018'!N54</f>
        <v>0</v>
      </c>
      <c r="R54" s="188">
        <f>'2019'!N54</f>
        <v>0</v>
      </c>
      <c r="S54" s="206">
        <v>0</v>
      </c>
      <c r="T54" s="81">
        <v>0</v>
      </c>
      <c r="U54" s="105">
        <f>+'2016'!P59+'2017'!P53</f>
        <v>0</v>
      </c>
      <c r="V54" s="105">
        <f>+'2016'!Q59+'2017'!Q53</f>
        <v>0</v>
      </c>
      <c r="W54" s="105">
        <f>+'2016'!R59+'2017'!R53</f>
        <v>0</v>
      </c>
      <c r="X54" s="60" t="str">
        <f t="shared" ref="X54" si="2">IF(U54=0," -",V54/U54)</f>
        <v xml:space="preserve"> -</v>
      </c>
      <c r="Y54" s="61" t="str">
        <f t="shared" ref="Y54" si="3">IF(W54=0," -",IF(V54=0,100%,W54/V54))</f>
        <v xml:space="preserve"> -</v>
      </c>
    </row>
    <row r="55" spans="2:25" ht="13" customHeight="1" thickBot="1">
      <c r="B55" s="65"/>
      <c r="C55" s="51"/>
      <c r="D55" s="50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4"/>
      <c r="P55" s="54"/>
      <c r="Q55" s="54"/>
      <c r="R55" s="54"/>
      <c r="S55" s="214"/>
      <c r="T55" s="80"/>
      <c r="U55" s="215"/>
      <c r="V55" s="216"/>
      <c r="W55" s="217"/>
      <c r="X55" s="54"/>
      <c r="Y55" s="55"/>
    </row>
    <row r="56" spans="2:25" ht="30">
      <c r="B56" s="371" t="s">
        <v>99</v>
      </c>
      <c r="C56" s="371" t="s">
        <v>98</v>
      </c>
      <c r="D56" s="337" t="s">
        <v>86</v>
      </c>
      <c r="E56" s="13" t="s">
        <v>70</v>
      </c>
      <c r="F56" s="82">
        <v>1</v>
      </c>
      <c r="G56" s="82">
        <f>'2016'!J61</f>
        <v>1</v>
      </c>
      <c r="H56" s="83">
        <f>'2017'!J55</f>
        <v>1</v>
      </c>
      <c r="I56" s="83">
        <f>'2018'!J56</f>
        <v>1</v>
      </c>
      <c r="J56" s="83">
        <f>'2019'!J56</f>
        <v>1</v>
      </c>
      <c r="K56" s="169">
        <f>'2016'!K61</f>
        <v>1</v>
      </c>
      <c r="L56" s="83">
        <f>'2017'!K55</f>
        <v>0</v>
      </c>
      <c r="M56" s="83">
        <f>'2018'!K56</f>
        <v>1</v>
      </c>
      <c r="N56" s="170">
        <f>'2019'!K56</f>
        <v>0</v>
      </c>
      <c r="O56" s="181">
        <f>'2016'!N61</f>
        <v>1</v>
      </c>
      <c r="P56" s="182">
        <f>'2017'!N55</f>
        <v>0</v>
      </c>
      <c r="Q56" s="183">
        <f>'2018'!N56</f>
        <v>1</v>
      </c>
      <c r="R56" s="182">
        <f>'2019'!N56</f>
        <v>0</v>
      </c>
      <c r="S56" s="208">
        <v>0.25</v>
      </c>
      <c r="T56" s="77">
        <v>0</v>
      </c>
      <c r="U56" s="125">
        <f>+'2016'!P61+'2017'!P55</f>
        <v>0</v>
      </c>
      <c r="V56" s="125">
        <f>+'2016'!Q61+'2017'!Q55</f>
        <v>0</v>
      </c>
      <c r="W56" s="125">
        <f>+'2016'!R61+'2017'!R55</f>
        <v>0</v>
      </c>
      <c r="X56" s="19" t="str">
        <f t="shared" si="0"/>
        <v xml:space="preserve"> -</v>
      </c>
      <c r="Y56" s="18" t="str">
        <f t="shared" si="1"/>
        <v xml:space="preserve"> -</v>
      </c>
    </row>
    <row r="57" spans="2:25" ht="61" thickBot="1">
      <c r="B57" s="372"/>
      <c r="C57" s="372"/>
      <c r="D57" s="338"/>
      <c r="E57" s="11" t="s">
        <v>71</v>
      </c>
      <c r="F57" s="86">
        <v>1</v>
      </c>
      <c r="G57" s="86">
        <f>'2016'!J62</f>
        <v>1</v>
      </c>
      <c r="H57" s="87">
        <f>'2017'!J56</f>
        <v>1</v>
      </c>
      <c r="I57" s="87">
        <f>'2018'!J57</f>
        <v>1</v>
      </c>
      <c r="J57" s="87">
        <f>'2019'!J57</f>
        <v>1</v>
      </c>
      <c r="K57" s="173">
        <f>'2016'!K62</f>
        <v>1</v>
      </c>
      <c r="L57" s="87">
        <f>'2017'!K56</f>
        <v>1</v>
      </c>
      <c r="M57" s="87">
        <f>'2018'!K57</f>
        <v>1</v>
      </c>
      <c r="N57" s="174">
        <f>'2019'!K57</f>
        <v>0</v>
      </c>
      <c r="O57" s="184">
        <f>'2016'!N62</f>
        <v>1</v>
      </c>
      <c r="P57" s="185">
        <f>'2017'!N56</f>
        <v>1</v>
      </c>
      <c r="Q57" s="186">
        <f>'2018'!N57</f>
        <v>1</v>
      </c>
      <c r="R57" s="185">
        <f>'2019'!N57</f>
        <v>0</v>
      </c>
      <c r="S57" s="210">
        <v>0.75</v>
      </c>
      <c r="T57" s="79" t="s">
        <v>160</v>
      </c>
      <c r="U57" s="84">
        <f>+'2016'!P62+'2017'!P56</f>
        <v>0</v>
      </c>
      <c r="V57" s="84">
        <f>+'2016'!Q62+'2017'!Q56</f>
        <v>0</v>
      </c>
      <c r="W57" s="84">
        <f>+'2016'!R62+'2017'!R56</f>
        <v>0</v>
      </c>
      <c r="X57" s="57" t="str">
        <f t="shared" si="0"/>
        <v xml:space="preserve"> -</v>
      </c>
      <c r="Y57" s="58" t="str">
        <f t="shared" si="1"/>
        <v xml:space="preserve"> -</v>
      </c>
    </row>
    <row r="58" spans="2:25" ht="21" customHeight="1" thickBot="1">
      <c r="O58" s="180">
        <f>+AVERAGE(O12:O14,O16:O25,O27:O44,O47,O49:O52,O54,O56:O57)</f>
        <v>0.89999999999999991</v>
      </c>
      <c r="P58" s="179">
        <f t="shared" ref="P58" si="4">+AVERAGE(P12:P14,P16:P25,P27:P44,P47,P49:P52,P54,P56:P57)</f>
        <v>0.65055555555555555</v>
      </c>
      <c r="Q58" s="179">
        <f>+AVERAGE(Q12:Q14,Q16:Q25,Q27:Q44,Q46:Q47,Q49:Q52,Q54,Q56:Q57)</f>
        <v>0.71678571428571436</v>
      </c>
      <c r="R58" s="179">
        <f>+AVERAGE(R12:R14,R16:R25,R27:R44,R46:R47,R49:R52,R54,R56:R57)</f>
        <v>0</v>
      </c>
      <c r="S58" s="129">
        <f>+AVERAGE(S12:S14,S16:S25,S27:S44,S46:S47,S49:S52,S54,S56:S57)</f>
        <v>0.4566958333333333</v>
      </c>
      <c r="T58" s="56"/>
      <c r="U58" s="130">
        <f>+SUM(U12:U14,U16:U25,U27:U44,U46:U47,U49:U52,U54,U56:U57)</f>
        <v>7985915.8841300001</v>
      </c>
      <c r="V58" s="131">
        <f>+SUM(V12:V14,V16:V25,V27:V44,V46:V47,V49:V52,V54,V56:V57)</f>
        <v>6018905</v>
      </c>
      <c r="W58" s="131">
        <f>+SUM(W12:W14,W16:W25,W27:W44,W46:W47,W49:W52,W54,W56:W57)</f>
        <v>1117472</v>
      </c>
      <c r="X58" s="132">
        <f t="shared" si="0"/>
        <v>0.75369000717388723</v>
      </c>
      <c r="Y58" s="129">
        <f t="shared" si="1"/>
        <v>0.18566034851854282</v>
      </c>
    </row>
  </sheetData>
  <mergeCells count="3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49:B52"/>
    <mergeCell ref="C49:C52"/>
    <mergeCell ref="D49:D52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D46:D47"/>
    <mergeCell ref="C46:C47"/>
    <mergeCell ref="B46:B47"/>
    <mergeCell ref="G46:H46"/>
    <mergeCell ref="K46:L46"/>
    <mergeCell ref="O46:P46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83" t="s">
        <v>104</v>
      </c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5"/>
    </row>
    <row r="4" spans="2:15" ht="16" thickBot="1">
      <c r="C4" s="221"/>
      <c r="D4" s="221"/>
      <c r="E4" s="221"/>
      <c r="F4" s="221"/>
      <c r="G4" s="221"/>
      <c r="H4" s="221"/>
      <c r="I4" s="221"/>
    </row>
    <row r="5" spans="2:15" ht="19" customHeight="1">
      <c r="C5" s="221"/>
      <c r="D5" s="221"/>
      <c r="E5" s="421" t="s">
        <v>105</v>
      </c>
      <c r="F5" s="422"/>
      <c r="G5" s="422"/>
      <c r="H5" s="422"/>
      <c r="I5" s="425" t="s">
        <v>102</v>
      </c>
      <c r="J5" s="426"/>
      <c r="K5" s="429" t="s">
        <v>106</v>
      </c>
      <c r="L5" s="430"/>
      <c r="M5" s="430"/>
      <c r="N5" s="430"/>
      <c r="O5" s="431"/>
    </row>
    <row r="6" spans="2:15" ht="19" customHeight="1" thickBot="1">
      <c r="E6" s="423"/>
      <c r="F6" s="424"/>
      <c r="G6" s="424"/>
      <c r="H6" s="424"/>
      <c r="I6" s="427"/>
      <c r="J6" s="428"/>
      <c r="K6" s="432" t="s">
        <v>101</v>
      </c>
      <c r="L6" s="433"/>
      <c r="M6" s="433"/>
      <c r="N6" s="433"/>
      <c r="O6" s="434"/>
    </row>
    <row r="7" spans="2:15" ht="32" customHeight="1" thickBot="1">
      <c r="C7" s="435"/>
      <c r="D7" s="436"/>
      <c r="E7" s="222">
        <v>2016</v>
      </c>
      <c r="F7" s="223">
        <v>2017</v>
      </c>
      <c r="G7" s="223">
        <v>2018</v>
      </c>
      <c r="H7" s="223">
        <v>2019</v>
      </c>
      <c r="I7" s="437" t="s">
        <v>101</v>
      </c>
      <c r="J7" s="438"/>
      <c r="K7" s="224" t="s">
        <v>107</v>
      </c>
      <c r="L7" s="225" t="s">
        <v>108</v>
      </c>
      <c r="M7" s="225" t="s">
        <v>109</v>
      </c>
      <c r="N7" s="225" t="s">
        <v>110</v>
      </c>
      <c r="O7" s="226" t="s">
        <v>111</v>
      </c>
    </row>
    <row r="8" spans="2:15" ht="22" customHeight="1" thickBot="1">
      <c r="B8" s="227">
        <v>1</v>
      </c>
      <c r="C8" s="439" t="s">
        <v>112</v>
      </c>
      <c r="D8" s="440"/>
      <c r="E8" s="228">
        <f>+IF(SUM('2016 - 2019'!G12:G44)&gt;0,AVERAGE('2016 - 2019'!O12:O44)," -")</f>
        <v>0.94666666666666666</v>
      </c>
      <c r="F8" s="228">
        <f>+IF(SUM('2016 - 2019'!H12:H44)&gt;0,AVERAGE('2016 - 2019'!P12:P44)," -")</f>
        <v>0.7106444444444443</v>
      </c>
      <c r="G8" s="228">
        <f>+IF(SUM('2016 - 2019'!I12:I44)&gt;0,AVERAGE('2016 - 2019'!Q12:Q44)," -")</f>
        <v>0.76473214285714297</v>
      </c>
      <c r="H8" s="228">
        <f>+IF(SUM('2016 - 2019'!J12:J44)&gt;0,AVERAGE('2016 - 2019'!R12:R44)," -")</f>
        <v>0</v>
      </c>
      <c r="I8" s="229">
        <f>+AVERAGE('2016 - 2019'!S12:S44)</f>
        <v>0.55589784946236553</v>
      </c>
      <c r="J8" s="230">
        <f t="shared" ref="J8:J33" si="0">+I8</f>
        <v>0.55589784946236553</v>
      </c>
      <c r="K8" s="231">
        <f>+K9+K13+K16</f>
        <v>7985915.8841300001</v>
      </c>
      <c r="L8" s="232">
        <f t="shared" ref="L8:M8" si="1">+L9+L13+L16</f>
        <v>6018905</v>
      </c>
      <c r="M8" s="232">
        <f t="shared" si="1"/>
        <v>1117472</v>
      </c>
      <c r="N8" s="233">
        <f t="shared" ref="N8:N33" si="2">IF(K8=0,"-",+L8/K8)</f>
        <v>0.75369000717388723</v>
      </c>
      <c r="O8" s="234">
        <f>IF(M8=0," -",IF(L8=0,100%,M8/L8))</f>
        <v>0.18566034851854282</v>
      </c>
    </row>
    <row r="9" spans="2:15" ht="20" customHeight="1">
      <c r="B9" s="235" t="s">
        <v>113</v>
      </c>
      <c r="C9" s="441" t="s">
        <v>87</v>
      </c>
      <c r="D9" s="442"/>
      <c r="E9" s="236">
        <f>+IF(SUM('2016 - 2019'!G12:G14)&gt;0,AVERAGE('2016 - 2019'!O12:O14),"-")</f>
        <v>1</v>
      </c>
      <c r="F9" s="236">
        <f>+IF(SUM('2016 - 2019'!H12:H14)&gt;0,AVERAGE('2016 - 2019'!P12:P14),"-")</f>
        <v>1</v>
      </c>
      <c r="G9" s="236">
        <f>+IF(SUM('2016 - 2019'!I12:I14)&gt;0,AVERAGE('2016 - 2019'!Q12:Q14),"-")</f>
        <v>1</v>
      </c>
      <c r="H9" s="236">
        <f>+IF(SUM('2016 - 2019'!J12:J14)&gt;0,AVERAGE('2016 - 2019'!R12:R14),"-")</f>
        <v>0</v>
      </c>
      <c r="I9" s="237">
        <f>+AVERAGE('2016 - 2019'!S12:S14)</f>
        <v>0.75</v>
      </c>
      <c r="J9" s="238">
        <f t="shared" si="0"/>
        <v>0.75</v>
      </c>
      <c r="K9" s="239">
        <f>+SUM(K10:K12)</f>
        <v>966200</v>
      </c>
      <c r="L9" s="240">
        <f t="shared" ref="L9:M9" si="3">+SUM(L10:L12)</f>
        <v>922301</v>
      </c>
      <c r="M9" s="240">
        <f t="shared" si="3"/>
        <v>270000</v>
      </c>
      <c r="N9" s="241">
        <f t="shared" si="2"/>
        <v>0.95456530738977441</v>
      </c>
      <c r="O9" s="242">
        <f>IF(M9=0," -",IF(L9=0,100%,M9/L9))</f>
        <v>0.29274607747362302</v>
      </c>
    </row>
    <row r="10" spans="2:15" ht="18" customHeight="1">
      <c r="B10" s="243" t="s">
        <v>114</v>
      </c>
      <c r="C10" s="443" t="s">
        <v>115</v>
      </c>
      <c r="D10" s="444"/>
      <c r="E10" s="244">
        <f>+IF('2016 - 2019'!G12&gt;0,'2016 - 2019'!O12," -")</f>
        <v>1</v>
      </c>
      <c r="F10" s="244">
        <f>+IF('2016 - 2019'!H12&gt;0,'2016 - 2019'!P12," -")</f>
        <v>1</v>
      </c>
      <c r="G10" s="244">
        <f>+IF('2016 - 2019'!I12&gt;0,'2016 - 2019'!Q12," -")</f>
        <v>1</v>
      </c>
      <c r="H10" s="244">
        <f>+IF('2016 - 2019'!J12&gt;0,'2016 - 2019'!R12," -")</f>
        <v>0</v>
      </c>
      <c r="I10" s="245">
        <f>+'2016 - 2019'!S12</f>
        <v>0.75</v>
      </c>
      <c r="J10" s="246">
        <f t="shared" si="0"/>
        <v>0.75</v>
      </c>
      <c r="K10" s="247">
        <f>+'2016 - 2019'!U12</f>
        <v>0</v>
      </c>
      <c r="L10" s="84">
        <f>+'2016 - 2019'!V12</f>
        <v>0</v>
      </c>
      <c r="M10" s="84">
        <f>+'2016 - 2019'!W12</f>
        <v>0</v>
      </c>
      <c r="N10" s="248" t="str">
        <f t="shared" si="2"/>
        <v>-</v>
      </c>
      <c r="O10" s="249" t="str">
        <f>IF(M10=0," -",IF(L10=0,100%,M10/L10))</f>
        <v xml:space="preserve"> -</v>
      </c>
    </row>
    <row r="11" spans="2:15" ht="18" customHeight="1">
      <c r="B11" s="243" t="s">
        <v>116</v>
      </c>
      <c r="C11" s="443" t="s">
        <v>117</v>
      </c>
      <c r="D11" s="444"/>
      <c r="E11" s="244">
        <f>+IF('2016 - 2019'!G13&gt;0,'2016 - 2019'!O13," -")</f>
        <v>1</v>
      </c>
      <c r="F11" s="244">
        <f>+IF('2016 - 2019'!H13&gt;0,'2016 - 2019'!P13," -")</f>
        <v>1</v>
      </c>
      <c r="G11" s="244">
        <f>+IF('2016 - 2019'!I13&gt;0,'2016 - 2019'!Q13," -")</f>
        <v>1</v>
      </c>
      <c r="H11" s="244">
        <f>+IF('2016 - 2019'!J13&gt;0,'2016 - 2019'!R13," -")</f>
        <v>0</v>
      </c>
      <c r="I11" s="245">
        <f>+'2016 - 2019'!S13</f>
        <v>0.75</v>
      </c>
      <c r="J11" s="246">
        <f t="shared" si="0"/>
        <v>0.75</v>
      </c>
      <c r="K11" s="247">
        <f>+'2016 - 2019'!U13</f>
        <v>203300</v>
      </c>
      <c r="L11" s="84">
        <f>+'2016 - 2019'!V13</f>
        <v>193450</v>
      </c>
      <c r="M11" s="84">
        <f>+'2016 - 2019'!W13</f>
        <v>270000</v>
      </c>
      <c r="N11" s="248">
        <f t="shared" si="2"/>
        <v>0.95154943433349726</v>
      </c>
      <c r="O11" s="249">
        <f t="shared" ref="O11:O33" si="4">IF(M11=0," -",IF(L11=0,100%,M11/L11))</f>
        <v>1.3957094856552081</v>
      </c>
    </row>
    <row r="12" spans="2:15" ht="18" customHeight="1">
      <c r="B12" s="243" t="s">
        <v>118</v>
      </c>
      <c r="C12" s="443" t="s">
        <v>119</v>
      </c>
      <c r="D12" s="444"/>
      <c r="E12" s="244">
        <f>+IF('2016 - 2019'!G14&gt;0,'2016 - 2019'!O14," -")</f>
        <v>1</v>
      </c>
      <c r="F12" s="244">
        <f>+IF('2016 - 2019'!H14&gt;0,'2016 - 2019'!P14," -")</f>
        <v>1</v>
      </c>
      <c r="G12" s="244">
        <f>+IF('2016 - 2019'!I14&gt;0,'2016 - 2019'!Q14," -")</f>
        <v>1</v>
      </c>
      <c r="H12" s="244">
        <f>+IF('2016 - 2019'!J14&gt;0,'2016 - 2019'!R14," -")</f>
        <v>0</v>
      </c>
      <c r="I12" s="245">
        <f>+'2016 - 2019'!S14</f>
        <v>0.75</v>
      </c>
      <c r="J12" s="246">
        <f t="shared" si="0"/>
        <v>0.75</v>
      </c>
      <c r="K12" s="247">
        <f>+'2016 - 2019'!U14</f>
        <v>762900</v>
      </c>
      <c r="L12" s="84">
        <f>+'2016 - 2019'!V14</f>
        <v>728851</v>
      </c>
      <c r="M12" s="84">
        <f>+'2016 - 2019'!W14</f>
        <v>0</v>
      </c>
      <c r="N12" s="248">
        <f t="shared" si="2"/>
        <v>0.95536898676104343</v>
      </c>
      <c r="O12" s="249" t="str">
        <f t="shared" si="4"/>
        <v xml:space="preserve"> -</v>
      </c>
    </row>
    <row r="13" spans="2:15" ht="20" customHeight="1">
      <c r="B13" s="235" t="s">
        <v>120</v>
      </c>
      <c r="C13" s="419" t="s">
        <v>88</v>
      </c>
      <c r="D13" s="420"/>
      <c r="E13" s="250">
        <f>+IF(SUM('2016 - 2019'!G16:G25)&gt;0,AVERAGE('2016 - 2019'!O16:O25)," -")</f>
        <v>1</v>
      </c>
      <c r="F13" s="250">
        <f>+IF(SUM('2016 - 2019'!H16:H25)&gt;0,AVERAGE('2016 - 2019'!P16:P25)," -")</f>
        <v>0.50062499999999999</v>
      </c>
      <c r="G13" s="250">
        <f>+IF(SUM('2016 - 2019'!I16:I25)&gt;0,AVERAGE('2016 - 2019'!Q16:Q25)," -")</f>
        <v>1</v>
      </c>
      <c r="H13" s="250">
        <f>+IF(SUM('2016 - 2019'!J16:J25)&gt;0,AVERAGE('2016 - 2019'!R16:R25)," -")</f>
        <v>0</v>
      </c>
      <c r="I13" s="251">
        <f>+AVERAGE('2016 - 2019'!S16:S25)</f>
        <v>0.33353333333333335</v>
      </c>
      <c r="J13" s="252">
        <f t="shared" si="0"/>
        <v>0.33353333333333335</v>
      </c>
      <c r="K13" s="253">
        <f>+SUM(K14:K15)</f>
        <v>1407974.8841300001</v>
      </c>
      <c r="L13" s="254">
        <f t="shared" ref="L13:M13" si="5">+SUM(L14:L15)</f>
        <v>1077648</v>
      </c>
      <c r="M13" s="254">
        <f t="shared" si="5"/>
        <v>344000</v>
      </c>
      <c r="N13" s="255">
        <f t="shared" si="2"/>
        <v>0.76538865298430947</v>
      </c>
      <c r="O13" s="256">
        <f t="shared" si="4"/>
        <v>0.31921369500987334</v>
      </c>
    </row>
    <row r="14" spans="2:15" ht="18" customHeight="1">
      <c r="B14" s="243" t="s">
        <v>121</v>
      </c>
      <c r="C14" s="443" t="s">
        <v>122</v>
      </c>
      <c r="D14" s="444"/>
      <c r="E14" s="244" t="str">
        <f>+IF('2016 - 2019'!G16&gt;0,'2016 - 2019'!O16," -")</f>
        <v xml:space="preserve"> -</v>
      </c>
      <c r="F14" s="244">
        <f>+IF('2016 - 2019'!H16&gt;0,'2016 - 2019'!P16," -")</f>
        <v>5.0000000000000001E-3</v>
      </c>
      <c r="G14" s="244" t="str">
        <f>+IF('2016 - 2019'!I16&gt;0,'2016 - 2019'!Q16," -")</f>
        <v xml:space="preserve"> -</v>
      </c>
      <c r="H14" s="244">
        <f>+IF('2016 - 2019'!J16&gt;0,'2016 - 2019'!R16," -")</f>
        <v>0</v>
      </c>
      <c r="I14" s="245">
        <f>+'2016 - 2019'!S16</f>
        <v>2E-3</v>
      </c>
      <c r="J14" s="246">
        <f t="shared" si="0"/>
        <v>2E-3</v>
      </c>
      <c r="K14" s="247">
        <f>+'2016 - 2019'!U16</f>
        <v>18133</v>
      </c>
      <c r="L14" s="84">
        <f>+'2016 - 2019'!V16</f>
        <v>18133</v>
      </c>
      <c r="M14" s="84">
        <f>+'2016 - 2019'!W16</f>
        <v>0</v>
      </c>
      <c r="N14" s="248">
        <f t="shared" si="2"/>
        <v>1</v>
      </c>
      <c r="O14" s="249" t="str">
        <f t="shared" si="4"/>
        <v xml:space="preserve"> -</v>
      </c>
    </row>
    <row r="15" spans="2:15" ht="18" customHeight="1">
      <c r="B15" s="243" t="s">
        <v>123</v>
      </c>
      <c r="C15" s="443" t="s">
        <v>124</v>
      </c>
      <c r="D15" s="444"/>
      <c r="E15" s="244">
        <f>+IF(SUM('2016 - 2019'!G17:G25)&gt;0,AVERAGE('2016 - 2019'!O17:O25)," -")</f>
        <v>1</v>
      </c>
      <c r="F15" s="244">
        <f>+IF(SUM('2016 - 2019'!H17:H25)&gt;0,AVERAGE('2016 - 2019'!P17:P25)," -")</f>
        <v>0.5714285714285714</v>
      </c>
      <c r="G15" s="244">
        <f>+IF(SUM('2016 - 2019'!I17:I25)&gt;0,AVERAGE('2016 - 2019'!Q17:Q25)," -")</f>
        <v>1</v>
      </c>
      <c r="H15" s="244">
        <f>+IF(SUM('2016 - 2019'!J17:J25)&gt;0,AVERAGE('2016 - 2019'!R17:R25)," -")</f>
        <v>0</v>
      </c>
      <c r="I15" s="245">
        <f>+AVERAGE('2016 - 2019'!S16:S25)</f>
        <v>0.33353333333333335</v>
      </c>
      <c r="J15" s="246">
        <f t="shared" si="0"/>
        <v>0.33353333333333335</v>
      </c>
      <c r="K15" s="247">
        <f>+SUM('2016 - 2019'!U17:U25)</f>
        <v>1389841.8841300001</v>
      </c>
      <c r="L15" s="84">
        <f>+SUM('2016 - 2019'!V17:V25)</f>
        <v>1059515</v>
      </c>
      <c r="M15" s="84">
        <f>+SUM('2016 - 2019'!W17:W25)</f>
        <v>344000</v>
      </c>
      <c r="N15" s="248">
        <f t="shared" si="2"/>
        <v>0.76232772382106262</v>
      </c>
      <c r="O15" s="249">
        <f t="shared" si="4"/>
        <v>0.32467685686375369</v>
      </c>
    </row>
    <row r="16" spans="2:15" ht="20" customHeight="1">
      <c r="B16" s="235" t="s">
        <v>125</v>
      </c>
      <c r="C16" s="419" t="s">
        <v>89</v>
      </c>
      <c r="D16" s="420"/>
      <c r="E16" s="250">
        <f>+IF(SUM('2016 - 2019'!G27:G44)&gt;0,AVERAGE('2016 - 2019'!O27:O44)," -")</f>
        <v>0.9</v>
      </c>
      <c r="F16" s="250">
        <f>+IF(SUM('2016 - 2019'!H27:H44)&gt;0,AVERAGE('2016 - 2019'!P27:P44)," -")</f>
        <v>0.7686507936507937</v>
      </c>
      <c r="G16" s="250">
        <f>+IF(SUM('2016 - 2019'!I27:I44)&gt;0,AVERAGE('2016 - 2019'!Q27:Q44)," -")</f>
        <v>0.58174603174603168</v>
      </c>
      <c r="H16" s="250">
        <f>+IF(SUM('2016 - 2019'!J27:J44)&gt;0,AVERAGE('2016 - 2019'!R27:R44)," -")</f>
        <v>0</v>
      </c>
      <c r="I16" s="251">
        <f>+AVERAGE('2016 - 2019'!S27:S44)</f>
        <v>0.64708333333333323</v>
      </c>
      <c r="J16" s="252">
        <f t="shared" si="0"/>
        <v>0.64708333333333323</v>
      </c>
      <c r="K16" s="253">
        <f>+SUM(K17:K20)</f>
        <v>5611741</v>
      </c>
      <c r="L16" s="254">
        <f t="shared" ref="L16:M16" si="6">+SUM(L17:L20)</f>
        <v>4018956</v>
      </c>
      <c r="M16" s="254">
        <f t="shared" si="6"/>
        <v>503472</v>
      </c>
      <c r="N16" s="255">
        <f t="shared" si="2"/>
        <v>0.71616918884887948</v>
      </c>
      <c r="O16" s="256">
        <f t="shared" si="4"/>
        <v>0.12527432497394847</v>
      </c>
    </row>
    <row r="17" spans="2:15" ht="18" customHeight="1">
      <c r="B17" s="243" t="s">
        <v>126</v>
      </c>
      <c r="C17" s="443" t="s">
        <v>127</v>
      </c>
      <c r="D17" s="444"/>
      <c r="E17" s="244">
        <f>+IF(SUM('2016 - 2019'!G27:G35)&gt;0,AVERAGE('2016 - 2019'!O27:O35)," -")</f>
        <v>0.94000000000000006</v>
      </c>
      <c r="F17" s="244">
        <f>+IF(SUM('2016 - 2019'!H27:H35)&gt;0,AVERAGE('2016 - 2019'!P27:P35)," -")</f>
        <v>0.82857142857142851</v>
      </c>
      <c r="G17" s="244">
        <f>+IF(SUM('2016 - 2019'!I27:I35)&gt;0,AVERAGE('2016 - 2019'!Q27:Q35)," -")</f>
        <v>0.73</v>
      </c>
      <c r="H17" s="244">
        <f>+IF(SUM('2016 - 2019'!J27:J35)&gt;0,AVERAGE('2016 - 2019'!R27:R35)," -")</f>
        <v>0</v>
      </c>
      <c r="I17" s="245">
        <f>+AVERAGE('2016 - 2019'!S27:S35)</f>
        <v>0.69083333333333341</v>
      </c>
      <c r="J17" s="246">
        <f t="shared" si="0"/>
        <v>0.69083333333333341</v>
      </c>
      <c r="K17" s="247">
        <f>+SUM('2016 - 2019'!U27:U35)</f>
        <v>3525149</v>
      </c>
      <c r="L17" s="84">
        <f>+SUM('2016 - 2019'!V27:V35)</f>
        <v>1932364</v>
      </c>
      <c r="M17" s="84">
        <f>+SUM('2016 - 2019'!W27:W35)</f>
        <v>0</v>
      </c>
      <c r="N17" s="248">
        <f t="shared" si="2"/>
        <v>0.54816519812354036</v>
      </c>
      <c r="O17" s="249" t="str">
        <f t="shared" si="4"/>
        <v xml:space="preserve"> -</v>
      </c>
    </row>
    <row r="18" spans="2:15" ht="18" customHeight="1">
      <c r="B18" s="243" t="s">
        <v>128</v>
      </c>
      <c r="C18" s="443" t="s">
        <v>129</v>
      </c>
      <c r="D18" s="444"/>
      <c r="E18" s="244" t="str">
        <f>+IF(SUM('2016 - 2019'!G36:G38)&gt;0,AVERAGE('2016 - 2019'!O36:O38)," -")</f>
        <v xml:space="preserve"> -</v>
      </c>
      <c r="F18" s="244">
        <f>+IF(SUM('2016 - 2019'!H36:H38)&gt;0,AVERAGE('2016 - 2019'!P36:P38)," -")</f>
        <v>0.92500000000000004</v>
      </c>
      <c r="G18" s="244">
        <f>+IF(SUM('2016 - 2019'!I36:I38)&gt;0,AVERAGE('2016 - 2019'!Q36:Q38)," -")</f>
        <v>0.3</v>
      </c>
      <c r="H18" s="244">
        <f>+IF(SUM('2016 - 2019'!J36:J38)&gt;0,AVERAGE('2016 - 2019'!R36:R38)," -")</f>
        <v>0</v>
      </c>
      <c r="I18" s="245">
        <f>+AVERAGE('2016 - 2019'!S36:S38)</f>
        <v>0.67666666666666675</v>
      </c>
      <c r="J18" s="246">
        <f t="shared" si="0"/>
        <v>0.67666666666666675</v>
      </c>
      <c r="K18" s="247">
        <f>+SUM('2016 - 2019'!U36:U38)</f>
        <v>2049842</v>
      </c>
      <c r="L18" s="84">
        <f>+SUM('2016 - 2019'!V36:V38)</f>
        <v>2049842</v>
      </c>
      <c r="M18" s="84">
        <f>+SUM('2016 - 2019'!W36:W38)</f>
        <v>503472</v>
      </c>
      <c r="N18" s="248">
        <f t="shared" si="2"/>
        <v>1</v>
      </c>
      <c r="O18" s="249">
        <f t="shared" si="4"/>
        <v>0.24561502788995446</v>
      </c>
    </row>
    <row r="19" spans="2:15" ht="18" customHeight="1">
      <c r="B19" s="243" t="s">
        <v>130</v>
      </c>
      <c r="C19" s="443" t="s">
        <v>131</v>
      </c>
      <c r="D19" s="444"/>
      <c r="E19" s="244">
        <f>+IF(SUM('2016 - 2019'!G39:G43)&gt;0,AVERAGE('2016 - 2019'!O39:O43)," -")</f>
        <v>0.83333333333333337</v>
      </c>
      <c r="F19" s="244">
        <f>+IF(SUM('2016 - 2019'!H39:H43)&gt;0,AVERAGE('2016 - 2019'!P39:P43)," -")</f>
        <v>0.62222222222222223</v>
      </c>
      <c r="G19" s="244">
        <f>+IF(SUM('2016 - 2019'!I39:I43)&gt;0,AVERAGE('2016 - 2019'!Q39:Q43)," -")</f>
        <v>0.42857142857142855</v>
      </c>
      <c r="H19" s="244">
        <f>+IF(SUM('2016 - 2019'!J39:J43)&gt;0,AVERAGE('2016 - 2019'!R39:R43)," -")</f>
        <v>0</v>
      </c>
      <c r="I19" s="245">
        <f>+AVERAGE('2016 - 2019'!S39:S43)</f>
        <v>0.67999999999999994</v>
      </c>
      <c r="J19" s="246">
        <f t="shared" si="0"/>
        <v>0.67999999999999994</v>
      </c>
      <c r="K19" s="247">
        <f>+SUM('2016 - 2019'!U39:U43)</f>
        <v>36750</v>
      </c>
      <c r="L19" s="84">
        <f>+SUM('2016 - 2019'!V39:V43)</f>
        <v>36750</v>
      </c>
      <c r="M19" s="84">
        <f>+SUM('2016 - 2019'!W39:W43)</f>
        <v>0</v>
      </c>
      <c r="N19" s="248">
        <f t="shared" si="2"/>
        <v>1</v>
      </c>
      <c r="O19" s="249" t="str">
        <f t="shared" si="4"/>
        <v xml:space="preserve"> -</v>
      </c>
    </row>
    <row r="20" spans="2:15" ht="18" customHeight="1" thickBot="1">
      <c r="B20" s="243" t="s">
        <v>132</v>
      </c>
      <c r="C20" s="445" t="s">
        <v>133</v>
      </c>
      <c r="D20" s="446"/>
      <c r="E20" s="257" t="str">
        <f>+IF('2016 - 2019'!G44&gt;0,'2016 - 2019'!O44," -")</f>
        <v xml:space="preserve"> -</v>
      </c>
      <c r="F20" s="257" t="str">
        <f>+IF('2016 - 2019'!H44&gt;0,'2016 - 2019'!P44," -")</f>
        <v xml:space="preserve"> -</v>
      </c>
      <c r="G20" s="257" t="str">
        <f>+IF('2016 - 2019'!I44&gt;0,'2016 - 2019'!Q44," -")</f>
        <v xml:space="preserve"> -</v>
      </c>
      <c r="H20" s="257">
        <f>+IF('2016 - 2019'!J44&gt;0,'2016 - 2019'!R44," -")</f>
        <v>0</v>
      </c>
      <c r="I20" s="258">
        <f>+'2016 - 2019'!S44</f>
        <v>0</v>
      </c>
      <c r="J20" s="259">
        <f t="shared" si="0"/>
        <v>0</v>
      </c>
      <c r="K20" s="260">
        <f>+'2016 - 2019'!U44</f>
        <v>0</v>
      </c>
      <c r="L20" s="105">
        <f>+'2016 - 2019'!V44</f>
        <v>0</v>
      </c>
      <c r="M20" s="105">
        <f>+'2016 - 2019'!W44</f>
        <v>0</v>
      </c>
      <c r="N20" s="261" t="str">
        <f t="shared" si="2"/>
        <v>-</v>
      </c>
      <c r="O20" s="262" t="str">
        <f t="shared" si="4"/>
        <v xml:space="preserve"> -</v>
      </c>
    </row>
    <row r="21" spans="2:15" ht="22" customHeight="1" thickBot="1">
      <c r="B21" s="227">
        <v>2</v>
      </c>
      <c r="C21" s="447" t="s">
        <v>134</v>
      </c>
      <c r="D21" s="448"/>
      <c r="E21" s="263">
        <f>+IF('2016 - 2019'!G47&gt;0,'2016 - 2019'!O47," -")</f>
        <v>0</v>
      </c>
      <c r="F21" s="263">
        <f>+IF('2016 - 2019'!H47&gt;0,'2016 - 2019'!P47," -")</f>
        <v>0.1</v>
      </c>
      <c r="G21" s="263">
        <f>+IF('2016 - 2019'!I47&gt;0,'2016 - 2019'!Q47," -")</f>
        <v>0.1</v>
      </c>
      <c r="H21" s="263">
        <f>+IF('2016 - 2019'!J47&gt;0,'2016 - 2019'!R47," -")</f>
        <v>0</v>
      </c>
      <c r="I21" s="264">
        <f>+'2016 - 2019'!S47</f>
        <v>2.5000000000000001E-2</v>
      </c>
      <c r="J21" s="265">
        <f t="shared" si="0"/>
        <v>2.5000000000000001E-2</v>
      </c>
      <c r="K21" s="266">
        <f>+K22</f>
        <v>0</v>
      </c>
      <c r="L21" s="267">
        <f t="shared" ref="L21:M22" si="7">+L22</f>
        <v>0</v>
      </c>
      <c r="M21" s="267">
        <f t="shared" si="7"/>
        <v>0</v>
      </c>
      <c r="N21" s="268" t="str">
        <f t="shared" si="2"/>
        <v>-</v>
      </c>
      <c r="O21" s="269" t="str">
        <f t="shared" si="4"/>
        <v xml:space="preserve"> -</v>
      </c>
    </row>
    <row r="22" spans="2:15" ht="20" customHeight="1">
      <c r="B22" s="235" t="s">
        <v>135</v>
      </c>
      <c r="C22" s="419" t="s">
        <v>90</v>
      </c>
      <c r="D22" s="420"/>
      <c r="E22" s="250">
        <f>+IF('2016 - 2019'!G47&gt;0,'2016 - 2019'!O47," -")</f>
        <v>0</v>
      </c>
      <c r="F22" s="250">
        <f>+IF('2016 - 2019'!H47&gt;0,'2016 - 2019'!P47," -")</f>
        <v>0.1</v>
      </c>
      <c r="G22" s="250">
        <f>+IF('2016 - 2019'!I47&gt;0,'2016 - 2019'!Q47," -")</f>
        <v>0.1</v>
      </c>
      <c r="H22" s="250">
        <f>+IF('2016 - 2019'!J47&gt;0,'2016 - 2019'!R47," -")</f>
        <v>0</v>
      </c>
      <c r="I22" s="251">
        <f>+'2016 - 2019'!S47</f>
        <v>2.5000000000000001E-2</v>
      </c>
      <c r="J22" s="252">
        <f t="shared" si="0"/>
        <v>2.5000000000000001E-2</v>
      </c>
      <c r="K22" s="253">
        <f>+K23</f>
        <v>0</v>
      </c>
      <c r="L22" s="254">
        <f t="shared" si="7"/>
        <v>0</v>
      </c>
      <c r="M22" s="254">
        <f t="shared" si="7"/>
        <v>0</v>
      </c>
      <c r="N22" s="255" t="str">
        <f t="shared" si="2"/>
        <v>-</v>
      </c>
      <c r="O22" s="256">
        <v>6.5046150243597831E-4</v>
      </c>
    </row>
    <row r="23" spans="2:15" ht="18" customHeight="1" thickBot="1">
      <c r="B23" s="243" t="s">
        <v>136</v>
      </c>
      <c r="C23" s="443" t="s">
        <v>137</v>
      </c>
      <c r="D23" s="444"/>
      <c r="E23" s="244">
        <f>+IF('2016 - 2019'!G47&gt;0,'2016 - 2019'!O47," -")</f>
        <v>0</v>
      </c>
      <c r="F23" s="244">
        <f>+IF('2016 - 2019'!H47&gt;0,'2016 - 2019'!P47," -")</f>
        <v>0.1</v>
      </c>
      <c r="G23" s="244">
        <f>+IF(SUM('2016 - 2019'!I46:I47)&gt;0,AVERAGE('2016 - 2019'!Q46:Q47)," -")</f>
        <v>0.1</v>
      </c>
      <c r="H23" s="244">
        <f>+IF(SUM('2016 - 2019'!J46:J47)&gt;0,AVERAGE('2016 - 2019'!R46:R47)," -")</f>
        <v>0</v>
      </c>
      <c r="I23" s="245">
        <f>+AVERAGE('2016 - 2019'!S46:S47)</f>
        <v>1.7500000000000002E-2</v>
      </c>
      <c r="J23" s="246">
        <f t="shared" si="0"/>
        <v>1.7500000000000002E-2</v>
      </c>
      <c r="K23" s="247">
        <f>+SUM('2016 - 2019'!U46:U47)</f>
        <v>0</v>
      </c>
      <c r="L23" s="84">
        <f>+SUM('2016 - 2019'!V46:V47)</f>
        <v>0</v>
      </c>
      <c r="M23" s="84">
        <f>+SUM('2016 - 2019'!W46:W47)</f>
        <v>0</v>
      </c>
      <c r="N23" s="248" t="str">
        <f t="shared" si="2"/>
        <v>-</v>
      </c>
      <c r="O23" s="249" t="str">
        <f t="shared" si="4"/>
        <v xml:space="preserve"> -</v>
      </c>
    </row>
    <row r="24" spans="2:15" ht="22" customHeight="1" thickBot="1">
      <c r="B24" s="227">
        <v>3</v>
      </c>
      <c r="C24" s="449" t="s">
        <v>138</v>
      </c>
      <c r="D24" s="450"/>
      <c r="E24" s="270" t="str">
        <f>+IF(SUM('2016 - 2019'!G49:G52)&gt;0,AVERAGE('2016 - 2019'!O49:O52)," -")</f>
        <v xml:space="preserve"> -</v>
      </c>
      <c r="F24" s="270">
        <f>+IF(SUM('2016 - 2019'!H49:H52)&gt;0,AVERAGE('2016 - 2019'!P49:P52)," -")</f>
        <v>0</v>
      </c>
      <c r="G24" s="270" t="str">
        <f>+IF(SUM('2016 - 2019'!I49:I52)&gt;0,AVERAGE('2016 - 2019'!Q49:Q52)," -")</f>
        <v xml:space="preserve"> -</v>
      </c>
      <c r="H24" s="270">
        <f>+IF(SUM('2016 - 2019'!J49:J52)&gt;0,AVERAGE('2016 - 2019'!R49:R52)," -")</f>
        <v>0</v>
      </c>
      <c r="I24" s="271">
        <f>+AVERAGE('2016 - 2019'!S49:S52)</f>
        <v>0</v>
      </c>
      <c r="J24" s="272">
        <f t="shared" si="0"/>
        <v>0</v>
      </c>
      <c r="K24" s="273">
        <f>+K25</f>
        <v>0</v>
      </c>
      <c r="L24" s="274">
        <f t="shared" ref="L24:M25" si="8">+L25</f>
        <v>0</v>
      </c>
      <c r="M24" s="274">
        <f t="shared" si="8"/>
        <v>0</v>
      </c>
      <c r="N24" s="275" t="str">
        <f t="shared" si="2"/>
        <v>-</v>
      </c>
      <c r="O24" s="276" t="str">
        <f t="shared" si="4"/>
        <v xml:space="preserve"> -</v>
      </c>
    </row>
    <row r="25" spans="2:15" ht="20" customHeight="1">
      <c r="B25" s="235" t="s">
        <v>139</v>
      </c>
      <c r="C25" s="419" t="s">
        <v>94</v>
      </c>
      <c r="D25" s="420"/>
      <c r="E25" s="250" t="str">
        <f>+IF(SUM('2016 - 2019'!G49:G52)&gt;0,AVERAGE('2016 - 2019'!O49:O52)," -")</f>
        <v xml:space="preserve"> -</v>
      </c>
      <c r="F25" s="250">
        <f>+IF(SUM('2016 - 2019'!H49:H52)&gt;0,AVERAGE('2016 - 2019'!P49:P52)," -")</f>
        <v>0</v>
      </c>
      <c r="G25" s="250" t="str">
        <f>+IF(SUM('2016 - 2019'!I49:I52)&gt;0,AVERAGE('2016 - 2019'!Q49:Q52)," -")</f>
        <v xml:space="preserve"> -</v>
      </c>
      <c r="H25" s="250">
        <f>+IF(SUM('2016 - 2019'!J49:J52)&gt;0,AVERAGE('2016 - 2019'!R49:R52)," -")</f>
        <v>0</v>
      </c>
      <c r="I25" s="251">
        <f>+AVERAGE('2016 - 2019'!S49:S52)</f>
        <v>0</v>
      </c>
      <c r="J25" s="252">
        <f t="shared" si="0"/>
        <v>0</v>
      </c>
      <c r="K25" s="253">
        <f>+K26</f>
        <v>0</v>
      </c>
      <c r="L25" s="254">
        <f t="shared" si="8"/>
        <v>0</v>
      </c>
      <c r="M25" s="254">
        <f t="shared" si="8"/>
        <v>0</v>
      </c>
      <c r="N25" s="255" t="str">
        <f t="shared" si="2"/>
        <v>-</v>
      </c>
      <c r="O25" s="256" t="str">
        <f t="shared" si="4"/>
        <v xml:space="preserve"> -</v>
      </c>
    </row>
    <row r="26" spans="2:15" ht="18" customHeight="1" thickBot="1">
      <c r="B26" s="243" t="s">
        <v>140</v>
      </c>
      <c r="C26" s="443" t="s">
        <v>141</v>
      </c>
      <c r="D26" s="444"/>
      <c r="E26" s="244" t="str">
        <f>+IF(SUM('2016 - 2019'!G49:G52)&gt;0,AVERAGE('2016 - 2019'!O49:O52)," -")</f>
        <v xml:space="preserve"> -</v>
      </c>
      <c r="F26" s="244">
        <f>+IF(SUM('2016 - 2019'!H49:H52)&gt;0,AVERAGE('2016 - 2019'!P49:P52)," -")</f>
        <v>0</v>
      </c>
      <c r="G26" s="244" t="str">
        <f>+IF(SUM('2016 - 2019'!I49:I52)&gt;0,AVERAGE('2016 - 2019'!Q49:Q52)," -")</f>
        <v xml:space="preserve"> -</v>
      </c>
      <c r="H26" s="244">
        <f>+IF(SUM('2016 - 2019'!J49:J52)&gt;0,AVERAGE('2016 - 2019'!R49:R52)," -")</f>
        <v>0</v>
      </c>
      <c r="I26" s="245">
        <f>+AVERAGE('2016 - 2019'!S49:S52)</f>
        <v>0</v>
      </c>
      <c r="J26" s="246">
        <f t="shared" si="0"/>
        <v>0</v>
      </c>
      <c r="K26" s="247">
        <f>+SUM('2016 - 2019'!U49:U52)</f>
        <v>0</v>
      </c>
      <c r="L26" s="84">
        <f>+SUM('2016 - 2019'!V49:V52)</f>
        <v>0</v>
      </c>
      <c r="M26" s="84">
        <f>+SUM('2016 - 2019'!W49:W52)</f>
        <v>0</v>
      </c>
      <c r="N26" s="248" t="str">
        <f t="shared" si="2"/>
        <v>-</v>
      </c>
      <c r="O26" s="249" t="str">
        <f t="shared" si="4"/>
        <v xml:space="preserve"> -</v>
      </c>
    </row>
    <row r="27" spans="2:15" ht="22" customHeight="1" thickBot="1">
      <c r="B27" s="227">
        <v>4</v>
      </c>
      <c r="C27" s="453" t="s">
        <v>142</v>
      </c>
      <c r="D27" s="454"/>
      <c r="E27" s="277" t="str">
        <f>+IF('2016 - 2019'!G54&gt;0,'2016 - 2019'!O54," -")</f>
        <v xml:space="preserve"> -</v>
      </c>
      <c r="F27" s="277" t="str">
        <f>+IF('2016 - 2019'!H54&gt;0,'2016 - 2019'!P54," -")</f>
        <v xml:space="preserve"> -</v>
      </c>
      <c r="G27" s="277">
        <f>+IF('2016 - 2019'!I54&gt;0,'2016 - 2019'!Q54," -")</f>
        <v>0</v>
      </c>
      <c r="H27" s="277">
        <f>+IF('2016 - 2019'!J54&gt;0,'2016 - 2019'!R54," -")</f>
        <v>0</v>
      </c>
      <c r="I27" s="278">
        <f>+'2016 - 2019'!S54</f>
        <v>0</v>
      </c>
      <c r="J27" s="279">
        <f t="shared" si="0"/>
        <v>0</v>
      </c>
      <c r="K27" s="280">
        <f>+K28</f>
        <v>0</v>
      </c>
      <c r="L27" s="281">
        <f t="shared" ref="L27:M28" si="9">+L28</f>
        <v>0</v>
      </c>
      <c r="M27" s="281">
        <f t="shared" si="9"/>
        <v>0</v>
      </c>
      <c r="N27" s="282" t="str">
        <f t="shared" si="2"/>
        <v>-</v>
      </c>
      <c r="O27" s="283" t="str">
        <f t="shared" si="4"/>
        <v xml:space="preserve"> -</v>
      </c>
    </row>
    <row r="28" spans="2:15" ht="20" customHeight="1">
      <c r="B28" s="235" t="s">
        <v>143</v>
      </c>
      <c r="C28" s="419" t="s">
        <v>97</v>
      </c>
      <c r="D28" s="420"/>
      <c r="E28" s="250" t="str">
        <f>+IF('2016 - 2019'!G54&gt;0,'2016 - 2019'!O54," -")</f>
        <v xml:space="preserve"> -</v>
      </c>
      <c r="F28" s="250" t="str">
        <f>+IF('2016 - 2019'!H54&gt;0,'2016 - 2019'!P54," -")</f>
        <v xml:space="preserve"> -</v>
      </c>
      <c r="G28" s="250">
        <f>+IF('2016 - 2019'!I54&gt;0,'2016 - 2019'!Q54," -")</f>
        <v>0</v>
      </c>
      <c r="H28" s="250">
        <f>+IF('2016 - 2019'!J54&gt;0,'2016 - 2019'!R54," -")</f>
        <v>0</v>
      </c>
      <c r="I28" s="251">
        <f>+'2016 - 2019'!S54</f>
        <v>0</v>
      </c>
      <c r="J28" s="252">
        <f t="shared" si="0"/>
        <v>0</v>
      </c>
      <c r="K28" s="253">
        <f>+K29</f>
        <v>0</v>
      </c>
      <c r="L28" s="254">
        <f t="shared" si="9"/>
        <v>0</v>
      </c>
      <c r="M28" s="254">
        <f t="shared" si="9"/>
        <v>0</v>
      </c>
      <c r="N28" s="255" t="str">
        <f t="shared" si="2"/>
        <v>-</v>
      </c>
      <c r="O28" s="256" t="str">
        <f t="shared" si="4"/>
        <v xml:space="preserve"> -</v>
      </c>
    </row>
    <row r="29" spans="2:15" ht="18" customHeight="1" thickBot="1">
      <c r="B29" s="243" t="s">
        <v>144</v>
      </c>
      <c r="C29" s="443" t="s">
        <v>145</v>
      </c>
      <c r="D29" s="444"/>
      <c r="E29" s="244" t="str">
        <f>+IF('2016 - 2019'!G54&gt;0,'2016 - 2019'!O54," -")</f>
        <v xml:space="preserve"> -</v>
      </c>
      <c r="F29" s="244" t="str">
        <f>+IF('2016 - 2019'!H54&gt;0,'2016 - 2019'!P54," -")</f>
        <v xml:space="preserve"> -</v>
      </c>
      <c r="G29" s="244">
        <f>+IF('2016 - 2019'!I54&gt;0,'2016 - 2019'!Q54," -")</f>
        <v>0</v>
      </c>
      <c r="H29" s="244">
        <f>+IF('2016 - 2019'!J54&gt;0,'2016 - 2019'!R54," -")</f>
        <v>0</v>
      </c>
      <c r="I29" s="245">
        <f>+'2016 - 2019'!S54</f>
        <v>0</v>
      </c>
      <c r="J29" s="246">
        <f t="shared" si="0"/>
        <v>0</v>
      </c>
      <c r="K29" s="247">
        <f>+'2016 - 2019'!U54</f>
        <v>0</v>
      </c>
      <c r="L29" s="84">
        <f>+'2016 - 2019'!V54</f>
        <v>0</v>
      </c>
      <c r="M29" s="84">
        <f>+'2016 - 2019'!W54</f>
        <v>0</v>
      </c>
      <c r="N29" s="248" t="str">
        <f t="shared" si="2"/>
        <v>-</v>
      </c>
      <c r="O29" s="249" t="str">
        <f t="shared" si="4"/>
        <v xml:space="preserve"> -</v>
      </c>
    </row>
    <row r="30" spans="2:15" ht="22" customHeight="1" thickBot="1">
      <c r="B30" s="227">
        <v>5</v>
      </c>
      <c r="C30" s="455" t="s">
        <v>146</v>
      </c>
      <c r="D30" s="456"/>
      <c r="E30" s="284">
        <f>+IF(SUM('2016 - 2019'!G56:G57)&gt;0,AVERAGE('2016 - 2019'!O56:O57)," -")</f>
        <v>1</v>
      </c>
      <c r="F30" s="284">
        <f>+IF(SUM('2016 - 2019'!H56:H57)&gt;0,AVERAGE('2016 - 2019'!P56:P57)," -")</f>
        <v>0.5</v>
      </c>
      <c r="G30" s="284">
        <f>+IF(SUM('2016 - 2019'!I56:I57)&gt;0,AVERAGE('2016 - 2019'!Q56:Q57)," -")</f>
        <v>1</v>
      </c>
      <c r="H30" s="284">
        <f>+IF(SUM('2016 - 2019'!J56:J57)&gt;0,AVERAGE('2016 - 2019'!R56:R57)," -")</f>
        <v>0</v>
      </c>
      <c r="I30" s="285">
        <f>+AVERAGE('2016 - 2019'!S56:S57)</f>
        <v>0.5</v>
      </c>
      <c r="J30" s="286">
        <f t="shared" si="0"/>
        <v>0.5</v>
      </c>
      <c r="K30" s="287">
        <f>+K31</f>
        <v>0</v>
      </c>
      <c r="L30" s="288">
        <f t="shared" ref="L30:M31" si="10">+L31</f>
        <v>0</v>
      </c>
      <c r="M30" s="288">
        <f t="shared" si="10"/>
        <v>0</v>
      </c>
      <c r="N30" s="289" t="str">
        <f t="shared" si="2"/>
        <v>-</v>
      </c>
      <c r="O30" s="290" t="str">
        <f t="shared" si="4"/>
        <v xml:space="preserve"> -</v>
      </c>
    </row>
    <row r="31" spans="2:15" ht="20" customHeight="1">
      <c r="B31" s="235" t="s">
        <v>147</v>
      </c>
      <c r="C31" s="419" t="s">
        <v>98</v>
      </c>
      <c r="D31" s="420"/>
      <c r="E31" s="250">
        <f>+IF(SUM('2016 - 2019'!G56:G57)&gt;0,AVERAGE('2016 - 2019'!O56:O57)," -")</f>
        <v>1</v>
      </c>
      <c r="F31" s="250">
        <f>+IF(SUM('2016 - 2019'!H56:H57)&gt;0,AVERAGE('2016 - 2019'!P56:P57)," -")</f>
        <v>0.5</v>
      </c>
      <c r="G31" s="250">
        <f>+IF(SUM('2016 - 2019'!I56:I57)&gt;0,AVERAGE('2016 - 2019'!Q56:Q57)," -")</f>
        <v>1</v>
      </c>
      <c r="H31" s="250">
        <f>+IF(SUM('2016 - 2019'!J56:J57)&gt;0,AVERAGE('2016 - 2019'!R56:R57)," -")</f>
        <v>0</v>
      </c>
      <c r="I31" s="251">
        <f>+AVERAGE('2016 - 2019'!S56:S57)</f>
        <v>0.5</v>
      </c>
      <c r="J31" s="252">
        <f t="shared" si="0"/>
        <v>0.5</v>
      </c>
      <c r="K31" s="253">
        <f>+K32</f>
        <v>0</v>
      </c>
      <c r="L31" s="254">
        <f t="shared" si="10"/>
        <v>0</v>
      </c>
      <c r="M31" s="254">
        <f t="shared" si="10"/>
        <v>0</v>
      </c>
      <c r="N31" s="255" t="str">
        <f t="shared" si="2"/>
        <v>-</v>
      </c>
      <c r="O31" s="256" t="str">
        <f t="shared" si="4"/>
        <v xml:space="preserve"> -</v>
      </c>
    </row>
    <row r="32" spans="2:15" ht="18" customHeight="1" thickBot="1">
      <c r="B32" s="243" t="s">
        <v>148</v>
      </c>
      <c r="C32" s="443" t="s">
        <v>149</v>
      </c>
      <c r="D32" s="444"/>
      <c r="E32" s="244">
        <f>+IF(SUM('2016 - 2019'!G56:G57)&gt;0,AVERAGE('2016 - 2019'!O56:O57)," -")</f>
        <v>1</v>
      </c>
      <c r="F32" s="244">
        <f>+IF(SUM('2016 - 2019'!H56:H57)&gt;0,AVERAGE('2016 - 2019'!P56:P57)," -")</f>
        <v>0.5</v>
      </c>
      <c r="G32" s="244">
        <f>+IF(SUM('2016 - 2019'!I56:I57)&gt;0,AVERAGE('2016 - 2019'!Q56:Q57)," -")</f>
        <v>1</v>
      </c>
      <c r="H32" s="244">
        <f>+IF(SUM('2016 - 2019'!J56:J57)&gt;0,AVERAGE('2016 - 2019'!R56:R57)," -")</f>
        <v>0</v>
      </c>
      <c r="I32" s="245">
        <f>+AVERAGE('2016 - 2019'!S56:S57)</f>
        <v>0.5</v>
      </c>
      <c r="J32" s="246">
        <f t="shared" si="0"/>
        <v>0.5</v>
      </c>
      <c r="K32" s="291">
        <f>+SUM('2016 - 2019'!U56:U57)</f>
        <v>0</v>
      </c>
      <c r="L32" s="86">
        <f>+SUM('2016 - 2019'!V56:V57)</f>
        <v>0</v>
      </c>
      <c r="M32" s="86">
        <f>+SUM('2016 - 2019'!W56:W57)</f>
        <v>0</v>
      </c>
      <c r="N32" s="292" t="str">
        <f t="shared" si="2"/>
        <v>-</v>
      </c>
      <c r="O32" s="293" t="str">
        <f t="shared" si="4"/>
        <v xml:space="preserve"> -</v>
      </c>
    </row>
    <row r="33" spans="3:15" ht="24" customHeight="1" thickBot="1">
      <c r="C33" s="451" t="s">
        <v>150</v>
      </c>
      <c r="D33" s="452"/>
      <c r="E33" s="294">
        <f>+'2016 - 2019'!O58</f>
        <v>0.89999999999999991</v>
      </c>
      <c r="F33" s="294">
        <f>+'2016 - 2019'!P58</f>
        <v>0.65055555555555555</v>
      </c>
      <c r="G33" s="294">
        <f>+'2016 - 2019'!Q58</f>
        <v>0.71678571428571436</v>
      </c>
      <c r="H33" s="294">
        <f>+'2016 - 2019'!R58</f>
        <v>0</v>
      </c>
      <c r="I33" s="295">
        <f>+'2016 - 2019'!S58</f>
        <v>0.4566958333333333</v>
      </c>
      <c r="J33" s="296">
        <f t="shared" si="0"/>
        <v>0.4566958333333333</v>
      </c>
      <c r="K33" s="130">
        <f>+K8+K21+K24+K27+K30</f>
        <v>7985915.8841300001</v>
      </c>
      <c r="L33" s="131">
        <f>+L8+L21+L24+L27+L30</f>
        <v>6018905</v>
      </c>
      <c r="M33" s="131">
        <f>+M8+M21+M24+M27+M30</f>
        <v>1117472</v>
      </c>
      <c r="N33" s="297">
        <f t="shared" si="2"/>
        <v>0.75369000717388723</v>
      </c>
      <c r="O33" s="298">
        <f t="shared" si="4"/>
        <v>0.18566034851854282</v>
      </c>
    </row>
    <row r="35" spans="3:15" ht="17">
      <c r="C35" s="299" t="str">
        <f>+'2016 - 2019'!C7</f>
        <v>FECHA CORTE</v>
      </c>
      <c r="D35" s="300"/>
      <c r="E35" s="301"/>
      <c r="F35" s="301"/>
      <c r="I35" s="299" t="s">
        <v>162</v>
      </c>
    </row>
    <row r="36" spans="3:15" ht="17">
      <c r="C36" s="302">
        <f>+'2016 - 2019'!C8</f>
        <v>43434</v>
      </c>
    </row>
  </sheetData>
  <mergeCells count="33">
    <mergeCell ref="C32:D32"/>
    <mergeCell ref="C33:D33"/>
    <mergeCell ref="C26:D26"/>
    <mergeCell ref="C27:D27"/>
    <mergeCell ref="C28:D28"/>
    <mergeCell ref="C29:D29"/>
    <mergeCell ref="C30:D30"/>
    <mergeCell ref="C31:D31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{BABE0EF3-40BB-3946-A1B1-839D95406943}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E0EF3-40BB-3946-A1B1-839D954069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2018-12-13T20:19:38Z</dcterms:modified>
</cp:coreProperties>
</file>