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9" i="11"/>
  <c r="U18" i="11"/>
  <c r="U17" i="11"/>
  <c r="U16" i="11"/>
  <c r="U15" i="11"/>
  <c r="U14" i="11"/>
  <c r="U12" i="11"/>
  <c r="L10" i="12"/>
  <c r="L9" i="12"/>
  <c r="L8" i="12"/>
  <c r="M10" i="12"/>
  <c r="M9" i="12"/>
  <c r="M8" i="12"/>
  <c r="L13" i="12"/>
  <c r="L12" i="12"/>
  <c r="L11" i="12"/>
  <c r="M13" i="12"/>
  <c r="M12" i="12"/>
  <c r="M11" i="12"/>
  <c r="C17" i="12"/>
  <c r="C16" i="12"/>
  <c r="K13" i="12"/>
  <c r="K10" i="12"/>
  <c r="K12" i="12"/>
  <c r="K11" i="12"/>
  <c r="K9" i="12"/>
  <c r="K8" i="12"/>
  <c r="M14" i="12"/>
  <c r="L14" i="12"/>
  <c r="K14" i="12"/>
  <c r="I13" i="12"/>
  <c r="I12" i="12"/>
  <c r="I11" i="12"/>
  <c r="I10" i="12"/>
  <c r="I9" i="12"/>
  <c r="I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H11" i="12"/>
  <c r="F12" i="12"/>
  <c r="G12" i="12"/>
  <c r="H12" i="12"/>
  <c r="F13" i="12"/>
  <c r="G13" i="12"/>
  <c r="H13" i="12"/>
  <c r="S20" i="11"/>
  <c r="I14" i="12"/>
  <c r="P20" i="11"/>
  <c r="F14" i="12"/>
  <c r="Q20" i="11"/>
  <c r="G14" i="12"/>
  <c r="R20" i="11"/>
  <c r="H14" i="12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4" i="9"/>
  <c r="I14" i="10"/>
  <c r="I15" i="8"/>
  <c r="I15" i="9"/>
  <c r="I15" i="10"/>
  <c r="I17" i="8"/>
  <c r="I17" i="9"/>
  <c r="I17" i="10"/>
  <c r="I19" i="8"/>
  <c r="I19" i="9"/>
  <c r="I19" i="10"/>
  <c r="I18" i="9"/>
  <c r="I16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<sst xmlns="http://schemas.openxmlformats.org/spreadsheetml/2006/main" count="240" uniqueCount="63">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</sst>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9" fontId="16" fillId="6" borderId="48" xfId="0" applyNumberFormat="1" applyFont="1" applyFill="1" applyBorder="1" applyAlignment="1">
      <alignment horizontal="center" vertical="center"/>
    </xf>
    <xf numFmtId="3" fontId="14" fillId="6" borderId="41" xfId="0" applyNumberFormat="1" applyFont="1" applyFill="1" applyBorder="1" applyAlignment="1">
      <alignment horizontal="center" vertical="center"/>
    </xf>
    <xf numFmtId="9" fontId="17" fillId="6" borderId="50" xfId="0" applyNumberFormat="1" applyFont="1" applyFill="1" applyBorder="1" applyAlignment="1" applyProtection="1">
      <alignment horizontal="center" vertical="center"/>
    </xf>
    <xf numFmtId="9" fontId="17" fillId="6" borderId="3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9" fontId="5" fillId="7" borderId="67" xfId="0" applyNumberFormat="1" applyFont="1" applyFill="1" applyBorder="1" applyAlignment="1" applyProtection="1">
      <alignment horizontal="center" vertical="center"/>
    </xf>
    <xf numFmtId="9" fontId="5" fillId="7" borderId="7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20" fillId="7" borderId="5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52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8" fillId="7" borderId="57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0" fillId="7" borderId="69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16" fillId="8" borderId="48" xfId="0" applyNumberFormat="1" applyFont="1" applyFill="1" applyBorder="1" applyAlignment="1">
      <alignment horizontal="center" vertical="center" wrapText="1"/>
    </xf>
    <xf numFmtId="3" fontId="14" fillId="8" borderId="41" xfId="0" applyNumberFormat="1" applyFont="1" applyFill="1" applyBorder="1" applyAlignment="1">
      <alignment horizontal="center" vertical="center"/>
    </xf>
    <xf numFmtId="9" fontId="14" fillId="8" borderId="50" xfId="0" applyNumberFormat="1" applyFont="1" applyFill="1" applyBorder="1" applyAlignment="1" applyProtection="1">
      <alignment horizontal="center" vertical="center"/>
    </xf>
    <xf numFmtId="9" fontId="14" fillId="8" borderId="39" xfId="0" applyNumberFormat="1" applyFont="1" applyFill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22" fillId="2" borderId="48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39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5" xfId="0" applyFont="1" applyFill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1</xdr:row>
      <xdr:rowOff>139700</xdr:rowOff>
    </xdr:from>
    <xdr:to>
      <xdr:col>17</xdr:col>
      <xdr:colOff>977900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65900" y="330200"/>
          <a:ext cx="2997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139700</xdr:colOff>
      <xdr:row>1</xdr:row>
      <xdr:rowOff>88900</xdr:rowOff>
    </xdr:from>
    <xdr:to>
      <xdr:col>17</xdr:col>
      <xdr:colOff>762000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29400" y="2794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1803400</xdr:colOff>
      <xdr:row>1</xdr:row>
      <xdr:rowOff>50800</xdr:rowOff>
    </xdr:from>
    <xdr:to>
      <xdr:col>22</xdr:col>
      <xdr:colOff>50800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586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139700</xdr:rowOff>
    </xdr:from>
    <xdr:to>
      <xdr:col>3</xdr:col>
      <xdr:colOff>1282700</xdr:colOff>
      <xdr:row>6</xdr:row>
      <xdr:rowOff>317500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812800"/>
          <a:ext cx="2070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177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61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30">
      <c r="B17" s="185"/>
      <c r="C17" s="182"/>
      <c r="D17" s="179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>
        <f>+J14+('2017'!I14-'2017'!K14)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43101</v>
      </c>
      <c r="F15" s="73">
        <v>43465</v>
      </c>
      <c r="G15" s="9" t="s">
        <v>30</v>
      </c>
      <c r="H15" s="20">
        <v>1</v>
      </c>
      <c r="I15" s="20">
        <f>+J15+('2017'!I15-'2017'!K15)</f>
        <v>-0.4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1</v>
      </c>
      <c r="N15" s="17">
        <f t="shared" si="2"/>
        <v>0.25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0</v>
      </c>
      <c r="S16" s="20" t="str">
        <f t="shared" si="3"/>
        <v xml:space="preserve"> -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43101</v>
      </c>
      <c r="F17" s="73">
        <v>43465</v>
      </c>
      <c r="G17" s="9" t="s">
        <v>32</v>
      </c>
      <c r="H17" s="29">
        <v>1</v>
      </c>
      <c r="I17" s="29">
        <f>+J17+('2017'!I17-'2017'!K17)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43101</v>
      </c>
      <c r="F19" s="74">
        <v>43465</v>
      </c>
      <c r="G19" s="33" t="s">
        <v>34</v>
      </c>
      <c r="H19" s="34">
        <v>2</v>
      </c>
      <c r="I19" s="34">
        <f>+J19+('2017'!I19-'2017'!K19)</f>
        <v>2</v>
      </c>
      <c r="J19" s="34">
        <v>2</v>
      </c>
      <c r="K19" s="60">
        <v>0</v>
      </c>
      <c r="L19" s="68">
        <f t="shared" si="0"/>
        <v>0</v>
      </c>
      <c r="M19" s="70">
        <f t="shared" si="1"/>
        <v>1</v>
      </c>
      <c r="N19" s="36">
        <f t="shared" si="2"/>
        <v>0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0.65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0</v>
      </c>
      <c r="S20" s="27" t="str">
        <f t="shared" si="3"/>
        <v xml:space="preserve"> -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43738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0</v>
      </c>
      <c r="L12" s="67">
        <f>+K12/J12</f>
        <v>0</v>
      </c>
      <c r="M12" s="69">
        <f>DAYS360(E12,$C$8)/DAYS360(E12,F12)</f>
        <v>0.74722222222222223</v>
      </c>
      <c r="N12" s="44">
        <f>IF(J12=0," -",IF(L12&gt;100%,100%,L12))</f>
        <v>0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+J14+('2018'!I14-'2018'!K14)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0.74722222222222223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+J15+('2018'!I15-'2018'!K15)</f>
        <v>0</v>
      </c>
      <c r="J15" s="20">
        <v>0.5</v>
      </c>
      <c r="K15" s="58">
        <v>0</v>
      </c>
      <c r="L15" s="15">
        <f t="shared" si="0"/>
        <v>0</v>
      </c>
      <c r="M15" s="16">
        <f t="shared" si="1"/>
        <v>0.74722222222222223</v>
      </c>
      <c r="N15" s="17">
        <f t="shared" si="2"/>
        <v>0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0.74722222222222223</v>
      </c>
      <c r="N16" s="17">
        <f t="shared" si="2"/>
        <v>1</v>
      </c>
      <c r="O16" s="64">
        <v>21032505</v>
      </c>
      <c r="P16" s="29">
        <v>60000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+J17+('2018'!I17-'2018'!K17)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0.74722222222222223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0.74722222222222223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+J19+('2018'!I19-'2018'!K19)</f>
        <v>2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0.74722222222222223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0.74722222222222234</v>
      </c>
      <c r="N20" s="23">
        <f>+AVERAGE(N12,N14:N19)</f>
        <v>0.5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41</v>
      </c>
      <c r="C8" s="21">
        <f>+'2019'!C8</f>
        <v>43738</v>
      </c>
      <c r="D8" s="188" t="s">
        <v>3</v>
      </c>
      <c r="E8" s="189"/>
      <c r="F8" s="189"/>
      <c r="G8" s="189"/>
      <c r="H8" s="207"/>
      <c r="I8" s="207"/>
      <c r="J8" s="207"/>
      <c r="K8" s="207"/>
      <c r="L8" s="207"/>
      <c r="M8" s="207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6" t="s">
        <v>0</v>
      </c>
      <c r="E9" s="208" t="s">
        <v>5</v>
      </c>
      <c r="F9" s="209"/>
      <c r="G9" s="209"/>
      <c r="H9" s="209"/>
      <c r="I9" s="209"/>
      <c r="J9" s="209"/>
      <c r="K9" s="209"/>
      <c r="L9" s="209"/>
      <c r="M9" s="209"/>
      <c r="N9" s="210"/>
      <c r="O9" s="211" t="s">
        <v>43</v>
      </c>
      <c r="P9" s="212"/>
      <c r="Q9" s="212"/>
      <c r="R9" s="212"/>
      <c r="S9" s="213"/>
      <c r="T9" s="170" t="s">
        <v>42</v>
      </c>
      <c r="U9" s="171"/>
      <c r="V9" s="171"/>
      <c r="W9" s="171"/>
      <c r="X9" s="171"/>
      <c r="Y9" s="172"/>
    </row>
    <row r="10" spans="2:25" ht="17" customHeight="1">
      <c r="B10" s="192"/>
      <c r="C10" s="195"/>
      <c r="D10" s="197"/>
      <c r="E10" s="200" t="s">
        <v>7</v>
      </c>
      <c r="F10" s="176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214">
        <v>2016</v>
      </c>
      <c r="P10" s="216">
        <v>2017</v>
      </c>
      <c r="Q10" s="218">
        <v>2018</v>
      </c>
      <c r="R10" s="220">
        <v>2019</v>
      </c>
      <c r="S10" s="222" t="s">
        <v>41</v>
      </c>
      <c r="T10" s="173"/>
      <c r="U10" s="174"/>
      <c r="V10" s="174"/>
      <c r="W10" s="174"/>
      <c r="X10" s="174"/>
      <c r="Y10" s="175"/>
    </row>
    <row r="11" spans="2:25" ht="37.5" customHeight="1" thickBot="1">
      <c r="B11" s="193"/>
      <c r="C11" s="195"/>
      <c r="D11" s="198"/>
      <c r="E11" s="176"/>
      <c r="F11" s="177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215"/>
      <c r="P11" s="217"/>
      <c r="Q11" s="219"/>
      <c r="R11" s="221"/>
      <c r="S11" s="223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6" thickBot="1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+'2016'!P12+'2017'!P12+'2018'!P12+'2019'!P12</f>
        <v>50000</v>
      </c>
      <c r="V12" s="42">
        <f>+'2016'!Q12+'2017'!Q12+'2018'!Q12+'2019'!Q12</f>
        <v>0</v>
      </c>
      <c r="W12" s="42">
        <f>+'2016'!R12+'2017'!R12+'2018'!R12+'2019'!R12</f>
        <v>0</v>
      </c>
      <c r="X12" s="43">
        <f>IF(U12=0," -",V12/U12)</f>
        <v>0</v>
      </c>
      <c r="Y12" s="44" t="str">
        <f>IF(W12=0," -",IF(V12=0,100%,W12/V12))</f>
        <v xml:space="preserve"> -</v>
      </c>
    </row>
    <row r="13" spans="2:25" ht="13" customHeight="1" thickBot="1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>
      <c r="B14" s="184" t="s">
        <v>37</v>
      </c>
      <c r="C14" s="181" t="s">
        <v>36</v>
      </c>
      <c r="D14" s="178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'2018'!J14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'2018'!K14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'2018'!N14</f>
        <v xml:space="preserve"> -</v>
      </c>
      <c r="R14" s="98" t="str">
        <f>'2019'!N14</f>
        <v xml:space="preserve"> -</v>
      </c>
      <c r="S14" s="112">
        <v>1</v>
      </c>
      <c r="T14" s="63" t="s">
        <v>61</v>
      </c>
      <c r="U14" s="31">
        <f>+'2016'!P14+'2017'!P14+'2018'!P14+'2019'!P14</f>
        <v>488844</v>
      </c>
      <c r="V14" s="31">
        <f>+'2016'!Q14+'2017'!Q14+'2018'!Q14+'2019'!Q14</f>
        <v>488844</v>
      </c>
      <c r="W14" s="31">
        <f>+'2016'!R14+'2017'!R14+'2018'!R14+'2019'!R14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>
      <c r="B15" s="185"/>
      <c r="C15" s="182"/>
      <c r="D15" s="179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'2018'!J15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'2018'!K15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'2018'!N15</f>
        <v>0.25</v>
      </c>
      <c r="R15" s="100">
        <f>'2019'!N15</f>
        <v>0</v>
      </c>
      <c r="S15" s="113">
        <v>1</v>
      </c>
      <c r="T15" s="64" t="s">
        <v>61</v>
      </c>
      <c r="U15" s="29">
        <f>+'2016'!P15+'2017'!P15+'2018'!P15+'2019'!P15</f>
        <v>0</v>
      </c>
      <c r="V15" s="29">
        <f>+'2016'!Q15+'2017'!Q15+'2018'!Q15+'2019'!Q15</f>
        <v>0</v>
      </c>
      <c r="W15" s="29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>
      <c r="B16" s="185"/>
      <c r="C16" s="182"/>
      <c r="D16" s="179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'2018'!J16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'2018'!K16</f>
        <v>1</v>
      </c>
      <c r="N16" s="92">
        <f>'2019'!K16</f>
        <v>1</v>
      </c>
      <c r="O16" s="99" t="str">
        <f>'2016'!N16</f>
        <v xml:space="preserve"> -</v>
      </c>
      <c r="P16" s="100">
        <f>'2017'!N16</f>
        <v>1</v>
      </c>
      <c r="Q16" s="105">
        <f>'2018'!N16</f>
        <v>1</v>
      </c>
      <c r="R16" s="100">
        <f>'2019'!N16</f>
        <v>1</v>
      </c>
      <c r="S16" s="113">
        <v>1</v>
      </c>
      <c r="T16" s="64">
        <v>21032505</v>
      </c>
      <c r="U16" s="29">
        <f>+'2016'!P16+'2017'!P16+'2018'!P16+'2019'!P16</f>
        <v>160000</v>
      </c>
      <c r="V16" s="29">
        <f>+'2016'!Q16+'2017'!Q16+'2018'!Q16+'2019'!Q16</f>
        <v>0</v>
      </c>
      <c r="W16" s="29">
        <f>+'2016'!R16+'2017'!R16+'2018'!R16+'2019'!R16</f>
        <v>18850</v>
      </c>
      <c r="X16" s="20">
        <f t="shared" si="0"/>
        <v>0</v>
      </c>
      <c r="Y16" s="17">
        <f t="shared" si="1"/>
        <v>1</v>
      </c>
    </row>
    <row r="17" spans="2:25" ht="30">
      <c r="B17" s="185"/>
      <c r="C17" s="182"/>
      <c r="D17" s="179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'2018'!J17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'2018'!K17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'2018'!N17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+'2016'!P17+'2017'!P17+'2018'!P17+'2019'!P17</f>
        <v>0</v>
      </c>
      <c r="V17" s="29">
        <f>+'2016'!Q17+'2017'!Q17+'2018'!Q17+'2019'!Q17</f>
        <v>0</v>
      </c>
      <c r="W17" s="29">
        <f>+'2016'!R17+'2017'!R17+'2018'!R17+'2019'!R17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>
      <c r="B18" s="185"/>
      <c r="C18" s="182"/>
      <c r="D18" s="179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'2018'!J18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'2018'!K18</f>
        <v>3</v>
      </c>
      <c r="N18" s="92">
        <f>'2019'!K18</f>
        <v>3</v>
      </c>
      <c r="O18" s="99">
        <f>'2016'!N18</f>
        <v>1</v>
      </c>
      <c r="P18" s="100">
        <f>'2017'!N18</f>
        <v>1</v>
      </c>
      <c r="Q18" s="105">
        <f>'2018'!N18</f>
        <v>1</v>
      </c>
      <c r="R18" s="100">
        <f>'2019'!N18</f>
        <v>1</v>
      </c>
      <c r="S18" s="113">
        <v>1</v>
      </c>
      <c r="T18" s="64">
        <v>21032509</v>
      </c>
      <c r="U18" s="29">
        <f>+'2016'!P18+'2017'!P18+'2018'!P18+'2019'!P18</f>
        <v>50000</v>
      </c>
      <c r="V18" s="29">
        <f>+'2016'!Q18+'2017'!Q18+'2018'!Q18+'2019'!Q18</f>
        <v>0</v>
      </c>
      <c r="W18" s="29">
        <f>+'2016'!R18+'2017'!R18+'2018'!R18+'2019'!R18</f>
        <v>0</v>
      </c>
      <c r="X18" s="20">
        <f t="shared" si="0"/>
        <v>0</v>
      </c>
      <c r="Y18" s="17" t="str">
        <f t="shared" si="1"/>
        <v xml:space="preserve"> -</v>
      </c>
    </row>
    <row r="19" spans="2:25" ht="46" thickBot="1">
      <c r="B19" s="186"/>
      <c r="C19" s="183"/>
      <c r="D19" s="180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'2018'!J19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'2018'!K19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'2018'!N19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+'2016'!P19+'2017'!P19+'2018'!P19+'2019'!P19</f>
        <v>0</v>
      </c>
      <c r="V19" s="29">
        <f>+'2016'!Q19+'2017'!Q19+'2018'!Q19+'2019'!Q19</f>
        <v>0</v>
      </c>
      <c r="W19" s="29">
        <f>+'2016'!R19+'2017'!R19+'2018'!R19+'2019'!R19</f>
        <v>0</v>
      </c>
      <c r="X19" s="35" t="str">
        <f t="shared" si="0"/>
        <v xml:space="preserve"> -</v>
      </c>
      <c r="Y19" s="36" t="str">
        <f t="shared" si="1"/>
        <v xml:space="preserve"> -</v>
      </c>
    </row>
    <row r="20" spans="2:25" ht="21" customHeight="1" thickBot="1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0.5</v>
      </c>
      <c r="S20" s="109">
        <f>+AVERAGE(S12,S14:S19)</f>
        <v>0.79999999999999993</v>
      </c>
      <c r="T20" s="24"/>
      <c r="U20" s="25">
        <f>+SUM(U12,U14:U19)</f>
        <v>748844</v>
      </c>
      <c r="V20" s="26">
        <f>+SUM(V12,V14:V19)</f>
        <v>488844</v>
      </c>
      <c r="W20" s="26">
        <f>+SUM(W12,W14:W19)</f>
        <v>18850</v>
      </c>
      <c r="X20" s="27">
        <f t="shared" si="0"/>
        <v>0.65279817959414776</v>
      </c>
      <c r="Y20" s="23">
        <f t="shared" si="1"/>
        <v>3.8560358723846465E-2</v>
      </c>
    </row>
  </sheetData>
  <mergeCells count="20">
    <mergeCell ref="B14:B19"/>
    <mergeCell ref="C14:C19"/>
    <mergeCell ref="D14:D19"/>
    <mergeCell ref="T9:Y10"/>
    <mergeCell ref="E10:E11"/>
    <mergeCell ref="F10:F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40" t="s">
        <v>60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</row>
    <row r="4" spans="2:15" ht="16" thickBot="1">
      <c r="C4" s="116"/>
      <c r="D4" s="116"/>
      <c r="E4" s="116"/>
      <c r="F4" s="116"/>
      <c r="G4" s="116"/>
      <c r="H4" s="116"/>
      <c r="I4" s="116"/>
    </row>
    <row r="5" spans="2:15" ht="19" customHeight="1">
      <c r="C5" s="116"/>
      <c r="D5" s="116"/>
      <c r="E5" s="243" t="s">
        <v>44</v>
      </c>
      <c r="F5" s="244"/>
      <c r="G5" s="244"/>
      <c r="H5" s="244"/>
      <c r="I5" s="247" t="s">
        <v>43</v>
      </c>
      <c r="J5" s="248"/>
      <c r="K5" s="251" t="s">
        <v>45</v>
      </c>
      <c r="L5" s="252"/>
      <c r="M5" s="252"/>
      <c r="N5" s="252"/>
      <c r="O5" s="253"/>
    </row>
    <row r="6" spans="2:15" ht="19" customHeight="1" thickBot="1">
      <c r="E6" s="245"/>
      <c r="F6" s="246"/>
      <c r="G6" s="246"/>
      <c r="H6" s="246"/>
      <c r="I6" s="249"/>
      <c r="J6" s="250"/>
      <c r="K6" s="254" t="s">
        <v>41</v>
      </c>
      <c r="L6" s="255"/>
      <c r="M6" s="255"/>
      <c r="N6" s="255"/>
      <c r="O6" s="256"/>
    </row>
    <row r="7" spans="2:15" ht="32" customHeight="1" thickBot="1">
      <c r="C7" s="232"/>
      <c r="D7" s="233"/>
      <c r="E7" s="117">
        <v>2016</v>
      </c>
      <c r="F7" s="118">
        <v>2017</v>
      </c>
      <c r="G7" s="118">
        <v>2018</v>
      </c>
      <c r="H7" s="118">
        <v>2019</v>
      </c>
      <c r="I7" s="234" t="s">
        <v>41</v>
      </c>
      <c r="J7" s="235"/>
      <c r="K7" s="119" t="s">
        <v>46</v>
      </c>
      <c r="L7" s="120" t="s">
        <v>47</v>
      </c>
      <c r="M7" s="120" t="s">
        <v>48</v>
      </c>
      <c r="N7" s="120" t="s">
        <v>49</v>
      </c>
      <c r="O7" s="121" t="s">
        <v>50</v>
      </c>
    </row>
    <row r="8" spans="2:15" ht="22" customHeight="1" thickBot="1">
      <c r="B8" s="122">
        <v>1</v>
      </c>
      <c r="C8" s="236" t="s">
        <v>51</v>
      </c>
      <c r="D8" s="237"/>
      <c r="E8" s="123">
        <f>+IF('2016 - 2019'!G12&gt;0,'2016 - 2019'!O12," -")</f>
        <v>0.4</v>
      </c>
      <c r="F8" s="123">
        <f>+IF('2016 - 2019'!H12&gt;0,'2016 - 2019'!P12," -")</f>
        <v>1</v>
      </c>
      <c r="G8" s="123">
        <f>+IF('2016 - 2019'!I12&gt;0,'2016 - 2019'!Q12," -")</f>
        <v>1</v>
      </c>
      <c r="H8" s="123">
        <f>+IF('2016 - 2019'!J12&gt;0,'2016 - 2019'!R12," -")</f>
        <v>0</v>
      </c>
      <c r="I8" s="124">
        <f>+'2016 - 2019'!S12</f>
        <v>0.6</v>
      </c>
      <c r="J8" s="125">
        <f t="shared" ref="J8:J10" si="0">+I8</f>
        <v>0.6</v>
      </c>
      <c r="K8" s="126">
        <f>+K9</f>
        <v>50000</v>
      </c>
      <c r="L8" s="126">
        <f t="shared" ref="L8:M9" si="1">+L9</f>
        <v>0</v>
      </c>
      <c r="M8" s="126">
        <f t="shared" si="1"/>
        <v>0</v>
      </c>
      <c r="N8" s="127">
        <f t="shared" ref="N8:N10" si="2">IF(K8=0,"-",+L8/K8)</f>
        <v>0</v>
      </c>
      <c r="O8" s="128" t="str">
        <f>IF(M8=0," -",IF(L8=0,100%,M8/L8))</f>
        <v xml:space="preserve"> -</v>
      </c>
    </row>
    <row r="9" spans="2:15" ht="20" customHeight="1">
      <c r="B9" s="129" t="s">
        <v>52</v>
      </c>
      <c r="C9" s="238" t="s">
        <v>39</v>
      </c>
      <c r="D9" s="239"/>
      <c r="E9" s="139">
        <f>+IF('2016 - 2019'!G12&gt;0,'2016 - 2019'!O12," -")</f>
        <v>0.4</v>
      </c>
      <c r="F9" s="139">
        <f>+IF('2016 - 2019'!H12&gt;0,'2016 - 2019'!P12," -")</f>
        <v>1</v>
      </c>
      <c r="G9" s="139">
        <f>+IF('2016 - 2019'!I12&gt;0,'2016 - 2019'!Q12," -")</f>
        <v>1</v>
      </c>
      <c r="H9" s="139">
        <f>+IF('2016 - 2019'!J12&gt;0,'2016 - 2019'!R12," -")</f>
        <v>0</v>
      </c>
      <c r="I9" s="140">
        <f>+'2016 - 2019'!S12</f>
        <v>0.6</v>
      </c>
      <c r="J9" s="141">
        <f t="shared" si="0"/>
        <v>0.6</v>
      </c>
      <c r="K9" s="142">
        <f>+K10</f>
        <v>50000</v>
      </c>
      <c r="L9" s="142">
        <f t="shared" si="1"/>
        <v>0</v>
      </c>
      <c r="M9" s="142">
        <f t="shared" si="1"/>
        <v>0</v>
      </c>
      <c r="N9" s="143">
        <f t="shared" si="2"/>
        <v>0</v>
      </c>
      <c r="O9" s="144" t="str">
        <f t="shared" ref="O9:O10" si="3">IF(M9=0," -",IF(L9=0,100%,M9/L9))</f>
        <v xml:space="preserve"> -</v>
      </c>
    </row>
    <row r="10" spans="2:15" ht="18" customHeight="1" thickBot="1">
      <c r="B10" s="133" t="s">
        <v>53</v>
      </c>
      <c r="C10" s="230" t="s">
        <v>54</v>
      </c>
      <c r="D10" s="231"/>
      <c r="E10" s="134">
        <f>+IF('2016 - 2019'!G12&gt;0,'2016 - 2019'!O12," -")</f>
        <v>0.4</v>
      </c>
      <c r="F10" s="134">
        <f>+IF('2016 - 2019'!H12&gt;0,'2016 - 2019'!P12," -")</f>
        <v>1</v>
      </c>
      <c r="G10" s="134">
        <f>+IF('2016 - 2019'!I12&gt;0,'2016 - 2019'!Q12," -")</f>
        <v>1</v>
      </c>
      <c r="H10" s="134">
        <f>+IF('2016 - 2019'!J12&gt;0,'2016 - 2019'!R12," -")</f>
        <v>0</v>
      </c>
      <c r="I10" s="135">
        <f>+'2016 - 2019'!S12</f>
        <v>0.6</v>
      </c>
      <c r="J10" s="136">
        <f t="shared" si="0"/>
        <v>0.6</v>
      </c>
      <c r="K10" s="29">
        <f>+'2016 - 2019'!U12</f>
        <v>50000</v>
      </c>
      <c r="L10" s="29">
        <f>+'2016 - 2019'!V12</f>
        <v>0</v>
      </c>
      <c r="M10" s="29">
        <f>+'2016 - 2019'!W12</f>
        <v>0</v>
      </c>
      <c r="N10" s="137">
        <f t="shared" si="2"/>
        <v>0</v>
      </c>
      <c r="O10" s="138" t="str">
        <f t="shared" si="3"/>
        <v xml:space="preserve"> -</v>
      </c>
    </row>
    <row r="11" spans="2:15" ht="22" customHeight="1" thickBot="1">
      <c r="B11" s="122">
        <v>6</v>
      </c>
      <c r="C11" s="224" t="s">
        <v>55</v>
      </c>
      <c r="D11" s="225"/>
      <c r="E11" s="148">
        <f>+IF(SUM('2016 - 2019'!G14:G19)&gt;0,AVERAGE('2016 - 2019'!O14:O19)," -")</f>
        <v>1</v>
      </c>
      <c r="F11" s="148">
        <f>+IF(SUM('2016 - 2019'!H14:H19)&gt;0,AVERAGE('2016 - 2019'!P14:P19)," -")</f>
        <v>1</v>
      </c>
      <c r="G11" s="148">
        <f>+IF(SUM('2016 - 2019'!I14:I19)&gt;0,AVERAGE('2016 - 2019'!Q14:Q19)," -")</f>
        <v>0.5625</v>
      </c>
      <c r="H11" s="148">
        <f>+IF(SUM('2016 - 2019'!J14:J19)&gt;0,AVERAGE('2016 - 2019'!R14:R19)," -")</f>
        <v>0.66666666666666663</v>
      </c>
      <c r="I11" s="149">
        <f>+AVERAGE('2016 - 2019'!S14:S19)</f>
        <v>0.83333333333333337</v>
      </c>
      <c r="J11" s="150">
        <f t="shared" ref="J11:J14" si="4">+I11</f>
        <v>0.83333333333333337</v>
      </c>
      <c r="K11" s="151">
        <f>+K12</f>
        <v>698844</v>
      </c>
      <c r="L11" s="151">
        <f t="shared" ref="L11:M12" si="5">+L12</f>
        <v>488844</v>
      </c>
      <c r="M11" s="151">
        <f t="shared" si="5"/>
        <v>18850</v>
      </c>
      <c r="N11" s="152">
        <f t="shared" ref="N11:N14" si="6">IF(K11=0,"-",+L11/K11)</f>
        <v>0.69950375191029757</v>
      </c>
      <c r="O11" s="153">
        <f t="shared" ref="O11:O14" si="7">IF(M11=0," -",IF(L11=0,100%,M11/L11))</f>
        <v>3.8560358723846465E-2</v>
      </c>
    </row>
    <row r="12" spans="2:15" ht="20" customHeight="1">
      <c r="B12" s="129" t="s">
        <v>56</v>
      </c>
      <c r="C12" s="226" t="s">
        <v>36</v>
      </c>
      <c r="D12" s="227"/>
      <c r="E12" s="145">
        <f>+IF(SUM('2016 - 2019'!G14:G19)&gt;0,AVERAGE('2016 - 2019'!O14:O19)," -")</f>
        <v>1</v>
      </c>
      <c r="F12" s="145">
        <f>+IF(SUM('2016 - 2019'!H14:H19)&gt;0,AVERAGE('2016 - 2019'!P14:P19)," -")</f>
        <v>1</v>
      </c>
      <c r="G12" s="145">
        <f>+IF(SUM('2016 - 2019'!I14:I19)&gt;0,AVERAGE('2016 - 2019'!Q14:Q19)," -")</f>
        <v>0.5625</v>
      </c>
      <c r="H12" s="145">
        <f>+IF(SUM('2016 - 2019'!J14:J19)&gt;0,AVERAGE('2016 - 2019'!R14:R19)," -")</f>
        <v>0.66666666666666663</v>
      </c>
      <c r="I12" s="146">
        <f>+AVERAGE('2016 - 2019'!S14:S19)</f>
        <v>0.83333333333333337</v>
      </c>
      <c r="J12" s="147">
        <f t="shared" si="4"/>
        <v>0.83333333333333337</v>
      </c>
      <c r="K12" s="130">
        <f>+K13</f>
        <v>698844</v>
      </c>
      <c r="L12" s="130">
        <f t="shared" si="5"/>
        <v>488844</v>
      </c>
      <c r="M12" s="130">
        <f t="shared" si="5"/>
        <v>18850</v>
      </c>
      <c r="N12" s="131">
        <f t="shared" si="6"/>
        <v>0.69950375191029757</v>
      </c>
      <c r="O12" s="132">
        <f t="shared" si="7"/>
        <v>3.8560358723846465E-2</v>
      </c>
    </row>
    <row r="13" spans="2:15" ht="18" customHeight="1" thickBot="1">
      <c r="B13" s="133" t="s">
        <v>57</v>
      </c>
      <c r="C13" s="230" t="s">
        <v>58</v>
      </c>
      <c r="D13" s="231"/>
      <c r="E13" s="134">
        <f>+IF(SUM('2016 - 2019'!G14:G19)&gt;0,AVERAGE('2016 - 2019'!O14:O19)," -")</f>
        <v>1</v>
      </c>
      <c r="F13" s="134">
        <f>+IF(SUM('2016 - 2019'!H14:H19)&gt;0,AVERAGE('2016 - 2019'!P14:P19)," -")</f>
        <v>1</v>
      </c>
      <c r="G13" s="134">
        <f>+IF(SUM('2016 - 2019'!I14:I19)&gt;0,AVERAGE('2016 - 2019'!Q14:Q19)," -")</f>
        <v>0.5625</v>
      </c>
      <c r="H13" s="134">
        <f>+IF(SUM('2016 - 2019'!J14:J19)&gt;0,AVERAGE('2016 - 2019'!R14:R19)," -")</f>
        <v>0.66666666666666663</v>
      </c>
      <c r="I13" s="135">
        <f>+AVERAGE('2016 - 2019'!S14:S19)</f>
        <v>0.83333333333333337</v>
      </c>
      <c r="J13" s="136">
        <f t="shared" si="4"/>
        <v>0.83333333333333337</v>
      </c>
      <c r="K13" s="34">
        <f>+SUM('2016 - 2019'!U14:U19)</f>
        <v>698844</v>
      </c>
      <c r="L13" s="34">
        <f>+SUM('2016 - 2019'!V14:V19)</f>
        <v>488844</v>
      </c>
      <c r="M13" s="34">
        <f>+SUM('2016 - 2019'!W14:W19)</f>
        <v>18850</v>
      </c>
      <c r="N13" s="137">
        <f t="shared" si="6"/>
        <v>0.69950375191029757</v>
      </c>
      <c r="O13" s="138">
        <f t="shared" si="7"/>
        <v>3.8560358723846465E-2</v>
      </c>
    </row>
    <row r="14" spans="2:15" ht="24" customHeight="1" thickBot="1">
      <c r="C14" s="228" t="s">
        <v>59</v>
      </c>
      <c r="D14" s="229"/>
      <c r="E14" s="154">
        <f>+'2016 - 2019'!O20</f>
        <v>0.85</v>
      </c>
      <c r="F14" s="154">
        <f>+'2016 - 2019'!P20</f>
        <v>1</v>
      </c>
      <c r="G14" s="154">
        <f>+'2016 - 2019'!Q20</f>
        <v>0.65</v>
      </c>
      <c r="H14" s="154">
        <f>+'2016 - 2019'!R20</f>
        <v>0.5</v>
      </c>
      <c r="I14" s="155">
        <f>+'2016 - 2019'!S20</f>
        <v>0.79999999999999993</v>
      </c>
      <c r="J14" s="156">
        <f t="shared" si="4"/>
        <v>0.79999999999999993</v>
      </c>
      <c r="K14" s="157">
        <f>+K8+K11</f>
        <v>748844</v>
      </c>
      <c r="L14" s="158">
        <f>+L8+L11</f>
        <v>488844</v>
      </c>
      <c r="M14" s="158">
        <f>+M8+M11</f>
        <v>18850</v>
      </c>
      <c r="N14" s="159">
        <f t="shared" si="6"/>
        <v>0.65279817959414776</v>
      </c>
      <c r="O14" s="160">
        <f t="shared" si="7"/>
        <v>3.8560358723846465E-2</v>
      </c>
    </row>
    <row r="16" spans="2:15" ht="17">
      <c r="C16" s="161" t="str">
        <f>+'2016 - 2019'!C7</f>
        <v>FECHA CORTE</v>
      </c>
      <c r="D16" s="162"/>
      <c r="E16" s="163"/>
      <c r="F16" s="163"/>
      <c r="I16" s="165" t="s">
        <v>62</v>
      </c>
    </row>
    <row r="17" spans="3:3" ht="17">
      <c r="C17" s="164">
        <f>+'2016 - 2019'!C8</f>
        <v>43738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4:D14"/>
    <mergeCell ref="C13:D13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2019-10-08T13:49:52Z</dcterms:modified>
</cp:coreProperties>
</file>