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V14" i="11"/>
  <c r="W14" i="11"/>
  <c r="V15" i="11"/>
  <c r="W15" i="11"/>
  <c r="V16" i="11"/>
  <c r="W16" i="11"/>
  <c r="V18" i="11"/>
  <c r="W18" i="11"/>
  <c r="V19" i="11"/>
  <c r="W19" i="11"/>
  <c r="V20" i="11"/>
  <c r="W20" i="11"/>
  <c r="V21" i="11"/>
  <c r="W21" i="11"/>
  <c r="V22" i="11"/>
  <c r="W22" i="11"/>
  <c r="V23" i="11"/>
  <c r="W23" i="11"/>
  <c r="U23" i="11"/>
  <c r="U22" i="11"/>
  <c r="U21" i="11"/>
  <c r="U20" i="11"/>
  <c r="U19" i="11"/>
  <c r="U18" i="11"/>
  <c r="U16" i="11"/>
  <c r="U15" i="11"/>
  <c r="U14" i="11"/>
  <c r="U13" i="11"/>
  <c r="U12" i="11"/>
  <c r="C17" i="12"/>
  <c r="C16" i="12"/>
  <c r="M13" i="12"/>
  <c r="L13" i="12"/>
  <c r="M12" i="12"/>
  <c r="L12" i="12"/>
  <c r="M11" i="12"/>
  <c r="L11" i="12"/>
  <c r="M10" i="12"/>
  <c r="L10" i="12"/>
  <c r="M9" i="12"/>
  <c r="L9" i="12"/>
  <c r="M8" i="12"/>
  <c r="L8" i="12"/>
  <c r="K13" i="12"/>
  <c r="K12" i="12"/>
  <c r="K10" i="12"/>
  <c r="K9" i="12"/>
  <c r="I13" i="12"/>
  <c r="I12" i="12"/>
  <c r="I11" i="12"/>
  <c r="I10" i="12"/>
  <c r="I9" i="12"/>
  <c r="I8" i="12"/>
  <c r="S24" i="11"/>
  <c r="I14" i="12"/>
  <c r="L12" i="8"/>
  <c r="N12" i="8"/>
  <c r="P12" i="11"/>
  <c r="L13" i="8"/>
  <c r="N13" i="8"/>
  <c r="P13" i="11"/>
  <c r="L14" i="8"/>
  <c r="N14" i="8"/>
  <c r="P14" i="11"/>
  <c r="L15" i="8"/>
  <c r="N15" i="8"/>
  <c r="P15" i="11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P24" i="11"/>
  <c r="F14" i="12"/>
  <c r="L12" i="9"/>
  <c r="N12" i="9"/>
  <c r="Q12" i="11"/>
  <c r="L13" i="9"/>
  <c r="N13" i="9"/>
  <c r="Q13" i="11"/>
  <c r="L14" i="9"/>
  <c r="N14" i="9"/>
  <c r="Q14" i="11"/>
  <c r="L15" i="9"/>
  <c r="N15" i="9"/>
  <c r="Q15" i="11"/>
  <c r="N16" i="9"/>
  <c r="Q16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Q24" i="11"/>
  <c r="G14" i="12"/>
  <c r="L12" i="10"/>
  <c r="N12" i="10"/>
  <c r="R12" i="11"/>
  <c r="L13" i="10"/>
  <c r="N13" i="10"/>
  <c r="R13" i="11"/>
  <c r="L14" i="10"/>
  <c r="N14" i="10"/>
  <c r="R14" i="11"/>
  <c r="L15" i="10"/>
  <c r="N15" i="10"/>
  <c r="R15" i="11"/>
  <c r="N16" i="10"/>
  <c r="R16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R24" i="11"/>
  <c r="H14" i="12"/>
  <c r="L12" i="7"/>
  <c r="N12" i="7"/>
  <c r="O12" i="11"/>
  <c r="L13" i="7"/>
  <c r="N13" i="7"/>
  <c r="O13" i="11"/>
  <c r="N14" i="7"/>
  <c r="O14" i="11"/>
  <c r="L15" i="7"/>
  <c r="N15" i="7"/>
  <c r="O15" i="11"/>
  <c r="L16" i="7"/>
  <c r="N16" i="7"/>
  <c r="O16" i="11"/>
  <c r="L18" i="7"/>
  <c r="N18" i="7"/>
  <c r="O18" i="11"/>
  <c r="L19" i="7"/>
  <c r="N19" i="7"/>
  <c r="O19" i="11"/>
  <c r="L20" i="7"/>
  <c r="N20" i="7"/>
  <c r="O20" i="11"/>
  <c r="L21" i="7"/>
  <c r="N21" i="7"/>
  <c r="O21" i="11"/>
  <c r="L22" i="7"/>
  <c r="N22" i="7"/>
  <c r="O22" i="11"/>
  <c r="L23" i="7"/>
  <c r="N23" i="7"/>
  <c r="O23" i="11"/>
  <c r="O24" i="11"/>
  <c r="E14" i="12"/>
  <c r="H12" i="11"/>
  <c r="H13" i="11"/>
  <c r="H14" i="11"/>
  <c r="H15" i="11"/>
  <c r="H16" i="11"/>
  <c r="H18" i="11"/>
  <c r="H19" i="11"/>
  <c r="H20" i="11"/>
  <c r="H21" i="11"/>
  <c r="H22" i="11"/>
  <c r="H23" i="11"/>
  <c r="F8" i="12"/>
  <c r="I12" i="11"/>
  <c r="I13" i="11"/>
  <c r="I14" i="11"/>
  <c r="I15" i="11"/>
  <c r="I16" i="11"/>
  <c r="I18" i="11"/>
  <c r="I19" i="11"/>
  <c r="I20" i="11"/>
  <c r="I21" i="11"/>
  <c r="I22" i="11"/>
  <c r="I23" i="11"/>
  <c r="G8" i="12"/>
  <c r="J12" i="11"/>
  <c r="J13" i="11"/>
  <c r="J14" i="11"/>
  <c r="J15" i="11"/>
  <c r="J16" i="11"/>
  <c r="J18" i="11"/>
  <c r="J19" i="11"/>
  <c r="J20" i="11"/>
  <c r="J21" i="11"/>
  <c r="J22" i="11"/>
  <c r="J23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G21" i="11"/>
  <c r="G22" i="11"/>
  <c r="G23" i="11"/>
  <c r="E13" i="12"/>
  <c r="G18" i="11"/>
  <c r="G19" i="11"/>
  <c r="G20" i="11"/>
  <c r="E12" i="12"/>
  <c r="E11" i="12"/>
  <c r="G12" i="11"/>
  <c r="G13" i="11"/>
  <c r="G14" i="11"/>
  <c r="G15" i="11"/>
  <c r="G16" i="11"/>
  <c r="E10" i="12"/>
  <c r="E9" i="12"/>
  <c r="E8" i="12"/>
  <c r="K11" i="12"/>
  <c r="K8" i="12"/>
  <c r="M14" i="12"/>
  <c r="L14" i="12"/>
  <c r="K14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6" i="11"/>
  <c r="N18" i="11"/>
  <c r="N19" i="11"/>
  <c r="N20" i="11"/>
  <c r="N21" i="11"/>
  <c r="N22" i="11"/>
  <c r="N23" i="11"/>
  <c r="M12" i="11"/>
  <c r="M13" i="11"/>
  <c r="M14" i="11"/>
  <c r="M15" i="11"/>
  <c r="M16" i="11"/>
  <c r="M18" i="11"/>
  <c r="M19" i="11"/>
  <c r="M20" i="11"/>
  <c r="M21" i="11"/>
  <c r="M22" i="11"/>
  <c r="M23" i="11"/>
  <c r="L12" i="11"/>
  <c r="L13" i="11"/>
  <c r="L14" i="11"/>
  <c r="L15" i="11"/>
  <c r="L16" i="11"/>
  <c r="L18" i="11"/>
  <c r="L19" i="11"/>
  <c r="L20" i="11"/>
  <c r="L21" i="11"/>
  <c r="L22" i="11"/>
  <c r="L23" i="11"/>
  <c r="K12" i="11"/>
  <c r="K13" i="11"/>
  <c r="K14" i="11"/>
  <c r="K15" i="11"/>
  <c r="K16" i="11"/>
  <c r="K18" i="11"/>
  <c r="K19" i="11"/>
  <c r="K20" i="11"/>
  <c r="K21" i="11"/>
  <c r="K22" i="11"/>
  <c r="K23" i="11"/>
  <c r="W24" i="11"/>
  <c r="V24" i="11"/>
  <c r="Y24" i="11"/>
  <c r="U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5" i="11"/>
  <c r="X15" i="11"/>
  <c r="Y14" i="11"/>
  <c r="X14" i="11"/>
  <c r="Y13" i="11"/>
  <c r="X13" i="11"/>
  <c r="Y12" i="11"/>
  <c r="X12" i="11"/>
  <c r="I23" i="10"/>
  <c r="I21" i="10"/>
  <c r="I20" i="10"/>
  <c r="I19" i="10"/>
  <c r="I18" i="10"/>
  <c r="I15" i="10"/>
  <c r="I14" i="10"/>
  <c r="I13" i="10"/>
  <c r="I16" i="8"/>
  <c r="I16" i="9"/>
  <c r="I16" i="10"/>
  <c r="I22" i="8"/>
  <c r="I22" i="9"/>
  <c r="I22" i="10"/>
  <c r="I23" i="9"/>
  <c r="I21" i="9"/>
  <c r="I20" i="9"/>
  <c r="I19" i="9"/>
  <c r="I18" i="9"/>
  <c r="I15" i="9"/>
  <c r="I14" i="9"/>
  <c r="I13" i="9"/>
  <c r="I23" i="8"/>
  <c r="I21" i="8"/>
  <c r="I20" i="8"/>
  <c r="I19" i="8"/>
  <c r="I18" i="8"/>
  <c r="I15" i="8"/>
  <c r="I14" i="8"/>
  <c r="I13" i="8"/>
  <c r="I12" i="8"/>
  <c r="I12" i="9"/>
  <c r="I12" i="10"/>
  <c r="R24" i="10"/>
  <c r="T24" i="10"/>
  <c r="P24" i="10"/>
  <c r="Q24" i="10"/>
  <c r="S24" i="10"/>
  <c r="L16" i="10"/>
  <c r="N24" i="10"/>
  <c r="M12" i="10"/>
  <c r="M13" i="10"/>
  <c r="M14" i="10"/>
  <c r="M15" i="10"/>
  <c r="M16" i="10"/>
  <c r="M18" i="10"/>
  <c r="M19" i="10"/>
  <c r="M20" i="10"/>
  <c r="M21" i="10"/>
  <c r="M22" i="10"/>
  <c r="M23" i="10"/>
  <c r="M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6" i="10"/>
  <c r="S16" i="10"/>
  <c r="T15" i="10"/>
  <c r="S15" i="10"/>
  <c r="T14" i="10"/>
  <c r="S14" i="10"/>
  <c r="T13" i="10"/>
  <c r="S13" i="10"/>
  <c r="T12" i="10"/>
  <c r="S12" i="10"/>
  <c r="R24" i="9"/>
  <c r="T24" i="9"/>
  <c r="P24" i="9"/>
  <c r="Q24" i="9"/>
  <c r="S24" i="9"/>
  <c r="L16" i="9"/>
  <c r="N24" i="9"/>
  <c r="M12" i="9"/>
  <c r="M13" i="9"/>
  <c r="M14" i="9"/>
  <c r="M15" i="9"/>
  <c r="M16" i="9"/>
  <c r="M18" i="9"/>
  <c r="M19" i="9"/>
  <c r="M20" i="9"/>
  <c r="M21" i="9"/>
  <c r="M22" i="9"/>
  <c r="M23" i="9"/>
  <c r="M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3" i="9"/>
  <c r="S13" i="9"/>
  <c r="T12" i="9"/>
  <c r="S12" i="9"/>
  <c r="R24" i="8"/>
  <c r="T24" i="8"/>
  <c r="P24" i="8"/>
  <c r="Q24" i="8"/>
  <c r="S24" i="8"/>
  <c r="L16" i="8"/>
  <c r="N24" i="8"/>
  <c r="M12" i="8"/>
  <c r="M13" i="8"/>
  <c r="M14" i="8"/>
  <c r="M15" i="8"/>
  <c r="M16" i="8"/>
  <c r="M18" i="8"/>
  <c r="M19" i="8"/>
  <c r="M20" i="8"/>
  <c r="M21" i="8"/>
  <c r="M22" i="8"/>
  <c r="M23" i="8"/>
  <c r="M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3" i="8"/>
  <c r="S13" i="8"/>
  <c r="T12" i="8"/>
  <c r="S12" i="8"/>
  <c r="S13" i="7"/>
  <c r="T13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M13" i="7"/>
  <c r="L14" i="7"/>
  <c r="M14" i="7"/>
  <c r="M15" i="7"/>
  <c r="M16" i="7"/>
  <c r="M18" i="7"/>
  <c r="M19" i="7"/>
  <c r="M20" i="7"/>
  <c r="M21" i="7"/>
  <c r="M22" i="7"/>
  <c r="M23" i="7"/>
  <c r="T12" i="7"/>
  <c r="S12" i="7"/>
  <c r="M12" i="7"/>
  <c r="R24" i="7"/>
  <c r="Q24" i="7"/>
  <c r="P24" i="7"/>
  <c r="N24" i="7"/>
  <c r="M24" i="7"/>
  <c r="T24" i="7"/>
  <c r="S24" i="7"/>
</calcChain>
</file>

<file path=xl/sharedStrings.xml><?xml version="1.0" encoding="utf-8"?>
<sst xmlns="http://schemas.openxmlformats.org/spreadsheetml/2006/main" count="286" uniqueCount="68">
  <si>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</si>
  <si>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</si>
  <si>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</si>
  <si>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</si>
  <si>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</si>
  <si>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</si>
  <si>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</si>
  <si>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</si>
  <si>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</si>
  <si>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</si>
  <si>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</si>
  <si>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</si>
  <si>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</si>
  <si>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</si>
  <si>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</si>
  <si>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</si>
  <si>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</si>
  <si>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</si>
  <si>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</si>
  <si>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</si>
  <si>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</si>
  <si>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</si>
  <si>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</si>
  <si>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</si>
  <si>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</si>
  <si>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</si>
  <si>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</si>
  <si>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JURÍDICA</t>
  </si>
  <si>
    <t>Número de informes de contratación pública elaboras y difundidas.</t>
  </si>
  <si>
    <t>Número registros implementados y mantenidos actualizados en línea de intereses privados de los secretarios y sub-secretarios así como de los asesores del despacho del alcalde.</t>
  </si>
  <si>
    <t>Número de planes de la excelencia formulados e implementados por la transparencia enfocado al mejoramiento continuo del índice ITEP en todas sus dimensiones.</t>
  </si>
  <si>
    <t>Número de estrategias integrales de gobierno actualizadas para la aplicación cabal de los postulados y mandatos de la ley 1712 de 2014 de transparencia y del derecho al acceso a la información pública.</t>
  </si>
  <si>
    <t>Número de manuales de contratación actualizados.</t>
  </si>
  <si>
    <t>Número de observatorios de acciones constitucionales (derechos de petición, tutelas, acciones populares y acciones de cumplimiento) implementados y mantenidos.</t>
  </si>
  <si>
    <t>Número de estrategias para la prevención del daño antijurídico implementadas y mantenidas.</t>
  </si>
  <si>
    <t>Número de sistemas de información misional implementados que agilice el registro, seguimiento y control de los asuntos de la secretaría jurídica.</t>
  </si>
  <si>
    <t>Número de estrategias de gobierno implementadas y mantenidas para la promoción y adopción de la Cultura de la Legalidad y la Integridad para Colombia CLIC entre los servidores públicos y la ciudadanía.</t>
  </si>
  <si>
    <t>Número de capacitaciones realizadas en materia de contratación estatal dirigida a servidores públicos.</t>
  </si>
  <si>
    <t>Número de estrategias de comunicaciones pedagógicas implementadas y mantenidas para socializar y fortalecer el sentido de la ética en la gestión pública entre las diversas dependencias.</t>
  </si>
  <si>
    <t>GOBIERNO LEGAL Y EFECTIVO</t>
  </si>
  <si>
    <t>GOBIERNO PARTICIPATIVO Y ABIERTO</t>
  </si>
  <si>
    <t>1 - GOBERNANZA DEMOCRÁTICA</t>
  </si>
  <si>
    <t>GOBIERNO TRANSPARENTE</t>
  </si>
  <si>
    <t>ACCIONES CONSTITUCIONALES Y ACCIONES LEGALES: RESPUESTA Y GESTIÓN SOCIAL Y ESTRATÉGICA</t>
  </si>
  <si>
    <t>CULTURA DE LA LEGALIDAD Y LA ÉTICA PÚBLICA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</si>
  <si>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</si>
  <si>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</si>
  <si>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</si>
  <si>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</si>
  <si>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</si>
  <si>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</si>
  <si>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</si>
  <si>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</si>
  <si>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</si>
  <si>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</si>
  <si>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</si>
  <si>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</si>
  <si>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1.1.7</t>
  </si>
  <si>
    <t>Gobierno Transparente</t>
  </si>
  <si>
    <t>1.2</t>
  </si>
  <si>
    <t>1.2.2</t>
  </si>
  <si>
    <t>Acciones Constitucionales y Acciones Legales: Respuesta y Gestión Social y Estratégica</t>
  </si>
  <si>
    <t>1.2.8</t>
  </si>
  <si>
    <t>Cultura de la Legalidad y la Ética Pública</t>
  </si>
  <si>
    <t>PLAN DE DESARROLLO 2016 - 2019</t>
  </si>
  <si>
    <t>RESUMEN CUMPLIMIENTO SECRETARÍA JURÍDICA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</si>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</sst>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9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2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164" fontId="3" fillId="0" borderId="19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9" fontId="6" fillId="2" borderId="41" xfId="0" applyNumberFormat="1" applyFont="1" applyFill="1" applyBorder="1" applyAlignment="1">
      <alignment horizontal="center" vertical="center"/>
    </xf>
    <xf numFmtId="9" fontId="6" fillId="2" borderId="32" xfId="0" applyNumberFormat="1" applyFont="1" applyFill="1" applyBorder="1" applyAlignment="1">
      <alignment horizontal="center" vertical="center"/>
    </xf>
    <xf numFmtId="0" fontId="5" fillId="0" borderId="30" xfId="0" quotePrefix="1" applyFont="1" applyFill="1" applyBorder="1"/>
    <xf numFmtId="3" fontId="6" fillId="2" borderId="42" xfId="0" applyNumberFormat="1" applyFont="1" applyFill="1" applyBorder="1" applyAlignment="1">
      <alignment horizontal="center" vertical="center"/>
    </xf>
    <xf numFmtId="3" fontId="6" fillId="2" borderId="33" xfId="0" applyNumberFormat="1" applyFont="1" applyFill="1" applyBorder="1" applyAlignment="1">
      <alignment horizontal="center" vertical="center"/>
    </xf>
    <xf numFmtId="9" fontId="6" fillId="2" borderId="33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164" fontId="5" fillId="0" borderId="48" xfId="0" applyNumberFormat="1" applyFont="1" applyBorder="1" applyAlignment="1">
      <alignment horizontal="center" vertical="center"/>
    </xf>
    <xf numFmtId="3" fontId="5" fillId="0" borderId="48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7" fillId="0" borderId="45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7" fillId="0" borderId="46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9" fontId="7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48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9" fontId="5" fillId="3" borderId="17" xfId="0" applyNumberFormat="1" applyFont="1" applyFill="1" applyBorder="1" applyAlignment="1">
      <alignment horizontal="center" vertical="center"/>
    </xf>
    <xf numFmtId="164" fontId="5" fillId="3" borderId="17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/>
    </xf>
    <xf numFmtId="9" fontId="7" fillId="3" borderId="17" xfId="0" applyNumberFormat="1" applyFont="1" applyFill="1" applyBorder="1" applyAlignment="1">
      <alignment horizontal="center" vertical="center"/>
    </xf>
    <xf numFmtId="9" fontId="5" fillId="3" borderId="19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3" fontId="5" fillId="3" borderId="17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justify" vertical="center" wrapText="1"/>
    </xf>
    <xf numFmtId="165" fontId="5" fillId="0" borderId="51" xfId="0" applyNumberFormat="1" applyFont="1" applyBorder="1" applyAlignment="1">
      <alignment horizontal="center" vertical="center"/>
    </xf>
    <xf numFmtId="165" fontId="5" fillId="0" borderId="23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3" fontId="5" fillId="0" borderId="64" xfId="0" applyNumberFormat="1" applyFont="1" applyBorder="1" applyAlignment="1">
      <alignment horizontal="center" vertical="center"/>
    </xf>
    <xf numFmtId="3" fontId="5" fillId="0" borderId="49" xfId="0" applyNumberFormat="1" applyFont="1" applyBorder="1" applyAlignment="1">
      <alignment horizontal="center" vertical="center"/>
    </xf>
    <xf numFmtId="9" fontId="5" fillId="4" borderId="2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/>
    </xf>
    <xf numFmtId="9" fontId="5" fillId="4" borderId="4" xfId="0" applyNumberFormat="1" applyFont="1" applyFill="1" applyBorder="1" applyAlignment="1">
      <alignment horizontal="center" vertical="center"/>
    </xf>
    <xf numFmtId="9" fontId="5" fillId="4" borderId="55" xfId="0" applyNumberFormat="1" applyFont="1" applyFill="1" applyBorder="1" applyAlignment="1">
      <alignment horizontal="center" vertical="center"/>
    </xf>
    <xf numFmtId="9" fontId="5" fillId="4" borderId="6" xfId="0" applyNumberFormat="1" applyFont="1" applyFill="1" applyBorder="1" applyAlignment="1">
      <alignment horizontal="center" vertical="center"/>
    </xf>
    <xf numFmtId="9" fontId="5" fillId="4" borderId="56" xfId="0" applyNumberFormat="1" applyFont="1" applyFill="1" applyBorder="1" applyAlignment="1">
      <alignment horizontal="center" vertical="center"/>
    </xf>
    <xf numFmtId="9" fontId="5" fillId="4" borderId="53" xfId="0" applyNumberFormat="1" applyFont="1" applyFill="1" applyBorder="1" applyAlignment="1">
      <alignment horizontal="center" vertical="center"/>
    </xf>
    <xf numFmtId="9" fontId="5" fillId="4" borderId="57" xfId="0" applyNumberFormat="1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center" vertical="center"/>
    </xf>
    <xf numFmtId="9" fontId="5" fillId="4" borderId="5" xfId="0" applyNumberFormat="1" applyFont="1" applyFill="1" applyBorder="1" applyAlignment="1">
      <alignment horizontal="center" vertical="center"/>
    </xf>
    <xf numFmtId="9" fontId="5" fillId="4" borderId="7" xfId="0" applyNumberFormat="1" applyFont="1" applyFill="1" applyBorder="1" applyAlignment="1">
      <alignment horizontal="center" vertical="center"/>
    </xf>
    <xf numFmtId="9" fontId="5" fillId="4" borderId="48" xfId="0" applyNumberFormat="1" applyFont="1" applyFill="1" applyBorder="1" applyAlignment="1">
      <alignment horizontal="center" vertical="center"/>
    </xf>
    <xf numFmtId="9" fontId="11" fillId="2" borderId="65" xfId="0" applyNumberFormat="1" applyFont="1" applyFill="1" applyBorder="1" applyAlignment="1">
      <alignment horizontal="center" vertical="center"/>
    </xf>
    <xf numFmtId="9" fontId="11" fillId="2" borderId="66" xfId="0" applyNumberFormat="1" applyFont="1" applyFill="1" applyBorder="1" applyAlignment="1">
      <alignment horizontal="center" vertical="center"/>
    </xf>
    <xf numFmtId="9" fontId="6" fillId="2" borderId="67" xfId="0" applyNumberFormat="1" applyFont="1" applyFill="1" applyBorder="1" applyAlignment="1">
      <alignment horizontal="center" vertical="center"/>
    </xf>
    <xf numFmtId="9" fontId="6" fillId="4" borderId="8" xfId="0" applyNumberFormat="1" applyFont="1" applyFill="1" applyBorder="1" applyAlignment="1">
      <alignment horizontal="center" vertical="center"/>
    </xf>
    <xf numFmtId="9" fontId="6" fillId="4" borderId="9" xfId="0" applyNumberFormat="1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9" fontId="6" fillId="4" borderId="49" xfId="0" applyNumberFormat="1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9" fontId="6" fillId="3" borderId="17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2" fillId="0" borderId="70" xfId="0" applyFont="1" applyFill="1" applyBorder="1" applyAlignment="1" applyProtection="1">
      <alignment horizontal="center" vertic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3" fillId="6" borderId="65" xfId="0" applyNumberFormat="1" applyFont="1" applyFill="1" applyBorder="1" applyAlignment="1">
      <alignment horizontal="center" vertical="center"/>
    </xf>
    <xf numFmtId="9" fontId="14" fillId="6" borderId="68" xfId="0" applyNumberFormat="1" applyFont="1" applyFill="1" applyBorder="1" applyAlignment="1">
      <alignment horizontal="center" vertical="center"/>
    </xf>
    <xf numFmtId="9" fontId="15" fillId="6" borderId="54" xfId="0" applyNumberFormat="1" applyFont="1" applyFill="1" applyBorder="1" applyAlignment="1">
      <alignment horizontal="center" vertical="center"/>
    </xf>
    <xf numFmtId="3" fontId="13" fillId="6" borderId="66" xfId="0" applyNumberFormat="1" applyFont="1" applyFill="1" applyBorder="1" applyAlignment="1">
      <alignment horizontal="center" vertical="center"/>
    </xf>
    <xf numFmtId="3" fontId="13" fillId="6" borderId="65" xfId="0" applyNumberFormat="1" applyFont="1" applyFill="1" applyBorder="1" applyAlignment="1">
      <alignment horizontal="center" vertical="center"/>
    </xf>
    <xf numFmtId="9" fontId="16" fillId="6" borderId="72" xfId="0" applyNumberFormat="1" applyFont="1" applyFill="1" applyBorder="1" applyAlignment="1" applyProtection="1">
      <alignment horizontal="center" vertical="center"/>
    </xf>
    <xf numFmtId="9" fontId="16" fillId="6" borderId="6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7" borderId="48" xfId="0" applyNumberFormat="1" applyFont="1" applyFill="1" applyBorder="1" applyAlignment="1">
      <alignment horizontal="center" vertical="center"/>
    </xf>
    <xf numFmtId="9" fontId="18" fillId="7" borderId="64" xfId="0" applyNumberFormat="1" applyFont="1" applyFill="1" applyBorder="1" applyAlignment="1">
      <alignment horizontal="center" vertical="center"/>
    </xf>
    <xf numFmtId="9" fontId="19" fillId="7" borderId="57" xfId="0" applyNumberFormat="1" applyFont="1" applyFill="1" applyBorder="1" applyAlignment="1">
      <alignment horizontal="center" vertical="center"/>
    </xf>
    <xf numFmtId="3" fontId="5" fillId="7" borderId="53" xfId="0" applyNumberFormat="1" applyFont="1" applyFill="1" applyBorder="1" applyAlignment="1">
      <alignment horizontal="center" vertical="center"/>
    </xf>
    <xf numFmtId="3" fontId="5" fillId="7" borderId="48" xfId="0" applyNumberFormat="1" applyFont="1" applyFill="1" applyBorder="1" applyAlignment="1">
      <alignment horizontal="center" vertical="center"/>
    </xf>
    <xf numFmtId="9" fontId="20" fillId="7" borderId="23" xfId="0" applyNumberFormat="1" applyFont="1" applyFill="1" applyBorder="1" applyAlignment="1" applyProtection="1">
      <alignment horizontal="center" vertical="center"/>
    </xf>
    <xf numFmtId="9" fontId="20" fillId="7" borderId="4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9" xfId="0" applyNumberFormat="1" applyFont="1" applyBorder="1" applyAlignment="1">
      <alignment horizontal="center" vertical="center" wrapText="1"/>
    </xf>
    <xf numFmtId="9" fontId="19" fillId="0" borderId="55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51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7" borderId="5" xfId="0" applyNumberFormat="1" applyFont="1" applyFill="1" applyBorder="1" applyAlignment="1">
      <alignment horizontal="center" vertical="center" wrapText="1"/>
    </xf>
    <xf numFmtId="9" fontId="18" fillId="7" borderId="29" xfId="0" applyNumberFormat="1" applyFont="1" applyFill="1" applyBorder="1" applyAlignment="1">
      <alignment horizontal="center" vertical="center" wrapText="1"/>
    </xf>
    <xf numFmtId="9" fontId="19" fillId="7" borderId="55" xfId="0" applyNumberFormat="1" applyFont="1" applyFill="1" applyBorder="1" applyAlignment="1">
      <alignment horizontal="center" vertical="center" wrapText="1"/>
    </xf>
    <xf numFmtId="3" fontId="5" fillId="7" borderId="4" xfId="0" applyNumberFormat="1" applyFont="1" applyFill="1" applyBorder="1" applyAlignment="1">
      <alignment horizontal="center" vertical="center"/>
    </xf>
    <xf numFmtId="3" fontId="5" fillId="7" borderId="5" xfId="0" applyNumberFormat="1" applyFont="1" applyFill="1" applyBorder="1" applyAlignment="1">
      <alignment horizontal="center" vertical="center"/>
    </xf>
    <xf numFmtId="9" fontId="20" fillId="7" borderId="51" xfId="0" applyNumberFormat="1" applyFont="1" applyFill="1" applyBorder="1" applyAlignment="1" applyProtection="1">
      <alignment horizontal="center" vertical="center"/>
    </xf>
    <xf numFmtId="9" fontId="20" fillId="7" borderId="9" xfId="0" applyNumberFormat="1" applyFont="1" applyFill="1" applyBorder="1" applyAlignment="1" applyProtection="1">
      <alignment horizontal="center" vertical="center"/>
    </xf>
    <xf numFmtId="9" fontId="6" fillId="2" borderId="65" xfId="0" applyNumberFormat="1" applyFont="1" applyFill="1" applyBorder="1" applyAlignment="1">
      <alignment horizontal="center" vertical="center" wrapText="1"/>
    </xf>
    <xf numFmtId="9" fontId="6" fillId="2" borderId="68" xfId="0" applyNumberFormat="1" applyFont="1" applyFill="1" applyBorder="1" applyAlignment="1">
      <alignment horizontal="center" vertical="center" wrapText="1"/>
    </xf>
    <xf numFmtId="9" fontId="22" fillId="2" borderId="54" xfId="0" applyNumberFormat="1" applyFont="1" applyFill="1" applyBorder="1" applyAlignment="1">
      <alignment horizontal="center" vertical="center" wrapText="1"/>
    </xf>
    <xf numFmtId="3" fontId="6" fillId="2" borderId="66" xfId="0" applyNumberFormat="1" applyFont="1" applyFill="1" applyBorder="1" applyAlignment="1">
      <alignment horizontal="center" vertical="center"/>
    </xf>
    <xf numFmtId="3" fontId="6" fillId="2" borderId="65" xfId="0" applyNumberFormat="1" applyFont="1" applyFill="1" applyBorder="1" applyAlignment="1">
      <alignment horizontal="center" vertical="center"/>
    </xf>
    <xf numFmtId="9" fontId="4" fillId="2" borderId="65" xfId="0" applyNumberFormat="1" applyFont="1" applyFill="1" applyBorder="1" applyAlignment="1" applyProtection="1">
      <alignment horizontal="center" vertical="center"/>
    </xf>
    <xf numFmtId="9" fontId="4" fillId="2" borderId="6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3" fontId="5" fillId="0" borderId="6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2" fillId="0" borderId="58" xfId="0" applyFont="1" applyBorder="1" applyAlignment="1" applyProtection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60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61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justify" vertical="center"/>
    </xf>
    <xf numFmtId="0" fontId="5" fillId="0" borderId="44" xfId="0" applyFont="1" applyBorder="1" applyAlignment="1">
      <alignment horizontal="justify" vertical="center"/>
    </xf>
    <xf numFmtId="0" fontId="17" fillId="7" borderId="29" xfId="0" applyFont="1" applyFill="1" applyBorder="1" applyAlignment="1">
      <alignment horizontal="justify" vertical="center"/>
    </xf>
    <xf numFmtId="0" fontId="17" fillId="7" borderId="44" xfId="0" applyFont="1" applyFill="1" applyBorder="1" applyAlignment="1">
      <alignment horizontal="justify" vertical="center"/>
    </xf>
    <xf numFmtId="0" fontId="6" fillId="2" borderId="68" xfId="0" applyFont="1" applyFill="1" applyBorder="1" applyAlignment="1">
      <alignment horizontal="justify" vertical="center"/>
    </xf>
    <xf numFmtId="0" fontId="6" fillId="2" borderId="71" xfId="0" applyFont="1" applyFill="1" applyBorder="1" applyAlignment="1">
      <alignment horizontal="justify" vertical="center"/>
    </xf>
    <xf numFmtId="0" fontId="11" fillId="0" borderId="1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" fillId="0" borderId="3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3" fillId="6" borderId="68" xfId="0" applyFont="1" applyFill="1" applyBorder="1" applyAlignment="1">
      <alignment horizontal="justify" vertical="center"/>
    </xf>
    <xf numFmtId="0" fontId="13" fillId="6" borderId="71" xfId="0" applyFont="1" applyFill="1" applyBorder="1" applyAlignment="1">
      <alignment horizontal="justify" vertical="center"/>
    </xf>
    <xf numFmtId="0" fontId="17" fillId="7" borderId="28" xfId="0" applyFont="1" applyFill="1" applyBorder="1" applyAlignment="1">
      <alignment horizontal="justify" vertical="center"/>
    </xf>
    <xf numFmtId="0" fontId="17" fillId="7" borderId="43" xfId="0" applyFont="1" applyFill="1" applyBorder="1" applyAlignment="1">
      <alignment horizontal="justify" vertical="center"/>
    </xf>
    <xf numFmtId="0" fontId="12" fillId="0" borderId="6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2" fillId="5" borderId="34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41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1" fillId="5" borderId="34" xfId="0" applyFont="1" applyFill="1" applyBorder="1" applyAlignment="1" applyProtection="1">
      <alignment horizontal="center" vertical="center" wrapText="1"/>
      <protection locked="0"/>
    </xf>
    <xf numFmtId="0" fontId="1" fillId="5" borderId="12" xfId="0" applyFont="1" applyFill="1" applyBorder="1" applyAlignment="1" applyProtection="1">
      <alignment horizontal="center" vertical="center" wrapText="1"/>
      <protection locked="0"/>
    </xf>
    <xf numFmtId="0" fontId="1" fillId="5" borderId="41" xfId="0" applyFont="1" applyFill="1" applyBorder="1" applyAlignment="1" applyProtection="1">
      <alignment horizontal="center" vertical="center" wrapText="1"/>
      <protection locked="0"/>
    </xf>
    <xf numFmtId="0" fontId="1" fillId="5" borderId="19" xfId="0" applyFont="1" applyFill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9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152400</xdr:rowOff>
    </xdr:from>
    <xdr:to>
      <xdr:col>17</xdr:col>
      <xdr:colOff>419100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342900"/>
          <a:ext cx="2527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12700</xdr:colOff>
      <xdr:row>1</xdr:row>
      <xdr:rowOff>25400</xdr:rowOff>
    </xdr:from>
    <xdr:to>
      <xdr:col>17</xdr:col>
      <xdr:colOff>482600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02400" y="215900"/>
          <a:ext cx="2565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889000</xdr:colOff>
      <xdr:row>1</xdr:row>
      <xdr:rowOff>63500</xdr:rowOff>
    </xdr:from>
    <xdr:to>
      <xdr:col>4</xdr:col>
      <xdr:colOff>520700</xdr:colOff>
      <xdr:row>6</xdr:row>
      <xdr:rowOff>88900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000" y="2540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114300</xdr:colOff>
      <xdr:row>1</xdr:row>
      <xdr:rowOff>76200</xdr:rowOff>
    </xdr:from>
    <xdr:to>
      <xdr:col>22</xdr:col>
      <xdr:colOff>457200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765000" y="2667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3098800</xdr:colOff>
      <xdr:row>3</xdr:row>
      <xdr:rowOff>114300</xdr:rowOff>
    </xdr:from>
    <xdr:to>
      <xdr:col>3</xdr:col>
      <xdr:colOff>1320800</xdr:colOff>
      <xdr:row>6</xdr:row>
      <xdr:rowOff>292100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89400" y="787400"/>
          <a:ext cx="22479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3" t="s">
        <v>16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2:20" ht="20" customHeight="1">
      <c r="B3" s="163" t="s">
        <v>19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2:20" ht="20" customHeight="1">
      <c r="B4" s="163" t="s">
        <v>27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9">
        <v>42735</v>
      </c>
      <c r="D8" s="164" t="s">
        <v>3</v>
      </c>
      <c r="E8" s="165"/>
      <c r="F8" s="165"/>
      <c r="G8" s="165"/>
      <c r="H8" s="165"/>
      <c r="I8" s="165"/>
      <c r="J8" s="165"/>
      <c r="K8" s="16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7" t="s">
        <v>17</v>
      </c>
      <c r="C9" s="170" t="s">
        <v>18</v>
      </c>
      <c r="D9" s="172" t="s">
        <v>0</v>
      </c>
      <c r="E9" s="175" t="s">
        <v>4</v>
      </c>
      <c r="F9" s="175"/>
      <c r="G9" s="175" t="s">
        <v>5</v>
      </c>
      <c r="H9" s="175"/>
      <c r="I9" s="175"/>
      <c r="J9" s="175"/>
      <c r="K9" s="177"/>
      <c r="L9" s="5"/>
      <c r="M9" s="172" t="s">
        <v>6</v>
      </c>
      <c r="N9" s="177"/>
      <c r="O9" s="193" t="s">
        <v>24</v>
      </c>
      <c r="P9" s="194"/>
      <c r="Q9" s="194"/>
      <c r="R9" s="194"/>
      <c r="S9" s="194"/>
      <c r="T9" s="195"/>
    </row>
    <row r="10" spans="2:20" ht="17" customHeight="1">
      <c r="B10" s="168"/>
      <c r="C10" s="171"/>
      <c r="D10" s="173"/>
      <c r="E10" s="176"/>
      <c r="F10" s="176"/>
      <c r="G10" s="176" t="s">
        <v>7</v>
      </c>
      <c r="H10" s="180" t="s">
        <v>25</v>
      </c>
      <c r="I10" s="180" t="s">
        <v>26</v>
      </c>
      <c r="J10" s="181" t="s">
        <v>1</v>
      </c>
      <c r="K10" s="178" t="s">
        <v>8</v>
      </c>
      <c r="L10" s="6"/>
      <c r="M10" s="183" t="s">
        <v>9</v>
      </c>
      <c r="N10" s="191" t="s">
        <v>10</v>
      </c>
      <c r="O10" s="196"/>
      <c r="P10" s="197"/>
      <c r="Q10" s="197"/>
      <c r="R10" s="197"/>
      <c r="S10" s="197"/>
      <c r="T10" s="198"/>
    </row>
    <row r="11" spans="2:20" ht="37.5" customHeight="1" thickBot="1">
      <c r="B11" s="169"/>
      <c r="C11" s="171"/>
      <c r="D11" s="174"/>
      <c r="E11" s="10" t="s">
        <v>11</v>
      </c>
      <c r="F11" s="10" t="s">
        <v>12</v>
      </c>
      <c r="G11" s="180"/>
      <c r="H11" s="202"/>
      <c r="I11" s="202"/>
      <c r="J11" s="182"/>
      <c r="K11" s="179"/>
      <c r="L11" s="11"/>
      <c r="M11" s="184"/>
      <c r="N11" s="192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88" t="s">
        <v>41</v>
      </c>
      <c r="C12" s="188" t="s">
        <v>40</v>
      </c>
      <c r="D12" s="199" t="s">
        <v>42</v>
      </c>
      <c r="E12" s="25">
        <v>42370</v>
      </c>
      <c r="F12" s="25">
        <v>42735</v>
      </c>
      <c r="G12" s="26" t="s">
        <v>28</v>
      </c>
      <c r="H12" s="27">
        <v>16</v>
      </c>
      <c r="I12" s="27">
        <v>4</v>
      </c>
      <c r="J12" s="27">
        <v>4</v>
      </c>
      <c r="K12" s="32">
        <v>3</v>
      </c>
      <c r="L12" s="39">
        <f>+K12/J12</f>
        <v>0.75</v>
      </c>
      <c r="M12" s="40">
        <f>DAYS360(E12,$C$8)/DAYS360(E12,F12)</f>
        <v>1</v>
      </c>
      <c r="N12" s="41">
        <f>IF(J12=0," -",IF(L12&gt;100%,100%,L12))</f>
        <v>0.75</v>
      </c>
      <c r="O12" s="36" t="s">
        <v>66</v>
      </c>
      <c r="P12" s="27">
        <v>0</v>
      </c>
      <c r="Q12" s="27">
        <v>0</v>
      </c>
      <c r="R12" s="27">
        <v>0</v>
      </c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89"/>
      <c r="C13" s="189"/>
      <c r="D13" s="200"/>
      <c r="E13" s="23">
        <v>42370</v>
      </c>
      <c r="F13" s="23">
        <v>42735</v>
      </c>
      <c r="G13" s="8" t="s">
        <v>29</v>
      </c>
      <c r="H13" s="24">
        <v>1</v>
      </c>
      <c r="I13" s="24"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0</v>
      </c>
      <c r="Q13" s="24">
        <v>0</v>
      </c>
      <c r="R13" s="24">
        <v>0</v>
      </c>
      <c r="S13" s="46" t="str">
        <f t="shared" ref="S13:S23" si="3">IF(P13=0," -",Q13/P13)</f>
        <v xml:space="preserve"> -</v>
      </c>
      <c r="T13" s="45" t="str">
        <f t="shared" ref="T13:T23" si="4">IF(R13=0," -",IF(Q13=0,100%,R13/Q13))</f>
        <v xml:space="preserve"> -</v>
      </c>
    </row>
    <row r="14" spans="2:20" ht="75">
      <c r="B14" s="189"/>
      <c r="C14" s="189"/>
      <c r="D14" s="200"/>
      <c r="E14" s="23">
        <v>42370</v>
      </c>
      <c r="F14" s="23">
        <v>42735</v>
      </c>
      <c r="G14" s="8" t="s">
        <v>30</v>
      </c>
      <c r="H14" s="24">
        <v>1</v>
      </c>
      <c r="I14" s="24">
        <v>0</v>
      </c>
      <c r="J14" s="24">
        <v>0</v>
      </c>
      <c r="K14" s="33">
        <v>0</v>
      </c>
      <c r="L14" s="43" t="e">
        <f t="shared" si="0"/>
        <v>#DIV/0!</v>
      </c>
      <c r="M14" s="44">
        <f t="shared" si="1"/>
        <v>1</v>
      </c>
      <c r="N14" s="45" t="str">
        <f t="shared" si="2"/>
        <v xml:space="preserve"> -</v>
      </c>
      <c r="O14" s="37">
        <v>0</v>
      </c>
      <c r="P14" s="24">
        <v>0</v>
      </c>
      <c r="Q14" s="24">
        <v>0</v>
      </c>
      <c r="R14" s="24">
        <v>0</v>
      </c>
      <c r="S14" s="46" t="str">
        <f t="shared" si="3"/>
        <v xml:space="preserve"> -</v>
      </c>
      <c r="T14" s="45" t="str">
        <f t="shared" si="4"/>
        <v xml:space="preserve"> -</v>
      </c>
    </row>
    <row r="15" spans="2:20" ht="75">
      <c r="B15" s="189"/>
      <c r="C15" s="189"/>
      <c r="D15" s="200"/>
      <c r="E15" s="23">
        <v>42370</v>
      </c>
      <c r="F15" s="23">
        <v>42735</v>
      </c>
      <c r="G15" s="8" t="s">
        <v>31</v>
      </c>
      <c r="H15" s="24">
        <v>1</v>
      </c>
      <c r="I15" s="24">
        <v>1</v>
      </c>
      <c r="J15" s="24">
        <v>1</v>
      </c>
      <c r="K15" s="71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250000</v>
      </c>
      <c r="Q15" s="24">
        <v>14250</v>
      </c>
      <c r="R15" s="24">
        <v>0</v>
      </c>
      <c r="S15" s="46">
        <f t="shared" si="3"/>
        <v>5.7000000000000002E-2</v>
      </c>
      <c r="T15" s="45" t="str">
        <f t="shared" si="4"/>
        <v xml:space="preserve"> -</v>
      </c>
    </row>
    <row r="16" spans="2:20" ht="31" thickBot="1">
      <c r="B16" s="189"/>
      <c r="C16" s="190"/>
      <c r="D16" s="201"/>
      <c r="E16" s="28">
        <v>42370</v>
      </c>
      <c r="F16" s="28">
        <v>42735</v>
      </c>
      <c r="G16" s="64" t="s">
        <v>32</v>
      </c>
      <c r="H16" s="29">
        <v>1</v>
      </c>
      <c r="I16" s="29">
        <v>1</v>
      </c>
      <c r="J16" s="29">
        <v>1</v>
      </c>
      <c r="K16" s="34">
        <v>1</v>
      </c>
      <c r="L16" s="51">
        <f t="shared" si="0"/>
        <v>1</v>
      </c>
      <c r="M16" s="52">
        <f t="shared" si="1"/>
        <v>1</v>
      </c>
      <c r="N16" s="53">
        <f t="shared" si="2"/>
        <v>1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89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57"/>
      <c r="Q17" s="57"/>
      <c r="R17" s="57"/>
      <c r="S17" s="58"/>
      <c r="T17" s="63"/>
    </row>
    <row r="18" spans="2:20" ht="60">
      <c r="B18" s="189"/>
      <c r="C18" s="188" t="s">
        <v>39</v>
      </c>
      <c r="D18" s="199" t="s">
        <v>43</v>
      </c>
      <c r="E18" s="25">
        <v>42370</v>
      </c>
      <c r="F18" s="25">
        <v>42735</v>
      </c>
      <c r="G18" s="26" t="s">
        <v>33</v>
      </c>
      <c r="H18" s="27">
        <v>1</v>
      </c>
      <c r="I18" s="27">
        <v>1</v>
      </c>
      <c r="J18" s="27">
        <v>1</v>
      </c>
      <c r="K18" s="32">
        <v>0</v>
      </c>
      <c r="L18" s="43">
        <f t="shared" si="0"/>
        <v>0</v>
      </c>
      <c r="M18" s="44">
        <f t="shared" si="1"/>
        <v>1</v>
      </c>
      <c r="N18" s="45">
        <f t="shared" si="2"/>
        <v>0</v>
      </c>
      <c r="O18" s="65">
        <v>0</v>
      </c>
      <c r="P18" s="27">
        <v>0</v>
      </c>
      <c r="Q18" s="27">
        <v>0</v>
      </c>
      <c r="R18" s="27">
        <v>0</v>
      </c>
      <c r="S18" s="42" t="str">
        <f t="shared" si="3"/>
        <v xml:space="preserve"> -</v>
      </c>
      <c r="T18" s="41" t="str">
        <f t="shared" si="4"/>
        <v xml:space="preserve"> -</v>
      </c>
    </row>
    <row r="19" spans="2:20" ht="45">
      <c r="B19" s="189"/>
      <c r="C19" s="189"/>
      <c r="D19" s="200"/>
      <c r="E19" s="23">
        <v>42370</v>
      </c>
      <c r="F19" s="23">
        <v>42735</v>
      </c>
      <c r="G19" s="8" t="s">
        <v>34</v>
      </c>
      <c r="H19" s="24">
        <v>1</v>
      </c>
      <c r="I19" s="24"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0</v>
      </c>
      <c r="Q19" s="24">
        <v>0</v>
      </c>
      <c r="R19" s="24">
        <v>0</v>
      </c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89"/>
      <c r="C20" s="189"/>
      <c r="D20" s="201"/>
      <c r="E20" s="28">
        <v>42370</v>
      </c>
      <c r="F20" s="28">
        <v>42735</v>
      </c>
      <c r="G20" s="64" t="s">
        <v>35</v>
      </c>
      <c r="H20" s="29">
        <v>1</v>
      </c>
      <c r="I20" s="29"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19000</v>
      </c>
      <c r="Q20" s="29">
        <v>19000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89"/>
      <c r="C21" s="189"/>
      <c r="D21" s="185" t="s">
        <v>44</v>
      </c>
      <c r="E21" s="30">
        <v>42370</v>
      </c>
      <c r="F21" s="30">
        <v>42735</v>
      </c>
      <c r="G21" s="70" t="s">
        <v>36</v>
      </c>
      <c r="H21" s="31">
        <v>1</v>
      </c>
      <c r="I21" s="31">
        <v>1</v>
      </c>
      <c r="J21" s="31">
        <v>1</v>
      </c>
      <c r="K21" s="72">
        <v>0.7</v>
      </c>
      <c r="L21" s="47">
        <f t="shared" si="0"/>
        <v>0.7</v>
      </c>
      <c r="M21" s="48">
        <f t="shared" si="1"/>
        <v>1</v>
      </c>
      <c r="N21" s="49">
        <f t="shared" si="2"/>
        <v>0.7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89"/>
      <c r="C22" s="189"/>
      <c r="D22" s="186"/>
      <c r="E22" s="23">
        <v>42370</v>
      </c>
      <c r="F22" s="23">
        <v>42735</v>
      </c>
      <c r="G22" s="8" t="s">
        <v>37</v>
      </c>
      <c r="H22" s="24">
        <v>8</v>
      </c>
      <c r="I22" s="24">
        <v>2</v>
      </c>
      <c r="J22" s="24">
        <v>2</v>
      </c>
      <c r="K22" s="33">
        <v>7</v>
      </c>
      <c r="L22" s="43">
        <f t="shared" si="0"/>
        <v>3.5</v>
      </c>
      <c r="M22" s="44">
        <f t="shared" si="1"/>
        <v>1</v>
      </c>
      <c r="N22" s="45">
        <f t="shared" si="2"/>
        <v>1</v>
      </c>
      <c r="O22" s="66">
        <v>0</v>
      </c>
      <c r="P22" s="24">
        <v>0</v>
      </c>
      <c r="Q22" s="24">
        <v>0</v>
      </c>
      <c r="R22" s="24">
        <v>11400</v>
      </c>
      <c r="S22" s="46" t="str">
        <f t="shared" si="3"/>
        <v xml:space="preserve"> -</v>
      </c>
      <c r="T22" s="45">
        <f t="shared" si="4"/>
        <v>1</v>
      </c>
    </row>
    <row r="23" spans="2:20" ht="76" thickBot="1">
      <c r="B23" s="190"/>
      <c r="C23" s="190"/>
      <c r="D23" s="187"/>
      <c r="E23" s="28">
        <v>42370</v>
      </c>
      <c r="F23" s="28">
        <v>42735</v>
      </c>
      <c r="G23" s="64" t="s">
        <v>38</v>
      </c>
      <c r="H23" s="29">
        <v>1</v>
      </c>
      <c r="I23" s="29"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0.84499999999999997</v>
      </c>
      <c r="O24" s="19"/>
      <c r="P24" s="20">
        <f>+SUM(P12:P16,P18:P23)</f>
        <v>269000</v>
      </c>
      <c r="Q24" s="21">
        <f>+SUM(Q12:Q16,Q18:Q23)</f>
        <v>33250</v>
      </c>
      <c r="R24" s="21">
        <f>+SUM(R12:R16,R18:R23)</f>
        <v>11400</v>
      </c>
      <c r="S24" s="22">
        <f t="shared" ref="S24" si="5">IF(P24=0," -",Q24/P24)</f>
        <v>0.12360594795539033</v>
      </c>
      <c r="T24" s="18">
        <f t="shared" ref="T24" si="6">IF(R24=0," -",IF(Q24=0,100%,R24/Q24))</f>
        <v>0.34285714285714286</v>
      </c>
    </row>
  </sheetData>
  <mergeCells count="24">
    <mergeCell ref="D21:D23"/>
    <mergeCell ref="B12:B23"/>
    <mergeCell ref="C18:C23"/>
    <mergeCell ref="N10:N11"/>
    <mergeCell ref="O9:T10"/>
    <mergeCell ref="C12:C16"/>
    <mergeCell ref="D12:D16"/>
    <mergeCell ref="D18:D2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3" t="s">
        <v>16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2:20" ht="20" customHeight="1">
      <c r="B3" s="163" t="s">
        <v>19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2:20" ht="20" customHeight="1">
      <c r="B4" s="163" t="s">
        <v>27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9">
        <v>43100</v>
      </c>
      <c r="D8" s="164" t="s">
        <v>3</v>
      </c>
      <c r="E8" s="165"/>
      <c r="F8" s="165"/>
      <c r="G8" s="165"/>
      <c r="H8" s="165"/>
      <c r="I8" s="165"/>
      <c r="J8" s="165"/>
      <c r="K8" s="16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7" t="s">
        <v>17</v>
      </c>
      <c r="C9" s="170" t="s">
        <v>18</v>
      </c>
      <c r="D9" s="172" t="s">
        <v>0</v>
      </c>
      <c r="E9" s="175" t="s">
        <v>4</v>
      </c>
      <c r="F9" s="175"/>
      <c r="G9" s="175" t="s">
        <v>5</v>
      </c>
      <c r="H9" s="175"/>
      <c r="I9" s="175"/>
      <c r="J9" s="175"/>
      <c r="K9" s="177"/>
      <c r="L9" s="5"/>
      <c r="M9" s="172" t="s">
        <v>6</v>
      </c>
      <c r="N9" s="177"/>
      <c r="O9" s="193" t="s">
        <v>24</v>
      </c>
      <c r="P9" s="194"/>
      <c r="Q9" s="194"/>
      <c r="R9" s="194"/>
      <c r="S9" s="194"/>
      <c r="T9" s="195"/>
    </row>
    <row r="10" spans="2:20" ht="17" customHeight="1">
      <c r="B10" s="168"/>
      <c r="C10" s="171"/>
      <c r="D10" s="173"/>
      <c r="E10" s="176"/>
      <c r="F10" s="176"/>
      <c r="G10" s="176" t="s">
        <v>7</v>
      </c>
      <c r="H10" s="180" t="s">
        <v>25</v>
      </c>
      <c r="I10" s="180" t="s">
        <v>26</v>
      </c>
      <c r="J10" s="181" t="s">
        <v>1</v>
      </c>
      <c r="K10" s="178" t="s">
        <v>8</v>
      </c>
      <c r="L10" s="6"/>
      <c r="M10" s="183" t="s">
        <v>9</v>
      </c>
      <c r="N10" s="191" t="s">
        <v>10</v>
      </c>
      <c r="O10" s="196"/>
      <c r="P10" s="197"/>
      <c r="Q10" s="197"/>
      <c r="R10" s="197"/>
      <c r="S10" s="197"/>
      <c r="T10" s="198"/>
    </row>
    <row r="11" spans="2:20" ht="37.5" customHeight="1" thickBot="1">
      <c r="B11" s="169"/>
      <c r="C11" s="171"/>
      <c r="D11" s="174"/>
      <c r="E11" s="10" t="s">
        <v>11</v>
      </c>
      <c r="F11" s="10" t="s">
        <v>12</v>
      </c>
      <c r="G11" s="180"/>
      <c r="H11" s="202"/>
      <c r="I11" s="203"/>
      <c r="J11" s="182"/>
      <c r="K11" s="179"/>
      <c r="L11" s="11"/>
      <c r="M11" s="184"/>
      <c r="N11" s="192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88" t="s">
        <v>41</v>
      </c>
      <c r="C12" s="188" t="s">
        <v>40</v>
      </c>
      <c r="D12" s="199" t="s">
        <v>42</v>
      </c>
      <c r="E12" s="25">
        <v>42736</v>
      </c>
      <c r="F12" s="25">
        <v>43100</v>
      </c>
      <c r="G12" s="26" t="s">
        <v>28</v>
      </c>
      <c r="H12" s="27">
        <v>16</v>
      </c>
      <c r="I12" s="31">
        <f>+J12+('2016'!I12-'2016'!K12)</f>
        <v>5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1</v>
      </c>
      <c r="N12" s="41">
        <f>IF(J12=0," -",IF(L12&gt;100%,100%,L12))</f>
        <v>1</v>
      </c>
      <c r="O12" s="36" t="s">
        <v>66</v>
      </c>
      <c r="P12" s="27">
        <v>0</v>
      </c>
      <c r="Q12" s="27">
        <v>0</v>
      </c>
      <c r="R12" s="27">
        <v>0</v>
      </c>
      <c r="S12" s="42" t="str">
        <f>IF(P12=0," -",Q12/P12)</f>
        <v xml:space="preserve"> -</v>
      </c>
      <c r="T12" s="41" t="str">
        <f>IF(R12=0," -",IF(Q12=0,100%,R12/Q12))</f>
        <v xml:space="preserve"> -</v>
      </c>
    </row>
    <row r="13" spans="2:20" ht="75">
      <c r="B13" s="189"/>
      <c r="C13" s="189"/>
      <c r="D13" s="200"/>
      <c r="E13" s="23">
        <v>42736</v>
      </c>
      <c r="F13" s="23">
        <v>43100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0</v>
      </c>
      <c r="Q13" s="24">
        <v>0</v>
      </c>
      <c r="R13" s="24">
        <v>0</v>
      </c>
      <c r="S13" s="46" t="str">
        <f t="shared" ref="S13:S24" si="3">IF(P13=0," -",Q13/P13)</f>
        <v xml:space="preserve"> -</v>
      </c>
      <c r="T13" s="45" t="str">
        <f t="shared" ref="T13:T24" si="4">IF(R13=0," -",IF(Q13=0,100%,R13/Q13))</f>
        <v xml:space="preserve"> -</v>
      </c>
    </row>
    <row r="14" spans="2:20" ht="75">
      <c r="B14" s="189"/>
      <c r="C14" s="189"/>
      <c r="D14" s="200"/>
      <c r="E14" s="23">
        <v>42736</v>
      </c>
      <c r="F14" s="23">
        <v>43100</v>
      </c>
      <c r="G14" s="8" t="s">
        <v>30</v>
      </c>
      <c r="H14" s="24">
        <v>1</v>
      </c>
      <c r="I14" s="24">
        <f>+J14</f>
        <v>1</v>
      </c>
      <c r="J14" s="24">
        <v>1</v>
      </c>
      <c r="K14" s="33">
        <v>1</v>
      </c>
      <c r="L14" s="43">
        <f t="shared" si="0"/>
        <v>1</v>
      </c>
      <c r="M14" s="44">
        <f t="shared" si="1"/>
        <v>1</v>
      </c>
      <c r="N14" s="45">
        <f t="shared" si="2"/>
        <v>1</v>
      </c>
      <c r="O14" s="37">
        <v>0</v>
      </c>
      <c r="P14" s="24">
        <v>106190</v>
      </c>
      <c r="Q14" s="24">
        <v>102190</v>
      </c>
      <c r="R14" s="24">
        <v>0</v>
      </c>
      <c r="S14" s="46">
        <f t="shared" si="3"/>
        <v>0.96233166964874284</v>
      </c>
      <c r="T14" s="45" t="str">
        <f t="shared" si="4"/>
        <v xml:space="preserve"> -</v>
      </c>
    </row>
    <row r="15" spans="2:20" ht="75">
      <c r="B15" s="189"/>
      <c r="C15" s="189"/>
      <c r="D15" s="200"/>
      <c r="E15" s="23">
        <v>42736</v>
      </c>
      <c r="F15" s="23">
        <v>43100</v>
      </c>
      <c r="G15" s="8" t="s">
        <v>31</v>
      </c>
      <c r="H15" s="24">
        <v>1</v>
      </c>
      <c r="I15" s="24">
        <f>+J15</f>
        <v>1</v>
      </c>
      <c r="J15" s="24">
        <v>1</v>
      </c>
      <c r="K15" s="33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0</v>
      </c>
      <c r="Q15" s="24">
        <v>0</v>
      </c>
      <c r="R15" s="24">
        <v>0</v>
      </c>
      <c r="S15" s="46" t="str">
        <f t="shared" si="3"/>
        <v xml:space="preserve"> -</v>
      </c>
      <c r="T15" s="45" t="str">
        <f t="shared" si="4"/>
        <v xml:space="preserve"> -</v>
      </c>
    </row>
    <row r="16" spans="2:20" ht="31" thickBot="1">
      <c r="B16" s="189"/>
      <c r="C16" s="190"/>
      <c r="D16" s="201"/>
      <c r="E16" s="28">
        <v>42736</v>
      </c>
      <c r="F16" s="28">
        <v>43100</v>
      </c>
      <c r="G16" s="64" t="s">
        <v>32</v>
      </c>
      <c r="H16" s="29">
        <v>1</v>
      </c>
      <c r="I16" s="29">
        <f>+J16+('2016'!I16-'2016'!K16)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1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89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89"/>
      <c r="C18" s="188" t="s">
        <v>39</v>
      </c>
      <c r="D18" s="199" t="s">
        <v>43</v>
      </c>
      <c r="E18" s="25">
        <v>42736</v>
      </c>
      <c r="F18" s="25">
        <v>43100</v>
      </c>
      <c r="G18" s="26" t="s">
        <v>33</v>
      </c>
      <c r="H18" s="27">
        <v>1</v>
      </c>
      <c r="I18" s="24">
        <f>+J18</f>
        <v>1</v>
      </c>
      <c r="J18" s="27">
        <v>1</v>
      </c>
      <c r="K18" s="32">
        <v>1</v>
      </c>
      <c r="L18" s="43">
        <f t="shared" si="0"/>
        <v>1</v>
      </c>
      <c r="M18" s="44">
        <f t="shared" si="1"/>
        <v>1</v>
      </c>
      <c r="N18" s="45">
        <f t="shared" si="2"/>
        <v>1</v>
      </c>
      <c r="O18" s="65">
        <v>0</v>
      </c>
      <c r="P18" s="27">
        <v>0</v>
      </c>
      <c r="Q18" s="27">
        <v>0</v>
      </c>
      <c r="R18" s="27">
        <v>0</v>
      </c>
      <c r="S18" s="42" t="str">
        <f t="shared" si="3"/>
        <v xml:space="preserve"> -</v>
      </c>
      <c r="T18" s="41" t="str">
        <f t="shared" si="4"/>
        <v xml:space="preserve"> -</v>
      </c>
    </row>
    <row r="19" spans="2:20" ht="45">
      <c r="B19" s="189"/>
      <c r="C19" s="189"/>
      <c r="D19" s="200"/>
      <c r="E19" s="23">
        <v>42736</v>
      </c>
      <c r="F19" s="23">
        <v>43100</v>
      </c>
      <c r="G19" s="8" t="s">
        <v>34</v>
      </c>
      <c r="H19" s="24">
        <v>1</v>
      </c>
      <c r="I19" s="24">
        <f>+J19</f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0</v>
      </c>
      <c r="Q19" s="24">
        <v>0</v>
      </c>
      <c r="R19" s="24">
        <v>0</v>
      </c>
      <c r="S19" s="46" t="str">
        <f t="shared" si="3"/>
        <v xml:space="preserve"> -</v>
      </c>
      <c r="T19" s="45" t="str">
        <f t="shared" si="4"/>
        <v xml:space="preserve"> -</v>
      </c>
    </row>
    <row r="20" spans="2:20" ht="61" thickBot="1">
      <c r="B20" s="189"/>
      <c r="C20" s="189"/>
      <c r="D20" s="201"/>
      <c r="E20" s="28">
        <v>42736</v>
      </c>
      <c r="F20" s="28">
        <v>43100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57000</v>
      </c>
      <c r="Q20" s="29">
        <v>57000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89"/>
      <c r="C21" s="189"/>
      <c r="D21" s="185" t="s">
        <v>44</v>
      </c>
      <c r="E21" s="30">
        <v>42736</v>
      </c>
      <c r="F21" s="30">
        <v>43100</v>
      </c>
      <c r="G21" s="70" t="s">
        <v>36</v>
      </c>
      <c r="H21" s="31">
        <v>1</v>
      </c>
      <c r="I21" s="31">
        <f>+J21</f>
        <v>1</v>
      </c>
      <c r="J21" s="31">
        <v>1</v>
      </c>
      <c r="K21" s="35">
        <v>1</v>
      </c>
      <c r="L21" s="47">
        <f t="shared" si="0"/>
        <v>1</v>
      </c>
      <c r="M21" s="48">
        <f t="shared" si="1"/>
        <v>1</v>
      </c>
      <c r="N21" s="49">
        <f t="shared" si="2"/>
        <v>1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89"/>
      <c r="C22" s="189"/>
      <c r="D22" s="186"/>
      <c r="E22" s="23">
        <v>42736</v>
      </c>
      <c r="F22" s="23">
        <v>43100</v>
      </c>
      <c r="G22" s="8" t="s">
        <v>37</v>
      </c>
      <c r="H22" s="24">
        <v>8</v>
      </c>
      <c r="I22" s="24">
        <f>+J22+('2016'!I22-'2016'!K22)</f>
        <v>-3</v>
      </c>
      <c r="J22" s="24">
        <v>2</v>
      </c>
      <c r="K22" s="33">
        <v>6</v>
      </c>
      <c r="L22" s="43">
        <f t="shared" si="0"/>
        <v>3</v>
      </c>
      <c r="M22" s="44">
        <f t="shared" si="1"/>
        <v>1</v>
      </c>
      <c r="N22" s="45">
        <f t="shared" si="2"/>
        <v>1</v>
      </c>
      <c r="O22" s="66">
        <v>0</v>
      </c>
      <c r="P22" s="24">
        <v>29750</v>
      </c>
      <c r="Q22" s="24">
        <v>23500</v>
      </c>
      <c r="R22" s="24">
        <v>0</v>
      </c>
      <c r="S22" s="46">
        <f t="shared" si="3"/>
        <v>0.78991596638655459</v>
      </c>
      <c r="T22" s="45" t="str">
        <f t="shared" si="4"/>
        <v xml:space="preserve"> -</v>
      </c>
    </row>
    <row r="23" spans="2:20" ht="76" thickBot="1">
      <c r="B23" s="190"/>
      <c r="C23" s="190"/>
      <c r="D23" s="187"/>
      <c r="E23" s="28">
        <v>42736</v>
      </c>
      <c r="F23" s="28">
        <v>43100</v>
      </c>
      <c r="G23" s="64" t="s">
        <v>38</v>
      </c>
      <c r="H23" s="29">
        <v>1</v>
      </c>
      <c r="I23" s="29">
        <f>+J23</f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56320</v>
      </c>
      <c r="Q23" s="29">
        <v>56320</v>
      </c>
      <c r="R23" s="29">
        <v>0</v>
      </c>
      <c r="S23" s="54">
        <f t="shared" si="3"/>
        <v>1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1</v>
      </c>
      <c r="O24" s="19"/>
      <c r="P24" s="20">
        <f>+SUM(P12:P16,P18:P23)</f>
        <v>249260</v>
      </c>
      <c r="Q24" s="21">
        <f>+SUM(Q12:Q16,Q18:Q23)</f>
        <v>239010</v>
      </c>
      <c r="R24" s="21">
        <f>+SUM(R12:R16,R18:R23)</f>
        <v>0</v>
      </c>
      <c r="S24" s="22">
        <f t="shared" si="3"/>
        <v>0.95887827970793549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workbookViewId="0">
      <selection activeCell="F19" sqref="F19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3" t="s">
        <v>16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2:20" ht="20" customHeight="1">
      <c r="B3" s="163" t="s">
        <v>19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2:20" ht="20" customHeight="1">
      <c r="B4" s="163" t="s">
        <v>27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9">
        <v>43465</v>
      </c>
      <c r="D8" s="164" t="s">
        <v>3</v>
      </c>
      <c r="E8" s="165"/>
      <c r="F8" s="165"/>
      <c r="G8" s="165"/>
      <c r="H8" s="165"/>
      <c r="I8" s="165"/>
      <c r="J8" s="165"/>
      <c r="K8" s="16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7" t="s">
        <v>17</v>
      </c>
      <c r="C9" s="170" t="s">
        <v>18</v>
      </c>
      <c r="D9" s="172" t="s">
        <v>0</v>
      </c>
      <c r="E9" s="175" t="s">
        <v>4</v>
      </c>
      <c r="F9" s="175"/>
      <c r="G9" s="175" t="s">
        <v>5</v>
      </c>
      <c r="H9" s="175"/>
      <c r="I9" s="175"/>
      <c r="J9" s="175"/>
      <c r="K9" s="177"/>
      <c r="L9" s="5"/>
      <c r="M9" s="172" t="s">
        <v>6</v>
      </c>
      <c r="N9" s="177"/>
      <c r="O9" s="193" t="s">
        <v>24</v>
      </c>
      <c r="P9" s="194"/>
      <c r="Q9" s="194"/>
      <c r="R9" s="194"/>
      <c r="S9" s="194"/>
      <c r="T9" s="195"/>
    </row>
    <row r="10" spans="2:20" ht="17" customHeight="1">
      <c r="B10" s="168"/>
      <c r="C10" s="171"/>
      <c r="D10" s="173"/>
      <c r="E10" s="176"/>
      <c r="F10" s="176"/>
      <c r="G10" s="176" t="s">
        <v>7</v>
      </c>
      <c r="H10" s="180" t="s">
        <v>25</v>
      </c>
      <c r="I10" s="180" t="s">
        <v>26</v>
      </c>
      <c r="J10" s="181" t="s">
        <v>1</v>
      </c>
      <c r="K10" s="178" t="s">
        <v>8</v>
      </c>
      <c r="L10" s="6"/>
      <c r="M10" s="183" t="s">
        <v>9</v>
      </c>
      <c r="N10" s="191" t="s">
        <v>10</v>
      </c>
      <c r="O10" s="196"/>
      <c r="P10" s="197"/>
      <c r="Q10" s="197"/>
      <c r="R10" s="197"/>
      <c r="S10" s="197"/>
      <c r="T10" s="198"/>
    </row>
    <row r="11" spans="2:20" ht="37.5" customHeight="1" thickBot="1">
      <c r="B11" s="169"/>
      <c r="C11" s="171"/>
      <c r="D11" s="174"/>
      <c r="E11" s="10" t="s">
        <v>11</v>
      </c>
      <c r="F11" s="10" t="s">
        <v>12</v>
      </c>
      <c r="G11" s="180"/>
      <c r="H11" s="202"/>
      <c r="I11" s="203"/>
      <c r="J11" s="182"/>
      <c r="K11" s="179"/>
      <c r="L11" s="11"/>
      <c r="M11" s="184"/>
      <c r="N11" s="192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88" t="s">
        <v>41</v>
      </c>
      <c r="C12" s="188" t="s">
        <v>40</v>
      </c>
      <c r="D12" s="199" t="s">
        <v>42</v>
      </c>
      <c r="E12" s="25">
        <v>43101</v>
      </c>
      <c r="F12" s="25">
        <v>43465</v>
      </c>
      <c r="G12" s="26" t="s">
        <v>28</v>
      </c>
      <c r="H12" s="27">
        <v>16</v>
      </c>
      <c r="I12" s="31">
        <f>+J12+('2017'!I12-'2017'!K12)</f>
        <v>5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1</v>
      </c>
      <c r="N12" s="41">
        <f>IF(J12=0," -",IF(L12&gt;100%,100%,L12))</f>
        <v>1</v>
      </c>
      <c r="O12" s="36" t="s">
        <v>66</v>
      </c>
      <c r="P12" s="27">
        <v>17200</v>
      </c>
      <c r="Q12" s="27">
        <v>17200</v>
      </c>
      <c r="R12" s="27">
        <v>0</v>
      </c>
      <c r="S12" s="42">
        <f>IF(P12=0," -",Q12/P12)</f>
        <v>1</v>
      </c>
      <c r="T12" s="41" t="str">
        <f>IF(R12=0," -",IF(Q12=0,100%,R12/Q12))</f>
        <v xml:space="preserve"> -</v>
      </c>
    </row>
    <row r="13" spans="2:20" ht="75">
      <c r="B13" s="189"/>
      <c r="C13" s="189"/>
      <c r="D13" s="200"/>
      <c r="E13" s="23">
        <v>43101</v>
      </c>
      <c r="F13" s="23">
        <v>43465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17200</v>
      </c>
      <c r="Q13" s="24">
        <v>17200</v>
      </c>
      <c r="R13" s="24">
        <v>0</v>
      </c>
      <c r="S13" s="46">
        <f t="shared" ref="S13:S24" si="3">IF(P13=0," -",Q13/P13)</f>
        <v>1</v>
      </c>
      <c r="T13" s="45" t="str">
        <f t="shared" ref="T13:T24" si="4">IF(R13=0," -",IF(Q13=0,100%,R13/Q13))</f>
        <v xml:space="preserve"> -</v>
      </c>
    </row>
    <row r="14" spans="2:20" ht="75">
      <c r="B14" s="189"/>
      <c r="C14" s="189"/>
      <c r="D14" s="200"/>
      <c r="E14" s="23">
        <v>43101</v>
      </c>
      <c r="F14" s="23">
        <v>43465</v>
      </c>
      <c r="G14" s="8" t="s">
        <v>30</v>
      </c>
      <c r="H14" s="24">
        <v>1</v>
      </c>
      <c r="I14" s="24">
        <f>+J14</f>
        <v>1</v>
      </c>
      <c r="J14" s="24">
        <v>1</v>
      </c>
      <c r="K14" s="33">
        <v>1</v>
      </c>
      <c r="L14" s="43">
        <f t="shared" si="0"/>
        <v>1</v>
      </c>
      <c r="M14" s="44">
        <f t="shared" si="1"/>
        <v>1</v>
      </c>
      <c r="N14" s="45">
        <f t="shared" si="2"/>
        <v>1</v>
      </c>
      <c r="O14" s="37">
        <v>0</v>
      </c>
      <c r="P14" s="24">
        <v>17200</v>
      </c>
      <c r="Q14" s="24">
        <v>17200</v>
      </c>
      <c r="R14" s="24">
        <v>0</v>
      </c>
      <c r="S14" s="46">
        <f t="shared" si="3"/>
        <v>1</v>
      </c>
      <c r="T14" s="45" t="str">
        <f t="shared" si="4"/>
        <v xml:space="preserve"> -</v>
      </c>
    </row>
    <row r="15" spans="2:20" ht="75">
      <c r="B15" s="189"/>
      <c r="C15" s="189"/>
      <c r="D15" s="200"/>
      <c r="E15" s="23">
        <v>43101</v>
      </c>
      <c r="F15" s="23">
        <v>43465</v>
      </c>
      <c r="G15" s="8" t="s">
        <v>31</v>
      </c>
      <c r="H15" s="24">
        <v>1</v>
      </c>
      <c r="I15" s="24">
        <f>+J15</f>
        <v>1</v>
      </c>
      <c r="J15" s="24">
        <v>1</v>
      </c>
      <c r="K15" s="33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17200</v>
      </c>
      <c r="Q15" s="24">
        <v>17200</v>
      </c>
      <c r="R15" s="24">
        <v>0</v>
      </c>
      <c r="S15" s="46">
        <f t="shared" si="3"/>
        <v>1</v>
      </c>
      <c r="T15" s="45" t="str">
        <f t="shared" si="4"/>
        <v xml:space="preserve"> -</v>
      </c>
    </row>
    <row r="16" spans="2:20" ht="31" thickBot="1">
      <c r="B16" s="189"/>
      <c r="C16" s="190"/>
      <c r="D16" s="201"/>
      <c r="E16" s="28">
        <v>43101</v>
      </c>
      <c r="F16" s="28">
        <v>43465</v>
      </c>
      <c r="G16" s="64" t="s">
        <v>32</v>
      </c>
      <c r="H16" s="29">
        <v>1</v>
      </c>
      <c r="I16" s="29">
        <f>+J16+('2017'!I16-'2017'!K16)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1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89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89"/>
      <c r="C18" s="188" t="s">
        <v>39</v>
      </c>
      <c r="D18" s="199" t="s">
        <v>43</v>
      </c>
      <c r="E18" s="25">
        <v>43101</v>
      </c>
      <c r="F18" s="25">
        <v>43465</v>
      </c>
      <c r="G18" s="26" t="s">
        <v>33</v>
      </c>
      <c r="H18" s="27">
        <v>1</v>
      </c>
      <c r="I18" s="24">
        <f>+J18</f>
        <v>1</v>
      </c>
      <c r="J18" s="27">
        <v>1</v>
      </c>
      <c r="K18" s="32">
        <v>1</v>
      </c>
      <c r="L18" s="43">
        <f t="shared" si="0"/>
        <v>1</v>
      </c>
      <c r="M18" s="44">
        <f t="shared" si="1"/>
        <v>1</v>
      </c>
      <c r="N18" s="45">
        <f t="shared" si="2"/>
        <v>1</v>
      </c>
      <c r="O18" s="65">
        <v>0</v>
      </c>
      <c r="P18" s="27">
        <v>48200</v>
      </c>
      <c r="Q18" s="27">
        <v>48200</v>
      </c>
      <c r="R18" s="27">
        <v>0</v>
      </c>
      <c r="S18" s="42">
        <f t="shared" si="3"/>
        <v>1</v>
      </c>
      <c r="T18" s="41" t="str">
        <f t="shared" si="4"/>
        <v xml:space="preserve"> -</v>
      </c>
    </row>
    <row r="19" spans="2:20" ht="45">
      <c r="B19" s="189"/>
      <c r="C19" s="189"/>
      <c r="D19" s="200"/>
      <c r="E19" s="23">
        <v>43101</v>
      </c>
      <c r="F19" s="23">
        <v>43465</v>
      </c>
      <c r="G19" s="8" t="s">
        <v>34</v>
      </c>
      <c r="H19" s="24">
        <v>1</v>
      </c>
      <c r="I19" s="24">
        <f>+J19</f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25000</v>
      </c>
      <c r="Q19" s="24">
        <v>25000</v>
      </c>
      <c r="R19" s="24">
        <v>0</v>
      </c>
      <c r="S19" s="46">
        <f t="shared" si="3"/>
        <v>1</v>
      </c>
      <c r="T19" s="45" t="str">
        <f t="shared" si="4"/>
        <v xml:space="preserve"> -</v>
      </c>
    </row>
    <row r="20" spans="2:20" ht="61" thickBot="1">
      <c r="B20" s="189"/>
      <c r="C20" s="189"/>
      <c r="D20" s="201"/>
      <c r="E20" s="28">
        <v>43101</v>
      </c>
      <c r="F20" s="28">
        <v>43465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35171</v>
      </c>
      <c r="Q20" s="29">
        <v>35171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89"/>
      <c r="C21" s="189"/>
      <c r="D21" s="185" t="s">
        <v>44</v>
      </c>
      <c r="E21" s="30">
        <v>43101</v>
      </c>
      <c r="F21" s="30">
        <v>43465</v>
      </c>
      <c r="G21" s="70" t="s">
        <v>36</v>
      </c>
      <c r="H21" s="31">
        <v>1</v>
      </c>
      <c r="I21" s="31">
        <f>+J21</f>
        <v>1</v>
      </c>
      <c r="J21" s="31">
        <v>1</v>
      </c>
      <c r="K21" s="35">
        <v>1</v>
      </c>
      <c r="L21" s="47">
        <f t="shared" si="0"/>
        <v>1</v>
      </c>
      <c r="M21" s="48">
        <f t="shared" si="1"/>
        <v>1</v>
      </c>
      <c r="N21" s="49">
        <f t="shared" si="2"/>
        <v>1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89"/>
      <c r="C22" s="189"/>
      <c r="D22" s="186"/>
      <c r="E22" s="23">
        <v>43101</v>
      </c>
      <c r="F22" s="23">
        <v>43465</v>
      </c>
      <c r="G22" s="8" t="s">
        <v>37</v>
      </c>
      <c r="H22" s="24">
        <v>8</v>
      </c>
      <c r="I22" s="24">
        <f>+J22+('2017'!I22-'2017'!K22)</f>
        <v>-7</v>
      </c>
      <c r="J22" s="24">
        <v>2</v>
      </c>
      <c r="K22" s="33">
        <v>2</v>
      </c>
      <c r="L22" s="43">
        <f t="shared" si="0"/>
        <v>1</v>
      </c>
      <c r="M22" s="44">
        <f t="shared" si="1"/>
        <v>1</v>
      </c>
      <c r="N22" s="45">
        <f t="shared" si="2"/>
        <v>1</v>
      </c>
      <c r="O22" s="66">
        <v>0</v>
      </c>
      <c r="P22" s="24">
        <v>17903</v>
      </c>
      <c r="Q22" s="24">
        <v>17902.599999999999</v>
      </c>
      <c r="R22" s="24">
        <v>0</v>
      </c>
      <c r="S22" s="46">
        <f t="shared" si="3"/>
        <v>0.99997765737585875</v>
      </c>
      <c r="T22" s="45" t="str">
        <f t="shared" si="4"/>
        <v xml:space="preserve"> -</v>
      </c>
    </row>
    <row r="23" spans="2:20" ht="76" thickBot="1">
      <c r="B23" s="190"/>
      <c r="C23" s="190"/>
      <c r="D23" s="187"/>
      <c r="E23" s="28">
        <v>43101</v>
      </c>
      <c r="F23" s="28">
        <v>43465</v>
      </c>
      <c r="G23" s="64" t="s">
        <v>38</v>
      </c>
      <c r="H23" s="29">
        <v>1</v>
      </c>
      <c r="I23" s="29">
        <f>+J23</f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1</v>
      </c>
      <c r="O24" s="19"/>
      <c r="P24" s="20">
        <f>+SUM(P12:P16,P18:P23)</f>
        <v>195074</v>
      </c>
      <c r="Q24" s="21">
        <f>+SUM(Q12:Q16,Q18:Q23)</f>
        <v>195073.6</v>
      </c>
      <c r="R24" s="21">
        <f>+SUM(R12:R16,R18:R23)</f>
        <v>0</v>
      </c>
      <c r="S24" s="22">
        <f t="shared" si="3"/>
        <v>0.99999794949608867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63" t="s">
        <v>16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</row>
    <row r="3" spans="2:20" ht="20" customHeight="1">
      <c r="B3" s="163" t="s">
        <v>19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</row>
    <row r="4" spans="2:20" ht="20" customHeight="1">
      <c r="B4" s="163" t="s">
        <v>27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9">
        <v>43830</v>
      </c>
      <c r="D8" s="164" t="s">
        <v>3</v>
      </c>
      <c r="E8" s="165"/>
      <c r="F8" s="165"/>
      <c r="G8" s="165"/>
      <c r="H8" s="165"/>
      <c r="I8" s="165"/>
      <c r="J8" s="165"/>
      <c r="K8" s="16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67" t="s">
        <v>17</v>
      </c>
      <c r="C9" s="170" t="s">
        <v>18</v>
      </c>
      <c r="D9" s="172" t="s">
        <v>0</v>
      </c>
      <c r="E9" s="175" t="s">
        <v>4</v>
      </c>
      <c r="F9" s="175"/>
      <c r="G9" s="175" t="s">
        <v>5</v>
      </c>
      <c r="H9" s="175"/>
      <c r="I9" s="175"/>
      <c r="J9" s="175"/>
      <c r="K9" s="177"/>
      <c r="L9" s="5"/>
      <c r="M9" s="172" t="s">
        <v>6</v>
      </c>
      <c r="N9" s="177"/>
      <c r="O9" s="193" t="s">
        <v>24</v>
      </c>
      <c r="P9" s="194"/>
      <c r="Q9" s="194"/>
      <c r="R9" s="194"/>
      <c r="S9" s="194"/>
      <c r="T9" s="195"/>
    </row>
    <row r="10" spans="2:20" ht="17" customHeight="1">
      <c r="B10" s="168"/>
      <c r="C10" s="171"/>
      <c r="D10" s="173"/>
      <c r="E10" s="176"/>
      <c r="F10" s="176"/>
      <c r="G10" s="176" t="s">
        <v>7</v>
      </c>
      <c r="H10" s="180" t="s">
        <v>25</v>
      </c>
      <c r="I10" s="180" t="s">
        <v>26</v>
      </c>
      <c r="J10" s="181" t="s">
        <v>1</v>
      </c>
      <c r="K10" s="178" t="s">
        <v>8</v>
      </c>
      <c r="L10" s="6"/>
      <c r="M10" s="183" t="s">
        <v>9</v>
      </c>
      <c r="N10" s="191" t="s">
        <v>10</v>
      </c>
      <c r="O10" s="196"/>
      <c r="P10" s="197"/>
      <c r="Q10" s="197"/>
      <c r="R10" s="197"/>
      <c r="S10" s="197"/>
      <c r="T10" s="198"/>
    </row>
    <row r="11" spans="2:20" ht="37.5" customHeight="1" thickBot="1">
      <c r="B11" s="169"/>
      <c r="C11" s="171"/>
      <c r="D11" s="174"/>
      <c r="E11" s="10" t="s">
        <v>11</v>
      </c>
      <c r="F11" s="10" t="s">
        <v>12</v>
      </c>
      <c r="G11" s="180"/>
      <c r="H11" s="202"/>
      <c r="I11" s="203"/>
      <c r="J11" s="182"/>
      <c r="K11" s="179"/>
      <c r="L11" s="11"/>
      <c r="M11" s="184"/>
      <c r="N11" s="192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30">
      <c r="B12" s="188" t="s">
        <v>41</v>
      </c>
      <c r="C12" s="188" t="s">
        <v>40</v>
      </c>
      <c r="D12" s="199" t="s">
        <v>42</v>
      </c>
      <c r="E12" s="25">
        <v>43466</v>
      </c>
      <c r="F12" s="25">
        <v>43830</v>
      </c>
      <c r="G12" s="26" t="s">
        <v>28</v>
      </c>
      <c r="H12" s="27">
        <v>16</v>
      </c>
      <c r="I12" s="31">
        <f>+J12+('2018'!I12-'2018'!K12)</f>
        <v>5</v>
      </c>
      <c r="J12" s="27">
        <v>4</v>
      </c>
      <c r="K12" s="32">
        <v>4</v>
      </c>
      <c r="L12" s="39">
        <f>+K12/J12</f>
        <v>1</v>
      </c>
      <c r="M12" s="40">
        <f>DAYS360(E12,$C$8)/DAYS360(E12,F12)</f>
        <v>1</v>
      </c>
      <c r="N12" s="41">
        <f>IF(J12=0," -",IF(L12&gt;100%,100%,L12))</f>
        <v>1</v>
      </c>
      <c r="O12" s="36" t="s">
        <v>66</v>
      </c>
      <c r="P12" s="27">
        <v>17400</v>
      </c>
      <c r="Q12" s="27">
        <v>15687</v>
      </c>
      <c r="R12" s="27">
        <v>0</v>
      </c>
      <c r="S12" s="42">
        <f>IF(P12=0," -",Q12/P12)</f>
        <v>0.90155172413793105</v>
      </c>
      <c r="T12" s="41" t="str">
        <f>IF(R12=0," -",IF(Q12=0,100%,R12/Q12))</f>
        <v xml:space="preserve"> -</v>
      </c>
    </row>
    <row r="13" spans="2:20" ht="75">
      <c r="B13" s="189"/>
      <c r="C13" s="189"/>
      <c r="D13" s="200"/>
      <c r="E13" s="23">
        <v>43466</v>
      </c>
      <c r="F13" s="23">
        <v>43830</v>
      </c>
      <c r="G13" s="8" t="s">
        <v>29</v>
      </c>
      <c r="H13" s="24">
        <v>1</v>
      </c>
      <c r="I13" s="24">
        <f>+J13</f>
        <v>1</v>
      </c>
      <c r="J13" s="24">
        <v>1</v>
      </c>
      <c r="K13" s="33">
        <v>1</v>
      </c>
      <c r="L13" s="43">
        <f t="shared" ref="L13:L23" si="0">+K13/J13</f>
        <v>1</v>
      </c>
      <c r="M13" s="44">
        <f t="shared" ref="M13:M23" si="1">DAYS360(E13,$C$8)/DAYS360(E13,F13)</f>
        <v>1</v>
      </c>
      <c r="N13" s="45">
        <f t="shared" ref="N13:N23" si="2">IF(J13=0," -",IF(L13&gt;100%,100%,L13))</f>
        <v>1</v>
      </c>
      <c r="O13" s="37" t="s">
        <v>66</v>
      </c>
      <c r="P13" s="24">
        <v>17400</v>
      </c>
      <c r="Q13" s="24">
        <v>15687</v>
      </c>
      <c r="R13" s="24">
        <v>0</v>
      </c>
      <c r="S13" s="46">
        <f t="shared" ref="S13:S24" si="3">IF(P13=0," -",Q13/P13)</f>
        <v>0.90155172413793105</v>
      </c>
      <c r="T13" s="45" t="str">
        <f t="shared" ref="T13:T24" si="4">IF(R13=0," -",IF(Q13=0,100%,R13/Q13))</f>
        <v xml:space="preserve"> -</v>
      </c>
    </row>
    <row r="14" spans="2:20" ht="75">
      <c r="B14" s="189"/>
      <c r="C14" s="189"/>
      <c r="D14" s="200"/>
      <c r="E14" s="23">
        <v>43466</v>
      </c>
      <c r="F14" s="23">
        <v>43830</v>
      </c>
      <c r="G14" s="8" t="s">
        <v>30</v>
      </c>
      <c r="H14" s="24">
        <v>1</v>
      </c>
      <c r="I14" s="24">
        <f>+J14</f>
        <v>1</v>
      </c>
      <c r="J14" s="24">
        <v>1</v>
      </c>
      <c r="K14" s="33">
        <v>1</v>
      </c>
      <c r="L14" s="43">
        <f t="shared" si="0"/>
        <v>1</v>
      </c>
      <c r="M14" s="44">
        <f t="shared" si="1"/>
        <v>1</v>
      </c>
      <c r="N14" s="45">
        <f t="shared" si="2"/>
        <v>1</v>
      </c>
      <c r="O14" s="37">
        <v>0</v>
      </c>
      <c r="P14" s="24">
        <v>17400</v>
      </c>
      <c r="Q14" s="24">
        <v>15687</v>
      </c>
      <c r="R14" s="24">
        <v>0</v>
      </c>
      <c r="S14" s="46">
        <f t="shared" si="3"/>
        <v>0.90155172413793105</v>
      </c>
      <c r="T14" s="45" t="str">
        <f t="shared" si="4"/>
        <v xml:space="preserve"> -</v>
      </c>
    </row>
    <row r="15" spans="2:20" ht="75">
      <c r="B15" s="189"/>
      <c r="C15" s="189"/>
      <c r="D15" s="200"/>
      <c r="E15" s="23">
        <v>43466</v>
      </c>
      <c r="F15" s="23">
        <v>43830</v>
      </c>
      <c r="G15" s="8" t="s">
        <v>31</v>
      </c>
      <c r="H15" s="24">
        <v>1</v>
      </c>
      <c r="I15" s="24">
        <f>+J15</f>
        <v>1</v>
      </c>
      <c r="J15" s="24">
        <v>1</v>
      </c>
      <c r="K15" s="33">
        <v>1</v>
      </c>
      <c r="L15" s="43">
        <f t="shared" si="0"/>
        <v>1</v>
      </c>
      <c r="M15" s="44">
        <f t="shared" si="1"/>
        <v>1</v>
      </c>
      <c r="N15" s="45">
        <f t="shared" si="2"/>
        <v>1</v>
      </c>
      <c r="O15" s="37" t="s">
        <v>66</v>
      </c>
      <c r="P15" s="24">
        <v>17400</v>
      </c>
      <c r="Q15" s="24">
        <v>15750</v>
      </c>
      <c r="R15" s="24">
        <v>0</v>
      </c>
      <c r="S15" s="46">
        <f t="shared" si="3"/>
        <v>0.90517241379310343</v>
      </c>
      <c r="T15" s="45" t="str">
        <f t="shared" si="4"/>
        <v xml:space="preserve"> -</v>
      </c>
    </row>
    <row r="16" spans="2:20" ht="31" thickBot="1">
      <c r="B16" s="189"/>
      <c r="C16" s="190"/>
      <c r="D16" s="201"/>
      <c r="E16" s="28">
        <v>43466</v>
      </c>
      <c r="F16" s="28">
        <v>43830</v>
      </c>
      <c r="G16" s="64" t="s">
        <v>32</v>
      </c>
      <c r="H16" s="29">
        <v>1</v>
      </c>
      <c r="I16" s="29">
        <f>+J16+('2018'!I16-'2018'!K16)</f>
        <v>0</v>
      </c>
      <c r="J16" s="29">
        <v>0</v>
      </c>
      <c r="K16" s="34">
        <v>0</v>
      </c>
      <c r="L16" s="51" t="e">
        <f t="shared" si="0"/>
        <v>#DIV/0!</v>
      </c>
      <c r="M16" s="52">
        <f t="shared" si="1"/>
        <v>1</v>
      </c>
      <c r="N16" s="53" t="str">
        <f t="shared" si="2"/>
        <v xml:space="preserve"> -</v>
      </c>
      <c r="O16" s="38" t="s">
        <v>66</v>
      </c>
      <c r="P16" s="29">
        <v>0</v>
      </c>
      <c r="Q16" s="29">
        <v>0</v>
      </c>
      <c r="R16" s="29">
        <v>0</v>
      </c>
      <c r="S16" s="54" t="str">
        <f t="shared" si="3"/>
        <v xml:space="preserve"> -</v>
      </c>
      <c r="T16" s="53" t="str">
        <f t="shared" si="4"/>
        <v xml:space="preserve"> -</v>
      </c>
    </row>
    <row r="17" spans="2:20" ht="13" customHeight="1" thickBot="1">
      <c r="B17" s="189"/>
      <c r="C17" s="55"/>
      <c r="D17" s="57"/>
      <c r="E17" s="59"/>
      <c r="F17" s="60"/>
      <c r="G17" s="56"/>
      <c r="H17" s="61"/>
      <c r="I17" s="61"/>
      <c r="J17" s="61"/>
      <c r="K17" s="61"/>
      <c r="L17" s="62"/>
      <c r="M17" s="56"/>
      <c r="N17" s="56"/>
      <c r="O17" s="56"/>
      <c r="P17" s="69"/>
      <c r="Q17" s="57"/>
      <c r="R17" s="57"/>
      <c r="S17" s="58"/>
      <c r="T17" s="63"/>
    </row>
    <row r="18" spans="2:20" ht="60">
      <c r="B18" s="189"/>
      <c r="C18" s="188" t="s">
        <v>39</v>
      </c>
      <c r="D18" s="199" t="s">
        <v>43</v>
      </c>
      <c r="E18" s="25">
        <v>43466</v>
      </c>
      <c r="F18" s="25">
        <v>43830</v>
      </c>
      <c r="G18" s="26" t="s">
        <v>33</v>
      </c>
      <c r="H18" s="27">
        <v>1</v>
      </c>
      <c r="I18" s="24">
        <f>+J18</f>
        <v>1</v>
      </c>
      <c r="J18" s="27">
        <v>1</v>
      </c>
      <c r="K18" s="32">
        <v>1</v>
      </c>
      <c r="L18" s="43">
        <f t="shared" si="0"/>
        <v>1</v>
      </c>
      <c r="M18" s="44">
        <f t="shared" si="1"/>
        <v>1</v>
      </c>
      <c r="N18" s="45">
        <f t="shared" si="2"/>
        <v>1</v>
      </c>
      <c r="O18" s="65">
        <v>0</v>
      </c>
      <c r="P18" s="27">
        <v>32850</v>
      </c>
      <c r="Q18" s="27">
        <v>32850</v>
      </c>
      <c r="R18" s="27">
        <v>0</v>
      </c>
      <c r="S18" s="42">
        <f t="shared" si="3"/>
        <v>1</v>
      </c>
      <c r="T18" s="41" t="str">
        <f t="shared" si="4"/>
        <v xml:space="preserve"> -</v>
      </c>
    </row>
    <row r="19" spans="2:20" ht="45">
      <c r="B19" s="189"/>
      <c r="C19" s="189"/>
      <c r="D19" s="200"/>
      <c r="E19" s="23">
        <v>43466</v>
      </c>
      <c r="F19" s="23">
        <v>43830</v>
      </c>
      <c r="G19" s="8" t="s">
        <v>34</v>
      </c>
      <c r="H19" s="24">
        <v>1</v>
      </c>
      <c r="I19" s="24">
        <f>+J19</f>
        <v>1</v>
      </c>
      <c r="J19" s="24">
        <v>1</v>
      </c>
      <c r="K19" s="33">
        <v>1</v>
      </c>
      <c r="L19" s="43">
        <f t="shared" si="0"/>
        <v>1</v>
      </c>
      <c r="M19" s="44">
        <f t="shared" si="1"/>
        <v>1</v>
      </c>
      <c r="N19" s="45">
        <f t="shared" si="2"/>
        <v>1</v>
      </c>
      <c r="O19" s="66" t="s">
        <v>66</v>
      </c>
      <c r="P19" s="24">
        <v>24300</v>
      </c>
      <c r="Q19" s="24">
        <v>24300</v>
      </c>
      <c r="R19" s="24">
        <v>0</v>
      </c>
      <c r="S19" s="46">
        <f t="shared" si="3"/>
        <v>1</v>
      </c>
      <c r="T19" s="45" t="str">
        <f t="shared" si="4"/>
        <v xml:space="preserve"> -</v>
      </c>
    </row>
    <row r="20" spans="2:20" ht="61" thickBot="1">
      <c r="B20" s="189"/>
      <c r="C20" s="189"/>
      <c r="D20" s="201"/>
      <c r="E20" s="28">
        <v>43466</v>
      </c>
      <c r="F20" s="28">
        <v>43830</v>
      </c>
      <c r="G20" s="64" t="s">
        <v>35</v>
      </c>
      <c r="H20" s="29">
        <v>1</v>
      </c>
      <c r="I20" s="29">
        <f>+J20</f>
        <v>1</v>
      </c>
      <c r="J20" s="29">
        <v>1</v>
      </c>
      <c r="K20" s="34">
        <v>1</v>
      </c>
      <c r="L20" s="51">
        <f t="shared" si="0"/>
        <v>1</v>
      </c>
      <c r="M20" s="52">
        <f t="shared" si="1"/>
        <v>1</v>
      </c>
      <c r="N20" s="53">
        <f t="shared" si="2"/>
        <v>1</v>
      </c>
      <c r="O20" s="67">
        <v>0</v>
      </c>
      <c r="P20" s="29">
        <v>22000</v>
      </c>
      <c r="Q20" s="29">
        <v>22000</v>
      </c>
      <c r="R20" s="29">
        <v>0</v>
      </c>
      <c r="S20" s="54">
        <f t="shared" si="3"/>
        <v>1</v>
      </c>
      <c r="T20" s="53" t="str">
        <f t="shared" si="4"/>
        <v xml:space="preserve"> -</v>
      </c>
    </row>
    <row r="21" spans="2:20" ht="75">
      <c r="B21" s="189"/>
      <c r="C21" s="189"/>
      <c r="D21" s="185" t="s">
        <v>44</v>
      </c>
      <c r="E21" s="30">
        <v>43466</v>
      </c>
      <c r="F21" s="30">
        <v>43830</v>
      </c>
      <c r="G21" s="70" t="s">
        <v>36</v>
      </c>
      <c r="H21" s="31">
        <v>1</v>
      </c>
      <c r="I21" s="31">
        <f>+J21</f>
        <v>1</v>
      </c>
      <c r="J21" s="31">
        <v>1</v>
      </c>
      <c r="K21" s="35">
        <v>1</v>
      </c>
      <c r="L21" s="47">
        <f t="shared" si="0"/>
        <v>1</v>
      </c>
      <c r="M21" s="48">
        <f t="shared" si="1"/>
        <v>1</v>
      </c>
      <c r="N21" s="49">
        <f t="shared" si="2"/>
        <v>1</v>
      </c>
      <c r="O21" s="68" t="s">
        <v>66</v>
      </c>
      <c r="P21" s="31">
        <v>0</v>
      </c>
      <c r="Q21" s="31">
        <v>0</v>
      </c>
      <c r="R21" s="31">
        <v>0</v>
      </c>
      <c r="S21" s="50" t="str">
        <f t="shared" si="3"/>
        <v xml:space="preserve"> -</v>
      </c>
      <c r="T21" s="49" t="str">
        <f t="shared" si="4"/>
        <v xml:space="preserve"> -</v>
      </c>
    </row>
    <row r="22" spans="2:20" ht="45">
      <c r="B22" s="189"/>
      <c r="C22" s="189"/>
      <c r="D22" s="186"/>
      <c r="E22" s="23">
        <v>43466</v>
      </c>
      <c r="F22" s="23">
        <v>43830</v>
      </c>
      <c r="G22" s="8" t="s">
        <v>37</v>
      </c>
      <c r="H22" s="24">
        <v>8</v>
      </c>
      <c r="I22" s="24">
        <f>+J22+('2018'!I22-'2018'!K22)</f>
        <v>-7</v>
      </c>
      <c r="J22" s="24">
        <v>2</v>
      </c>
      <c r="K22" s="33">
        <v>2</v>
      </c>
      <c r="L22" s="43">
        <f t="shared" si="0"/>
        <v>1</v>
      </c>
      <c r="M22" s="44">
        <f t="shared" si="1"/>
        <v>1</v>
      </c>
      <c r="N22" s="45">
        <f t="shared" si="2"/>
        <v>1</v>
      </c>
      <c r="O22" s="66">
        <v>0</v>
      </c>
      <c r="P22" s="24">
        <v>4361</v>
      </c>
      <c r="Q22" s="24">
        <v>4338</v>
      </c>
      <c r="R22" s="24">
        <v>0</v>
      </c>
      <c r="S22" s="46">
        <f t="shared" si="3"/>
        <v>0.99472598027975234</v>
      </c>
      <c r="T22" s="45" t="str">
        <f t="shared" si="4"/>
        <v xml:space="preserve"> -</v>
      </c>
    </row>
    <row r="23" spans="2:20" ht="76" thickBot="1">
      <c r="B23" s="190"/>
      <c r="C23" s="190"/>
      <c r="D23" s="187"/>
      <c r="E23" s="28">
        <v>43466</v>
      </c>
      <c r="F23" s="28">
        <v>43830</v>
      </c>
      <c r="G23" s="64" t="s">
        <v>38</v>
      </c>
      <c r="H23" s="29">
        <v>1</v>
      </c>
      <c r="I23" s="29">
        <f>+J23</f>
        <v>1</v>
      </c>
      <c r="J23" s="29">
        <v>1</v>
      </c>
      <c r="K23" s="34">
        <v>1</v>
      </c>
      <c r="L23" s="51">
        <f t="shared" si="0"/>
        <v>1</v>
      </c>
      <c r="M23" s="52">
        <f t="shared" si="1"/>
        <v>1</v>
      </c>
      <c r="N23" s="53">
        <f t="shared" si="2"/>
        <v>1</v>
      </c>
      <c r="O23" s="67" t="s">
        <v>66</v>
      </c>
      <c r="P23" s="29">
        <v>0</v>
      </c>
      <c r="Q23" s="29">
        <v>0</v>
      </c>
      <c r="R23" s="29">
        <v>0</v>
      </c>
      <c r="S23" s="54" t="str">
        <f t="shared" si="3"/>
        <v xml:space="preserve"> -</v>
      </c>
      <c r="T23" s="53" t="str">
        <f t="shared" si="4"/>
        <v xml:space="preserve"> -</v>
      </c>
    </row>
    <row r="24" spans="2:20" ht="21" customHeight="1" thickBot="1">
      <c r="M24" s="17">
        <f>+AVERAGE(M12:M16,M18:M23)</f>
        <v>1</v>
      </c>
      <c r="N24" s="18">
        <f>+AVERAGE(N12:N16,N18:N23)</f>
        <v>1</v>
      </c>
      <c r="O24" s="19"/>
      <c r="P24" s="20">
        <f>+SUM(P12:P16,P18:P23)</f>
        <v>153111</v>
      </c>
      <c r="Q24" s="21">
        <f>+SUM(Q12:Q16,Q18:Q23)</f>
        <v>146299</v>
      </c>
      <c r="R24" s="21">
        <f>+SUM(R12:R16,R18:R23)</f>
        <v>0</v>
      </c>
      <c r="S24" s="22">
        <f t="shared" si="3"/>
        <v>0.95550940167590837</v>
      </c>
      <c r="T24" s="18" t="str">
        <f t="shared" si="4"/>
        <v xml:space="preserve"> -</v>
      </c>
    </row>
  </sheetData>
  <mergeCells count="24">
    <mergeCell ref="M10:M11"/>
    <mergeCell ref="N10:N11"/>
    <mergeCell ref="B12:B23"/>
    <mergeCell ref="C12:C16"/>
    <mergeCell ref="D12:D16"/>
    <mergeCell ref="C18:C23"/>
    <mergeCell ref="D18:D20"/>
    <mergeCell ref="D21:D2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63" t="s">
        <v>16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</row>
    <row r="3" spans="2:25" ht="20" customHeight="1">
      <c r="B3" s="163" t="s">
        <v>19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</row>
    <row r="4" spans="2:25" ht="20" customHeight="1">
      <c r="B4" s="163" t="s">
        <v>27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45</v>
      </c>
      <c r="C8" s="9">
        <f>+'2019'!C8</f>
        <v>43830</v>
      </c>
      <c r="D8" s="164" t="s">
        <v>3</v>
      </c>
      <c r="E8" s="165"/>
      <c r="F8" s="165"/>
      <c r="G8" s="165"/>
      <c r="H8" s="206"/>
      <c r="I8" s="206"/>
      <c r="J8" s="206"/>
      <c r="K8" s="206"/>
      <c r="L8" s="206"/>
      <c r="M8" s="206"/>
      <c r="N8" s="16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67" t="s">
        <v>17</v>
      </c>
      <c r="C9" s="170" t="s">
        <v>18</v>
      </c>
      <c r="D9" s="172" t="s">
        <v>0</v>
      </c>
      <c r="E9" s="207" t="s">
        <v>5</v>
      </c>
      <c r="F9" s="208"/>
      <c r="G9" s="208"/>
      <c r="H9" s="208"/>
      <c r="I9" s="208"/>
      <c r="J9" s="208"/>
      <c r="K9" s="208"/>
      <c r="L9" s="208"/>
      <c r="M9" s="208"/>
      <c r="N9" s="209"/>
      <c r="O9" s="210" t="s">
        <v>47</v>
      </c>
      <c r="P9" s="211"/>
      <c r="Q9" s="211"/>
      <c r="R9" s="211"/>
      <c r="S9" s="212"/>
      <c r="T9" s="193" t="s">
        <v>46</v>
      </c>
      <c r="U9" s="194"/>
      <c r="V9" s="194"/>
      <c r="W9" s="194"/>
      <c r="X9" s="194"/>
      <c r="Y9" s="195"/>
    </row>
    <row r="10" spans="2:25" ht="17" customHeight="1">
      <c r="B10" s="168"/>
      <c r="C10" s="171"/>
      <c r="D10" s="173"/>
      <c r="E10" s="176" t="s">
        <v>7</v>
      </c>
      <c r="F10" s="180" t="s">
        <v>25</v>
      </c>
      <c r="G10" s="74" t="s">
        <v>1</v>
      </c>
      <c r="H10" s="75" t="s">
        <v>1</v>
      </c>
      <c r="I10" s="78" t="s">
        <v>1</v>
      </c>
      <c r="J10" s="78" t="s">
        <v>1</v>
      </c>
      <c r="K10" s="80" t="s">
        <v>8</v>
      </c>
      <c r="L10" s="78" t="s">
        <v>8</v>
      </c>
      <c r="M10" s="78" t="s">
        <v>8</v>
      </c>
      <c r="N10" s="73" t="s">
        <v>8</v>
      </c>
      <c r="O10" s="213">
        <v>2016</v>
      </c>
      <c r="P10" s="217">
        <v>2017</v>
      </c>
      <c r="Q10" s="215">
        <v>2018</v>
      </c>
      <c r="R10" s="219">
        <v>2019</v>
      </c>
      <c r="S10" s="204" t="s">
        <v>45</v>
      </c>
      <c r="T10" s="196"/>
      <c r="U10" s="197"/>
      <c r="V10" s="197"/>
      <c r="W10" s="197"/>
      <c r="X10" s="197"/>
      <c r="Y10" s="198"/>
    </row>
    <row r="11" spans="2:25" ht="37.5" customHeight="1" thickBot="1">
      <c r="B11" s="169"/>
      <c r="C11" s="171"/>
      <c r="D11" s="174"/>
      <c r="E11" s="180"/>
      <c r="F11" s="202"/>
      <c r="G11" s="77">
        <v>2016</v>
      </c>
      <c r="H11" s="81">
        <v>2017</v>
      </c>
      <c r="I11" s="79">
        <v>2018</v>
      </c>
      <c r="J11" s="79">
        <v>2019</v>
      </c>
      <c r="K11" s="82">
        <v>2016</v>
      </c>
      <c r="L11" s="81">
        <v>2017</v>
      </c>
      <c r="M11" s="79">
        <v>2018</v>
      </c>
      <c r="N11" s="83">
        <v>2019</v>
      </c>
      <c r="O11" s="214"/>
      <c r="P11" s="218"/>
      <c r="Q11" s="216"/>
      <c r="R11" s="220"/>
      <c r="S11" s="205"/>
      <c r="T11" s="76" t="s">
        <v>23</v>
      </c>
      <c r="U11" s="112" t="s">
        <v>20</v>
      </c>
      <c r="V11" s="112" t="s">
        <v>21</v>
      </c>
      <c r="W11" s="112" t="s">
        <v>22</v>
      </c>
      <c r="X11" s="15" t="s">
        <v>14</v>
      </c>
      <c r="Y11" s="16" t="s">
        <v>15</v>
      </c>
    </row>
    <row r="12" spans="2:25" ht="30">
      <c r="B12" s="188" t="s">
        <v>41</v>
      </c>
      <c r="C12" s="188" t="s">
        <v>40</v>
      </c>
      <c r="D12" s="199" t="s">
        <v>42</v>
      </c>
      <c r="E12" s="26" t="s">
        <v>28</v>
      </c>
      <c r="F12" s="27">
        <v>16</v>
      </c>
      <c r="G12" s="27">
        <f>'2016'!J12</f>
        <v>4</v>
      </c>
      <c r="H12" s="32">
        <f>'2017'!J12</f>
        <v>4</v>
      </c>
      <c r="I12" s="32">
        <f>'2018'!J12</f>
        <v>4</v>
      </c>
      <c r="J12" s="32">
        <f>'2019'!J12</f>
        <v>4</v>
      </c>
      <c r="K12" s="84">
        <f>'2016'!K12</f>
        <v>3</v>
      </c>
      <c r="L12" s="32">
        <f>'2017'!K12</f>
        <v>4</v>
      </c>
      <c r="M12" s="32">
        <f>'2018'!K12</f>
        <v>4</v>
      </c>
      <c r="N12" s="85">
        <f>'2019'!K12</f>
        <v>4</v>
      </c>
      <c r="O12" s="92">
        <f>'2016'!N12</f>
        <v>0.75</v>
      </c>
      <c r="P12" s="93">
        <f>'2017'!N12</f>
        <v>1</v>
      </c>
      <c r="Q12" s="100">
        <f>'2018'!N12</f>
        <v>1</v>
      </c>
      <c r="R12" s="93">
        <f>'2019'!N12</f>
        <v>1</v>
      </c>
      <c r="S12" s="107">
        <v>0.9375</v>
      </c>
      <c r="T12" s="36" t="s">
        <v>66</v>
      </c>
      <c r="U12" s="31">
        <f>+'2016'!P12+'2017'!P12+'2018'!P12+'2019'!P12</f>
        <v>34600</v>
      </c>
      <c r="V12" s="31">
        <f>+'2016'!Q12+'2017'!Q12+'2018'!Q12+'2019'!Q12</f>
        <v>32887</v>
      </c>
      <c r="W12" s="31">
        <f>+'2016'!R12+'2017'!R12+'2018'!R12+'2019'!R12</f>
        <v>0</v>
      </c>
      <c r="X12" s="42">
        <f>IF(U12=0," -",V12/U12)</f>
        <v>0.95049132947976878</v>
      </c>
      <c r="Y12" s="41" t="str">
        <f>IF(W12=0," -",IF(V12=0,100%,W12/V12))</f>
        <v xml:space="preserve"> -</v>
      </c>
    </row>
    <row r="13" spans="2:25" ht="75">
      <c r="B13" s="189"/>
      <c r="C13" s="189"/>
      <c r="D13" s="200"/>
      <c r="E13" s="8" t="s">
        <v>29</v>
      </c>
      <c r="F13" s="24">
        <v>1</v>
      </c>
      <c r="G13" s="24">
        <f>'2016'!J13</f>
        <v>1</v>
      </c>
      <c r="H13" s="33">
        <f>'2017'!J13</f>
        <v>1</v>
      </c>
      <c r="I13" s="33">
        <f>'2018'!J13</f>
        <v>1</v>
      </c>
      <c r="J13" s="33">
        <f>'2019'!J13</f>
        <v>1</v>
      </c>
      <c r="K13" s="86">
        <f>'2016'!K13</f>
        <v>1</v>
      </c>
      <c r="L13" s="33">
        <f>'2017'!K13</f>
        <v>1</v>
      </c>
      <c r="M13" s="33">
        <f>'2018'!K13</f>
        <v>1</v>
      </c>
      <c r="N13" s="87">
        <f>'2019'!K13</f>
        <v>1</v>
      </c>
      <c r="O13" s="94">
        <f>'2016'!N13</f>
        <v>1</v>
      </c>
      <c r="P13" s="95">
        <f>'2017'!N13</f>
        <v>1</v>
      </c>
      <c r="Q13" s="101">
        <f>'2018'!N13</f>
        <v>1</v>
      </c>
      <c r="R13" s="95">
        <f>'2019'!N13</f>
        <v>1</v>
      </c>
      <c r="S13" s="108">
        <v>1</v>
      </c>
      <c r="T13" s="37" t="s">
        <v>66</v>
      </c>
      <c r="U13" s="24">
        <f>+'2016'!P13+'2017'!P13+'2018'!P13+'2019'!P13</f>
        <v>34600</v>
      </c>
      <c r="V13" s="24">
        <f>+'2016'!Q13+'2017'!Q13+'2018'!Q13+'2019'!Q13</f>
        <v>32887</v>
      </c>
      <c r="W13" s="24">
        <f>+'2016'!R13+'2017'!R13+'2018'!R13+'2019'!R13</f>
        <v>0</v>
      </c>
      <c r="X13" s="46">
        <f t="shared" ref="X13:X24" si="0">IF(U13=0," -",V13/U13)</f>
        <v>0.95049132947976878</v>
      </c>
      <c r="Y13" s="45" t="str">
        <f t="shared" ref="Y13:Y24" si="1">IF(W13=0," -",IF(V13=0,100%,W13/V13))</f>
        <v xml:space="preserve"> -</v>
      </c>
    </row>
    <row r="14" spans="2:25" ht="75">
      <c r="B14" s="189"/>
      <c r="C14" s="189"/>
      <c r="D14" s="200"/>
      <c r="E14" s="8" t="s">
        <v>30</v>
      </c>
      <c r="F14" s="24">
        <v>1</v>
      </c>
      <c r="G14" s="24">
        <f>'2016'!J14</f>
        <v>0</v>
      </c>
      <c r="H14" s="33">
        <f>'2017'!J14</f>
        <v>1</v>
      </c>
      <c r="I14" s="33">
        <f>'2018'!J14</f>
        <v>1</v>
      </c>
      <c r="J14" s="33">
        <f>'2019'!J14</f>
        <v>1</v>
      </c>
      <c r="K14" s="86">
        <f>'2016'!K14</f>
        <v>0</v>
      </c>
      <c r="L14" s="71">
        <f>'2017'!K14</f>
        <v>1</v>
      </c>
      <c r="M14" s="33">
        <f>'2018'!K14</f>
        <v>1</v>
      </c>
      <c r="N14" s="87">
        <f>'2019'!K14</f>
        <v>1</v>
      </c>
      <c r="O14" s="94" t="str">
        <f>'2016'!N14</f>
        <v xml:space="preserve"> -</v>
      </c>
      <c r="P14" s="95">
        <f>'2017'!N14</f>
        <v>1</v>
      </c>
      <c r="Q14" s="101">
        <f>'2018'!N14</f>
        <v>1</v>
      </c>
      <c r="R14" s="95">
        <f>'2019'!N14</f>
        <v>1</v>
      </c>
      <c r="S14" s="108">
        <v>1</v>
      </c>
      <c r="T14" s="37">
        <v>0</v>
      </c>
      <c r="U14" s="24">
        <f>+'2016'!P14+'2017'!P14+'2018'!P14+'2019'!P14</f>
        <v>140790</v>
      </c>
      <c r="V14" s="24">
        <f>+'2016'!Q14+'2017'!Q14+'2018'!Q14+'2019'!Q14</f>
        <v>135077</v>
      </c>
      <c r="W14" s="24">
        <f>+'2016'!R14+'2017'!R14+'2018'!R14+'2019'!R14</f>
        <v>0</v>
      </c>
      <c r="X14" s="46">
        <f t="shared" si="0"/>
        <v>0.95942183393706937</v>
      </c>
      <c r="Y14" s="45" t="str">
        <f t="shared" si="1"/>
        <v xml:space="preserve"> -</v>
      </c>
    </row>
    <row r="15" spans="2:25" ht="75">
      <c r="B15" s="189"/>
      <c r="C15" s="189"/>
      <c r="D15" s="200"/>
      <c r="E15" s="8" t="s">
        <v>31</v>
      </c>
      <c r="F15" s="24">
        <v>1</v>
      </c>
      <c r="G15" s="24">
        <f>'2016'!J15</f>
        <v>1</v>
      </c>
      <c r="H15" s="33">
        <f>'2017'!J15</f>
        <v>1</v>
      </c>
      <c r="I15" s="33">
        <f>'2018'!J15</f>
        <v>1</v>
      </c>
      <c r="J15" s="33">
        <f>'2019'!J15</f>
        <v>1</v>
      </c>
      <c r="K15" s="86">
        <f>'2016'!K15</f>
        <v>1</v>
      </c>
      <c r="L15" s="33">
        <f>'2017'!K15</f>
        <v>1</v>
      </c>
      <c r="M15" s="33">
        <f>'2018'!K15</f>
        <v>1</v>
      </c>
      <c r="N15" s="87">
        <f>'2019'!K15</f>
        <v>1</v>
      </c>
      <c r="O15" s="94">
        <f>'2016'!N15</f>
        <v>1</v>
      </c>
      <c r="P15" s="95">
        <f>'2017'!N15</f>
        <v>1</v>
      </c>
      <c r="Q15" s="101">
        <f>'2018'!N15</f>
        <v>1</v>
      </c>
      <c r="R15" s="95">
        <f>'2019'!N15</f>
        <v>1</v>
      </c>
      <c r="S15" s="108">
        <v>1</v>
      </c>
      <c r="T15" s="37" t="s">
        <v>66</v>
      </c>
      <c r="U15" s="24">
        <f>+'2016'!P15+'2017'!P15+'2018'!P15+'2019'!P15</f>
        <v>284600</v>
      </c>
      <c r="V15" s="24">
        <f>+'2016'!Q15+'2017'!Q15+'2018'!Q15+'2019'!Q15</f>
        <v>47200</v>
      </c>
      <c r="W15" s="24">
        <f>+'2016'!R15+'2017'!R15+'2018'!R15+'2019'!R15</f>
        <v>0</v>
      </c>
      <c r="X15" s="46">
        <f t="shared" si="0"/>
        <v>0.16584680252986647</v>
      </c>
      <c r="Y15" s="45" t="str">
        <f t="shared" si="1"/>
        <v xml:space="preserve"> -</v>
      </c>
    </row>
    <row r="16" spans="2:25" ht="31" thickBot="1">
      <c r="B16" s="189"/>
      <c r="C16" s="190"/>
      <c r="D16" s="201"/>
      <c r="E16" s="64" t="s">
        <v>32</v>
      </c>
      <c r="F16" s="29">
        <v>1</v>
      </c>
      <c r="G16" s="29">
        <f>'2016'!J16</f>
        <v>1</v>
      </c>
      <c r="H16" s="34">
        <f>'2017'!J16</f>
        <v>0</v>
      </c>
      <c r="I16" s="34">
        <f>'2018'!J16</f>
        <v>0</v>
      </c>
      <c r="J16" s="34">
        <f>'2019'!J16</f>
        <v>0</v>
      </c>
      <c r="K16" s="88">
        <f>'2016'!K16</f>
        <v>1</v>
      </c>
      <c r="L16" s="34">
        <f>'2017'!K16</f>
        <v>0</v>
      </c>
      <c r="M16" s="34">
        <f>'2018'!K16</f>
        <v>0</v>
      </c>
      <c r="N16" s="89">
        <f>'2019'!K16</f>
        <v>0</v>
      </c>
      <c r="O16" s="96">
        <f>'2016'!N16</f>
        <v>1</v>
      </c>
      <c r="P16" s="97" t="str">
        <f>'2017'!N16</f>
        <v xml:space="preserve"> -</v>
      </c>
      <c r="Q16" s="102" t="str">
        <f>'2018'!N16</f>
        <v xml:space="preserve"> -</v>
      </c>
      <c r="R16" s="97" t="str">
        <f>'2019'!N16</f>
        <v xml:space="preserve"> -</v>
      </c>
      <c r="S16" s="109">
        <v>1</v>
      </c>
      <c r="T16" s="38" t="s">
        <v>66</v>
      </c>
      <c r="U16" s="29">
        <f>+'2016'!P16+'2017'!P16+'2018'!P16+'2019'!P16</f>
        <v>0</v>
      </c>
      <c r="V16" s="29">
        <f>+'2016'!Q16+'2017'!Q16+'2018'!Q16+'2019'!Q16</f>
        <v>0</v>
      </c>
      <c r="W16" s="29">
        <f>+'2016'!R16+'2017'!R16+'2018'!R16+'2019'!R16</f>
        <v>0</v>
      </c>
      <c r="X16" s="54" t="str">
        <f t="shared" si="0"/>
        <v xml:space="preserve"> -</v>
      </c>
      <c r="Y16" s="53" t="str">
        <f t="shared" si="1"/>
        <v xml:space="preserve"> -</v>
      </c>
    </row>
    <row r="17" spans="2:25" ht="13" customHeight="1" thickBot="1">
      <c r="B17" s="189"/>
      <c r="C17" s="55"/>
      <c r="D17" s="57"/>
      <c r="E17" s="56"/>
      <c r="F17" s="61"/>
      <c r="G17" s="61"/>
      <c r="H17" s="61"/>
      <c r="I17" s="61"/>
      <c r="J17" s="61"/>
      <c r="K17" s="61"/>
      <c r="L17" s="61"/>
      <c r="M17" s="61"/>
      <c r="N17" s="61"/>
      <c r="O17" s="58"/>
      <c r="P17" s="58"/>
      <c r="Q17" s="58"/>
      <c r="R17" s="58"/>
      <c r="S17" s="113"/>
      <c r="T17" s="56"/>
      <c r="U17" s="111"/>
      <c r="V17" s="111"/>
      <c r="W17" s="111"/>
      <c r="X17" s="58"/>
      <c r="Y17" s="63"/>
    </row>
    <row r="18" spans="2:25" ht="60">
      <c r="B18" s="189"/>
      <c r="C18" s="188" t="s">
        <v>39</v>
      </c>
      <c r="D18" s="199" t="s">
        <v>43</v>
      </c>
      <c r="E18" s="26" t="s">
        <v>33</v>
      </c>
      <c r="F18" s="27">
        <v>1</v>
      </c>
      <c r="G18" s="27">
        <f>'2016'!J18</f>
        <v>1</v>
      </c>
      <c r="H18" s="32">
        <f>'2017'!J18</f>
        <v>1</v>
      </c>
      <c r="I18" s="32">
        <f>'2018'!J18</f>
        <v>1</v>
      </c>
      <c r="J18" s="32">
        <f>'2019'!J18</f>
        <v>1</v>
      </c>
      <c r="K18" s="84">
        <f>'2016'!K18</f>
        <v>0</v>
      </c>
      <c r="L18" s="32">
        <f>'2017'!K18</f>
        <v>1</v>
      </c>
      <c r="M18" s="32">
        <f>'2018'!K18</f>
        <v>1</v>
      </c>
      <c r="N18" s="85">
        <f>'2019'!K18</f>
        <v>1</v>
      </c>
      <c r="O18" s="94">
        <f>'2016'!N18</f>
        <v>0</v>
      </c>
      <c r="P18" s="95">
        <f>'2017'!N18</f>
        <v>1</v>
      </c>
      <c r="Q18" s="100">
        <f>'2018'!N18</f>
        <v>1</v>
      </c>
      <c r="R18" s="95">
        <f>'2019'!N18</f>
        <v>1</v>
      </c>
      <c r="S18" s="108">
        <v>0.75</v>
      </c>
      <c r="T18" s="65">
        <v>0</v>
      </c>
      <c r="U18" s="31">
        <f>+'2016'!P18+'2017'!P18+'2018'!P18+'2019'!P18</f>
        <v>81050</v>
      </c>
      <c r="V18" s="31">
        <f>+'2016'!Q18+'2017'!Q18+'2018'!Q18+'2019'!Q18</f>
        <v>81050</v>
      </c>
      <c r="W18" s="31">
        <f>+'2016'!R18+'2017'!R18+'2018'!R18+'2019'!R18</f>
        <v>0</v>
      </c>
      <c r="X18" s="42">
        <f t="shared" si="0"/>
        <v>1</v>
      </c>
      <c r="Y18" s="41" t="str">
        <f t="shared" si="1"/>
        <v xml:space="preserve"> -</v>
      </c>
    </row>
    <row r="19" spans="2:25" ht="45">
      <c r="B19" s="189"/>
      <c r="C19" s="189"/>
      <c r="D19" s="200"/>
      <c r="E19" s="8" t="s">
        <v>34</v>
      </c>
      <c r="F19" s="24">
        <v>1</v>
      </c>
      <c r="G19" s="24">
        <f>'2016'!J19</f>
        <v>1</v>
      </c>
      <c r="H19" s="33">
        <f>'2017'!J19</f>
        <v>1</v>
      </c>
      <c r="I19" s="33">
        <f>'2018'!J19</f>
        <v>1</v>
      </c>
      <c r="J19" s="33">
        <f>'2019'!J19</f>
        <v>1</v>
      </c>
      <c r="K19" s="86">
        <f>'2016'!K19</f>
        <v>1</v>
      </c>
      <c r="L19" s="33">
        <f>'2017'!K19</f>
        <v>1</v>
      </c>
      <c r="M19" s="33">
        <f>'2018'!K19</f>
        <v>1</v>
      </c>
      <c r="N19" s="87">
        <f>'2019'!K19</f>
        <v>1</v>
      </c>
      <c r="O19" s="94">
        <f>'2016'!N19</f>
        <v>1</v>
      </c>
      <c r="P19" s="95">
        <f>'2017'!N19</f>
        <v>1</v>
      </c>
      <c r="Q19" s="101">
        <f>'2018'!N19</f>
        <v>1</v>
      </c>
      <c r="R19" s="95">
        <f>'2019'!N19</f>
        <v>1</v>
      </c>
      <c r="S19" s="108">
        <v>1</v>
      </c>
      <c r="T19" s="66" t="s">
        <v>66</v>
      </c>
      <c r="U19" s="24">
        <f>+'2016'!P19+'2017'!P19+'2018'!P19+'2019'!P19</f>
        <v>49300</v>
      </c>
      <c r="V19" s="24">
        <f>+'2016'!Q19+'2017'!Q19+'2018'!Q19+'2019'!Q19</f>
        <v>49300</v>
      </c>
      <c r="W19" s="24">
        <f>+'2016'!R19+'2017'!R19+'2018'!R19+'2019'!R19</f>
        <v>0</v>
      </c>
      <c r="X19" s="46">
        <f t="shared" si="0"/>
        <v>1</v>
      </c>
      <c r="Y19" s="45" t="str">
        <f t="shared" si="1"/>
        <v xml:space="preserve"> -</v>
      </c>
    </row>
    <row r="20" spans="2:25" ht="61" thickBot="1">
      <c r="B20" s="189"/>
      <c r="C20" s="189"/>
      <c r="D20" s="201"/>
      <c r="E20" s="64" t="s">
        <v>35</v>
      </c>
      <c r="F20" s="29">
        <v>1</v>
      </c>
      <c r="G20" s="29">
        <f>'2016'!J20</f>
        <v>1</v>
      </c>
      <c r="H20" s="34">
        <f>'2017'!J20</f>
        <v>1</v>
      </c>
      <c r="I20" s="34">
        <f>'2018'!J20</f>
        <v>1</v>
      </c>
      <c r="J20" s="34">
        <f>'2019'!J20</f>
        <v>1</v>
      </c>
      <c r="K20" s="88">
        <f>'2016'!K20</f>
        <v>1</v>
      </c>
      <c r="L20" s="34">
        <f>'2017'!K20</f>
        <v>1</v>
      </c>
      <c r="M20" s="34">
        <f>'2018'!K20</f>
        <v>1</v>
      </c>
      <c r="N20" s="89">
        <f>'2019'!K20</f>
        <v>1</v>
      </c>
      <c r="O20" s="96">
        <f>'2016'!N20</f>
        <v>1</v>
      </c>
      <c r="P20" s="97">
        <f>'2017'!N20</f>
        <v>1</v>
      </c>
      <c r="Q20" s="102">
        <f>'2018'!N20</f>
        <v>1</v>
      </c>
      <c r="R20" s="97">
        <f>'2019'!N20</f>
        <v>1</v>
      </c>
      <c r="S20" s="109">
        <v>1</v>
      </c>
      <c r="T20" s="67">
        <v>0</v>
      </c>
      <c r="U20" s="29">
        <f>+'2016'!P20+'2017'!P20+'2018'!P20+'2019'!P20</f>
        <v>133171</v>
      </c>
      <c r="V20" s="29">
        <f>+'2016'!Q20+'2017'!Q20+'2018'!Q20+'2019'!Q20</f>
        <v>133171</v>
      </c>
      <c r="W20" s="29">
        <f>+'2016'!R20+'2017'!R20+'2018'!R20+'2019'!R20</f>
        <v>0</v>
      </c>
      <c r="X20" s="54">
        <f t="shared" si="0"/>
        <v>1</v>
      </c>
      <c r="Y20" s="53" t="str">
        <f t="shared" si="1"/>
        <v xml:space="preserve"> -</v>
      </c>
    </row>
    <row r="21" spans="2:25" ht="75">
      <c r="B21" s="189"/>
      <c r="C21" s="189"/>
      <c r="D21" s="185" t="s">
        <v>44</v>
      </c>
      <c r="E21" s="70" t="s">
        <v>36</v>
      </c>
      <c r="F21" s="31">
        <v>1</v>
      </c>
      <c r="G21" s="31">
        <f>'2016'!J21</f>
        <v>1</v>
      </c>
      <c r="H21" s="35">
        <f>'2017'!J21</f>
        <v>1</v>
      </c>
      <c r="I21" s="35">
        <f>'2018'!J21</f>
        <v>1</v>
      </c>
      <c r="J21" s="35">
        <f>'2019'!J21</f>
        <v>1</v>
      </c>
      <c r="K21" s="90">
        <f>'2016'!K21</f>
        <v>0.7</v>
      </c>
      <c r="L21" s="35">
        <f>'2017'!K21</f>
        <v>1</v>
      </c>
      <c r="M21" s="35">
        <f>'2018'!K21</f>
        <v>1</v>
      </c>
      <c r="N21" s="91">
        <f>'2019'!K21</f>
        <v>1</v>
      </c>
      <c r="O21" s="98">
        <f>'2016'!N21</f>
        <v>0.7</v>
      </c>
      <c r="P21" s="99">
        <f>'2017'!N21</f>
        <v>1</v>
      </c>
      <c r="Q21" s="103">
        <f>'2018'!N21</f>
        <v>1</v>
      </c>
      <c r="R21" s="99">
        <f>'2019'!N21</f>
        <v>1</v>
      </c>
      <c r="S21" s="110">
        <v>0.92500000000000004</v>
      </c>
      <c r="T21" s="68" t="s">
        <v>66</v>
      </c>
      <c r="U21" s="31">
        <f>+'2016'!P21+'2017'!P21+'2018'!P21+'2019'!P21</f>
        <v>0</v>
      </c>
      <c r="V21" s="31">
        <f>+'2016'!Q21+'2017'!Q21+'2018'!Q21+'2019'!Q21</f>
        <v>0</v>
      </c>
      <c r="W21" s="31">
        <f>+'2016'!R21+'2017'!R21+'2018'!R21+'2019'!R21</f>
        <v>0</v>
      </c>
      <c r="X21" s="50" t="str">
        <f t="shared" si="0"/>
        <v xml:space="preserve"> -</v>
      </c>
      <c r="Y21" s="49" t="str">
        <f t="shared" si="1"/>
        <v xml:space="preserve"> -</v>
      </c>
    </row>
    <row r="22" spans="2:25" ht="45">
      <c r="B22" s="189"/>
      <c r="C22" s="189"/>
      <c r="D22" s="186"/>
      <c r="E22" s="8" t="s">
        <v>37</v>
      </c>
      <c r="F22" s="24">
        <v>8</v>
      </c>
      <c r="G22" s="24">
        <f>'2016'!J22</f>
        <v>2</v>
      </c>
      <c r="H22" s="33">
        <f>'2017'!J22</f>
        <v>2</v>
      </c>
      <c r="I22" s="33">
        <f>'2018'!J22</f>
        <v>2</v>
      </c>
      <c r="J22" s="33">
        <f>'2019'!J22</f>
        <v>2</v>
      </c>
      <c r="K22" s="86">
        <f>'2016'!K22</f>
        <v>7</v>
      </c>
      <c r="L22" s="33">
        <f>'2017'!K22</f>
        <v>6</v>
      </c>
      <c r="M22" s="33">
        <f>'2018'!K22</f>
        <v>2</v>
      </c>
      <c r="N22" s="87">
        <f>'2019'!K22</f>
        <v>2</v>
      </c>
      <c r="O22" s="94">
        <f>'2016'!N22</f>
        <v>1</v>
      </c>
      <c r="P22" s="95">
        <f>'2017'!N22</f>
        <v>1</v>
      </c>
      <c r="Q22" s="101">
        <f>'2018'!N22</f>
        <v>1</v>
      </c>
      <c r="R22" s="95">
        <f>'2019'!N22</f>
        <v>1</v>
      </c>
      <c r="S22" s="108">
        <v>1</v>
      </c>
      <c r="T22" s="66">
        <v>0</v>
      </c>
      <c r="U22" s="24">
        <f>+'2016'!P22+'2017'!P22+'2018'!P22+'2019'!P22</f>
        <v>52014</v>
      </c>
      <c r="V22" s="24">
        <f>+'2016'!Q22+'2017'!Q22+'2018'!Q22+'2019'!Q22</f>
        <v>45740.6</v>
      </c>
      <c r="W22" s="24">
        <f>+'2016'!R22+'2017'!R22+'2018'!R22+'2019'!R22</f>
        <v>11400</v>
      </c>
      <c r="X22" s="46">
        <f t="shared" si="0"/>
        <v>0.87939016418656513</v>
      </c>
      <c r="Y22" s="45">
        <f t="shared" si="1"/>
        <v>0.24923153609703416</v>
      </c>
    </row>
    <row r="23" spans="2:25" ht="76" thickBot="1">
      <c r="B23" s="190"/>
      <c r="C23" s="190"/>
      <c r="D23" s="187"/>
      <c r="E23" s="64" t="s">
        <v>38</v>
      </c>
      <c r="F23" s="29">
        <v>1</v>
      </c>
      <c r="G23" s="29">
        <f>'2016'!J23</f>
        <v>1</v>
      </c>
      <c r="H23" s="34">
        <f>'2017'!J23</f>
        <v>1</v>
      </c>
      <c r="I23" s="34">
        <f>'2018'!J23</f>
        <v>1</v>
      </c>
      <c r="J23" s="34">
        <f>'2019'!J23</f>
        <v>1</v>
      </c>
      <c r="K23" s="88">
        <f>'2016'!K23</f>
        <v>1</v>
      </c>
      <c r="L23" s="34">
        <f>'2017'!K23</f>
        <v>1</v>
      </c>
      <c r="M23" s="34">
        <f>'2018'!K23</f>
        <v>1</v>
      </c>
      <c r="N23" s="89">
        <f>'2019'!K23</f>
        <v>1</v>
      </c>
      <c r="O23" s="96">
        <f>'2016'!N23</f>
        <v>1</v>
      </c>
      <c r="P23" s="97">
        <f>'2017'!N23</f>
        <v>1</v>
      </c>
      <c r="Q23" s="102">
        <f>'2018'!N23</f>
        <v>1</v>
      </c>
      <c r="R23" s="97">
        <f>'2019'!N23</f>
        <v>1</v>
      </c>
      <c r="S23" s="109">
        <v>1</v>
      </c>
      <c r="T23" s="67" t="s">
        <v>66</v>
      </c>
      <c r="U23" s="29">
        <f>+'2016'!P23+'2017'!P23+'2018'!P23+'2019'!P23</f>
        <v>56320</v>
      </c>
      <c r="V23" s="29">
        <f>+'2016'!Q23+'2017'!Q23+'2018'!Q23+'2019'!Q23</f>
        <v>56320</v>
      </c>
      <c r="W23" s="29">
        <f>+'2016'!R23+'2017'!R23+'2018'!R23+'2019'!R23</f>
        <v>0</v>
      </c>
      <c r="X23" s="54">
        <f t="shared" si="0"/>
        <v>1</v>
      </c>
      <c r="Y23" s="53" t="str">
        <f t="shared" si="1"/>
        <v xml:space="preserve"> -</v>
      </c>
    </row>
    <row r="24" spans="2:25" ht="21" customHeight="1" thickBot="1">
      <c r="O24" s="105">
        <f>+AVERAGE(O12:O16,O18:O23)</f>
        <v>0.84499999999999997</v>
      </c>
      <c r="P24" s="104">
        <f t="shared" ref="P24:R24" si="2">+AVERAGE(P12:P16,P18:P23)</f>
        <v>1</v>
      </c>
      <c r="Q24" s="104">
        <f t="shared" si="2"/>
        <v>1</v>
      </c>
      <c r="R24" s="104">
        <f t="shared" si="2"/>
        <v>1</v>
      </c>
      <c r="S24" s="106">
        <f>+AVERAGE(S12:S16,S18:S23)</f>
        <v>0.96477272727272734</v>
      </c>
      <c r="T24" s="19"/>
      <c r="U24" s="20">
        <f>+SUM(U12:U16,U18:U23)</f>
        <v>866445</v>
      </c>
      <c r="V24" s="21">
        <f>+SUM(V12:V16,V18:V23)</f>
        <v>613632.6</v>
      </c>
      <c r="W24" s="21">
        <f>+SUM(W12:W16,W18:W23)</f>
        <v>11400</v>
      </c>
      <c r="X24" s="22">
        <f t="shared" si="0"/>
        <v>0.70821875595104133</v>
      </c>
      <c r="Y24" s="18">
        <f t="shared" si="1"/>
        <v>1.8577891722180342E-2</v>
      </c>
    </row>
  </sheetData>
  <mergeCells count="23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Q10:Q11"/>
    <mergeCell ref="P10:P11"/>
    <mergeCell ref="R10:R11"/>
    <mergeCell ref="S10:S11"/>
    <mergeCell ref="B12:B23"/>
    <mergeCell ref="C12:C16"/>
    <mergeCell ref="D12:D16"/>
    <mergeCell ref="C18:C23"/>
    <mergeCell ref="D18:D20"/>
    <mergeCell ref="D21:D23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35" t="s">
        <v>65</v>
      </c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7"/>
    </row>
    <row r="4" spans="2:15" ht="16" thickBot="1">
      <c r="C4" s="114"/>
      <c r="D4" s="114"/>
      <c r="E4" s="114"/>
      <c r="F4" s="114"/>
      <c r="G4" s="114"/>
      <c r="H4" s="114"/>
      <c r="I4" s="114"/>
    </row>
    <row r="5" spans="2:15" ht="19" customHeight="1">
      <c r="C5" s="114"/>
      <c r="D5" s="114"/>
      <c r="E5" s="238" t="s">
        <v>48</v>
      </c>
      <c r="F5" s="239"/>
      <c r="G5" s="239"/>
      <c r="H5" s="239"/>
      <c r="I5" s="242" t="s">
        <v>47</v>
      </c>
      <c r="J5" s="243"/>
      <c r="K5" s="246" t="s">
        <v>49</v>
      </c>
      <c r="L5" s="247"/>
      <c r="M5" s="247"/>
      <c r="N5" s="247"/>
      <c r="O5" s="248"/>
    </row>
    <row r="6" spans="2:15" ht="19" customHeight="1" thickBot="1">
      <c r="E6" s="240"/>
      <c r="F6" s="241"/>
      <c r="G6" s="241"/>
      <c r="H6" s="241"/>
      <c r="I6" s="244"/>
      <c r="J6" s="245"/>
      <c r="K6" s="249" t="s">
        <v>45</v>
      </c>
      <c r="L6" s="250"/>
      <c r="M6" s="250"/>
      <c r="N6" s="250"/>
      <c r="O6" s="251"/>
    </row>
    <row r="7" spans="2:15" ht="32" customHeight="1" thickBot="1">
      <c r="C7" s="227"/>
      <c r="D7" s="228"/>
      <c r="E7" s="115">
        <v>2016</v>
      </c>
      <c r="F7" s="116">
        <v>2017</v>
      </c>
      <c r="G7" s="116">
        <v>2018</v>
      </c>
      <c r="H7" s="116">
        <v>2019</v>
      </c>
      <c r="I7" s="229" t="s">
        <v>45</v>
      </c>
      <c r="J7" s="230"/>
      <c r="K7" s="117" t="s">
        <v>50</v>
      </c>
      <c r="L7" s="118" t="s">
        <v>51</v>
      </c>
      <c r="M7" s="118" t="s">
        <v>52</v>
      </c>
      <c r="N7" s="118" t="s">
        <v>53</v>
      </c>
      <c r="O7" s="119" t="s">
        <v>54</v>
      </c>
    </row>
    <row r="8" spans="2:15" ht="22" customHeight="1" thickBot="1">
      <c r="B8" s="120">
        <v>1</v>
      </c>
      <c r="C8" s="231" t="s">
        <v>55</v>
      </c>
      <c r="D8" s="232"/>
      <c r="E8" s="121">
        <f>+IF(SUM('2016 - 2019'!G12:G23)&gt;0,AVERAGE('2016 - 2019'!O12:O23)," -")</f>
        <v>0.84499999999999997</v>
      </c>
      <c r="F8" s="121">
        <f>+IF(SUM('2016 - 2019'!H12:H23)&gt;0,AVERAGE('2016 - 2019'!P12:P23)," -")</f>
        <v>1</v>
      </c>
      <c r="G8" s="121">
        <f>+IF(SUM('2016 - 2019'!I12:I23)&gt;0,AVERAGE('2016 - 2019'!Q12:Q23)," -")</f>
        <v>1</v>
      </c>
      <c r="H8" s="121">
        <f>+IF(SUM('2016 - 2019'!J12:J23)&gt;0,AVERAGE('2016 - 2019'!R12:R23)," -")</f>
        <v>1</v>
      </c>
      <c r="I8" s="122">
        <f>+AVERAGE('2016 - 2019'!S12:S23)</f>
        <v>0.96477272727272734</v>
      </c>
      <c r="J8" s="123">
        <f t="shared" ref="J8:J13" si="0">+I8</f>
        <v>0.96477272727272734</v>
      </c>
      <c r="K8" s="124">
        <f>+K9+K11</f>
        <v>866445</v>
      </c>
      <c r="L8" s="125">
        <f t="shared" ref="L8:M8" si="1">+L9+L11</f>
        <v>613632.6</v>
      </c>
      <c r="M8" s="125">
        <f t="shared" si="1"/>
        <v>11400</v>
      </c>
      <c r="N8" s="126">
        <f t="shared" ref="N8:N13" si="2">IF(K8=0,"-",+L8/K8)</f>
        <v>0.70821875595104133</v>
      </c>
      <c r="O8" s="127">
        <f>IF(M8=0," -",IF(L8=0,100%,M8/L8))</f>
        <v>1.8577891722180342E-2</v>
      </c>
    </row>
    <row r="9" spans="2:15" ht="20" customHeight="1">
      <c r="B9" s="128" t="s">
        <v>56</v>
      </c>
      <c r="C9" s="233" t="s">
        <v>40</v>
      </c>
      <c r="D9" s="234"/>
      <c r="E9" s="129">
        <f>+IF(SUM('2016 - 2019'!G12:G16)&gt;0,AVERAGE('2016 - 2019'!O12:O16)," -")</f>
        <v>0.9375</v>
      </c>
      <c r="F9" s="129">
        <f>+IF(SUM('2016 - 2019'!H12:H16)&gt;0,AVERAGE('2016 - 2019'!P12:P16)," -")</f>
        <v>1</v>
      </c>
      <c r="G9" s="129">
        <f>+IF(SUM('2016 - 2019'!I12:I16)&gt;0,AVERAGE('2016 - 2019'!Q12:Q16)," -")</f>
        <v>1</v>
      </c>
      <c r="H9" s="129">
        <f>+IF(SUM('2016 - 2019'!J12:J16)&gt;0,AVERAGE('2016 - 2019'!R12:R16)," -")</f>
        <v>1</v>
      </c>
      <c r="I9" s="130">
        <f>+AVERAGE('2016 - 2019'!S12:S16)</f>
        <v>0.98750000000000004</v>
      </c>
      <c r="J9" s="131">
        <f t="shared" si="0"/>
        <v>0.98750000000000004</v>
      </c>
      <c r="K9" s="132">
        <f>+K10</f>
        <v>494590</v>
      </c>
      <c r="L9" s="133">
        <f t="shared" ref="L9:M9" si="3">+L10</f>
        <v>248051</v>
      </c>
      <c r="M9" s="133">
        <f t="shared" si="3"/>
        <v>0</v>
      </c>
      <c r="N9" s="134">
        <f t="shared" si="2"/>
        <v>0.5015285387897046</v>
      </c>
      <c r="O9" s="135" t="str">
        <f>IF(M9=0," -",IF(L9=0,100%,M9/L9))</f>
        <v xml:space="preserve"> -</v>
      </c>
    </row>
    <row r="10" spans="2:15" ht="18" customHeight="1">
      <c r="B10" s="136" t="s">
        <v>57</v>
      </c>
      <c r="C10" s="221" t="s">
        <v>58</v>
      </c>
      <c r="D10" s="222"/>
      <c r="E10" s="137">
        <f>+IF(SUM('2016 - 2019'!G12:G16)&gt;0,AVERAGE('2016 - 2019'!O12:O16)," -")</f>
        <v>0.9375</v>
      </c>
      <c r="F10" s="137">
        <f>+IF(SUM('2016 - 2019'!H12:H16)&gt;0,AVERAGE('2016 - 2019'!P12:P16)," -")</f>
        <v>1</v>
      </c>
      <c r="G10" s="137">
        <f>+IF(SUM('2016 - 2019'!I12:I16)&gt;0,AVERAGE('2016 - 2019'!Q12:Q16)," -")</f>
        <v>1</v>
      </c>
      <c r="H10" s="137">
        <f>+IF(SUM('2016 - 2019'!J12:J16)&gt;0,AVERAGE('2016 - 2019'!R12:R16)," -")</f>
        <v>1</v>
      </c>
      <c r="I10" s="138">
        <f>+AVERAGE('2016 - 2019'!S12:S16)</f>
        <v>0.98750000000000004</v>
      </c>
      <c r="J10" s="139">
        <f t="shared" si="0"/>
        <v>0.98750000000000004</v>
      </c>
      <c r="K10" s="140">
        <f>+SUM('2016 - 2019'!U12:U16)</f>
        <v>494590</v>
      </c>
      <c r="L10" s="24">
        <f>+SUM('2016 - 2019'!V12:V16)</f>
        <v>248051</v>
      </c>
      <c r="M10" s="24">
        <f>+SUM('2016 - 2019'!W12:W16)</f>
        <v>0</v>
      </c>
      <c r="N10" s="141">
        <f t="shared" si="2"/>
        <v>0.5015285387897046</v>
      </c>
      <c r="O10" s="142" t="str">
        <f t="shared" ref="O10:O13" si="4">IF(M10=0," -",IF(L10=0,100%,M10/L10))</f>
        <v xml:space="preserve"> -</v>
      </c>
    </row>
    <row r="11" spans="2:15" ht="20" customHeight="1">
      <c r="B11" s="128" t="s">
        <v>59</v>
      </c>
      <c r="C11" s="223" t="s">
        <v>39</v>
      </c>
      <c r="D11" s="224"/>
      <c r="E11" s="143">
        <f>+IF(SUM('2016 - 2019'!G18:G23)&gt;0,AVERAGE('2016 - 2019'!O18:O23)," -")</f>
        <v>0.78333333333333333</v>
      </c>
      <c r="F11" s="143">
        <f>+IF(SUM('2016 - 2019'!H18:H23)&gt;0,AVERAGE('2016 - 2019'!P18:P23)," -")</f>
        <v>1</v>
      </c>
      <c r="G11" s="143">
        <f>+IF(SUM('2016 - 2019'!I18:I23)&gt;0,AVERAGE('2016 - 2019'!Q18:Q23)," -")</f>
        <v>1</v>
      </c>
      <c r="H11" s="143">
        <f>+IF(SUM('2016 - 2019'!J18:J23)&gt;0,AVERAGE('2016 - 2019'!R18:R23)," -")</f>
        <v>1</v>
      </c>
      <c r="I11" s="144">
        <f>+AVERAGE('2016 - 2019'!S18:S23)</f>
        <v>0.9458333333333333</v>
      </c>
      <c r="J11" s="145">
        <f t="shared" si="0"/>
        <v>0.9458333333333333</v>
      </c>
      <c r="K11" s="146">
        <f>+SUM(K12:K13)</f>
        <v>371855</v>
      </c>
      <c r="L11" s="147">
        <f t="shared" ref="L11:M11" si="5">+SUM(L12:L13)</f>
        <v>365581.6</v>
      </c>
      <c r="M11" s="147">
        <f t="shared" si="5"/>
        <v>11400</v>
      </c>
      <c r="N11" s="148">
        <f t="shared" si="2"/>
        <v>0.98312944561724325</v>
      </c>
      <c r="O11" s="149">
        <f t="shared" si="4"/>
        <v>3.1183188650632309E-2</v>
      </c>
    </row>
    <row r="12" spans="2:15" ht="18" customHeight="1">
      <c r="B12" s="136" t="s">
        <v>60</v>
      </c>
      <c r="C12" s="221" t="s">
        <v>61</v>
      </c>
      <c r="D12" s="222"/>
      <c r="E12" s="137">
        <f>+IF(SUM('2016 - 2019'!G18:G20)&gt;0,AVERAGE('2016 - 2019'!O18:O20)," -")</f>
        <v>0.66666666666666663</v>
      </c>
      <c r="F12" s="137">
        <f>+IF(SUM('2016 - 2019'!H18:H20)&gt;0,AVERAGE('2016 - 2019'!P18:P20)," -")</f>
        <v>1</v>
      </c>
      <c r="G12" s="137">
        <f>+IF(SUM('2016 - 2019'!I18:I20)&gt;0,AVERAGE('2016 - 2019'!Q18:Q20)," -")</f>
        <v>1</v>
      </c>
      <c r="H12" s="137">
        <f>+IF(SUM('2016 - 2019'!J18:J20)&gt;0,AVERAGE('2016 - 2019'!R18:R20)," -")</f>
        <v>1</v>
      </c>
      <c r="I12" s="138">
        <f>+AVERAGE('2016 - 2019'!S18:S20)</f>
        <v>0.91666666666666663</v>
      </c>
      <c r="J12" s="139">
        <f t="shared" si="0"/>
        <v>0.91666666666666663</v>
      </c>
      <c r="K12" s="140">
        <f>+SUM('2016 - 2019'!U18:U20)</f>
        <v>263521</v>
      </c>
      <c r="L12" s="24">
        <f>+SUM('2016 - 2019'!V18:V20)</f>
        <v>263521</v>
      </c>
      <c r="M12" s="24">
        <f>+SUM('2016 - 2019'!W18:W20)</f>
        <v>0</v>
      </c>
      <c r="N12" s="141">
        <f t="shared" si="2"/>
        <v>1</v>
      </c>
      <c r="O12" s="142" t="str">
        <f t="shared" si="4"/>
        <v xml:space="preserve"> -</v>
      </c>
    </row>
    <row r="13" spans="2:15" ht="18" customHeight="1" thickBot="1">
      <c r="B13" s="136" t="s">
        <v>62</v>
      </c>
      <c r="C13" s="221" t="s">
        <v>63</v>
      </c>
      <c r="D13" s="222"/>
      <c r="E13" s="137">
        <f>+IF(SUM('2016 - 2019'!G21:G23)&gt;0,AVERAGE('2016 - 2019'!O21:O23)," -")</f>
        <v>0.9</v>
      </c>
      <c r="F13" s="137">
        <f>+IF(SUM('2016 - 2019'!H21:H23)&gt;0,AVERAGE('2016 - 2019'!P21:P23)," -")</f>
        <v>1</v>
      </c>
      <c r="G13" s="137">
        <f>+IF(SUM('2016 - 2019'!I21:I23)&gt;0,AVERAGE('2016 - 2019'!Q21:Q23)," -")</f>
        <v>1</v>
      </c>
      <c r="H13" s="137">
        <f>+IF(SUM('2016 - 2019'!J21:J23)&gt;0,AVERAGE('2016 - 2019'!R21:R23)," -")</f>
        <v>1</v>
      </c>
      <c r="I13" s="138">
        <f>+AVERAGE('2016 - 2019'!S21:S23)</f>
        <v>0.97499999999999998</v>
      </c>
      <c r="J13" s="139">
        <f t="shared" si="0"/>
        <v>0.97499999999999998</v>
      </c>
      <c r="K13" s="160">
        <f>+SUM('2016 - 2019'!U21:U23)</f>
        <v>108334</v>
      </c>
      <c r="L13" s="29">
        <f>+SUM('2016 - 2019'!V21:V23)</f>
        <v>102060.6</v>
      </c>
      <c r="M13" s="29">
        <f>+SUM('2016 - 2019'!W21:W23)</f>
        <v>11400</v>
      </c>
      <c r="N13" s="141">
        <f t="shared" si="2"/>
        <v>0.94209204866431595</v>
      </c>
      <c r="O13" s="142">
        <f t="shared" si="4"/>
        <v>0.1116983439250798</v>
      </c>
    </row>
    <row r="14" spans="2:15" ht="24" customHeight="1" thickBot="1">
      <c r="C14" s="225" t="s">
        <v>64</v>
      </c>
      <c r="D14" s="226"/>
      <c r="E14" s="150">
        <f>+'2016 - 2019'!O24</f>
        <v>0.84499999999999997</v>
      </c>
      <c r="F14" s="150">
        <f>+'2016 - 2019'!P24</f>
        <v>1</v>
      </c>
      <c r="G14" s="150">
        <f>+'2016 - 2019'!Q24</f>
        <v>1</v>
      </c>
      <c r="H14" s="150">
        <f>+'2016 - 2019'!R24</f>
        <v>1</v>
      </c>
      <c r="I14" s="151">
        <f>+'2016 - 2019'!S24</f>
        <v>0.96477272727272734</v>
      </c>
      <c r="J14" s="152">
        <f t="shared" ref="J14" si="6">+I14</f>
        <v>0.96477272727272734</v>
      </c>
      <c r="K14" s="153">
        <f>+K8</f>
        <v>866445</v>
      </c>
      <c r="L14" s="154">
        <f>+L8</f>
        <v>613632.6</v>
      </c>
      <c r="M14" s="154">
        <f>+M8</f>
        <v>11400</v>
      </c>
      <c r="N14" s="155">
        <f t="shared" ref="N14" si="7">IF(K14=0,"-",+L14/K14)</f>
        <v>0.70821875595104133</v>
      </c>
      <c r="O14" s="156">
        <f t="shared" ref="O14" si="8">IF(M14=0," -",IF(L14=0,100%,M14/L14))</f>
        <v>1.8577891722180342E-2</v>
      </c>
    </row>
    <row r="16" spans="2:15" ht="17">
      <c r="C16" s="157" t="str">
        <f>+'2016 - 2019'!C7</f>
        <v>FECHA CORTE</v>
      </c>
      <c r="D16" s="158"/>
      <c r="E16" s="159"/>
      <c r="F16" s="159"/>
      <c r="I16" s="162" t="s">
        <v>67</v>
      </c>
    </row>
    <row r="17" spans="3:3" ht="17">
      <c r="C17" s="161">
        <f>+'2016 - 2019'!C8</f>
        <v>43830</v>
      </c>
    </row>
  </sheetData>
  <mergeCells count="14">
    <mergeCell ref="C7:D7"/>
    <mergeCell ref="I7:J7"/>
    <mergeCell ref="C8:D8"/>
    <mergeCell ref="C9:D9"/>
    <mergeCell ref="C3:O3"/>
    <mergeCell ref="E5:H6"/>
    <mergeCell ref="I5:J6"/>
    <mergeCell ref="K5:O5"/>
    <mergeCell ref="K6:O6"/>
    <mergeCell ref="C13:D13"/>
    <mergeCell ref="C11:D11"/>
    <mergeCell ref="C12:D12"/>
    <mergeCell ref="C14:D14"/>
    <mergeCell ref="C10:D10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4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{038AACB6-E472-9642-9891-E437A46D5843}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38AACB6-E472-9642-9891-E437A46D5843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E8:H14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2019-12-17T14:54:50Z</dcterms:modified>
</cp:coreProperties>
</file>