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C14" i="12"/>
  <c r="C13" i="12"/>
  <c r="I10" i="12"/>
  <c r="I9" i="12"/>
  <c r="I8" i="12"/>
  <c r="V12" i="11"/>
  <c r="V13" i="11"/>
  <c r="V14" i="11"/>
  <c r="V15" i="11"/>
  <c r="V16" i="11"/>
  <c r="L10" i="12"/>
  <c r="L9" i="12"/>
  <c r="L8" i="12"/>
  <c r="W12" i="11"/>
  <c r="W13" i="11"/>
  <c r="W14" i="11"/>
  <c r="W15" i="11"/>
  <c r="W16" i="11"/>
  <c r="M10" i="12"/>
  <c r="M9" i="12"/>
  <c r="M8" i="12"/>
  <c r="U14" i="11"/>
  <c r="U12" i="11"/>
  <c r="U13" i="11"/>
  <c r="U15" i="11"/>
  <c r="U16" i="11"/>
  <c r="K10" i="12"/>
  <c r="H12" i="11"/>
  <c r="H13" i="11"/>
  <c r="H14" i="11"/>
  <c r="H15" i="11"/>
  <c r="H16" i="11"/>
  <c r="L12" i="8"/>
  <c r="N12" i="8"/>
  <c r="P12" i="11"/>
  <c r="N13" i="8"/>
  <c r="P13" i="11"/>
  <c r="L14" i="8"/>
  <c r="N14" i="8"/>
  <c r="P14" i="11"/>
  <c r="L15" i="8"/>
  <c r="N15" i="8"/>
  <c r="P15" i="11"/>
  <c r="L16" i="8"/>
  <c r="N16" i="8"/>
  <c r="P16" i="11"/>
  <c r="F8" i="12"/>
  <c r="I12" i="11"/>
  <c r="I13" i="11"/>
  <c r="I14" i="11"/>
  <c r="I15" i="11"/>
  <c r="I16" i="11"/>
  <c r="L12" i="9"/>
  <c r="N12" i="9"/>
  <c r="Q12" i="11"/>
  <c r="N13" i="9"/>
  <c r="Q13" i="11"/>
  <c r="L14" i="9"/>
  <c r="N14" i="9"/>
  <c r="Q14" i="11"/>
  <c r="L15" i="9"/>
  <c r="N15" i="9"/>
  <c r="Q15" i="11"/>
  <c r="N16" i="9"/>
  <c r="Q16" i="11"/>
  <c r="G8" i="12"/>
  <c r="J12" i="11"/>
  <c r="J13" i="11"/>
  <c r="J14" i="11"/>
  <c r="J15" i="11"/>
  <c r="J16" i="11"/>
  <c r="L12" i="10"/>
  <c r="N12" i="10"/>
  <c r="R12" i="11"/>
  <c r="N13" i="10"/>
  <c r="R13" i="11"/>
  <c r="L14" i="10"/>
  <c r="N14" i="10"/>
  <c r="R14" i="11"/>
  <c r="L15" i="10"/>
  <c r="N15" i="10"/>
  <c r="R15" i="11"/>
  <c r="N16" i="10"/>
  <c r="R16" i="11"/>
  <c r="H8" i="12"/>
  <c r="F9" i="12"/>
  <c r="G9" i="12"/>
  <c r="H9" i="12"/>
  <c r="F10" i="12"/>
  <c r="G10" i="12"/>
  <c r="H10" i="12"/>
  <c r="G12" i="11"/>
  <c r="G13" i="11"/>
  <c r="G14" i="11"/>
  <c r="G15" i="11"/>
  <c r="G16" i="11"/>
  <c r="L12" i="7"/>
  <c r="N12" i="7"/>
  <c r="O12" i="11"/>
  <c r="L13" i="7"/>
  <c r="N13" i="7"/>
  <c r="O13" i="11"/>
  <c r="N14" i="7"/>
  <c r="O14" i="11"/>
  <c r="L15" i="7"/>
  <c r="N15" i="7"/>
  <c r="O15" i="11"/>
  <c r="N16" i="7"/>
  <c r="O16" i="11"/>
  <c r="E10" i="12"/>
  <c r="E9" i="12"/>
  <c r="K9" i="12"/>
  <c r="K8" i="12"/>
  <c r="M11" i="12"/>
  <c r="L11" i="12"/>
  <c r="K11" i="12"/>
  <c r="E8" i="12"/>
  <c r="S17" i="11"/>
  <c r="I11" i="12"/>
  <c r="P17" i="11"/>
  <c r="F11" i="12"/>
  <c r="Q17" i="11"/>
  <c r="G11" i="12"/>
  <c r="R17" i="11"/>
  <c r="H11" i="12"/>
  <c r="O17" i="11"/>
  <c r="E11" i="12"/>
  <c r="J8" i="12"/>
  <c r="N8" i="12"/>
  <c r="O8" i="12"/>
  <c r="O11" i="12"/>
  <c r="N11" i="12"/>
  <c r="J11" i="12"/>
  <c r="O10" i="12"/>
  <c r="N10" i="12"/>
  <c r="J10" i="12"/>
  <c r="O9" i="12"/>
  <c r="N9" i="12"/>
  <c r="J9" i="12"/>
  <c r="N17" i="10"/>
  <c r="N17" i="9"/>
  <c r="N17" i="8"/>
  <c r="N17" i="7"/>
  <c r="N12" i="11"/>
  <c r="N13" i="11"/>
  <c r="N14" i="11"/>
  <c r="N15" i="11"/>
  <c r="N16" i="11"/>
  <c r="M12" i="11"/>
  <c r="M13" i="11"/>
  <c r="M14" i="11"/>
  <c r="M15" i="11"/>
  <c r="M16" i="11"/>
  <c r="L12" i="11"/>
  <c r="L13" i="11"/>
  <c r="L14" i="11"/>
  <c r="L15" i="11"/>
  <c r="L16" i="11"/>
  <c r="K12" i="11"/>
  <c r="K13" i="11"/>
  <c r="K14" i="11"/>
  <c r="K15" i="11"/>
  <c r="K16" i="11"/>
  <c r="W17" i="11"/>
  <c r="V17" i="11"/>
  <c r="Y17" i="11"/>
  <c r="U17" i="11"/>
  <c r="X17" i="11"/>
  <c r="Y16" i="11"/>
  <c r="X16" i="11"/>
  <c r="Y15" i="11"/>
  <c r="X15" i="11"/>
  <c r="Y14" i="11"/>
  <c r="X14" i="11"/>
  <c r="Y13" i="11"/>
  <c r="X13" i="11"/>
  <c r="Y12" i="11"/>
  <c r="X12" i="11"/>
  <c r="Q12" i="7"/>
  <c r="P12" i="7"/>
  <c r="I15" i="8"/>
  <c r="I14" i="8"/>
  <c r="I15" i="9"/>
  <c r="I14" i="9"/>
  <c r="I13" i="8"/>
  <c r="I13" i="9"/>
  <c r="I16" i="8"/>
  <c r="I16" i="9"/>
  <c r="I15" i="10"/>
  <c r="I14" i="10"/>
  <c r="I13" i="10"/>
  <c r="I16" i="10"/>
  <c r="I12" i="8"/>
  <c r="I12" i="9"/>
  <c r="I12" i="10"/>
  <c r="R17" i="10"/>
  <c r="T17" i="10"/>
  <c r="P17" i="10"/>
  <c r="S17" i="10"/>
  <c r="Q17" i="10"/>
  <c r="L13" i="10"/>
  <c r="M12" i="10"/>
  <c r="M13" i="10"/>
  <c r="M14" i="10"/>
  <c r="M15" i="10"/>
  <c r="M16" i="10"/>
  <c r="M17" i="10"/>
  <c r="T16" i="10"/>
  <c r="S16" i="10"/>
  <c r="L16" i="10"/>
  <c r="T15" i="10"/>
  <c r="S15" i="10"/>
  <c r="T14" i="10"/>
  <c r="S14" i="10"/>
  <c r="T13" i="10"/>
  <c r="S13" i="10"/>
  <c r="T12" i="10"/>
  <c r="S12" i="10"/>
  <c r="R17" i="9"/>
  <c r="T17" i="9"/>
  <c r="P17" i="9"/>
  <c r="Q17" i="9"/>
  <c r="S17" i="9"/>
  <c r="L13" i="9"/>
  <c r="M12" i="9"/>
  <c r="M13" i="9"/>
  <c r="M14" i="9"/>
  <c r="M15" i="9"/>
  <c r="M16" i="9"/>
  <c r="M17" i="9"/>
  <c r="T16" i="9"/>
  <c r="S16" i="9"/>
  <c r="L16" i="9"/>
  <c r="T15" i="9"/>
  <c r="S15" i="9"/>
  <c r="T14" i="9"/>
  <c r="S14" i="9"/>
  <c r="T13" i="9"/>
  <c r="S13" i="9"/>
  <c r="T12" i="9"/>
  <c r="S12" i="9"/>
  <c r="R17" i="8"/>
  <c r="Q17" i="8"/>
  <c r="T17" i="8"/>
  <c r="P17" i="8"/>
  <c r="S17" i="8"/>
  <c r="L13" i="8"/>
  <c r="M12" i="8"/>
  <c r="M13" i="8"/>
  <c r="M14" i="8"/>
  <c r="M15" i="8"/>
  <c r="M16" i="8"/>
  <c r="M17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T12" i="7"/>
  <c r="S12" i="7"/>
  <c r="M13" i="7"/>
  <c r="L14" i="7"/>
  <c r="M14" i="7"/>
  <c r="M15" i="7"/>
  <c r="L16" i="7"/>
  <c r="M16" i="7"/>
  <c r="M12" i="7"/>
  <c r="R17" i="7"/>
  <c r="Q17" i="7"/>
  <c r="P17" i="7"/>
  <c r="M17" i="7"/>
  <c r="T17" i="7"/>
  <c r="S17" i="7"/>
</calcChain>
</file>

<file path=xl/sharedStrings.xml><?xml version="1.0" encoding="utf-8"?>
<sst xmlns="http://schemas.openxmlformats.org/spreadsheetml/2006/main" count="205" uniqueCount="54">
  <si>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</si>
  <si>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</si>
  <si>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</si>
  <si>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</si>
  <si>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</si>
  <si>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</si>
  <si>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</si>
  <si>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</si>
  <si>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</si>
  <si>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</si>
  <si>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</si>
  <si>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</si>
  <si>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</si>
  <si>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</si>
  <si>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</si>
  <si>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</si>
  <si>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</si>
  <si>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</si>
  <si>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</si>
  <si>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</si>
  <si>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</si>
  <si>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</si>
  <si>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</si>
  <si>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</si>
  <si>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</si>
  <si>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</si>
  <si>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</si>
  <si>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DE SALUD DE BUCARAMANGA (ISABU)</t>
  </si>
  <si>
    <t>Porcentaje del personal en salud que está capacitado e implementando la estrategia AIEPI e IAMI en las unidades operativas de la ESE ISABU.</t>
  </si>
  <si>
    <t>Porcentaje de avance en la implementación de la historia clínica digital en todas las unidades operativas de la ESE ISABU.</t>
  </si>
  <si>
    <t>Número de puntos de atención ampliados y mantenidos de servicios de imagenología.</t>
  </si>
  <si>
    <t>Número de ambulancias habilitadas y mantenidas con el fin de mejorar el sistema de referencia y contrareferencia interna de la ESE ISABU.</t>
  </si>
  <si>
    <t>Número de Hospitales Locales del Norte fortalecidos.</t>
  </si>
  <si>
    <t>FORTALECIMIENTO DE LA AUTORIDAD SANITARIA PARA LA GESTIÓN DE LA SALUD</t>
  </si>
  <si>
    <t>SALUD PÚBLICA: SALUD PARA TODOS Y CON TODOS</t>
  </si>
  <si>
    <t>4 - CALIDAD DE VIDA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</si>
  <si>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</si>
  <si>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</si>
  <si>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</si>
  <si>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</si>
  <si>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</si>
  <si>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</si>
  <si>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</si>
  <si>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</si>
  <si>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</si>
  <si>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</si>
  <si>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4: CALIDAD DE VIDA</t>
  </si>
  <si>
    <t>4.2</t>
  </si>
  <si>
    <t>4.2.9</t>
  </si>
  <si>
    <t>Fortalecimiento de la Autoridad Sanitaria para la Gestión de la Salud</t>
  </si>
  <si>
    <t>PLAN DE DESARROLLO 2016 - 2019</t>
  </si>
  <si>
    <t>RESUMEN CUMPLIMIENTO INSTITUTO DE SALUD DE BUCARAMANGA (ISABU)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</si>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</sst>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4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9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8" fillId="2" borderId="37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39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27" xfId="0" applyNumberFormat="1" applyFont="1" applyFill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9" fontId="6" fillId="0" borderId="48" xfId="0" applyNumberFormat="1" applyFont="1" applyBorder="1" applyAlignment="1">
      <alignment horizontal="center" vertical="center"/>
    </xf>
    <xf numFmtId="9" fontId="11" fillId="2" borderId="38" xfId="0" applyNumberFormat="1" applyFont="1" applyFill="1" applyBorder="1" applyAlignment="1">
      <alignment horizontal="center" vertical="center"/>
    </xf>
    <xf numFmtId="9" fontId="11" fillId="2" borderId="45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3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3" borderId="46" xfId="0" applyNumberFormat="1" applyFont="1" applyFill="1" applyBorder="1" applyAlignment="1">
      <alignment horizontal="center" vertical="center"/>
    </xf>
    <xf numFmtId="9" fontId="6" fillId="3" borderId="44" xfId="0" applyNumberFormat="1" applyFont="1" applyFill="1" applyBorder="1" applyAlignment="1">
      <alignment horizontal="center" vertical="center"/>
    </xf>
    <xf numFmtId="9" fontId="6" fillId="3" borderId="43" xfId="0" applyNumberFormat="1" applyFont="1" applyFill="1" applyBorder="1" applyAlignment="1">
      <alignment horizontal="center" vertical="center"/>
    </xf>
    <xf numFmtId="9" fontId="6" fillId="3" borderId="47" xfId="0" applyNumberFormat="1" applyFont="1" applyFill="1" applyBorder="1" applyAlignment="1">
      <alignment horizontal="center" vertical="center"/>
    </xf>
    <xf numFmtId="9" fontId="6" fillId="3" borderId="2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41" xfId="0" applyNumberFormat="1" applyFont="1" applyFill="1" applyBorder="1" applyAlignment="1">
      <alignment horizontal="center" vertical="center"/>
    </xf>
    <xf numFmtId="9" fontId="8" fillId="3" borderId="27" xfId="0" applyNumberFormat="1" applyFont="1" applyFill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3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9" fontId="5" fillId="0" borderId="52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7" fillId="5" borderId="5" xfId="0" applyNumberFormat="1" applyFont="1" applyFill="1" applyBorder="1" applyAlignment="1">
      <alignment horizontal="center" vertical="center" wrapText="1"/>
    </xf>
    <xf numFmtId="9" fontId="18" fillId="5" borderId="23" xfId="0" applyNumberFormat="1" applyFont="1" applyFill="1" applyBorder="1" applyAlignment="1">
      <alignment horizontal="center" vertical="center" wrapText="1"/>
    </xf>
    <xf numFmtId="9" fontId="19" fillId="5" borderId="65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52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14" fillId="6" borderId="38" xfId="0" applyNumberFormat="1" applyFont="1" applyFill="1" applyBorder="1" applyAlignment="1">
      <alignment horizontal="center" vertical="center" wrapText="1"/>
    </xf>
    <xf numFmtId="9" fontId="15" fillId="6" borderId="56" xfId="0" applyNumberFormat="1" applyFont="1" applyFill="1" applyBorder="1" applyAlignment="1">
      <alignment horizontal="center" vertical="center" wrapText="1"/>
    </xf>
    <xf numFmtId="9" fontId="16" fillId="6" borderId="57" xfId="0" applyNumberFormat="1" applyFont="1" applyFill="1" applyBorder="1" applyAlignment="1">
      <alignment horizontal="center" vertical="center" wrapText="1"/>
    </xf>
    <xf numFmtId="3" fontId="14" fillId="6" borderId="45" xfId="0" applyNumberFormat="1" applyFont="1" applyFill="1" applyBorder="1" applyAlignment="1">
      <alignment horizontal="center" vertical="center"/>
    </xf>
    <xf numFmtId="3" fontId="14" fillId="6" borderId="38" xfId="0" applyNumberFormat="1" applyFont="1" applyFill="1" applyBorder="1" applyAlignment="1">
      <alignment horizontal="center" vertical="center"/>
    </xf>
    <xf numFmtId="9" fontId="14" fillId="7" borderId="63" xfId="0" applyNumberFormat="1" applyFont="1" applyFill="1" applyBorder="1" applyAlignment="1" applyProtection="1">
      <alignment horizontal="center" vertical="center"/>
    </xf>
    <xf numFmtId="9" fontId="14" fillId="7" borderId="37" xfId="0" applyNumberFormat="1" applyFont="1" applyFill="1" applyBorder="1" applyAlignment="1" applyProtection="1">
      <alignment horizontal="center" vertical="center"/>
    </xf>
    <xf numFmtId="9" fontId="8" fillId="2" borderId="38" xfId="0" applyNumberFormat="1" applyFont="1" applyFill="1" applyBorder="1" applyAlignment="1">
      <alignment horizontal="center" vertical="center" wrapText="1"/>
    </xf>
    <xf numFmtId="9" fontId="8" fillId="2" borderId="56" xfId="0" applyNumberFormat="1" applyFont="1" applyFill="1" applyBorder="1" applyAlignment="1">
      <alignment horizontal="center" vertical="center" wrapText="1"/>
    </xf>
    <xf numFmtId="9" fontId="21" fillId="2" borderId="57" xfId="0" applyNumberFormat="1" applyFont="1" applyFill="1" applyBorder="1" applyAlignment="1">
      <alignment horizontal="center" vertical="center" wrapText="1"/>
    </xf>
    <xf numFmtId="9" fontId="4" fillId="2" borderId="38" xfId="0" applyNumberFormat="1" applyFont="1" applyFill="1" applyBorder="1" applyAlignment="1" applyProtection="1">
      <alignment horizontal="center" vertical="center"/>
    </xf>
    <xf numFmtId="9" fontId="4" fillId="2" borderId="37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0" fillId="0" borderId="0" xfId="0" applyFont="1"/>
    <xf numFmtId="0" fontId="8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>
      <alignment horizontal="justify" vertical="center"/>
    </xf>
    <xf numFmtId="0" fontId="8" fillId="2" borderId="62" xfId="0" applyFont="1" applyFill="1" applyBorder="1" applyAlignment="1">
      <alignment horizontal="justify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7" fillId="5" borderId="23" xfId="0" applyFont="1" applyFill="1" applyBorder="1" applyAlignment="1">
      <alignment horizontal="justify" vertical="center"/>
    </xf>
    <xf numFmtId="0" fontId="17" fillId="5" borderId="64" xfId="0" applyFont="1" applyFill="1" applyBorder="1" applyAlignment="1">
      <alignment horizontal="justify" vertical="center"/>
    </xf>
    <xf numFmtId="0" fontId="14" fillId="6" borderId="56" xfId="0" applyFont="1" applyFill="1" applyBorder="1" applyAlignment="1">
      <alignment horizontal="justify" vertical="center"/>
    </xf>
    <xf numFmtId="0" fontId="14" fillId="6" borderId="62" xfId="0" applyFont="1" applyFill="1" applyBorder="1" applyAlignment="1">
      <alignment horizontal="justify" vertical="center"/>
    </xf>
    <xf numFmtId="0" fontId="6" fillId="0" borderId="23" xfId="0" applyFont="1" applyBorder="1" applyAlignment="1">
      <alignment horizontal="justify" vertical="center"/>
    </xf>
    <xf numFmtId="0" fontId="6" fillId="0" borderId="64" xfId="0" applyFont="1" applyBorder="1" applyAlignment="1">
      <alignment horizontal="justify" vertical="center"/>
    </xf>
  </cellXfs>
  <cellStyles count="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1</xdr:row>
      <xdr:rowOff>76200</xdr:rowOff>
    </xdr:from>
    <xdr:to>
      <xdr:col>4</xdr:col>
      <xdr:colOff>1397000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53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9" t="s">
        <v>16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0" ht="20" customHeight="1">
      <c r="B3" s="139" t="s">
        <v>19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0" ht="20" customHeight="1">
      <c r="B4" s="139" t="s">
        <v>27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2016</v>
      </c>
      <c r="C8" s="7">
        <v>42735</v>
      </c>
      <c r="D8" s="140" t="s">
        <v>3</v>
      </c>
      <c r="E8" s="141"/>
      <c r="F8" s="141"/>
      <c r="G8" s="141"/>
      <c r="H8" s="141"/>
      <c r="I8" s="141"/>
      <c r="J8" s="141"/>
      <c r="K8" s="1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3" t="s">
        <v>17</v>
      </c>
      <c r="C9" s="146" t="s">
        <v>18</v>
      </c>
      <c r="D9" s="148" t="s">
        <v>0</v>
      </c>
      <c r="E9" s="151" t="s">
        <v>4</v>
      </c>
      <c r="F9" s="151"/>
      <c r="G9" s="151" t="s">
        <v>5</v>
      </c>
      <c r="H9" s="151"/>
      <c r="I9" s="151"/>
      <c r="J9" s="151"/>
      <c r="K9" s="153"/>
      <c r="L9" s="5"/>
      <c r="M9" s="148" t="s">
        <v>6</v>
      </c>
      <c r="N9" s="153"/>
      <c r="O9" s="125" t="s">
        <v>24</v>
      </c>
      <c r="P9" s="126"/>
      <c r="Q9" s="126"/>
      <c r="R9" s="126"/>
      <c r="S9" s="126"/>
      <c r="T9" s="127"/>
    </row>
    <row r="10" spans="2:20" ht="17" customHeight="1">
      <c r="B10" s="144"/>
      <c r="C10" s="147"/>
      <c r="D10" s="149"/>
      <c r="E10" s="152"/>
      <c r="F10" s="152"/>
      <c r="G10" s="152" t="s">
        <v>7</v>
      </c>
      <c r="H10" s="131" t="s">
        <v>25</v>
      </c>
      <c r="I10" s="131" t="s">
        <v>26</v>
      </c>
      <c r="J10" s="156" t="s">
        <v>1</v>
      </c>
      <c r="K10" s="154" t="s">
        <v>8</v>
      </c>
      <c r="L10" s="37"/>
      <c r="M10" s="121" t="s">
        <v>9</v>
      </c>
      <c r="N10" s="123" t="s">
        <v>10</v>
      </c>
      <c r="O10" s="128"/>
      <c r="P10" s="129"/>
      <c r="Q10" s="129"/>
      <c r="R10" s="129"/>
      <c r="S10" s="129"/>
      <c r="T10" s="130"/>
    </row>
    <row r="11" spans="2:20" ht="37.5" customHeight="1" thickBot="1">
      <c r="B11" s="145"/>
      <c r="C11" s="147"/>
      <c r="D11" s="150"/>
      <c r="E11" s="10" t="s">
        <v>11</v>
      </c>
      <c r="F11" s="10" t="s">
        <v>12</v>
      </c>
      <c r="G11" s="131"/>
      <c r="H11" s="132"/>
      <c r="I11" s="132"/>
      <c r="J11" s="157"/>
      <c r="K11" s="155"/>
      <c r="L11" s="38"/>
      <c r="M11" s="122"/>
      <c r="N11" s="124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6" t="s">
        <v>35</v>
      </c>
      <c r="C12" s="136" t="s">
        <v>34</v>
      </c>
      <c r="D12" s="133" t="s">
        <v>33</v>
      </c>
      <c r="E12" s="19">
        <v>42370</v>
      </c>
      <c r="F12" s="19">
        <v>42735</v>
      </c>
      <c r="G12" s="20" t="s">
        <v>28</v>
      </c>
      <c r="H12" s="21">
        <v>1</v>
      </c>
      <c r="I12" s="21"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f>1832+42022</f>
        <v>43854</v>
      </c>
      <c r="Q12" s="22">
        <f>1832+42022</f>
        <v>43854</v>
      </c>
      <c r="R12" s="22">
        <v>0</v>
      </c>
      <c r="S12" s="21">
        <f>IF(P12=0," -",Q12/P12)</f>
        <v>1</v>
      </c>
      <c r="T12" s="23" t="str">
        <f>IF(R12=0," -",IF(Q12=0,100%,R12/Q12))</f>
        <v xml:space="preserve"> -</v>
      </c>
    </row>
    <row r="13" spans="2:20" ht="45">
      <c r="B13" s="137"/>
      <c r="C13" s="137"/>
      <c r="D13" s="134"/>
      <c r="E13" s="16">
        <v>42370</v>
      </c>
      <c r="F13" s="16">
        <v>42735</v>
      </c>
      <c r="G13" s="8" t="s">
        <v>29</v>
      </c>
      <c r="H13" s="17">
        <v>1</v>
      </c>
      <c r="I13" s="17">
        <v>1</v>
      </c>
      <c r="J13" s="17">
        <v>1</v>
      </c>
      <c r="K13" s="24">
        <v>1</v>
      </c>
      <c r="L13" s="34">
        <f t="shared" ref="L13:L16" si="0">+K13/J13</f>
        <v>1</v>
      </c>
      <c r="M13" s="35">
        <f t="shared" ref="M13:M16" si="1">DAYS360(E13,$C$8)/DAYS360(E13,F13)</f>
        <v>1</v>
      </c>
      <c r="N13" s="36">
        <f t="shared" ref="N13:N16" si="2">IF(J13=0," -",IF(L13&gt;100%,100%,L13))</f>
        <v>1</v>
      </c>
      <c r="O13" s="46">
        <v>0</v>
      </c>
      <c r="P13" s="18">
        <v>200000</v>
      </c>
      <c r="Q13" s="18">
        <v>200000</v>
      </c>
      <c r="R13" s="18">
        <v>0</v>
      </c>
      <c r="S13" s="44">
        <f t="shared" ref="S13:S16" si="3">IF(P13=0," -",Q13/P13)</f>
        <v>1</v>
      </c>
      <c r="T13" s="36" t="str">
        <f t="shared" ref="T13:T16" si="4">IF(R13=0," -",IF(Q13=0,100%,R13/Q13))</f>
        <v xml:space="preserve"> -</v>
      </c>
    </row>
    <row r="14" spans="2:20" ht="30">
      <c r="B14" s="137"/>
      <c r="C14" s="137"/>
      <c r="D14" s="134"/>
      <c r="E14" s="16">
        <v>42370</v>
      </c>
      <c r="F14" s="16">
        <v>42735</v>
      </c>
      <c r="G14" s="8" t="s">
        <v>30</v>
      </c>
      <c r="H14" s="18">
        <v>1</v>
      </c>
      <c r="I14" s="18">
        <v>0</v>
      </c>
      <c r="J14" s="18">
        <v>0</v>
      </c>
      <c r="K14" s="27">
        <v>0</v>
      </c>
      <c r="L14" s="34" t="e">
        <f t="shared" si="0"/>
        <v>#DIV/0!</v>
      </c>
      <c r="M14" s="35">
        <f t="shared" si="1"/>
        <v>1</v>
      </c>
      <c r="N14" s="36" t="str">
        <f t="shared" si="2"/>
        <v xml:space="preserve"> -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37"/>
      <c r="C15" s="137"/>
      <c r="D15" s="134"/>
      <c r="E15" s="16">
        <v>42370</v>
      </c>
      <c r="F15" s="16">
        <v>42735</v>
      </c>
      <c r="G15" s="8" t="s">
        <v>31</v>
      </c>
      <c r="H15" s="18">
        <v>2</v>
      </c>
      <c r="I15" s="18">
        <v>2</v>
      </c>
      <c r="J15" s="18">
        <v>2</v>
      </c>
      <c r="K15" s="27">
        <v>2</v>
      </c>
      <c r="L15" s="34">
        <f t="shared" si="0"/>
        <v>1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7</v>
      </c>
      <c r="Q15" s="18">
        <v>7</v>
      </c>
      <c r="R15" s="18">
        <v>0</v>
      </c>
      <c r="S15" s="44">
        <f t="shared" si="3"/>
        <v>1</v>
      </c>
      <c r="T15" s="36" t="str">
        <f t="shared" si="4"/>
        <v xml:space="preserve"> -</v>
      </c>
    </row>
    <row r="16" spans="2:20" ht="31" thickBot="1">
      <c r="B16" s="138"/>
      <c r="C16" s="138"/>
      <c r="D16" s="135"/>
      <c r="E16" s="25">
        <v>42370</v>
      </c>
      <c r="F16" s="25">
        <v>42735</v>
      </c>
      <c r="G16" s="9" t="s">
        <v>32</v>
      </c>
      <c r="H16" s="26">
        <v>1</v>
      </c>
      <c r="I16" s="26"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1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243861</v>
      </c>
      <c r="Q17" s="31">
        <f>+SUM(Q12:Q16)</f>
        <v>243861</v>
      </c>
      <c r="R17" s="31">
        <f>+SUM(R12:R16)</f>
        <v>0</v>
      </c>
      <c r="S17" s="32">
        <f t="shared" ref="S17" si="5">IF(P17=0," -",Q17/P17)</f>
        <v>1</v>
      </c>
      <c r="T17" s="30" t="str">
        <f t="shared" ref="T17" si="6">IF(R17=0," -",IF(Q17=0,100%,R17/Q17))</f>
        <v xml:space="preserve"> -</v>
      </c>
    </row>
  </sheetData>
  <mergeCells count="21">
    <mergeCell ref="D12:D16"/>
    <mergeCell ref="C12:C16"/>
    <mergeCell ref="B12:B16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9" t="s">
        <v>16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0" ht="20" customHeight="1">
      <c r="B3" s="139" t="s">
        <v>19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0" ht="20" customHeight="1">
      <c r="B4" s="139" t="s">
        <v>27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2017</v>
      </c>
      <c r="C8" s="7">
        <v>43100</v>
      </c>
      <c r="D8" s="140" t="s">
        <v>3</v>
      </c>
      <c r="E8" s="141"/>
      <c r="F8" s="141"/>
      <c r="G8" s="141"/>
      <c r="H8" s="141"/>
      <c r="I8" s="141"/>
      <c r="J8" s="141"/>
      <c r="K8" s="1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3" t="s">
        <v>17</v>
      </c>
      <c r="C9" s="146" t="s">
        <v>18</v>
      </c>
      <c r="D9" s="148" t="s">
        <v>0</v>
      </c>
      <c r="E9" s="151" t="s">
        <v>4</v>
      </c>
      <c r="F9" s="151"/>
      <c r="G9" s="151" t="s">
        <v>5</v>
      </c>
      <c r="H9" s="151"/>
      <c r="I9" s="151"/>
      <c r="J9" s="151"/>
      <c r="K9" s="153"/>
      <c r="L9" s="5"/>
      <c r="M9" s="148" t="s">
        <v>6</v>
      </c>
      <c r="N9" s="153"/>
      <c r="O9" s="125" t="s">
        <v>24</v>
      </c>
      <c r="P9" s="126"/>
      <c r="Q9" s="126"/>
      <c r="R9" s="126"/>
      <c r="S9" s="126"/>
      <c r="T9" s="127"/>
    </row>
    <row r="10" spans="2:20" ht="17" customHeight="1">
      <c r="B10" s="144"/>
      <c r="C10" s="147"/>
      <c r="D10" s="149"/>
      <c r="E10" s="152"/>
      <c r="F10" s="152"/>
      <c r="G10" s="152" t="s">
        <v>7</v>
      </c>
      <c r="H10" s="131" t="s">
        <v>25</v>
      </c>
      <c r="I10" s="131" t="s">
        <v>26</v>
      </c>
      <c r="J10" s="156" t="s">
        <v>1</v>
      </c>
      <c r="K10" s="154" t="s">
        <v>8</v>
      </c>
      <c r="L10" s="37"/>
      <c r="M10" s="121" t="s">
        <v>9</v>
      </c>
      <c r="N10" s="123" t="s">
        <v>10</v>
      </c>
      <c r="O10" s="128"/>
      <c r="P10" s="129"/>
      <c r="Q10" s="129"/>
      <c r="R10" s="129"/>
      <c r="S10" s="129"/>
      <c r="T10" s="130"/>
    </row>
    <row r="11" spans="2:20" ht="37.5" customHeight="1" thickBot="1">
      <c r="B11" s="145"/>
      <c r="C11" s="147"/>
      <c r="D11" s="150"/>
      <c r="E11" s="10" t="s">
        <v>11</v>
      </c>
      <c r="F11" s="10" t="s">
        <v>12</v>
      </c>
      <c r="G11" s="131"/>
      <c r="H11" s="132"/>
      <c r="I11" s="132"/>
      <c r="J11" s="157"/>
      <c r="K11" s="155"/>
      <c r="L11" s="38"/>
      <c r="M11" s="122"/>
      <c r="N11" s="124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6" t="s">
        <v>35</v>
      </c>
      <c r="C12" s="136" t="s">
        <v>34</v>
      </c>
      <c r="D12" s="133" t="s">
        <v>33</v>
      </c>
      <c r="E12" s="19">
        <v>42736</v>
      </c>
      <c r="F12" s="19">
        <v>43100</v>
      </c>
      <c r="G12" s="20" t="s">
        <v>28</v>
      </c>
      <c r="H12" s="21">
        <v>1</v>
      </c>
      <c r="I12" s="21">
        <f>+J12+('2016'!I12-'2016'!K12)</f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37"/>
      <c r="C13" s="137"/>
      <c r="D13" s="134"/>
      <c r="E13" s="16">
        <v>42736</v>
      </c>
      <c r="F13" s="16">
        <v>43100</v>
      </c>
      <c r="G13" s="8" t="s">
        <v>29</v>
      </c>
      <c r="H13" s="17">
        <v>1</v>
      </c>
      <c r="I13" s="17">
        <f>+J13+('2016'!I13-'2016'!K13)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1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37"/>
      <c r="C14" s="137"/>
      <c r="D14" s="134"/>
      <c r="E14" s="16">
        <v>42736</v>
      </c>
      <c r="F14" s="16">
        <v>43100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1</v>
      </c>
      <c r="N14" s="36">
        <f t="shared" si="2"/>
        <v>1</v>
      </c>
      <c r="O14" s="46">
        <v>0</v>
      </c>
      <c r="P14" s="18">
        <v>2000</v>
      </c>
      <c r="Q14" s="18">
        <v>2000</v>
      </c>
      <c r="R14" s="18">
        <v>0</v>
      </c>
      <c r="S14" s="44">
        <f t="shared" si="3"/>
        <v>1</v>
      </c>
      <c r="T14" s="36" t="str">
        <f t="shared" si="4"/>
        <v xml:space="preserve"> -</v>
      </c>
    </row>
    <row r="15" spans="2:20" ht="60">
      <c r="B15" s="137"/>
      <c r="C15" s="137"/>
      <c r="D15" s="134"/>
      <c r="E15" s="16">
        <v>42736</v>
      </c>
      <c r="F15" s="16">
        <v>43100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40000</v>
      </c>
      <c r="Q15" s="18">
        <v>24701</v>
      </c>
      <c r="R15" s="18">
        <v>0</v>
      </c>
      <c r="S15" s="44">
        <f t="shared" si="3"/>
        <v>0.61752499999999999</v>
      </c>
      <c r="T15" s="36" t="str">
        <f t="shared" si="4"/>
        <v xml:space="preserve"> -</v>
      </c>
    </row>
    <row r="16" spans="2:20" ht="31" thickBot="1">
      <c r="B16" s="138"/>
      <c r="C16" s="138"/>
      <c r="D16" s="135"/>
      <c r="E16" s="25">
        <v>42736</v>
      </c>
      <c r="F16" s="25">
        <v>43100</v>
      </c>
      <c r="G16" s="9" t="s">
        <v>32</v>
      </c>
      <c r="H16" s="26">
        <v>1</v>
      </c>
      <c r="I16" s="26">
        <f>+J16+('2016'!I16-'2016'!K16)</f>
        <v>1</v>
      </c>
      <c r="J16" s="26">
        <v>1</v>
      </c>
      <c r="K16" s="28">
        <v>1</v>
      </c>
      <c r="L16" s="41">
        <f t="shared" si="0"/>
        <v>1</v>
      </c>
      <c r="M16" s="42">
        <f t="shared" si="1"/>
        <v>1</v>
      </c>
      <c r="N16" s="43">
        <f t="shared" si="2"/>
        <v>1</v>
      </c>
      <c r="O16" s="47">
        <v>2010547</v>
      </c>
      <c r="P16" s="26">
        <v>1334985</v>
      </c>
      <c r="Q16" s="26">
        <v>1031571</v>
      </c>
      <c r="R16" s="26">
        <v>0</v>
      </c>
      <c r="S16" s="48">
        <f t="shared" si="3"/>
        <v>0.77272104180945855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1376985</v>
      </c>
      <c r="Q17" s="31">
        <f>+SUM(Q12:Q16)</f>
        <v>1058272</v>
      </c>
      <c r="R17" s="31">
        <f>+SUM(R12:R16)</f>
        <v>0</v>
      </c>
      <c r="S17" s="32">
        <f t="shared" si="3"/>
        <v>0.76854286720625131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9" t="s">
        <v>16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0" ht="20" customHeight="1">
      <c r="B3" s="139" t="s">
        <v>19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0" ht="20" customHeight="1">
      <c r="B4" s="139" t="s">
        <v>27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2018</v>
      </c>
      <c r="C8" s="7">
        <v>43373</v>
      </c>
      <c r="D8" s="140" t="s">
        <v>3</v>
      </c>
      <c r="E8" s="141"/>
      <c r="F8" s="141"/>
      <c r="G8" s="141"/>
      <c r="H8" s="141"/>
      <c r="I8" s="141"/>
      <c r="J8" s="141"/>
      <c r="K8" s="1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3" t="s">
        <v>17</v>
      </c>
      <c r="C9" s="146" t="s">
        <v>18</v>
      </c>
      <c r="D9" s="148" t="s">
        <v>0</v>
      </c>
      <c r="E9" s="151" t="s">
        <v>4</v>
      </c>
      <c r="F9" s="151"/>
      <c r="G9" s="151" t="s">
        <v>5</v>
      </c>
      <c r="H9" s="151"/>
      <c r="I9" s="151"/>
      <c r="J9" s="151"/>
      <c r="K9" s="153"/>
      <c r="L9" s="5"/>
      <c r="M9" s="148" t="s">
        <v>6</v>
      </c>
      <c r="N9" s="153"/>
      <c r="O9" s="125" t="s">
        <v>24</v>
      </c>
      <c r="P9" s="126"/>
      <c r="Q9" s="126"/>
      <c r="R9" s="126"/>
      <c r="S9" s="126"/>
      <c r="T9" s="127"/>
    </row>
    <row r="10" spans="2:20" ht="17" customHeight="1">
      <c r="B10" s="144"/>
      <c r="C10" s="147"/>
      <c r="D10" s="149"/>
      <c r="E10" s="152"/>
      <c r="F10" s="152"/>
      <c r="G10" s="152" t="s">
        <v>7</v>
      </c>
      <c r="H10" s="131" t="s">
        <v>25</v>
      </c>
      <c r="I10" s="131" t="s">
        <v>26</v>
      </c>
      <c r="J10" s="156" t="s">
        <v>1</v>
      </c>
      <c r="K10" s="154" t="s">
        <v>8</v>
      </c>
      <c r="L10" s="37"/>
      <c r="M10" s="121" t="s">
        <v>9</v>
      </c>
      <c r="N10" s="123" t="s">
        <v>10</v>
      </c>
      <c r="O10" s="128"/>
      <c r="P10" s="129"/>
      <c r="Q10" s="129"/>
      <c r="R10" s="129"/>
      <c r="S10" s="129"/>
      <c r="T10" s="130"/>
    </row>
    <row r="11" spans="2:20" ht="37.5" customHeight="1" thickBot="1">
      <c r="B11" s="145"/>
      <c r="C11" s="147"/>
      <c r="D11" s="150"/>
      <c r="E11" s="10" t="s">
        <v>11</v>
      </c>
      <c r="F11" s="10" t="s">
        <v>12</v>
      </c>
      <c r="G11" s="131"/>
      <c r="H11" s="132"/>
      <c r="I11" s="132"/>
      <c r="J11" s="157"/>
      <c r="K11" s="155"/>
      <c r="L11" s="38"/>
      <c r="M11" s="122"/>
      <c r="N11" s="124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6" t="s">
        <v>35</v>
      </c>
      <c r="C12" s="136" t="s">
        <v>34</v>
      </c>
      <c r="D12" s="133" t="s">
        <v>33</v>
      </c>
      <c r="E12" s="19">
        <v>43101</v>
      </c>
      <c r="F12" s="19">
        <v>43465</v>
      </c>
      <c r="G12" s="20" t="s">
        <v>28</v>
      </c>
      <c r="H12" s="21">
        <v>1</v>
      </c>
      <c r="I12" s="21">
        <f>+J12+('2017'!I12-'2017'!K12)</f>
        <v>0.25</v>
      </c>
      <c r="J12" s="21">
        <v>0.25</v>
      </c>
      <c r="K12" s="23">
        <v>0.13</v>
      </c>
      <c r="L12" s="33">
        <f>+K12/J12</f>
        <v>0.52</v>
      </c>
      <c r="M12" s="29">
        <f>DAYS360(E12,$C$8)/DAYS360(E12,F12)</f>
        <v>0.74722222222222223</v>
      </c>
      <c r="N12" s="23">
        <f>IF(J12=0," -",IF(L12&gt;100%,100%,L12))</f>
        <v>0.52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37"/>
      <c r="C13" s="137"/>
      <c r="D13" s="134"/>
      <c r="E13" s="16">
        <v>43101</v>
      </c>
      <c r="F13" s="16">
        <v>43465</v>
      </c>
      <c r="G13" s="8" t="s">
        <v>29</v>
      </c>
      <c r="H13" s="17">
        <v>1</v>
      </c>
      <c r="I13" s="17">
        <f>+J13+('2017'!I13-'2017'!K13)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0.74722222222222223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37"/>
      <c r="C14" s="137"/>
      <c r="D14" s="134"/>
      <c r="E14" s="16">
        <v>43101</v>
      </c>
      <c r="F14" s="16">
        <v>43465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0.74722222222222223</v>
      </c>
      <c r="N14" s="36">
        <f t="shared" si="2"/>
        <v>1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37"/>
      <c r="C15" s="137"/>
      <c r="D15" s="134"/>
      <c r="E15" s="16">
        <v>43101</v>
      </c>
      <c r="F15" s="16">
        <v>43465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2</v>
      </c>
      <c r="L15" s="34">
        <f t="shared" si="0"/>
        <v>1</v>
      </c>
      <c r="M15" s="35">
        <f t="shared" si="1"/>
        <v>0.74722222222222223</v>
      </c>
      <c r="N15" s="36">
        <f t="shared" si="2"/>
        <v>1</v>
      </c>
      <c r="O15" s="46">
        <v>201020201</v>
      </c>
      <c r="P15" s="18">
        <v>0</v>
      </c>
      <c r="Q15" s="18">
        <v>0</v>
      </c>
      <c r="R15" s="18">
        <v>0</v>
      </c>
      <c r="S15" s="44" t="str">
        <f t="shared" si="3"/>
        <v xml:space="preserve"> -</v>
      </c>
      <c r="T15" s="36" t="str">
        <f t="shared" si="4"/>
        <v xml:space="preserve"> -</v>
      </c>
    </row>
    <row r="16" spans="2:20" ht="31" thickBot="1">
      <c r="B16" s="138"/>
      <c r="C16" s="138"/>
      <c r="D16" s="135"/>
      <c r="E16" s="25">
        <v>43101</v>
      </c>
      <c r="F16" s="25">
        <v>43465</v>
      </c>
      <c r="G16" s="9" t="s">
        <v>32</v>
      </c>
      <c r="H16" s="26">
        <v>1</v>
      </c>
      <c r="I16" s="26">
        <f>+J16+('2017'!I16-'2017'!K16)</f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0.74722222222222223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0.74722222222222223</v>
      </c>
      <c r="N17" s="40">
        <f>+AVERAGE(N12:N16)</f>
        <v>0.84</v>
      </c>
      <c r="P17" s="49">
        <f>+SUM(P12:P16)</f>
        <v>0</v>
      </c>
      <c r="Q17" s="31">
        <f>+SUM(Q12:Q16)</f>
        <v>0</v>
      </c>
      <c r="R17" s="31">
        <f>+SUM(R12:R16)</f>
        <v>0</v>
      </c>
      <c r="S17" s="32" t="str">
        <f t="shared" si="3"/>
        <v xml:space="preserve"> -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9" t="s">
        <v>16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0" ht="20" customHeight="1">
      <c r="B3" s="139" t="s">
        <v>19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0" ht="20" customHeight="1">
      <c r="B4" s="139" t="s">
        <v>27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2019</v>
      </c>
      <c r="C8" s="7"/>
      <c r="D8" s="140" t="s">
        <v>3</v>
      </c>
      <c r="E8" s="141"/>
      <c r="F8" s="141"/>
      <c r="G8" s="141"/>
      <c r="H8" s="141"/>
      <c r="I8" s="141"/>
      <c r="J8" s="141"/>
      <c r="K8" s="1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3" t="s">
        <v>17</v>
      </c>
      <c r="C9" s="146" t="s">
        <v>18</v>
      </c>
      <c r="D9" s="148" t="s">
        <v>0</v>
      </c>
      <c r="E9" s="151" t="s">
        <v>4</v>
      </c>
      <c r="F9" s="151"/>
      <c r="G9" s="151" t="s">
        <v>5</v>
      </c>
      <c r="H9" s="151"/>
      <c r="I9" s="151"/>
      <c r="J9" s="151"/>
      <c r="K9" s="153"/>
      <c r="L9" s="5"/>
      <c r="M9" s="148" t="s">
        <v>6</v>
      </c>
      <c r="N9" s="153"/>
      <c r="O9" s="125" t="s">
        <v>24</v>
      </c>
      <c r="P9" s="126"/>
      <c r="Q9" s="126"/>
      <c r="R9" s="126"/>
      <c r="S9" s="126"/>
      <c r="T9" s="127"/>
    </row>
    <row r="10" spans="2:20" ht="17" customHeight="1">
      <c r="B10" s="144"/>
      <c r="C10" s="147"/>
      <c r="D10" s="149"/>
      <c r="E10" s="152"/>
      <c r="F10" s="152"/>
      <c r="G10" s="152" t="s">
        <v>7</v>
      </c>
      <c r="H10" s="131" t="s">
        <v>25</v>
      </c>
      <c r="I10" s="131" t="s">
        <v>26</v>
      </c>
      <c r="J10" s="156" t="s">
        <v>1</v>
      </c>
      <c r="K10" s="154" t="s">
        <v>8</v>
      </c>
      <c r="L10" s="37"/>
      <c r="M10" s="121" t="s">
        <v>9</v>
      </c>
      <c r="N10" s="123" t="s">
        <v>10</v>
      </c>
      <c r="O10" s="128"/>
      <c r="P10" s="129"/>
      <c r="Q10" s="129"/>
      <c r="R10" s="129"/>
      <c r="S10" s="129"/>
      <c r="T10" s="130"/>
    </row>
    <row r="11" spans="2:20" ht="37.5" customHeight="1" thickBot="1">
      <c r="B11" s="145"/>
      <c r="C11" s="147"/>
      <c r="D11" s="150"/>
      <c r="E11" s="10" t="s">
        <v>11</v>
      </c>
      <c r="F11" s="10" t="s">
        <v>12</v>
      </c>
      <c r="G11" s="131"/>
      <c r="H11" s="132"/>
      <c r="I11" s="132"/>
      <c r="J11" s="157"/>
      <c r="K11" s="155"/>
      <c r="L11" s="38"/>
      <c r="M11" s="122"/>
      <c r="N11" s="124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6" t="s">
        <v>35</v>
      </c>
      <c r="C12" s="136" t="s">
        <v>34</v>
      </c>
      <c r="D12" s="133" t="s">
        <v>33</v>
      </c>
      <c r="E12" s="19">
        <v>43466</v>
      </c>
      <c r="F12" s="19">
        <v>43830</v>
      </c>
      <c r="G12" s="20" t="s">
        <v>28</v>
      </c>
      <c r="H12" s="21">
        <v>1</v>
      </c>
      <c r="I12" s="21">
        <f>+J12+('2018'!I12-'2018'!K12)</f>
        <v>0.37</v>
      </c>
      <c r="J12" s="21">
        <v>0.25</v>
      </c>
      <c r="K12" s="23"/>
      <c r="L12" s="33">
        <f>+K12/J12</f>
        <v>0</v>
      </c>
      <c r="M12" s="29">
        <f>DAYS360(E12,$C$8)/DAYS360(E12,F12)</f>
        <v>-119.00277777777778</v>
      </c>
      <c r="N12" s="23">
        <f>IF(J12=0," -",IF(L12&gt;100%,100%,L12))</f>
        <v>0</v>
      </c>
      <c r="O12" s="45" t="s">
        <v>52</v>
      </c>
      <c r="P12" s="22">
        <v>0</v>
      </c>
      <c r="Q12" s="22"/>
      <c r="R12" s="22"/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37"/>
      <c r="C13" s="137"/>
      <c r="D13" s="134"/>
      <c r="E13" s="16">
        <v>43466</v>
      </c>
      <c r="F13" s="16">
        <v>43830</v>
      </c>
      <c r="G13" s="8" t="s">
        <v>29</v>
      </c>
      <c r="H13" s="17">
        <v>1</v>
      </c>
      <c r="I13" s="17">
        <f>+J13+('2018'!I13-'2018'!K13)</f>
        <v>0</v>
      </c>
      <c r="J13" s="17">
        <v>0</v>
      </c>
      <c r="K13" s="24"/>
      <c r="L13" s="34" t="e">
        <f t="shared" ref="L13:L16" si="0">+K13/J13</f>
        <v>#DIV/0!</v>
      </c>
      <c r="M13" s="35">
        <f t="shared" ref="M13:M16" si="1">DAYS360(E13,$C$8)/DAYS360(E13,F13)</f>
        <v>-119.00277777777778</v>
      </c>
      <c r="N13" s="36" t="str">
        <f t="shared" ref="N13:N16" si="2">IF(J13=0," -",IF(L13&gt;100%,100%,L13))</f>
        <v xml:space="preserve"> -</v>
      </c>
      <c r="O13" s="46">
        <v>0</v>
      </c>
      <c r="P13" s="18">
        <v>200000</v>
      </c>
      <c r="Q13" s="18"/>
      <c r="R13" s="18"/>
      <c r="S13" s="44">
        <f t="shared" ref="S13:S17" si="3">IF(P13=0," -",Q13/P13)</f>
        <v>0</v>
      </c>
      <c r="T13" s="36" t="str">
        <f t="shared" ref="T13:T17" si="4">IF(R13=0," -",IF(Q13=0,100%,R13/Q13))</f>
        <v xml:space="preserve"> -</v>
      </c>
    </row>
    <row r="14" spans="2:20" ht="30">
      <c r="B14" s="137"/>
      <c r="C14" s="137"/>
      <c r="D14" s="134"/>
      <c r="E14" s="16">
        <v>43466</v>
      </c>
      <c r="F14" s="16">
        <v>43830</v>
      </c>
      <c r="G14" s="8" t="s">
        <v>30</v>
      </c>
      <c r="H14" s="18">
        <v>1</v>
      </c>
      <c r="I14" s="18">
        <f>+J14</f>
        <v>1</v>
      </c>
      <c r="J14" s="18">
        <v>1</v>
      </c>
      <c r="K14" s="27"/>
      <c r="L14" s="34">
        <f t="shared" si="0"/>
        <v>0</v>
      </c>
      <c r="M14" s="35">
        <f t="shared" si="1"/>
        <v>-119.00277777777778</v>
      </c>
      <c r="N14" s="36">
        <f t="shared" si="2"/>
        <v>0</v>
      </c>
      <c r="O14" s="46">
        <v>0</v>
      </c>
      <c r="P14" s="18">
        <v>80000</v>
      </c>
      <c r="Q14" s="18"/>
      <c r="R14" s="18"/>
      <c r="S14" s="44">
        <f t="shared" si="3"/>
        <v>0</v>
      </c>
      <c r="T14" s="36" t="str">
        <f t="shared" si="4"/>
        <v xml:space="preserve"> -</v>
      </c>
    </row>
    <row r="15" spans="2:20" ht="60">
      <c r="B15" s="137"/>
      <c r="C15" s="137"/>
      <c r="D15" s="134"/>
      <c r="E15" s="16">
        <v>43466</v>
      </c>
      <c r="F15" s="16">
        <v>43830</v>
      </c>
      <c r="G15" s="8" t="s">
        <v>31</v>
      </c>
      <c r="H15" s="18">
        <v>2</v>
      </c>
      <c r="I15" s="18">
        <f>+J15</f>
        <v>2</v>
      </c>
      <c r="J15" s="18">
        <v>2</v>
      </c>
      <c r="K15" s="27"/>
      <c r="L15" s="34">
        <f t="shared" si="0"/>
        <v>0</v>
      </c>
      <c r="M15" s="35">
        <f t="shared" si="1"/>
        <v>-119.00277777777778</v>
      </c>
      <c r="N15" s="36">
        <f t="shared" si="2"/>
        <v>0</v>
      </c>
      <c r="O15" s="46">
        <v>201020201</v>
      </c>
      <c r="P15" s="18">
        <v>60000</v>
      </c>
      <c r="Q15" s="18"/>
      <c r="R15" s="18"/>
      <c r="S15" s="44">
        <f t="shared" si="3"/>
        <v>0</v>
      </c>
      <c r="T15" s="36" t="str">
        <f t="shared" si="4"/>
        <v xml:space="preserve"> -</v>
      </c>
    </row>
    <row r="16" spans="2:20" ht="31" thickBot="1">
      <c r="B16" s="138"/>
      <c r="C16" s="138"/>
      <c r="D16" s="135"/>
      <c r="E16" s="25">
        <v>43466</v>
      </c>
      <c r="F16" s="25">
        <v>43830</v>
      </c>
      <c r="G16" s="9" t="s">
        <v>32</v>
      </c>
      <c r="H16" s="26">
        <v>1</v>
      </c>
      <c r="I16" s="26">
        <f>+J16+('2018'!I16-'2018'!K16)</f>
        <v>0</v>
      </c>
      <c r="J16" s="26">
        <v>0</v>
      </c>
      <c r="K16" s="28"/>
      <c r="L16" s="41" t="e">
        <f t="shared" si="0"/>
        <v>#DIV/0!</v>
      </c>
      <c r="M16" s="42">
        <f t="shared" si="1"/>
        <v>-119.00277777777778</v>
      </c>
      <c r="N16" s="43" t="str">
        <f t="shared" si="2"/>
        <v xml:space="preserve"> -</v>
      </c>
      <c r="O16" s="47">
        <v>2010547</v>
      </c>
      <c r="P16" s="26">
        <v>0</v>
      </c>
      <c r="Q16" s="26"/>
      <c r="R16" s="26"/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-119.00277777777778</v>
      </c>
      <c r="N17" s="40">
        <f>+AVERAGE(N12:N16)</f>
        <v>0</v>
      </c>
      <c r="P17" s="49">
        <f>+SUM(P12:P16)</f>
        <v>340000</v>
      </c>
      <c r="Q17" s="31">
        <f>+SUM(Q12:Q16)</f>
        <v>0</v>
      </c>
      <c r="R17" s="31">
        <f>+SUM(R12:R16)</f>
        <v>0</v>
      </c>
      <c r="S17" s="32">
        <f t="shared" si="3"/>
        <v>0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39" t="s">
        <v>16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2:25" ht="20" customHeight="1">
      <c r="B3" s="139" t="s">
        <v>19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2:25" ht="20" customHeight="1">
      <c r="B4" s="139" t="s">
        <v>27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6" t="s">
        <v>36</v>
      </c>
      <c r="C8" s="7">
        <f>+'2018'!C8</f>
        <v>43373</v>
      </c>
      <c r="D8" s="140" t="s">
        <v>3</v>
      </c>
      <c r="E8" s="141"/>
      <c r="F8" s="141"/>
      <c r="G8" s="141"/>
      <c r="H8" s="158"/>
      <c r="I8" s="158"/>
      <c r="J8" s="158"/>
      <c r="K8" s="158"/>
      <c r="L8" s="158"/>
      <c r="M8" s="158"/>
      <c r="N8" s="14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43" t="s">
        <v>17</v>
      </c>
      <c r="C9" s="146" t="s">
        <v>18</v>
      </c>
      <c r="D9" s="148" t="s">
        <v>0</v>
      </c>
      <c r="E9" s="159" t="s">
        <v>5</v>
      </c>
      <c r="F9" s="160"/>
      <c r="G9" s="160"/>
      <c r="H9" s="160"/>
      <c r="I9" s="160"/>
      <c r="J9" s="160"/>
      <c r="K9" s="160"/>
      <c r="L9" s="160"/>
      <c r="M9" s="160"/>
      <c r="N9" s="161"/>
      <c r="O9" s="162" t="s">
        <v>37</v>
      </c>
      <c r="P9" s="163"/>
      <c r="Q9" s="163"/>
      <c r="R9" s="163"/>
      <c r="S9" s="164"/>
      <c r="T9" s="125" t="s">
        <v>38</v>
      </c>
      <c r="U9" s="126"/>
      <c r="V9" s="126"/>
      <c r="W9" s="126"/>
      <c r="X9" s="126"/>
      <c r="Y9" s="127"/>
    </row>
    <row r="10" spans="2:25" ht="17" customHeight="1">
      <c r="B10" s="144"/>
      <c r="C10" s="147"/>
      <c r="D10" s="149"/>
      <c r="E10" s="152" t="s">
        <v>7</v>
      </c>
      <c r="F10" s="131" t="s">
        <v>25</v>
      </c>
      <c r="G10" s="51" t="s">
        <v>1</v>
      </c>
      <c r="H10" s="52" t="s">
        <v>1</v>
      </c>
      <c r="I10" s="57" t="s">
        <v>1</v>
      </c>
      <c r="J10" s="57" t="s">
        <v>1</v>
      </c>
      <c r="K10" s="62" t="s">
        <v>8</v>
      </c>
      <c r="L10" s="57" t="s">
        <v>8</v>
      </c>
      <c r="M10" s="57" t="s">
        <v>8</v>
      </c>
      <c r="N10" s="50" t="s">
        <v>8</v>
      </c>
      <c r="O10" s="167">
        <v>2016</v>
      </c>
      <c r="P10" s="171">
        <v>2017</v>
      </c>
      <c r="Q10" s="173">
        <v>2018</v>
      </c>
      <c r="R10" s="165">
        <v>2019</v>
      </c>
      <c r="S10" s="169" t="s">
        <v>36</v>
      </c>
      <c r="T10" s="128"/>
      <c r="U10" s="129"/>
      <c r="V10" s="129"/>
      <c r="W10" s="129"/>
      <c r="X10" s="129"/>
      <c r="Y10" s="130"/>
    </row>
    <row r="11" spans="2:25" ht="37.5" customHeight="1" thickBot="1">
      <c r="B11" s="145"/>
      <c r="C11" s="147"/>
      <c r="D11" s="150"/>
      <c r="E11" s="131"/>
      <c r="F11" s="132"/>
      <c r="G11" s="63">
        <v>2016</v>
      </c>
      <c r="H11" s="64">
        <v>2017</v>
      </c>
      <c r="I11" s="58">
        <v>2018</v>
      </c>
      <c r="J11" s="58">
        <v>2019</v>
      </c>
      <c r="K11" s="65">
        <v>2016</v>
      </c>
      <c r="L11" s="64">
        <v>2017</v>
      </c>
      <c r="M11" s="58">
        <v>2018</v>
      </c>
      <c r="N11" s="66">
        <v>2019</v>
      </c>
      <c r="O11" s="168"/>
      <c r="P11" s="172"/>
      <c r="Q11" s="174"/>
      <c r="R11" s="166"/>
      <c r="S11" s="170"/>
      <c r="T11" s="53" t="s">
        <v>23</v>
      </c>
      <c r="U11" s="12" t="s">
        <v>20</v>
      </c>
      <c r="V11" s="13" t="s">
        <v>21</v>
      </c>
      <c r="W11" s="14" t="s">
        <v>22</v>
      </c>
      <c r="X11" s="14" t="s">
        <v>14</v>
      </c>
      <c r="Y11" s="15" t="s">
        <v>15</v>
      </c>
    </row>
    <row r="12" spans="2:25" ht="60">
      <c r="B12" s="136" t="s">
        <v>35</v>
      </c>
      <c r="C12" s="136" t="s">
        <v>34</v>
      </c>
      <c r="D12" s="133" t="s">
        <v>33</v>
      </c>
      <c r="E12" s="20" t="s">
        <v>28</v>
      </c>
      <c r="F12" s="21">
        <v>1</v>
      </c>
      <c r="G12" s="21">
        <f>'2016'!J12</f>
        <v>0.25</v>
      </c>
      <c r="H12" s="54">
        <f>'2017'!J12</f>
        <v>0.25</v>
      </c>
      <c r="I12" s="54">
        <f>'2018'!J12</f>
        <v>0.25</v>
      </c>
      <c r="J12" s="54">
        <f>'2019'!J12</f>
        <v>0.25</v>
      </c>
      <c r="K12" s="79">
        <f>'2016'!K12</f>
        <v>0.25</v>
      </c>
      <c r="L12" s="54">
        <f>'2017'!K12</f>
        <v>0.25</v>
      </c>
      <c r="M12" s="54">
        <f>'2018'!K12</f>
        <v>0.13</v>
      </c>
      <c r="N12" s="23">
        <f>'2019'!K12</f>
        <v>0</v>
      </c>
      <c r="O12" s="67">
        <f>'2016'!N12</f>
        <v>1</v>
      </c>
      <c r="P12" s="68">
        <f>'2017'!N12</f>
        <v>1</v>
      </c>
      <c r="Q12" s="69">
        <f>'2018'!N12</f>
        <v>0.52</v>
      </c>
      <c r="R12" s="68">
        <f>'2019'!N12</f>
        <v>0</v>
      </c>
      <c r="S12" s="76">
        <v>0.63</v>
      </c>
      <c r="T12" s="45" t="s">
        <v>52</v>
      </c>
      <c r="U12" s="22">
        <f>+'2016'!P12+'2017'!P12</f>
        <v>43854</v>
      </c>
      <c r="V12" s="22">
        <f>+'2016'!Q12+'2017'!Q12</f>
        <v>43854</v>
      </c>
      <c r="W12" s="22">
        <f>+'2016'!R12+'2017'!R12</f>
        <v>0</v>
      </c>
      <c r="X12" s="21">
        <f>IF(U12=0," -",V12/U12)</f>
        <v>1</v>
      </c>
      <c r="Y12" s="23" t="str">
        <f>IF(W12=0," -",IF(V12=0,100%,W12/V12))</f>
        <v xml:space="preserve"> -</v>
      </c>
    </row>
    <row r="13" spans="2:25" ht="45">
      <c r="B13" s="137"/>
      <c r="C13" s="137"/>
      <c r="D13" s="134"/>
      <c r="E13" s="8" t="s">
        <v>29</v>
      </c>
      <c r="F13" s="17">
        <v>1</v>
      </c>
      <c r="G13" s="17">
        <f>'2016'!J13</f>
        <v>1</v>
      </c>
      <c r="H13" s="59">
        <f>'2017'!J13</f>
        <v>0</v>
      </c>
      <c r="I13" s="59">
        <f>'2018'!J13</f>
        <v>0</v>
      </c>
      <c r="J13" s="59">
        <f>'2019'!J13</f>
        <v>0</v>
      </c>
      <c r="K13" s="80">
        <f>'2016'!K13</f>
        <v>1</v>
      </c>
      <c r="L13" s="59">
        <f>'2017'!K13</f>
        <v>0</v>
      </c>
      <c r="M13" s="59">
        <f>'2018'!K13</f>
        <v>0</v>
      </c>
      <c r="N13" s="24">
        <f>'2019'!K13</f>
        <v>0</v>
      </c>
      <c r="O13" s="70">
        <f>'2016'!N13</f>
        <v>1</v>
      </c>
      <c r="P13" s="71" t="str">
        <f>'2017'!N13</f>
        <v xml:space="preserve"> -</v>
      </c>
      <c r="Q13" s="72" t="str">
        <f>'2018'!N13</f>
        <v xml:space="preserve"> -</v>
      </c>
      <c r="R13" s="71" t="str">
        <f>'2019'!N13</f>
        <v xml:space="preserve"> -</v>
      </c>
      <c r="S13" s="77">
        <v>1</v>
      </c>
      <c r="T13" s="46">
        <v>0</v>
      </c>
      <c r="U13" s="18">
        <f>+'2016'!P13+'2017'!P13</f>
        <v>200000</v>
      </c>
      <c r="V13" s="18">
        <f>+'2016'!Q13+'2017'!Q13</f>
        <v>200000</v>
      </c>
      <c r="W13" s="18">
        <f>+'2016'!R13+'2017'!R13</f>
        <v>0</v>
      </c>
      <c r="X13" s="44">
        <f t="shared" ref="X13:X17" si="0">IF(U13=0," -",V13/U13)</f>
        <v>1</v>
      </c>
      <c r="Y13" s="36" t="str">
        <f t="shared" ref="Y13:Y17" si="1">IF(W13=0," -",IF(V13=0,100%,W13/V13))</f>
        <v xml:space="preserve"> -</v>
      </c>
    </row>
    <row r="14" spans="2:25" ht="30">
      <c r="B14" s="137"/>
      <c r="C14" s="137"/>
      <c r="D14" s="134"/>
      <c r="E14" s="8" t="s">
        <v>30</v>
      </c>
      <c r="F14" s="18">
        <v>1</v>
      </c>
      <c r="G14" s="18">
        <f>'2016'!J14</f>
        <v>0</v>
      </c>
      <c r="H14" s="60">
        <f>'2017'!J14</f>
        <v>1</v>
      </c>
      <c r="I14" s="60">
        <f>'2018'!J14</f>
        <v>1</v>
      </c>
      <c r="J14" s="60">
        <f>'2019'!J14</f>
        <v>1</v>
      </c>
      <c r="K14" s="81">
        <f>'2016'!K14</f>
        <v>0</v>
      </c>
      <c r="L14" s="60">
        <f>'2017'!K14</f>
        <v>1</v>
      </c>
      <c r="M14" s="60">
        <f>'2018'!K14</f>
        <v>1</v>
      </c>
      <c r="N14" s="27">
        <f>'2019'!K14</f>
        <v>0</v>
      </c>
      <c r="O14" s="70" t="str">
        <f>'2016'!N14</f>
        <v xml:space="preserve"> -</v>
      </c>
      <c r="P14" s="71">
        <f>'2017'!N14</f>
        <v>1</v>
      </c>
      <c r="Q14" s="72">
        <f>'2018'!N14</f>
        <v>1</v>
      </c>
      <c r="R14" s="71">
        <f>'2019'!N14</f>
        <v>0</v>
      </c>
      <c r="S14" s="77">
        <v>0.66666666666666663</v>
      </c>
      <c r="T14" s="46">
        <v>0</v>
      </c>
      <c r="U14" s="18">
        <f>+'2016'!P14+'2017'!P14</f>
        <v>2000</v>
      </c>
      <c r="V14" s="18">
        <f>+'2016'!Q14+'2017'!Q14</f>
        <v>2000</v>
      </c>
      <c r="W14" s="18">
        <f>+'2016'!R14+'2017'!R14</f>
        <v>0</v>
      </c>
      <c r="X14" s="44">
        <f t="shared" si="0"/>
        <v>1</v>
      </c>
      <c r="Y14" s="36" t="str">
        <f t="shared" si="1"/>
        <v xml:space="preserve"> -</v>
      </c>
    </row>
    <row r="15" spans="2:25" ht="60">
      <c r="B15" s="137"/>
      <c r="C15" s="137"/>
      <c r="D15" s="134"/>
      <c r="E15" s="8" t="s">
        <v>31</v>
      </c>
      <c r="F15" s="18">
        <v>2</v>
      </c>
      <c r="G15" s="18">
        <f>'2016'!J15</f>
        <v>2</v>
      </c>
      <c r="H15" s="60">
        <f>'2017'!J15</f>
        <v>2</v>
      </c>
      <c r="I15" s="60">
        <f>'2018'!J15</f>
        <v>2</v>
      </c>
      <c r="J15" s="60">
        <f>'2019'!J15</f>
        <v>2</v>
      </c>
      <c r="K15" s="81">
        <f>'2016'!K15</f>
        <v>2</v>
      </c>
      <c r="L15" s="60">
        <f>'2017'!K15</f>
        <v>3</v>
      </c>
      <c r="M15" s="60">
        <f>'2018'!K15</f>
        <v>2</v>
      </c>
      <c r="N15" s="27">
        <f>'2019'!K15</f>
        <v>0</v>
      </c>
      <c r="O15" s="70">
        <f>'2016'!N15</f>
        <v>1</v>
      </c>
      <c r="P15" s="71">
        <f>'2017'!N15</f>
        <v>1</v>
      </c>
      <c r="Q15" s="72">
        <f>'2018'!N15</f>
        <v>1</v>
      </c>
      <c r="R15" s="71">
        <f>'2019'!N15</f>
        <v>0</v>
      </c>
      <c r="S15" s="77">
        <v>1</v>
      </c>
      <c r="T15" s="46">
        <v>201020201</v>
      </c>
      <c r="U15" s="18">
        <f>+'2016'!P15+'2017'!P15</f>
        <v>40007</v>
      </c>
      <c r="V15" s="18">
        <f>+'2016'!Q15+'2017'!Q15</f>
        <v>24708</v>
      </c>
      <c r="W15" s="18">
        <f>+'2016'!R15+'2017'!R15</f>
        <v>0</v>
      </c>
      <c r="X15" s="44">
        <f t="shared" si="0"/>
        <v>0.61759192141375263</v>
      </c>
      <c r="Y15" s="36" t="str">
        <f t="shared" si="1"/>
        <v xml:space="preserve"> -</v>
      </c>
    </row>
    <row r="16" spans="2:25" ht="31" thickBot="1">
      <c r="B16" s="138"/>
      <c r="C16" s="138"/>
      <c r="D16" s="135"/>
      <c r="E16" s="9" t="s">
        <v>32</v>
      </c>
      <c r="F16" s="26">
        <v>1</v>
      </c>
      <c r="G16" s="26">
        <f>'2016'!J16</f>
        <v>0</v>
      </c>
      <c r="H16" s="61">
        <f>'2017'!J16</f>
        <v>1</v>
      </c>
      <c r="I16" s="61">
        <f>'2018'!J16</f>
        <v>0</v>
      </c>
      <c r="J16" s="61">
        <f>'2019'!J16</f>
        <v>0</v>
      </c>
      <c r="K16" s="82">
        <f>'2016'!K16</f>
        <v>0</v>
      </c>
      <c r="L16" s="61">
        <f>'2017'!K16</f>
        <v>1</v>
      </c>
      <c r="M16" s="61">
        <f>'2018'!K16</f>
        <v>0</v>
      </c>
      <c r="N16" s="28">
        <f>'2019'!K16</f>
        <v>0</v>
      </c>
      <c r="O16" s="73" t="str">
        <f>'2016'!N16</f>
        <v xml:space="preserve"> -</v>
      </c>
      <c r="P16" s="74">
        <f>'2017'!N16</f>
        <v>1</v>
      </c>
      <c r="Q16" s="75" t="str">
        <f>'2018'!N16</f>
        <v xml:space="preserve"> -</v>
      </c>
      <c r="R16" s="74" t="str">
        <f>'2019'!N16</f>
        <v xml:space="preserve"> -</v>
      </c>
      <c r="S16" s="78">
        <v>1</v>
      </c>
      <c r="T16" s="47">
        <v>2010547</v>
      </c>
      <c r="U16" s="26">
        <f>+'2016'!P16+'2017'!P16</f>
        <v>1334985</v>
      </c>
      <c r="V16" s="26">
        <f>+'2016'!Q16+'2017'!Q16</f>
        <v>1031571</v>
      </c>
      <c r="W16" s="26">
        <f>+'2016'!R16+'2017'!R16</f>
        <v>0</v>
      </c>
      <c r="X16" s="48">
        <f t="shared" si="0"/>
        <v>0.77272104180945855</v>
      </c>
      <c r="Y16" s="43" t="str">
        <f t="shared" si="1"/>
        <v xml:space="preserve"> -</v>
      </c>
    </row>
    <row r="17" spans="15:25" ht="21" customHeight="1" thickBot="1">
      <c r="O17" s="56">
        <f>+AVERAGE(O12:O16)</f>
        <v>1</v>
      </c>
      <c r="P17" s="55">
        <f t="shared" ref="P17:R17" si="2">+AVERAGE(P12:P16)</f>
        <v>1</v>
      </c>
      <c r="Q17" s="55">
        <f t="shared" si="2"/>
        <v>0.84</v>
      </c>
      <c r="R17" s="55">
        <f t="shared" si="2"/>
        <v>0</v>
      </c>
      <c r="S17" s="30">
        <f>+AVERAGE(S12:S16)</f>
        <v>0.85933333333333339</v>
      </c>
      <c r="U17" s="49">
        <f>+SUM(U12:U16)</f>
        <v>1620846</v>
      </c>
      <c r="V17" s="31">
        <f>+SUM(V12:V16)</f>
        <v>1302133</v>
      </c>
      <c r="W17" s="31">
        <f>+SUM(W12:W16)</f>
        <v>0</v>
      </c>
      <c r="X17" s="32">
        <f t="shared" si="0"/>
        <v>0.80336626675205414</v>
      </c>
      <c r="Y17" s="30" t="str">
        <f t="shared" si="1"/>
        <v xml:space="preserve"> -</v>
      </c>
    </row>
  </sheetData>
  <mergeCells count="20">
    <mergeCell ref="B12:B16"/>
    <mergeCell ref="C12:C16"/>
    <mergeCell ref="D12:D16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75" t="s">
        <v>51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7"/>
    </row>
    <row r="4" spans="2:15" ht="16" thickBot="1">
      <c r="C4" s="83"/>
      <c r="D4" s="83"/>
      <c r="E4" s="83"/>
      <c r="F4" s="83"/>
      <c r="G4" s="83"/>
      <c r="H4" s="83"/>
      <c r="I4" s="83"/>
    </row>
    <row r="5" spans="2:15" ht="19" customHeight="1">
      <c r="C5" s="83"/>
      <c r="D5" s="83"/>
      <c r="E5" s="178" t="s">
        <v>39</v>
      </c>
      <c r="F5" s="179"/>
      <c r="G5" s="179"/>
      <c r="H5" s="179"/>
      <c r="I5" s="182" t="s">
        <v>37</v>
      </c>
      <c r="J5" s="183"/>
      <c r="K5" s="186" t="s">
        <v>40</v>
      </c>
      <c r="L5" s="187"/>
      <c r="M5" s="187"/>
      <c r="N5" s="187"/>
      <c r="O5" s="188"/>
    </row>
    <row r="6" spans="2:15" ht="19" customHeight="1" thickBot="1">
      <c r="E6" s="180"/>
      <c r="F6" s="181"/>
      <c r="G6" s="181"/>
      <c r="H6" s="181"/>
      <c r="I6" s="184"/>
      <c r="J6" s="185"/>
      <c r="K6" s="189" t="s">
        <v>36</v>
      </c>
      <c r="L6" s="190"/>
      <c r="M6" s="190"/>
      <c r="N6" s="190"/>
      <c r="O6" s="191"/>
    </row>
    <row r="7" spans="2:15" ht="32" customHeight="1" thickBot="1">
      <c r="C7" s="194"/>
      <c r="D7" s="195"/>
      <c r="E7" s="84">
        <v>2016</v>
      </c>
      <c r="F7" s="85">
        <v>2017</v>
      </c>
      <c r="G7" s="85">
        <v>2018</v>
      </c>
      <c r="H7" s="85">
        <v>2019</v>
      </c>
      <c r="I7" s="196" t="s">
        <v>36</v>
      </c>
      <c r="J7" s="197"/>
      <c r="K7" s="86" t="s">
        <v>41</v>
      </c>
      <c r="L7" s="87" t="s">
        <v>42</v>
      </c>
      <c r="M7" s="87" t="s">
        <v>43</v>
      </c>
      <c r="N7" s="87" t="s">
        <v>44</v>
      </c>
      <c r="O7" s="88" t="s">
        <v>45</v>
      </c>
    </row>
    <row r="8" spans="2:15" ht="22" customHeight="1" thickBot="1">
      <c r="B8" s="89">
        <v>4</v>
      </c>
      <c r="C8" s="200" t="s">
        <v>46</v>
      </c>
      <c r="D8" s="201"/>
      <c r="E8" s="104">
        <f>+IF(SUM('2016 - 2019'!G12:G16)&gt;0,AVERAGE('2016 - 2019'!O12:O16)," -")</f>
        <v>1</v>
      </c>
      <c r="F8" s="104">
        <f>+IF(SUM('2016 - 2019'!H12:H16)&gt;0,AVERAGE('2016 - 2019'!P12:P16)," -")</f>
        <v>1</v>
      </c>
      <c r="G8" s="104">
        <f>+IF(SUM('2016 - 2019'!I12:I16)&gt;0,AVERAGE('2016 - 2019'!Q12:Q16)," -")</f>
        <v>0.84</v>
      </c>
      <c r="H8" s="104">
        <f>+IF(SUM('2016 - 2019'!J12:J16)&gt;0,AVERAGE('2016 - 2019'!R12:R16)," -")</f>
        <v>0</v>
      </c>
      <c r="I8" s="105">
        <f>+AVERAGE('2016 - 2019'!S12:S16)</f>
        <v>0.85933333333333339</v>
      </c>
      <c r="J8" s="106">
        <f t="shared" ref="J8:J10" si="0">+I8</f>
        <v>0.85933333333333339</v>
      </c>
      <c r="K8" s="107">
        <f>+K9</f>
        <v>1620846</v>
      </c>
      <c r="L8" s="108">
        <f t="shared" ref="L8:M9" si="1">+L9</f>
        <v>1302133</v>
      </c>
      <c r="M8" s="108">
        <f t="shared" si="1"/>
        <v>0</v>
      </c>
      <c r="N8" s="109">
        <f t="shared" ref="N8:N10" si="2">IF(K8=0,"-",+L8/K8)</f>
        <v>0.80336626675205414</v>
      </c>
      <c r="O8" s="110" t="str">
        <f t="shared" ref="O8:O9" si="3">IF(M8=0," -",IF(L8=0,100%,M8/L8))</f>
        <v xml:space="preserve"> -</v>
      </c>
    </row>
    <row r="9" spans="2:15" ht="20" customHeight="1">
      <c r="B9" s="90" t="s">
        <v>47</v>
      </c>
      <c r="C9" s="198" t="s">
        <v>34</v>
      </c>
      <c r="D9" s="199"/>
      <c r="E9" s="97">
        <f>+IF(SUM('2016 - 2019'!G12:G16)&gt;0,AVERAGE('2016 - 2019'!O12:O16)," -")</f>
        <v>1</v>
      </c>
      <c r="F9" s="97">
        <f>+IF(SUM('2016 - 2019'!H12:H16)&gt;0,AVERAGE('2016 - 2019'!P12:P16)," -")</f>
        <v>1</v>
      </c>
      <c r="G9" s="97">
        <f>+IF(SUM('2016 - 2019'!I12:I16)&gt;0,AVERAGE('2016 - 2019'!Q12:Q16)," -")</f>
        <v>0.84</v>
      </c>
      <c r="H9" s="97">
        <f>+IF(SUM('2016 - 2019'!J12:J16)&gt;0,AVERAGE('2016 - 2019'!R12:R16)," -")</f>
        <v>0</v>
      </c>
      <c r="I9" s="98">
        <f>+AVERAGE('2016 - 2019'!S12:S16)</f>
        <v>0.85933333333333339</v>
      </c>
      <c r="J9" s="99">
        <f t="shared" si="0"/>
        <v>0.85933333333333339</v>
      </c>
      <c r="K9" s="100">
        <f>+K10</f>
        <v>1620846</v>
      </c>
      <c r="L9" s="101">
        <f t="shared" si="1"/>
        <v>1302133</v>
      </c>
      <c r="M9" s="101">
        <f t="shared" si="1"/>
        <v>0</v>
      </c>
      <c r="N9" s="102">
        <f t="shared" si="2"/>
        <v>0.80336626675205414</v>
      </c>
      <c r="O9" s="103" t="str">
        <f t="shared" si="3"/>
        <v xml:space="preserve"> -</v>
      </c>
    </row>
    <row r="10" spans="2:15" ht="18" customHeight="1" thickBot="1">
      <c r="B10" s="91" t="s">
        <v>48</v>
      </c>
      <c r="C10" s="202" t="s">
        <v>49</v>
      </c>
      <c r="D10" s="203"/>
      <c r="E10" s="92">
        <f>+IF(SUM('2016 - 2019'!G12:G16)&gt;0,AVERAGE('2016 - 2019'!O12:O16)," -")</f>
        <v>1</v>
      </c>
      <c r="F10" s="92">
        <f>+IF(SUM('2016 - 2019'!H12:H16)&gt;0,AVERAGE('2016 - 2019'!P12:P16)," -")</f>
        <v>1</v>
      </c>
      <c r="G10" s="92">
        <f>+IF(SUM('2016 - 2019'!I12:I16)&gt;0,AVERAGE('2016 - 2019'!Q12:Q16)," -")</f>
        <v>0.84</v>
      </c>
      <c r="H10" s="92">
        <f>+IF(SUM('2016 - 2019'!J12:J16)&gt;0,AVERAGE('2016 - 2019'!R12:R16)," -")</f>
        <v>0</v>
      </c>
      <c r="I10" s="93">
        <f>+AVERAGE('2016 - 2019'!S12:S16)</f>
        <v>0.85933333333333339</v>
      </c>
      <c r="J10" s="94">
        <f t="shared" si="0"/>
        <v>0.85933333333333339</v>
      </c>
      <c r="K10" s="119">
        <f>+SUM('2016 - 2019'!U12:U16)</f>
        <v>1620846</v>
      </c>
      <c r="L10" s="26">
        <f>+SUM('2016 - 2019'!V12:V16)</f>
        <v>1302133</v>
      </c>
      <c r="M10" s="26">
        <f>+SUM('2016 - 2019'!W12:W16)</f>
        <v>0</v>
      </c>
      <c r="N10" s="95">
        <f t="shared" si="2"/>
        <v>0.80336626675205414</v>
      </c>
      <c r="O10" s="96" t="str">
        <f t="shared" ref="O10:O11" si="4">IF(M10=0," -",IF(L10=0,100%,M10/L10))</f>
        <v xml:space="preserve"> -</v>
      </c>
    </row>
    <row r="11" spans="2:15" ht="24" customHeight="1" thickBot="1">
      <c r="C11" s="192" t="s">
        <v>50</v>
      </c>
      <c r="D11" s="193"/>
      <c r="E11" s="111">
        <f>+'2016 - 2019'!O17</f>
        <v>1</v>
      </c>
      <c r="F11" s="111">
        <f>+'2016 - 2019'!P17</f>
        <v>1</v>
      </c>
      <c r="G11" s="111">
        <f>+'2016 - 2019'!Q17</f>
        <v>0.84</v>
      </c>
      <c r="H11" s="111">
        <f>+'2016 - 2019'!R17</f>
        <v>0</v>
      </c>
      <c r="I11" s="112">
        <f>+'2016 - 2019'!S17</f>
        <v>0.85933333333333339</v>
      </c>
      <c r="J11" s="113">
        <f t="shared" ref="J11" si="5">+I11</f>
        <v>0.85933333333333339</v>
      </c>
      <c r="K11" s="49">
        <f>+K8</f>
        <v>1620846</v>
      </c>
      <c r="L11" s="31">
        <f>+L8</f>
        <v>1302133</v>
      </c>
      <c r="M11" s="31">
        <f>+M8</f>
        <v>0</v>
      </c>
      <c r="N11" s="114">
        <f t="shared" ref="N11" si="6">IF(K11=0,"-",+L11/K11)</f>
        <v>0.80336626675205414</v>
      </c>
      <c r="O11" s="115" t="str">
        <f t="shared" si="4"/>
        <v xml:space="preserve"> -</v>
      </c>
    </row>
    <row r="13" spans="2:15" ht="17">
      <c r="C13" s="116" t="str">
        <f>+'2016 - 2019'!C7</f>
        <v>FECHA CORTE</v>
      </c>
      <c r="D13" s="117"/>
      <c r="E13" s="118"/>
      <c r="F13" s="118"/>
      <c r="I13" s="116" t="s">
        <v>53</v>
      </c>
    </row>
    <row r="14" spans="2:15" ht="17">
      <c r="C14" s="120">
        <f>+'2016 - 2019'!C8</f>
        <v>43373</v>
      </c>
    </row>
  </sheetData>
  <mergeCells count="11">
    <mergeCell ref="C11:D11"/>
    <mergeCell ref="C7:D7"/>
    <mergeCell ref="I7:J7"/>
    <mergeCell ref="C9:D9"/>
    <mergeCell ref="C8:D8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{E9FA5410-763C-1948-ACB1-74279E3B5C90}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FA5410-763C-1948-ACB1-74279E3B5C90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2018-10-08T21:17:00Z</dcterms:modified>
</cp:coreProperties>
</file>