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3" i="11" l="1"/>
  <c r="C8" i="11"/>
  <c r="I12" i="11"/>
  <c r="I13" i="11"/>
  <c r="I14" i="11"/>
  <c r="I15" i="11"/>
  <c r="L12" i="9"/>
  <c r="N12" i="9"/>
  <c r="Q12" i="11"/>
  <c r="L13" i="9"/>
  <c r="N13" i="9"/>
  <c r="Q13" i="11"/>
  <c r="L14" i="9"/>
  <c r="N14" i="9"/>
  <c r="Q14" i="11"/>
  <c r="L15" i="9"/>
  <c r="N15" i="9"/>
  <c r="Q15" i="11"/>
  <c r="G10" i="12"/>
  <c r="C17" i="12"/>
  <c r="C16" i="12"/>
  <c r="I10" i="12"/>
  <c r="I13" i="12"/>
  <c r="I12" i="12"/>
  <c r="I11" i="12"/>
  <c r="I9" i="12"/>
  <c r="I8" i="12"/>
  <c r="V12" i="11"/>
  <c r="V13" i="11"/>
  <c r="V14" i="11"/>
  <c r="V15" i="11"/>
  <c r="L10" i="12"/>
  <c r="V16" i="11"/>
  <c r="V17" i="11"/>
  <c r="L11" i="12"/>
  <c r="V18" i="11"/>
  <c r="L12" i="12"/>
  <c r="V19" i="11"/>
  <c r="V20" i="11"/>
  <c r="V21" i="11"/>
  <c r="V22" i="11"/>
  <c r="L13" i="12"/>
  <c r="L9" i="12"/>
  <c r="L8" i="12"/>
  <c r="W12" i="11"/>
  <c r="W13" i="11"/>
  <c r="W14" i="11"/>
  <c r="W15" i="11"/>
  <c r="M10" i="12"/>
  <c r="W16" i="11"/>
  <c r="W17" i="11"/>
  <c r="M11" i="12"/>
  <c r="W18" i="11"/>
  <c r="M12" i="12"/>
  <c r="W19" i="11"/>
  <c r="W20" i="11"/>
  <c r="W21" i="11"/>
  <c r="W22" i="11"/>
  <c r="M13" i="12"/>
  <c r="M9" i="12"/>
  <c r="M8" i="12"/>
  <c r="U19" i="11"/>
  <c r="U20" i="11"/>
  <c r="U21" i="11"/>
  <c r="U22" i="11"/>
  <c r="K13" i="12"/>
  <c r="U18" i="11"/>
  <c r="K12" i="12"/>
  <c r="U16" i="11"/>
  <c r="U17" i="11"/>
  <c r="K11" i="12"/>
  <c r="U12" i="11"/>
  <c r="U13" i="11"/>
  <c r="U14" i="11"/>
  <c r="U15" i="11"/>
  <c r="K10" i="12"/>
  <c r="M14" i="12"/>
  <c r="L14" i="12"/>
  <c r="K9" i="12"/>
  <c r="K8" i="12"/>
  <c r="K14" i="12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Q23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R23" i="11"/>
  <c r="I14" i="12"/>
  <c r="H12" i="11"/>
  <c r="H13" i="11"/>
  <c r="H14" i="11"/>
  <c r="H15" i="11"/>
  <c r="H16" i="11"/>
  <c r="H17" i="11"/>
  <c r="H18" i="11"/>
  <c r="H19" i="11"/>
  <c r="H20" i="11"/>
  <c r="H21" i="11"/>
  <c r="H22" i="11"/>
  <c r="L12" i="8"/>
  <c r="N12" i="8"/>
  <c r="P12" i="11"/>
  <c r="L13" i="8"/>
  <c r="N13" i="8"/>
  <c r="L14" i="8"/>
  <c r="N14" i="8"/>
  <c r="P13" i="11"/>
  <c r="L15" i="8"/>
  <c r="N15" i="8"/>
  <c r="P14" i="11"/>
  <c r="L16" i="8"/>
  <c r="N16" i="8"/>
  <c r="P15" i="11"/>
  <c r="L17" i="8"/>
  <c r="N17" i="8"/>
  <c r="P16" i="11"/>
  <c r="L18" i="8"/>
  <c r="N18" i="8"/>
  <c r="P17" i="11"/>
  <c r="L19" i="8"/>
  <c r="N19" i="8"/>
  <c r="P18" i="11"/>
  <c r="L20" i="8"/>
  <c r="N20" i="8"/>
  <c r="P19" i="11"/>
  <c r="L21" i="8"/>
  <c r="N21" i="8"/>
  <c r="P20" i="11"/>
  <c r="L22" i="8"/>
  <c r="N22" i="8"/>
  <c r="P21" i="11"/>
  <c r="L23" i="8"/>
  <c r="N23" i="8"/>
  <c r="P22" i="11"/>
  <c r="F8" i="12"/>
  <c r="I16" i="11"/>
  <c r="I17" i="11"/>
  <c r="I18" i="11"/>
  <c r="I19" i="11"/>
  <c r="I20" i="11"/>
  <c r="I21" i="11"/>
  <c r="I22" i="11"/>
  <c r="G8" i="12"/>
  <c r="J12" i="11"/>
  <c r="J13" i="11"/>
  <c r="J14" i="11"/>
  <c r="J15" i="11"/>
  <c r="J16" i="11"/>
  <c r="J17" i="11"/>
  <c r="J18" i="11"/>
  <c r="J19" i="11"/>
  <c r="J20" i="11"/>
  <c r="J21" i="11"/>
  <c r="J22" i="11"/>
  <c r="H8" i="12"/>
  <c r="F9" i="12"/>
  <c r="G9" i="12"/>
  <c r="H9" i="12"/>
  <c r="F10" i="12"/>
  <c r="H10" i="12"/>
  <c r="F11" i="12"/>
  <c r="G11" i="12"/>
  <c r="H11" i="12"/>
  <c r="F12" i="12"/>
  <c r="G12" i="12"/>
  <c r="H12" i="12"/>
  <c r="F13" i="12"/>
  <c r="G13" i="12"/>
  <c r="H13" i="12"/>
  <c r="P23" i="11"/>
  <c r="F14" i="12"/>
  <c r="G14" i="12"/>
  <c r="H14" i="12"/>
  <c r="L12" i="7"/>
  <c r="N12" i="7"/>
  <c r="O12" i="11"/>
  <c r="N13" i="7"/>
  <c r="L14" i="7"/>
  <c r="N14" i="7"/>
  <c r="O13" i="11"/>
  <c r="L15" i="7"/>
  <c r="N15" i="7"/>
  <c r="O14" i="11"/>
  <c r="L16" i="7"/>
  <c r="N16" i="7"/>
  <c r="O15" i="11"/>
  <c r="L17" i="7"/>
  <c r="N17" i="7"/>
  <c r="O16" i="11"/>
  <c r="L18" i="7"/>
  <c r="N18" i="7"/>
  <c r="O17" i="11"/>
  <c r="L19" i="7"/>
  <c r="N19" i="7"/>
  <c r="O18" i="11"/>
  <c r="L20" i="7"/>
  <c r="N20" i="7"/>
  <c r="O19" i="11"/>
  <c r="N21" i="7"/>
  <c r="O20" i="11"/>
  <c r="L22" i="7"/>
  <c r="N22" i="7"/>
  <c r="O21" i="11"/>
  <c r="N23" i="7"/>
  <c r="O22" i="11"/>
  <c r="O23" i="11"/>
  <c r="E14" i="12"/>
  <c r="G19" i="11"/>
  <c r="G20" i="11"/>
  <c r="G21" i="11"/>
  <c r="G22" i="11"/>
  <c r="E13" i="12"/>
  <c r="G18" i="11"/>
  <c r="E12" i="12"/>
  <c r="G16" i="11"/>
  <c r="G17" i="11"/>
  <c r="E11" i="12"/>
  <c r="G12" i="11"/>
  <c r="G13" i="11"/>
  <c r="G14" i="11"/>
  <c r="G15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N9" i="12"/>
  <c r="J9" i="12"/>
  <c r="O8" i="12"/>
  <c r="N8" i="12"/>
  <c r="J8" i="12"/>
  <c r="M12" i="11"/>
  <c r="M13" i="11"/>
  <c r="M14" i="11"/>
  <c r="M15" i="11"/>
  <c r="M16" i="11"/>
  <c r="M17" i="11"/>
  <c r="M18" i="11"/>
  <c r="M19" i="11"/>
  <c r="M20" i="11"/>
  <c r="M21" i="11"/>
  <c r="M22" i="11"/>
  <c r="N12" i="11"/>
  <c r="N13" i="11"/>
  <c r="N14" i="11"/>
  <c r="N15" i="11"/>
  <c r="N16" i="11"/>
  <c r="N17" i="11"/>
  <c r="N18" i="11"/>
  <c r="N19" i="11"/>
  <c r="N20" i="11"/>
  <c r="N21" i="11"/>
  <c r="N22" i="11"/>
  <c r="L12" i="11"/>
  <c r="L13" i="11"/>
  <c r="L14" i="11"/>
  <c r="L15" i="11"/>
  <c r="L16" i="11"/>
  <c r="L17" i="11"/>
  <c r="L18" i="11"/>
  <c r="L19" i="11"/>
  <c r="L20" i="11"/>
  <c r="L21" i="11"/>
  <c r="L22" i="11"/>
  <c r="K12" i="11"/>
  <c r="K13" i="11"/>
  <c r="K14" i="11"/>
  <c r="K15" i="11"/>
  <c r="K16" i="11"/>
  <c r="K17" i="11"/>
  <c r="K18" i="11"/>
  <c r="K19" i="11"/>
  <c r="K20" i="11"/>
  <c r="K21" i="11"/>
  <c r="K22" i="11"/>
  <c r="W23" i="11"/>
  <c r="V23" i="11"/>
  <c r="Y23" i="11"/>
  <c r="U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5" i="10"/>
  <c r="I13" i="8"/>
  <c r="I14" i="8"/>
  <c r="I13" i="9"/>
  <c r="I13" i="10"/>
  <c r="I15" i="8"/>
  <c r="I14" i="9"/>
  <c r="I14" i="10"/>
  <c r="I17" i="8"/>
  <c r="I16" i="9"/>
  <c r="I16" i="10"/>
  <c r="I18" i="8"/>
  <c r="I17" i="9"/>
  <c r="I17" i="10"/>
  <c r="I19" i="8"/>
  <c r="I18" i="9"/>
  <c r="I18" i="10"/>
  <c r="I20" i="8"/>
  <c r="I19" i="9"/>
  <c r="I19" i="10"/>
  <c r="I21" i="8"/>
  <c r="I20" i="9"/>
  <c r="I20" i="10"/>
  <c r="I22" i="8"/>
  <c r="I21" i="9"/>
  <c r="I21" i="10"/>
  <c r="I23" i="8"/>
  <c r="I22" i="9"/>
  <c r="I22" i="10"/>
  <c r="I15" i="9"/>
  <c r="I16" i="8"/>
  <c r="I12" i="8"/>
  <c r="I12" i="9"/>
  <c r="I12" i="10"/>
  <c r="M15" i="9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4" i="7"/>
  <c r="Q24" i="7"/>
  <c r="P24" i="7"/>
  <c r="L13" i="7"/>
  <c r="L23" i="7"/>
  <c r="N2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T24" i="7"/>
  <c r="S24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L21" i="7"/>
  <c r="T12" i="7"/>
  <c r="S12" i="7"/>
</calcChain>
</file>

<file path=xl/sharedStrings.xml><?xml version="1.0" encoding="utf-8"?>
<sst xmlns="http://schemas.openxmlformats.org/spreadsheetml/2006/main" count="270" uniqueCount="72">
  <si>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</si>
  <si>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</si>
  <si>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</si>
  <si>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</si>
  <si>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</si>
  <si>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</si>
  <si>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</si>
  <si>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</si>
  <si>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</si>
  <si>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</si>
  <si>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</si>
  <si>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</si>
  <si>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</si>
  <si>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</si>
  <si>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</si>
  <si>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</si>
  <si>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</si>
  <si>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</si>
  <si>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</si>
  <si>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</si>
  <si>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</si>
  <si>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</si>
  <si>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</si>
  <si>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</si>
  <si>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</si>
  <si>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</si>
  <si>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</si>
  <si>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</si>
  <si>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</si>
  <si>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</si>
  <si>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</si>
  <si>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</si>
  <si>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</si>
  <si>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</si>
  <si>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</si>
  <si>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</si>
  <si>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</si>
  <si>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</si>
  <si>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</si>
  <si>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</si>
  <si>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</si>
  <si>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</si>
  <si>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</si>
  <si>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</si>
  <si>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</si>
  <si>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</si>
  <si>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</si>
  <si>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</si>
  <si>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</si>
  <si>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</si>
  <si>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</si>
  <si>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</si>
  <si>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</si>
  <si>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</si>
  <si>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</si>
  <si>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</si>
  <si>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</si>
  <si>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2.4</t>
  </si>
  <si>
    <t>2.4.1</t>
  </si>
  <si>
    <t>Construyendo mi Hogar</t>
  </si>
  <si>
    <t>2.4.2</t>
  </si>
  <si>
    <t>Mejorando mi Hogar</t>
  </si>
  <si>
    <t>2.4.3</t>
  </si>
  <si>
    <t>Formación y Acompañamiento para mi Hogar</t>
  </si>
  <si>
    <t>2.4.4</t>
  </si>
  <si>
    <t>Mejoramiento y Consolidación de la Ciudad Construida</t>
  </si>
  <si>
    <t>PLAN DE DESARROLLO 2016 - 2019</t>
  </si>
  <si>
    <t>RESUMEN CUMPLIMIENTO INSTITUTO DE VIVIENDA DE INTERÉS SOCIAL Y REFORMA URBANA (INVISBU) 2016 - 2019</t>
  </si>
  <si>
    <t>05430102
05439003
05439004</t>
  </si>
  <si>
    <t xml:space="preserve"> -</t>
  </si>
  <si>
    <t>05430101
05430102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</si>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</sst>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57" xfId="0" applyNumberFormat="1" applyFont="1" applyFill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9" fontId="6" fillId="3" borderId="58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59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9" fontId="6" fillId="3" borderId="60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6" fillId="3" borderId="62" xfId="0" applyNumberFormat="1" applyFont="1" applyFill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11" fillId="2" borderId="62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9" fontId="8" fillId="3" borderId="28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 vertical="center"/>
    </xf>
    <xf numFmtId="9" fontId="8" fillId="3" borderId="38" xfId="0" applyNumberFormat="1" applyFont="1" applyFill="1" applyBorder="1" applyAlignment="1">
      <alignment horizontal="center" vertical="center"/>
    </xf>
    <xf numFmtId="9" fontId="8" fillId="3" borderId="5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5" borderId="5" xfId="0" applyNumberFormat="1" applyFont="1" applyFill="1" applyBorder="1" applyAlignment="1">
      <alignment horizontal="center" vertical="center" wrapText="1"/>
    </xf>
    <xf numFmtId="9" fontId="19" fillId="5" borderId="25" xfId="0" applyNumberFormat="1" applyFont="1" applyFill="1" applyBorder="1" applyAlignment="1">
      <alignment horizontal="center" vertical="center" wrapText="1"/>
    </xf>
    <xf numFmtId="9" fontId="20" fillId="5" borderId="57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40" xfId="0" applyNumberFormat="1" applyFont="1" applyBorder="1" applyAlignment="1">
      <alignment horizontal="center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9" fontId="14" fillId="6" borderId="62" xfId="0" applyNumberFormat="1" applyFont="1" applyFill="1" applyBorder="1" applyAlignment="1">
      <alignment horizontal="center" vertical="center" wrapText="1"/>
    </xf>
    <xf numFmtId="9" fontId="15" fillId="6" borderId="67" xfId="0" applyNumberFormat="1" applyFont="1" applyFill="1" applyBorder="1" applyAlignment="1">
      <alignment horizontal="center" vertical="center" wrapText="1"/>
    </xf>
    <xf numFmtId="9" fontId="16" fillId="6" borderId="59" xfId="0" applyNumberFormat="1" applyFont="1" applyFill="1" applyBorder="1" applyAlignment="1">
      <alignment horizontal="center" vertical="center" wrapText="1"/>
    </xf>
    <xf numFmtId="3" fontId="14" fillId="6" borderId="39" xfId="0" applyNumberFormat="1" applyFont="1" applyFill="1" applyBorder="1" applyAlignment="1">
      <alignment horizontal="center" vertical="center"/>
    </xf>
    <xf numFmtId="3" fontId="14" fillId="6" borderId="62" xfId="0" applyNumberFormat="1" applyFont="1" applyFill="1" applyBorder="1" applyAlignment="1">
      <alignment horizontal="center" vertical="center"/>
    </xf>
    <xf numFmtId="9" fontId="17" fillId="6" borderId="71" xfId="0" applyNumberFormat="1" applyFont="1" applyFill="1" applyBorder="1" applyAlignment="1" applyProtection="1">
      <alignment horizontal="center" vertical="center"/>
    </xf>
    <xf numFmtId="9" fontId="17" fillId="6" borderId="38" xfId="0" applyNumberFormat="1" applyFont="1" applyFill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 wrapText="1"/>
    </xf>
    <xf numFmtId="9" fontId="8" fillId="2" borderId="67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9" fontId="5" fillId="0" borderId="61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>
      <alignment horizontal="justify" vertical="center"/>
    </xf>
    <xf numFmtId="0" fontId="14" fillId="6" borderId="70" xfId="0" applyFont="1" applyFill="1" applyBorder="1" applyAlignment="1">
      <alignment horizontal="justify" vertical="center"/>
    </xf>
    <xf numFmtId="0" fontId="18" fillId="5" borderId="25" xfId="0" applyFont="1" applyFill="1" applyBorder="1" applyAlignment="1">
      <alignment horizontal="justify" vertical="center"/>
    </xf>
    <xf numFmtId="0" fontId="18" fillId="5" borderId="49" xfId="0" applyFont="1" applyFill="1" applyBorder="1" applyAlignment="1">
      <alignment horizontal="justify" vertical="center"/>
    </xf>
    <xf numFmtId="0" fontId="6" fillId="0" borderId="25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13" fillId="0" borderId="6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11" fillId="0" borderId="6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127000</xdr:rowOff>
    </xdr:from>
    <xdr:to>
      <xdr:col>4</xdr:col>
      <xdr:colOff>1689100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4">
        <v>42735</v>
      </c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6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42370</v>
      </c>
      <c r="F12" s="38">
        <v>42735</v>
      </c>
      <c r="G12" s="8" t="s">
        <v>27</v>
      </c>
      <c r="H12" s="39">
        <v>850</v>
      </c>
      <c r="I12" s="39">
        <v>50</v>
      </c>
      <c r="J12" s="39">
        <v>50</v>
      </c>
      <c r="K12" s="46">
        <v>801</v>
      </c>
      <c r="L12" s="13">
        <f>+K12/J12</f>
        <v>16.02</v>
      </c>
      <c r="M12" s="14">
        <f>DAYS360(E12,$C$8)/DAYS360(E12,F12)</f>
        <v>1</v>
      </c>
      <c r="N12" s="15">
        <f>IF(J12=0," -",IF(L12&gt;100%,100%,L12))</f>
        <v>1</v>
      </c>
      <c r="O12" s="48" t="s">
        <v>68</v>
      </c>
      <c r="P12" s="39">
        <v>618000</v>
      </c>
      <c r="Q12" s="39">
        <v>102895</v>
      </c>
      <c r="R12" s="39">
        <v>2675085</v>
      </c>
      <c r="S12" s="16">
        <f>IF(P12=0," -",Q12/P12)</f>
        <v>0.16649676375404532</v>
      </c>
      <c r="T12" s="15">
        <f>IF(R12=0," -",IF(Q12=0,100%,R12/Q12))</f>
        <v>25.998202050634141</v>
      </c>
    </row>
    <row r="13" spans="2:20" ht="30">
      <c r="B13" s="212"/>
      <c r="C13" s="209"/>
      <c r="D13" s="223"/>
      <c r="E13" s="35">
        <v>42370</v>
      </c>
      <c r="F13" s="35">
        <v>42735</v>
      </c>
      <c r="G13" s="9" t="s">
        <v>28</v>
      </c>
      <c r="H13" s="36">
        <v>200</v>
      </c>
      <c r="I13" s="36">
        <v>0</v>
      </c>
      <c r="J13" s="36">
        <v>0</v>
      </c>
      <c r="K13" s="47">
        <v>0</v>
      </c>
      <c r="L13" s="22" t="e">
        <f t="shared" ref="L13:L23" si="0">+K13/J13</f>
        <v>#DIV/0!</v>
      </c>
      <c r="M13" s="23">
        <f t="shared" ref="M13:M23" si="1">DAYS360(E13,$C$8)/DAYS360(E13,F13)</f>
        <v>1</v>
      </c>
      <c r="N13" s="21" t="str">
        <f t="shared" ref="N13:N23" si="2">IF(J13=0," -",IF(L13&gt;100%,100%,L13))</f>
        <v xml:space="preserve"> -</v>
      </c>
      <c r="O13" s="49" t="s">
        <v>69</v>
      </c>
      <c r="P13" s="36">
        <v>0</v>
      </c>
      <c r="Q13" s="36">
        <v>0</v>
      </c>
      <c r="R13" s="36">
        <v>0</v>
      </c>
      <c r="S13" s="20" t="str">
        <f t="shared" ref="S13:S24" si="3">IF(P13=0," -",Q13/P13)</f>
        <v xml:space="preserve"> -</v>
      </c>
      <c r="T13" s="21" t="str">
        <f t="shared" ref="T13:T24" si="4">IF(R13=0," -",IF(Q13=0,100%,R13/Q13))</f>
        <v xml:space="preserve"> -</v>
      </c>
    </row>
    <row r="14" spans="2:20" ht="30">
      <c r="B14" s="212"/>
      <c r="C14" s="209"/>
      <c r="D14" s="223"/>
      <c r="E14" s="35">
        <v>42370</v>
      </c>
      <c r="F14" s="35">
        <v>42735</v>
      </c>
      <c r="G14" s="9" t="s">
        <v>29</v>
      </c>
      <c r="H14" s="36">
        <v>1000</v>
      </c>
      <c r="I14" s="36">
        <v>200</v>
      </c>
      <c r="J14" s="36">
        <v>200</v>
      </c>
      <c r="K14" s="47">
        <v>300</v>
      </c>
      <c r="L14" s="22">
        <f t="shared" si="0"/>
        <v>1.5</v>
      </c>
      <c r="M14" s="23">
        <f t="shared" si="1"/>
        <v>1</v>
      </c>
      <c r="N14" s="21">
        <f t="shared" si="2"/>
        <v>1</v>
      </c>
      <c r="O14" s="49" t="s">
        <v>70</v>
      </c>
      <c r="P14" s="36">
        <v>200000</v>
      </c>
      <c r="Q14" s="36">
        <v>0</v>
      </c>
      <c r="R14" s="36">
        <v>0</v>
      </c>
      <c r="S14" s="20">
        <f t="shared" si="3"/>
        <v>0</v>
      </c>
      <c r="T14" s="21" t="str">
        <f t="shared" si="4"/>
        <v xml:space="preserve"> -</v>
      </c>
    </row>
    <row r="15" spans="2:20" ht="30">
      <c r="B15" s="212"/>
      <c r="C15" s="209"/>
      <c r="D15" s="223"/>
      <c r="E15" s="35">
        <v>42370</v>
      </c>
      <c r="F15" s="77">
        <v>42735</v>
      </c>
      <c r="G15" s="9" t="s">
        <v>30</v>
      </c>
      <c r="H15" s="36">
        <v>100</v>
      </c>
      <c r="I15" s="36">
        <v>10</v>
      </c>
      <c r="J15" s="36">
        <v>10</v>
      </c>
      <c r="K15" s="47">
        <v>30</v>
      </c>
      <c r="L15" s="22">
        <f t="shared" si="0"/>
        <v>3</v>
      </c>
      <c r="M15" s="23">
        <f t="shared" si="1"/>
        <v>1</v>
      </c>
      <c r="N15" s="21">
        <f t="shared" si="2"/>
        <v>1</v>
      </c>
      <c r="O15" s="49" t="s">
        <v>70</v>
      </c>
      <c r="P15" s="36">
        <v>0</v>
      </c>
      <c r="Q15" s="36">
        <v>0</v>
      </c>
      <c r="R15" s="36">
        <v>0</v>
      </c>
      <c r="S15" s="20" t="str">
        <f t="shared" si="3"/>
        <v xml:space="preserve"> -</v>
      </c>
      <c r="T15" s="21" t="str">
        <f t="shared" si="4"/>
        <v xml:space="preserve"> -</v>
      </c>
    </row>
    <row r="16" spans="2:20" ht="76" thickBot="1">
      <c r="B16" s="212"/>
      <c r="C16" s="209"/>
      <c r="D16" s="224"/>
      <c r="E16" s="50">
        <v>42370</v>
      </c>
      <c r="F16" s="78">
        <v>42735</v>
      </c>
      <c r="G16" s="56" t="s">
        <v>31</v>
      </c>
      <c r="H16" s="51">
        <v>1</v>
      </c>
      <c r="I16" s="51"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54">
        <v>5430102</v>
      </c>
      <c r="P16" s="51">
        <v>50000</v>
      </c>
      <c r="Q16" s="51">
        <v>0</v>
      </c>
      <c r="R16" s="51">
        <v>0</v>
      </c>
      <c r="S16" s="53">
        <f t="shared" si="3"/>
        <v>0</v>
      </c>
      <c r="T16" s="55" t="str">
        <f t="shared" si="4"/>
        <v xml:space="preserve"> -</v>
      </c>
    </row>
    <row r="17" spans="2:20" ht="45">
      <c r="B17" s="212"/>
      <c r="C17" s="209"/>
      <c r="D17" s="222" t="s">
        <v>40</v>
      </c>
      <c r="E17" s="38">
        <v>42370</v>
      </c>
      <c r="F17" s="79">
        <v>42735</v>
      </c>
      <c r="G17" s="10" t="s">
        <v>32</v>
      </c>
      <c r="H17" s="16">
        <v>1</v>
      </c>
      <c r="I17" s="16">
        <v>0.1</v>
      </c>
      <c r="J17" s="16">
        <v>0.1</v>
      </c>
      <c r="K17" s="16">
        <v>0.1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40">
        <v>5430101</v>
      </c>
      <c r="P17" s="39">
        <v>30000</v>
      </c>
      <c r="Q17" s="39">
        <v>6500</v>
      </c>
      <c r="R17" s="39">
        <v>0</v>
      </c>
      <c r="S17" s="16">
        <f t="shared" si="3"/>
        <v>0.21666666666666667</v>
      </c>
      <c r="T17" s="15" t="str">
        <f t="shared" si="4"/>
        <v xml:space="preserve"> -</v>
      </c>
    </row>
    <row r="18" spans="2:20" ht="46" thickBot="1">
      <c r="B18" s="212"/>
      <c r="C18" s="209"/>
      <c r="D18" s="225"/>
      <c r="E18" s="41">
        <v>42370</v>
      </c>
      <c r="F18" s="80">
        <v>42735</v>
      </c>
      <c r="G18" s="11" t="s">
        <v>33</v>
      </c>
      <c r="H18" s="43">
        <v>1</v>
      </c>
      <c r="I18" s="43">
        <v>0.1</v>
      </c>
      <c r="J18" s="43">
        <v>0.1</v>
      </c>
      <c r="K18" s="43">
        <v>0.1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44">
        <v>5430101</v>
      </c>
      <c r="P18" s="42">
        <v>20000</v>
      </c>
      <c r="Q18" s="42">
        <v>6500</v>
      </c>
      <c r="R18" s="42">
        <v>0</v>
      </c>
      <c r="S18" s="43">
        <f t="shared" si="3"/>
        <v>0.32500000000000001</v>
      </c>
      <c r="T18" s="45" t="str">
        <f t="shared" si="4"/>
        <v xml:space="preserve"> -</v>
      </c>
    </row>
    <row r="19" spans="2:20" ht="46" thickBot="1">
      <c r="B19" s="212"/>
      <c r="C19" s="209"/>
      <c r="D19" s="74" t="s">
        <v>41</v>
      </c>
      <c r="E19" s="57">
        <v>42370</v>
      </c>
      <c r="F19" s="81">
        <v>42735</v>
      </c>
      <c r="G19" s="58" t="s">
        <v>34</v>
      </c>
      <c r="H19" s="59">
        <v>7350</v>
      </c>
      <c r="I19" s="59">
        <v>1800</v>
      </c>
      <c r="J19" s="59">
        <v>1800</v>
      </c>
      <c r="K19" s="60">
        <v>8659</v>
      </c>
      <c r="L19" s="71">
        <f t="shared" si="0"/>
        <v>4.8105555555555553</v>
      </c>
      <c r="M19" s="72">
        <f t="shared" si="1"/>
        <v>1</v>
      </c>
      <c r="N19" s="73">
        <f t="shared" si="2"/>
        <v>1</v>
      </c>
      <c r="O19" s="62">
        <v>5430102</v>
      </c>
      <c r="P19" s="59">
        <v>150000</v>
      </c>
      <c r="Q19" s="59">
        <v>50473</v>
      </c>
      <c r="R19" s="59">
        <v>0</v>
      </c>
      <c r="S19" s="61">
        <f t="shared" si="3"/>
        <v>0.33648666666666666</v>
      </c>
      <c r="T19" s="63" t="str">
        <f t="shared" si="4"/>
        <v xml:space="preserve"> -</v>
      </c>
    </row>
    <row r="20" spans="2:20" ht="30">
      <c r="B20" s="212"/>
      <c r="C20" s="209"/>
      <c r="D20" s="222" t="s">
        <v>42</v>
      </c>
      <c r="E20" s="38">
        <v>42370</v>
      </c>
      <c r="F20" s="79">
        <v>42735</v>
      </c>
      <c r="G20" s="10" t="s">
        <v>35</v>
      </c>
      <c r="H20" s="16">
        <v>1</v>
      </c>
      <c r="I20" s="16">
        <v>0.1</v>
      </c>
      <c r="J20" s="16">
        <v>0.1</v>
      </c>
      <c r="K20" s="16">
        <v>0.1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40">
        <v>5439002</v>
      </c>
      <c r="P20" s="39">
        <v>100000</v>
      </c>
      <c r="Q20" s="39">
        <v>13917</v>
      </c>
      <c r="R20" s="39">
        <v>0</v>
      </c>
      <c r="S20" s="16">
        <f t="shared" si="3"/>
        <v>0.13916999999999999</v>
      </c>
      <c r="T20" s="15" t="str">
        <f t="shared" si="4"/>
        <v xml:space="preserve"> -</v>
      </c>
    </row>
    <row r="21" spans="2:20" ht="45">
      <c r="B21" s="212"/>
      <c r="C21" s="209"/>
      <c r="D21" s="223"/>
      <c r="E21" s="35">
        <v>42370</v>
      </c>
      <c r="F21" s="77">
        <v>42735</v>
      </c>
      <c r="G21" s="9" t="s">
        <v>36</v>
      </c>
      <c r="H21" s="20">
        <v>1</v>
      </c>
      <c r="I21" s="20">
        <v>0</v>
      </c>
      <c r="J21" s="20">
        <v>0</v>
      </c>
      <c r="K21" s="20">
        <v>0</v>
      </c>
      <c r="L21" s="22" t="e">
        <f t="shared" si="0"/>
        <v>#DIV/0!</v>
      </c>
      <c r="M21" s="23">
        <f t="shared" si="1"/>
        <v>1</v>
      </c>
      <c r="N21" s="21" t="str">
        <f t="shared" si="2"/>
        <v xml:space="preserve"> -</v>
      </c>
      <c r="O21" s="37">
        <v>5439002</v>
      </c>
      <c r="P21" s="36">
        <v>0</v>
      </c>
      <c r="Q21" s="36">
        <v>0</v>
      </c>
      <c r="R21" s="36">
        <v>0</v>
      </c>
      <c r="S21" s="20" t="str">
        <f t="shared" si="3"/>
        <v xml:space="preserve"> -</v>
      </c>
      <c r="T21" s="21" t="str">
        <f t="shared" si="4"/>
        <v xml:space="preserve"> -</v>
      </c>
    </row>
    <row r="22" spans="2:20" ht="30">
      <c r="B22" s="212"/>
      <c r="C22" s="209"/>
      <c r="D22" s="223"/>
      <c r="E22" s="35">
        <v>42370</v>
      </c>
      <c r="F22" s="35">
        <v>42735</v>
      </c>
      <c r="G22" s="9" t="s">
        <v>37</v>
      </c>
      <c r="H22" s="36">
        <v>5000</v>
      </c>
      <c r="I22" s="36">
        <v>500</v>
      </c>
      <c r="J22" s="36">
        <v>500</v>
      </c>
      <c r="K22" s="36">
        <v>960</v>
      </c>
      <c r="L22" s="22">
        <f t="shared" si="0"/>
        <v>1.92</v>
      </c>
      <c r="M22" s="23">
        <f t="shared" si="1"/>
        <v>1</v>
      </c>
      <c r="N22" s="21">
        <f t="shared" si="2"/>
        <v>1</v>
      </c>
      <c r="O22" s="37">
        <v>5430101</v>
      </c>
      <c r="P22" s="36">
        <v>6152172</v>
      </c>
      <c r="Q22" s="36">
        <v>1271493</v>
      </c>
      <c r="R22" s="36">
        <v>0</v>
      </c>
      <c r="S22" s="20">
        <f t="shared" si="3"/>
        <v>0.20667383811765991</v>
      </c>
      <c r="T22" s="21" t="str">
        <f t="shared" si="4"/>
        <v xml:space="preserve"> -</v>
      </c>
    </row>
    <row r="23" spans="2:20" ht="31" thickBot="1">
      <c r="B23" s="213"/>
      <c r="C23" s="210"/>
      <c r="D23" s="225"/>
      <c r="E23" s="41">
        <v>42370</v>
      </c>
      <c r="F23" s="41">
        <v>42735</v>
      </c>
      <c r="G23" s="12" t="s">
        <v>38</v>
      </c>
      <c r="H23" s="42">
        <v>3000</v>
      </c>
      <c r="I23" s="42">
        <v>0</v>
      </c>
      <c r="J23" s="42">
        <v>0</v>
      </c>
      <c r="K23" s="42">
        <v>0</v>
      </c>
      <c r="L23" s="64" t="e">
        <f t="shared" si="0"/>
        <v>#DIV/0!</v>
      </c>
      <c r="M23" s="65">
        <f t="shared" si="1"/>
        <v>1</v>
      </c>
      <c r="N23" s="45" t="str">
        <f t="shared" si="2"/>
        <v xml:space="preserve"> -</v>
      </c>
      <c r="O23" s="44">
        <v>5430101</v>
      </c>
      <c r="P23" s="42">
        <v>493000</v>
      </c>
      <c r="Q23" s="42">
        <v>0</v>
      </c>
      <c r="R23" s="42">
        <v>0</v>
      </c>
      <c r="S23" s="43">
        <f t="shared" si="3"/>
        <v>0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1</v>
      </c>
      <c r="O24" s="31"/>
      <c r="P24" s="32">
        <f>+SUM(P12:P23)</f>
        <v>7813172</v>
      </c>
      <c r="Q24" s="33">
        <f>+SUM(Q12:Q23)</f>
        <v>1451778</v>
      </c>
      <c r="R24" s="33">
        <f>+SUM(R12:R23)</f>
        <v>2675085</v>
      </c>
      <c r="S24" s="34">
        <f t="shared" si="3"/>
        <v>0.18581160122930865</v>
      </c>
      <c r="T24" s="30">
        <f t="shared" si="4"/>
        <v>1.8426267652492323</v>
      </c>
    </row>
  </sheetData>
  <mergeCells count="23">
    <mergeCell ref="C12:C23"/>
    <mergeCell ref="B12:B23"/>
    <mergeCell ref="N10:N11"/>
    <mergeCell ref="O9:T10"/>
    <mergeCell ref="D12:D16"/>
    <mergeCell ref="D17:D18"/>
    <mergeCell ref="D20:D23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4">
        <v>43100</v>
      </c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7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42736</v>
      </c>
      <c r="F12" s="38">
        <v>43100</v>
      </c>
      <c r="G12" s="8" t="s">
        <v>27</v>
      </c>
      <c r="H12" s="39">
        <v>850</v>
      </c>
      <c r="I12" s="76">
        <f>+J12+('2016'!I12-'2016'!K12)</f>
        <v>-621</v>
      </c>
      <c r="J12" s="39">
        <v>130</v>
      </c>
      <c r="K12" s="46">
        <v>267</v>
      </c>
      <c r="L12" s="13">
        <f>+K12/J12</f>
        <v>2.0538461538461537</v>
      </c>
      <c r="M12" s="14">
        <f>DAYS360(E12,$C$8)/DAYS360(E12,F12)</f>
        <v>1</v>
      </c>
      <c r="N12" s="15">
        <f>IF(J12=0," -",IF(L12&gt;100%,100%,L12))</f>
        <v>1</v>
      </c>
      <c r="O12" s="82" t="s">
        <v>68</v>
      </c>
      <c r="P12" s="39">
        <v>1612334</v>
      </c>
      <c r="Q12" s="39">
        <v>1608484</v>
      </c>
      <c r="R12" s="39">
        <v>0</v>
      </c>
      <c r="S12" s="16">
        <f>IF(P12=0," -",Q12/P12)</f>
        <v>0.99761215728254815</v>
      </c>
      <c r="T12" s="15" t="str">
        <f>IF(R12=0," -",IF(Q12=0,100%,R12/Q12))</f>
        <v xml:space="preserve"> -</v>
      </c>
    </row>
    <row r="13" spans="2:20" ht="30">
      <c r="B13" s="212"/>
      <c r="C13" s="209"/>
      <c r="D13" s="223"/>
      <c r="E13" s="35">
        <v>42736</v>
      </c>
      <c r="F13" s="35">
        <v>43100</v>
      </c>
      <c r="G13" s="9" t="s">
        <v>28</v>
      </c>
      <c r="H13" s="36">
        <v>200</v>
      </c>
      <c r="I13" s="36">
        <f>+J13+('2016'!I13-'2016'!K13)</f>
        <v>10</v>
      </c>
      <c r="J13" s="36">
        <v>10</v>
      </c>
      <c r="K13" s="47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83" t="s">
        <v>69</v>
      </c>
      <c r="P13" s="36">
        <v>1684286</v>
      </c>
      <c r="Q13" s="36">
        <v>1674847</v>
      </c>
      <c r="R13" s="36">
        <v>0</v>
      </c>
      <c r="S13" s="20">
        <f t="shared" ref="S13:S24" si="3">IF(P13=0," -",Q13/P13)</f>
        <v>0.99439584488620103</v>
      </c>
      <c r="T13" s="21" t="str">
        <f t="shared" ref="T13:T24" si="4">IF(R13=0," -",IF(Q13=0,100%,R13/Q13))</f>
        <v xml:space="preserve"> -</v>
      </c>
    </row>
    <row r="14" spans="2:20" ht="30">
      <c r="B14" s="212"/>
      <c r="C14" s="209"/>
      <c r="D14" s="223"/>
      <c r="E14" s="35">
        <v>42736</v>
      </c>
      <c r="F14" s="77">
        <v>43100</v>
      </c>
      <c r="G14" s="9" t="s">
        <v>29</v>
      </c>
      <c r="H14" s="36">
        <v>1000</v>
      </c>
      <c r="I14" s="36">
        <f>+J14+('2016'!I14-'2016'!K14)</f>
        <v>200</v>
      </c>
      <c r="J14" s="36">
        <v>300</v>
      </c>
      <c r="K14" s="47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83" t="s">
        <v>70</v>
      </c>
      <c r="P14" s="36">
        <v>2120847</v>
      </c>
      <c r="Q14" s="36">
        <v>1256130</v>
      </c>
      <c r="R14" s="36">
        <v>154278</v>
      </c>
      <c r="S14" s="20">
        <f t="shared" si="3"/>
        <v>0.59227751931185979</v>
      </c>
      <c r="T14" s="21">
        <f t="shared" si="4"/>
        <v>0.12282009027728022</v>
      </c>
    </row>
    <row r="15" spans="2:20" ht="30">
      <c r="B15" s="212"/>
      <c r="C15" s="209"/>
      <c r="D15" s="223"/>
      <c r="E15" s="35">
        <v>42736</v>
      </c>
      <c r="F15" s="77">
        <v>43100</v>
      </c>
      <c r="G15" s="9" t="s">
        <v>30</v>
      </c>
      <c r="H15" s="36">
        <v>100</v>
      </c>
      <c r="I15" s="36">
        <f>+J15+('2016'!I15-'2016'!K15)</f>
        <v>20</v>
      </c>
      <c r="J15" s="36">
        <v>40</v>
      </c>
      <c r="K15" s="47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83" t="s">
        <v>70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6" thickBot="1">
      <c r="B16" s="212"/>
      <c r="C16" s="209"/>
      <c r="D16" s="224"/>
      <c r="E16" s="50">
        <v>42736</v>
      </c>
      <c r="F16" s="78">
        <v>43100</v>
      </c>
      <c r="G16" s="56" t="s">
        <v>31</v>
      </c>
      <c r="H16" s="51">
        <v>1</v>
      </c>
      <c r="I16" s="42">
        <f>+J16</f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27">
        <v>5430102</v>
      </c>
      <c r="P16" s="51">
        <v>34650</v>
      </c>
      <c r="Q16" s="51">
        <v>34650</v>
      </c>
      <c r="R16" s="51">
        <v>0</v>
      </c>
      <c r="S16" s="53">
        <f t="shared" si="3"/>
        <v>1</v>
      </c>
      <c r="T16" s="55" t="str">
        <f t="shared" si="4"/>
        <v xml:space="preserve"> -</v>
      </c>
    </row>
    <row r="17" spans="2:20" ht="45">
      <c r="B17" s="212"/>
      <c r="C17" s="209"/>
      <c r="D17" s="222" t="s">
        <v>40</v>
      </c>
      <c r="E17" s="38">
        <v>42736</v>
      </c>
      <c r="F17" s="79">
        <v>43100</v>
      </c>
      <c r="G17" s="10" t="s">
        <v>32</v>
      </c>
      <c r="H17" s="16">
        <v>1</v>
      </c>
      <c r="I17" s="75">
        <f>+J17+('2016'!I17-'2016'!K17)</f>
        <v>0.4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84">
        <v>5430101</v>
      </c>
      <c r="P17" s="39">
        <v>919045</v>
      </c>
      <c r="Q17" s="39">
        <v>169998</v>
      </c>
      <c r="R17" s="39">
        <v>0</v>
      </c>
      <c r="S17" s="16">
        <f t="shared" si="3"/>
        <v>0.1849724442219913</v>
      </c>
      <c r="T17" s="15" t="str">
        <f t="shared" si="4"/>
        <v xml:space="preserve"> -</v>
      </c>
    </row>
    <row r="18" spans="2:20" ht="46" thickBot="1">
      <c r="B18" s="212"/>
      <c r="C18" s="209"/>
      <c r="D18" s="225"/>
      <c r="E18" s="41">
        <v>42736</v>
      </c>
      <c r="F18" s="80">
        <v>43100</v>
      </c>
      <c r="G18" s="11" t="s">
        <v>33</v>
      </c>
      <c r="H18" s="43">
        <v>1</v>
      </c>
      <c r="I18" s="43">
        <f>+J18+('2016'!I18-'2016'!K18)</f>
        <v>0.4</v>
      </c>
      <c r="J18" s="43">
        <v>0.4</v>
      </c>
      <c r="K18" s="43">
        <v>0.4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85">
        <v>5430101</v>
      </c>
      <c r="P18" s="42">
        <v>517298</v>
      </c>
      <c r="Q18" s="42">
        <v>415386</v>
      </c>
      <c r="R18" s="42">
        <v>0</v>
      </c>
      <c r="S18" s="43">
        <f t="shared" si="3"/>
        <v>0.80299169917533031</v>
      </c>
      <c r="T18" s="45" t="str">
        <f t="shared" si="4"/>
        <v xml:space="preserve"> -</v>
      </c>
    </row>
    <row r="19" spans="2:20" ht="46" thickBot="1">
      <c r="B19" s="212"/>
      <c r="C19" s="209"/>
      <c r="D19" s="74" t="s">
        <v>41</v>
      </c>
      <c r="E19" s="57">
        <v>42736</v>
      </c>
      <c r="F19" s="81">
        <v>43100</v>
      </c>
      <c r="G19" s="58" t="s">
        <v>34</v>
      </c>
      <c r="H19" s="59">
        <v>7350</v>
      </c>
      <c r="I19" s="42">
        <f>+J19+('2016'!I19-'2016'!K19)</f>
        <v>-5009</v>
      </c>
      <c r="J19" s="59">
        <v>1850</v>
      </c>
      <c r="K19" s="60">
        <v>6039</v>
      </c>
      <c r="L19" s="71">
        <f t="shared" si="0"/>
        <v>3.2643243243243245</v>
      </c>
      <c r="M19" s="72">
        <f t="shared" si="1"/>
        <v>1</v>
      </c>
      <c r="N19" s="73">
        <f t="shared" si="2"/>
        <v>1</v>
      </c>
      <c r="O19" s="86">
        <v>5430102</v>
      </c>
      <c r="P19" s="59">
        <v>72930</v>
      </c>
      <c r="Q19" s="59">
        <v>33525</v>
      </c>
      <c r="R19" s="59">
        <v>0</v>
      </c>
      <c r="S19" s="61">
        <f t="shared" si="3"/>
        <v>0.45968737145207733</v>
      </c>
      <c r="T19" s="63" t="str">
        <f t="shared" si="4"/>
        <v xml:space="preserve"> -</v>
      </c>
    </row>
    <row r="20" spans="2:20" ht="30">
      <c r="B20" s="212"/>
      <c r="C20" s="209"/>
      <c r="D20" s="222" t="s">
        <v>42</v>
      </c>
      <c r="E20" s="38">
        <v>42736</v>
      </c>
      <c r="F20" s="79">
        <v>43100</v>
      </c>
      <c r="G20" s="10" t="s">
        <v>35</v>
      </c>
      <c r="H20" s="16">
        <v>1</v>
      </c>
      <c r="I20" s="75">
        <f>+J20+('2016'!I20-'2016'!K20)</f>
        <v>0.4</v>
      </c>
      <c r="J20" s="16">
        <v>0.4</v>
      </c>
      <c r="K20" s="16">
        <v>0.4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84">
        <v>5439002</v>
      </c>
      <c r="P20" s="39">
        <v>147440</v>
      </c>
      <c r="Q20" s="39">
        <v>143614</v>
      </c>
      <c r="R20" s="39">
        <v>0</v>
      </c>
      <c r="S20" s="16">
        <f t="shared" si="3"/>
        <v>0.97405046120455774</v>
      </c>
      <c r="T20" s="15" t="str">
        <f t="shared" si="4"/>
        <v xml:space="preserve"> -</v>
      </c>
    </row>
    <row r="21" spans="2:20" ht="45">
      <c r="B21" s="212"/>
      <c r="C21" s="209"/>
      <c r="D21" s="223"/>
      <c r="E21" s="35">
        <v>42736</v>
      </c>
      <c r="F21" s="77">
        <v>43100</v>
      </c>
      <c r="G21" s="9" t="s">
        <v>36</v>
      </c>
      <c r="H21" s="20">
        <v>1</v>
      </c>
      <c r="I21" s="20">
        <f>+J21+('2016'!I21-'2016'!K21)</f>
        <v>0.1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7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>
      <c r="B22" s="212"/>
      <c r="C22" s="209"/>
      <c r="D22" s="223"/>
      <c r="E22" s="35">
        <v>42736</v>
      </c>
      <c r="F22" s="35">
        <v>43100</v>
      </c>
      <c r="G22" s="9" t="s">
        <v>37</v>
      </c>
      <c r="H22" s="36">
        <v>5000</v>
      </c>
      <c r="I22" s="36">
        <f>+J22+('2016'!I22-'2016'!K22)</f>
        <v>540</v>
      </c>
      <c r="J22" s="36">
        <v>1000</v>
      </c>
      <c r="K22" s="36">
        <v>1334</v>
      </c>
      <c r="L22" s="22">
        <f t="shared" si="0"/>
        <v>1.3340000000000001</v>
      </c>
      <c r="M22" s="23">
        <f t="shared" si="1"/>
        <v>1</v>
      </c>
      <c r="N22" s="21">
        <f t="shared" si="2"/>
        <v>1</v>
      </c>
      <c r="O22" s="87">
        <v>5430101</v>
      </c>
      <c r="P22" s="36">
        <v>2594024</v>
      </c>
      <c r="Q22" s="36">
        <v>2015488</v>
      </c>
      <c r="R22" s="36">
        <v>800000</v>
      </c>
      <c r="S22" s="20">
        <f t="shared" si="3"/>
        <v>0.7769735360968133</v>
      </c>
      <c r="T22" s="21">
        <f t="shared" si="4"/>
        <v>0.39692620348024893</v>
      </c>
    </row>
    <row r="23" spans="2:20" ht="31" thickBot="1">
      <c r="B23" s="213"/>
      <c r="C23" s="210"/>
      <c r="D23" s="225"/>
      <c r="E23" s="41">
        <v>42736</v>
      </c>
      <c r="F23" s="41">
        <v>43100</v>
      </c>
      <c r="G23" s="12" t="s">
        <v>38</v>
      </c>
      <c r="H23" s="42">
        <v>3000</v>
      </c>
      <c r="I23" s="42">
        <f>+J23+('2016'!I23-'2016'!K23)</f>
        <v>500</v>
      </c>
      <c r="J23" s="42">
        <v>500</v>
      </c>
      <c r="K23" s="42">
        <v>491</v>
      </c>
      <c r="L23" s="64">
        <f t="shared" si="0"/>
        <v>0.98199999999999998</v>
      </c>
      <c r="M23" s="65">
        <f t="shared" si="1"/>
        <v>1</v>
      </c>
      <c r="N23" s="45">
        <f t="shared" si="2"/>
        <v>0.98199999999999998</v>
      </c>
      <c r="O23" s="85">
        <v>5430101</v>
      </c>
      <c r="P23" s="42">
        <v>1132025</v>
      </c>
      <c r="Q23" s="42">
        <v>1131678</v>
      </c>
      <c r="R23" s="42">
        <v>0</v>
      </c>
      <c r="S23" s="43">
        <f t="shared" si="3"/>
        <v>0.99969346966718931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10963268</v>
      </c>
      <c r="Q24" s="33">
        <f>+SUM(Q12:Q23)</f>
        <v>8533786</v>
      </c>
      <c r="R24" s="33">
        <f>+SUM(R12:R23)</f>
        <v>954278</v>
      </c>
      <c r="S24" s="34">
        <f t="shared" si="3"/>
        <v>0.77839801052022084</v>
      </c>
      <c r="T24" s="30">
        <f t="shared" si="4"/>
        <v>0.11182352123664691</v>
      </c>
    </row>
  </sheetData>
  <mergeCells count="23">
    <mergeCell ref="M10:M11"/>
    <mergeCell ref="N10:N11"/>
    <mergeCell ref="B12:B23"/>
    <mergeCell ref="C12:C23"/>
    <mergeCell ref="D12:D16"/>
    <mergeCell ref="D17:D18"/>
    <mergeCell ref="D20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4">
        <v>43434</v>
      </c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7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43101</v>
      </c>
      <c r="F12" s="38">
        <v>43465</v>
      </c>
      <c r="G12" s="8" t="s">
        <v>27</v>
      </c>
      <c r="H12" s="39">
        <v>850</v>
      </c>
      <c r="I12" s="76">
        <f>+J12+('2017'!I12-'2017'!K12)</f>
        <v>-778</v>
      </c>
      <c r="J12" s="39">
        <v>110</v>
      </c>
      <c r="K12" s="46">
        <v>60</v>
      </c>
      <c r="L12" s="13">
        <f>+K12/J12</f>
        <v>0.54545454545454541</v>
      </c>
      <c r="M12" s="14">
        <f>DAYS360(E12,$C$8)/DAYS360(E12,F12)</f>
        <v>0.91388888888888886</v>
      </c>
      <c r="N12" s="15">
        <f>IF(J12=0," -",IF(L12&gt;100%,100%,L12))</f>
        <v>0.54545454545454541</v>
      </c>
      <c r="O12" s="82" t="s">
        <v>68</v>
      </c>
      <c r="P12" s="39">
        <v>1401224</v>
      </c>
      <c r="Q12" s="39">
        <v>1104491</v>
      </c>
      <c r="R12" s="39">
        <v>0</v>
      </c>
      <c r="S12" s="16">
        <f>IF(P12=0," -",Q12/P12)</f>
        <v>0.78823300200396229</v>
      </c>
      <c r="T12" s="15" t="str">
        <f>IF(R12=0," -",IF(Q12=0,100%,R12/Q12))</f>
        <v xml:space="preserve"> -</v>
      </c>
    </row>
    <row r="13" spans="2:20" ht="30">
      <c r="B13" s="212"/>
      <c r="C13" s="209"/>
      <c r="D13" s="223"/>
      <c r="E13" s="35">
        <v>43101</v>
      </c>
      <c r="F13" s="77">
        <v>43465</v>
      </c>
      <c r="G13" s="9" t="s">
        <v>29</v>
      </c>
      <c r="H13" s="36">
        <v>1000</v>
      </c>
      <c r="I13" s="36">
        <f>+J13+('2017'!I14-'2017'!K14)</f>
        <v>110</v>
      </c>
      <c r="J13" s="36">
        <v>250</v>
      </c>
      <c r="K13" s="47">
        <v>153</v>
      </c>
      <c r="L13" s="22">
        <f t="shared" ref="L13:L22" si="0">+K13/J13</f>
        <v>0.61199999999999999</v>
      </c>
      <c r="M13" s="23">
        <f t="shared" ref="M13:M22" si="1">DAYS360(E13,$C$8)/DAYS360(E13,F13)</f>
        <v>0.91388888888888886</v>
      </c>
      <c r="N13" s="21">
        <f t="shared" ref="N13:N22" si="2">IF(J13=0," -",IF(L13&gt;100%,100%,L13))</f>
        <v>0.61199999999999999</v>
      </c>
      <c r="O13" s="83" t="s">
        <v>70</v>
      </c>
      <c r="P13" s="36">
        <v>1382511</v>
      </c>
      <c r="Q13" s="36">
        <v>1337591</v>
      </c>
      <c r="R13" s="36">
        <v>0</v>
      </c>
      <c r="S13" s="20">
        <f t="shared" ref="S13:S23" si="3">IF(P13=0," -",Q13/P13)</f>
        <v>0.96750839595489657</v>
      </c>
      <c r="T13" s="21" t="str">
        <f t="shared" ref="T13:T23" si="4">IF(R13=0," -",IF(Q13=0,100%,R13/Q13))</f>
        <v xml:space="preserve"> -</v>
      </c>
    </row>
    <row r="14" spans="2:20" ht="30">
      <c r="B14" s="212"/>
      <c r="C14" s="209"/>
      <c r="D14" s="223"/>
      <c r="E14" s="35">
        <v>43101</v>
      </c>
      <c r="F14" s="77">
        <v>43465</v>
      </c>
      <c r="G14" s="9" t="s">
        <v>30</v>
      </c>
      <c r="H14" s="36">
        <v>100</v>
      </c>
      <c r="I14" s="36">
        <f>+J14+('2017'!I15-'2017'!K15)</f>
        <v>-73</v>
      </c>
      <c r="J14" s="36">
        <v>25</v>
      </c>
      <c r="K14" s="47">
        <v>25</v>
      </c>
      <c r="L14" s="22">
        <f t="shared" si="0"/>
        <v>1</v>
      </c>
      <c r="M14" s="23">
        <f t="shared" si="1"/>
        <v>0.91388888888888886</v>
      </c>
      <c r="N14" s="21">
        <f t="shared" si="2"/>
        <v>1</v>
      </c>
      <c r="O14" s="83" t="s">
        <v>70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212"/>
      <c r="C15" s="209"/>
      <c r="D15" s="224"/>
      <c r="E15" s="50">
        <v>43101</v>
      </c>
      <c r="F15" s="78">
        <v>43465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0.91388888888888886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212"/>
      <c r="C16" s="209"/>
      <c r="D16" s="222" t="s">
        <v>40</v>
      </c>
      <c r="E16" s="38">
        <v>43101</v>
      </c>
      <c r="F16" s="79">
        <v>43465</v>
      </c>
      <c r="G16" s="10" t="s">
        <v>32</v>
      </c>
      <c r="H16" s="16">
        <v>1</v>
      </c>
      <c r="I16" s="75">
        <f>+J16+('2017'!I17-'2017'!K17)</f>
        <v>0.5</v>
      </c>
      <c r="J16" s="16">
        <v>0.5</v>
      </c>
      <c r="K16" s="16">
        <v>0.44</v>
      </c>
      <c r="L16" s="13">
        <f t="shared" si="0"/>
        <v>0.88</v>
      </c>
      <c r="M16" s="14">
        <f t="shared" si="1"/>
        <v>0.91388888888888886</v>
      </c>
      <c r="N16" s="15">
        <f t="shared" si="2"/>
        <v>0.88</v>
      </c>
      <c r="O16" s="84">
        <v>5430101</v>
      </c>
      <c r="P16" s="39">
        <v>1469649</v>
      </c>
      <c r="Q16" s="39">
        <v>1454610</v>
      </c>
      <c r="R16" s="39">
        <v>0</v>
      </c>
      <c r="S16" s="16">
        <f t="shared" si="3"/>
        <v>0.98976694435201873</v>
      </c>
      <c r="T16" s="15" t="str">
        <f t="shared" si="4"/>
        <v xml:space="preserve"> -</v>
      </c>
    </row>
    <row r="17" spans="2:20" ht="46" thickBot="1">
      <c r="B17" s="212"/>
      <c r="C17" s="209"/>
      <c r="D17" s="225"/>
      <c r="E17" s="41">
        <v>43101</v>
      </c>
      <c r="F17" s="80">
        <v>43465</v>
      </c>
      <c r="G17" s="11" t="s">
        <v>33</v>
      </c>
      <c r="H17" s="43">
        <v>1</v>
      </c>
      <c r="I17" s="43">
        <f>+J17+('2017'!I18-'2017'!K18)</f>
        <v>0</v>
      </c>
      <c r="J17" s="43">
        <v>0</v>
      </c>
      <c r="K17" s="43">
        <v>0</v>
      </c>
      <c r="L17" s="64" t="e">
        <f t="shared" si="0"/>
        <v>#DIV/0!</v>
      </c>
      <c r="M17" s="65">
        <f t="shared" si="1"/>
        <v>0.91388888888888886</v>
      </c>
      <c r="N17" s="45" t="str">
        <f t="shared" si="2"/>
        <v xml:space="preserve"> -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212"/>
      <c r="C18" s="209"/>
      <c r="D18" s="74" t="s">
        <v>41</v>
      </c>
      <c r="E18" s="57">
        <v>43101</v>
      </c>
      <c r="F18" s="81">
        <v>43465</v>
      </c>
      <c r="G18" s="58" t="s">
        <v>34</v>
      </c>
      <c r="H18" s="59">
        <v>7350</v>
      </c>
      <c r="I18" s="42">
        <f>+J18+('2017'!I19-'2017'!K19)</f>
        <v>-9198</v>
      </c>
      <c r="J18" s="59">
        <v>1850</v>
      </c>
      <c r="K18" s="60">
        <v>5439</v>
      </c>
      <c r="L18" s="71">
        <f t="shared" si="0"/>
        <v>2.94</v>
      </c>
      <c r="M18" s="72">
        <f t="shared" si="1"/>
        <v>0.91388888888888886</v>
      </c>
      <c r="N18" s="73">
        <f t="shared" si="2"/>
        <v>1</v>
      </c>
      <c r="O18" s="86">
        <v>5430102</v>
      </c>
      <c r="P18" s="59">
        <v>74935</v>
      </c>
      <c r="Q18" s="59">
        <v>73723</v>
      </c>
      <c r="R18" s="59">
        <v>0</v>
      </c>
      <c r="S18" s="61">
        <f t="shared" si="3"/>
        <v>0.98382598251818243</v>
      </c>
      <c r="T18" s="63" t="str">
        <f t="shared" si="4"/>
        <v xml:space="preserve"> -</v>
      </c>
    </row>
    <row r="19" spans="2:20" ht="30">
      <c r="B19" s="212"/>
      <c r="C19" s="209"/>
      <c r="D19" s="222" t="s">
        <v>42</v>
      </c>
      <c r="E19" s="38">
        <v>43101</v>
      </c>
      <c r="F19" s="79">
        <v>43465</v>
      </c>
      <c r="G19" s="10" t="s">
        <v>35</v>
      </c>
      <c r="H19" s="16">
        <v>1</v>
      </c>
      <c r="I19" s="75">
        <f>+J19+('2017'!I20-'2017'!K20)</f>
        <v>0.05</v>
      </c>
      <c r="J19" s="16">
        <v>0.05</v>
      </c>
      <c r="K19" s="16">
        <v>0.02</v>
      </c>
      <c r="L19" s="68">
        <f t="shared" si="0"/>
        <v>0.39999999999999997</v>
      </c>
      <c r="M19" s="69">
        <f t="shared" si="1"/>
        <v>0.91388888888888886</v>
      </c>
      <c r="N19" s="70">
        <f t="shared" si="2"/>
        <v>0.39999999999999997</v>
      </c>
      <c r="O19" s="84">
        <v>5439002</v>
      </c>
      <c r="P19" s="39">
        <v>298035</v>
      </c>
      <c r="Q19" s="39">
        <v>294833</v>
      </c>
      <c r="R19" s="39">
        <v>0</v>
      </c>
      <c r="S19" s="16">
        <f t="shared" si="3"/>
        <v>0.9892562954015468</v>
      </c>
      <c r="T19" s="15" t="str">
        <f t="shared" si="4"/>
        <v xml:space="preserve"> -</v>
      </c>
    </row>
    <row r="20" spans="2:20" ht="45">
      <c r="B20" s="212"/>
      <c r="C20" s="209"/>
      <c r="D20" s="223"/>
      <c r="E20" s="35">
        <v>43101</v>
      </c>
      <c r="F20" s="77">
        <v>43465</v>
      </c>
      <c r="G20" s="9" t="s">
        <v>36</v>
      </c>
      <c r="H20" s="20">
        <v>1</v>
      </c>
      <c r="I20" s="20">
        <f>+J20+('2017'!I21-'2017'!K21)</f>
        <v>0.16999999999999998</v>
      </c>
      <c r="J20" s="20">
        <v>0.15</v>
      </c>
      <c r="K20" s="20">
        <v>0</v>
      </c>
      <c r="L20" s="22">
        <f t="shared" si="0"/>
        <v>0</v>
      </c>
      <c r="M20" s="23">
        <f t="shared" si="1"/>
        <v>0.91388888888888886</v>
      </c>
      <c r="N20" s="21">
        <f t="shared" si="2"/>
        <v>0</v>
      </c>
      <c r="O20" s="87">
        <v>5439002</v>
      </c>
      <c r="P20" s="36">
        <v>13727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>
      <c r="B21" s="212"/>
      <c r="C21" s="209"/>
      <c r="D21" s="223"/>
      <c r="E21" s="35">
        <v>43101</v>
      </c>
      <c r="F21" s="35">
        <v>43465</v>
      </c>
      <c r="G21" s="9" t="s">
        <v>37</v>
      </c>
      <c r="H21" s="36">
        <v>5000</v>
      </c>
      <c r="I21" s="36">
        <f>+J21+('2017'!I22-'2017'!K22)</f>
        <v>706</v>
      </c>
      <c r="J21" s="36">
        <v>1500</v>
      </c>
      <c r="K21" s="36">
        <v>4017</v>
      </c>
      <c r="L21" s="22">
        <f t="shared" si="0"/>
        <v>2.6779999999999999</v>
      </c>
      <c r="M21" s="23">
        <f t="shared" si="1"/>
        <v>0.91388888888888886</v>
      </c>
      <c r="N21" s="21">
        <f t="shared" si="2"/>
        <v>1</v>
      </c>
      <c r="O21" s="87">
        <v>5430101</v>
      </c>
      <c r="P21" s="36">
        <v>7992150</v>
      </c>
      <c r="Q21" s="36">
        <v>6301677</v>
      </c>
      <c r="R21" s="36">
        <v>0</v>
      </c>
      <c r="S21" s="20">
        <f t="shared" si="3"/>
        <v>0.78848332426193202</v>
      </c>
      <c r="T21" s="21" t="str">
        <f t="shared" si="4"/>
        <v xml:space="preserve"> -</v>
      </c>
    </row>
    <row r="22" spans="2:20" ht="31" thickBot="1">
      <c r="B22" s="213"/>
      <c r="C22" s="210"/>
      <c r="D22" s="225"/>
      <c r="E22" s="41">
        <v>43101</v>
      </c>
      <c r="F22" s="41">
        <v>43465</v>
      </c>
      <c r="G22" s="12" t="s">
        <v>38</v>
      </c>
      <c r="H22" s="42">
        <v>3000</v>
      </c>
      <c r="I22" s="42">
        <f>+J22+('2017'!I23-'2017'!K23)</f>
        <v>509</v>
      </c>
      <c r="J22" s="42">
        <v>500</v>
      </c>
      <c r="K22" s="42">
        <v>522</v>
      </c>
      <c r="L22" s="64">
        <f t="shared" si="0"/>
        <v>1.044</v>
      </c>
      <c r="M22" s="65">
        <f t="shared" si="1"/>
        <v>0.91388888888888886</v>
      </c>
      <c r="N22" s="45">
        <f t="shared" si="2"/>
        <v>1</v>
      </c>
      <c r="O22" s="85">
        <v>5430101</v>
      </c>
      <c r="P22" s="42">
        <v>1207285</v>
      </c>
      <c r="Q22" s="42">
        <v>1206498</v>
      </c>
      <c r="R22" s="42">
        <v>0</v>
      </c>
      <c r="S22" s="43">
        <f t="shared" si="3"/>
        <v>0.9993481240966301</v>
      </c>
      <c r="T22" s="45" t="str">
        <f t="shared" si="4"/>
        <v xml:space="preserve"> -</v>
      </c>
    </row>
    <row r="23" spans="2:20" ht="21" customHeight="1" thickBot="1">
      <c r="M23" s="29">
        <f>+AVERAGE(M12:M22)</f>
        <v>0.91388888888888897</v>
      </c>
      <c r="N23" s="30">
        <f>+AVERAGE(N12:N22)</f>
        <v>0.7437454545454546</v>
      </c>
      <c r="O23" s="31"/>
      <c r="P23" s="32">
        <f>+SUM(P12:P22)</f>
        <v>13839516</v>
      </c>
      <c r="Q23" s="33">
        <f>+SUM(Q12:Q22)</f>
        <v>11773423</v>
      </c>
      <c r="R23" s="33">
        <f>+SUM(R12:R22)</f>
        <v>0</v>
      </c>
      <c r="S23" s="34">
        <f t="shared" si="3"/>
        <v>0.85071060288524536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4"/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7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43466</v>
      </c>
      <c r="F12" s="38">
        <v>43830</v>
      </c>
      <c r="G12" s="8" t="s">
        <v>27</v>
      </c>
      <c r="H12" s="39">
        <v>850</v>
      </c>
      <c r="I12" s="76">
        <f>+J12+('2018'!I12-'2018'!K12)</f>
        <v>-278</v>
      </c>
      <c r="J12" s="39">
        <v>560</v>
      </c>
      <c r="K12" s="46"/>
      <c r="L12" s="13">
        <f>+K12/J12</f>
        <v>0</v>
      </c>
      <c r="M12" s="14">
        <f>DAYS360(E12,$C$8)/DAYS360(E12,F12)</f>
        <v>-119.00277777777778</v>
      </c>
      <c r="N12" s="15">
        <f>IF(J12=0," -",IF(L12&gt;100%,100%,L12))</f>
        <v>0</v>
      </c>
      <c r="O12" s="82" t="s">
        <v>68</v>
      </c>
      <c r="P12" s="39">
        <v>2471000</v>
      </c>
      <c r="Q12" s="39"/>
      <c r="R12" s="39"/>
      <c r="S12" s="16">
        <f>IF(P12=0," -",Q12/P12)</f>
        <v>0</v>
      </c>
      <c r="T12" s="15" t="str">
        <f>IF(R12=0," -",IF(Q12=0,100%,R12/Q12))</f>
        <v xml:space="preserve"> -</v>
      </c>
    </row>
    <row r="13" spans="2:20" ht="30">
      <c r="B13" s="212"/>
      <c r="C13" s="209"/>
      <c r="D13" s="223"/>
      <c r="E13" s="35">
        <v>43466</v>
      </c>
      <c r="F13" s="35">
        <v>43830</v>
      </c>
      <c r="G13" s="9" t="s">
        <v>29</v>
      </c>
      <c r="H13" s="36">
        <v>1000</v>
      </c>
      <c r="I13" s="36">
        <f>+J13+('2018'!I13-'2018'!K13)</f>
        <v>207</v>
      </c>
      <c r="J13" s="36">
        <v>250</v>
      </c>
      <c r="K13" s="47"/>
      <c r="L13" s="22">
        <f t="shared" ref="L13:L22" si="0">+K13/J13</f>
        <v>0</v>
      </c>
      <c r="M13" s="23">
        <f t="shared" ref="M13:M22" si="1">DAYS360(E13,$C$8)/DAYS360(E13,F13)</f>
        <v>-119.00277777777778</v>
      </c>
      <c r="N13" s="21">
        <f t="shared" ref="N13:N22" si="2">IF(J13=0," -",IF(L13&gt;100%,100%,L13))</f>
        <v>0</v>
      </c>
      <c r="O13" s="83" t="s">
        <v>70</v>
      </c>
      <c r="P13" s="36">
        <v>2600000</v>
      </c>
      <c r="Q13" s="36"/>
      <c r="R13" s="36"/>
      <c r="S13" s="20">
        <f t="shared" ref="S13:S23" si="3">IF(P13=0," -",Q13/P13)</f>
        <v>0</v>
      </c>
      <c r="T13" s="21" t="str">
        <f t="shared" ref="T13:T23" si="4">IF(R13=0," -",IF(Q13=0,100%,R13/Q13))</f>
        <v xml:space="preserve"> -</v>
      </c>
    </row>
    <row r="14" spans="2:20" ht="30">
      <c r="B14" s="212"/>
      <c r="C14" s="209"/>
      <c r="D14" s="223"/>
      <c r="E14" s="35">
        <v>43466</v>
      </c>
      <c r="F14" s="77">
        <v>43830</v>
      </c>
      <c r="G14" s="9" t="s">
        <v>30</v>
      </c>
      <c r="H14" s="36">
        <v>100</v>
      </c>
      <c r="I14" s="36">
        <f>+J14+('2018'!I14-'2018'!K14)</f>
        <v>-73</v>
      </c>
      <c r="J14" s="36">
        <v>25</v>
      </c>
      <c r="K14" s="47"/>
      <c r="L14" s="22">
        <f t="shared" si="0"/>
        <v>0</v>
      </c>
      <c r="M14" s="23">
        <f t="shared" si="1"/>
        <v>-119.00277777777778</v>
      </c>
      <c r="N14" s="21">
        <f t="shared" si="2"/>
        <v>0</v>
      </c>
      <c r="O14" s="83" t="s">
        <v>70</v>
      </c>
      <c r="P14" s="36">
        <v>1050000</v>
      </c>
      <c r="Q14" s="36"/>
      <c r="R14" s="36"/>
      <c r="S14" s="20">
        <f t="shared" si="3"/>
        <v>0</v>
      </c>
      <c r="T14" s="21" t="str">
        <f t="shared" si="4"/>
        <v xml:space="preserve"> -</v>
      </c>
    </row>
    <row r="15" spans="2:20" ht="76" thickBot="1">
      <c r="B15" s="212"/>
      <c r="C15" s="209"/>
      <c r="D15" s="224"/>
      <c r="E15" s="50">
        <v>43466</v>
      </c>
      <c r="F15" s="78">
        <v>43830</v>
      </c>
      <c r="G15" s="56" t="s">
        <v>31</v>
      </c>
      <c r="H15" s="51">
        <v>1</v>
      </c>
      <c r="I15" s="42">
        <f>+J15</f>
        <v>1</v>
      </c>
      <c r="J15" s="51">
        <v>1</v>
      </c>
      <c r="K15" s="52"/>
      <c r="L15" s="66">
        <f t="shared" si="0"/>
        <v>0</v>
      </c>
      <c r="M15" s="67">
        <f t="shared" si="1"/>
        <v>-119.00277777777778</v>
      </c>
      <c r="N15" s="55">
        <f t="shared" si="2"/>
        <v>0</v>
      </c>
      <c r="O15" s="27">
        <v>5430102</v>
      </c>
      <c r="P15" s="51">
        <v>0</v>
      </c>
      <c r="Q15" s="51"/>
      <c r="R15" s="51"/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212"/>
      <c r="C16" s="209"/>
      <c r="D16" s="222" t="s">
        <v>40</v>
      </c>
      <c r="E16" s="38">
        <v>43466</v>
      </c>
      <c r="F16" s="79">
        <v>43830</v>
      </c>
      <c r="G16" s="10" t="s">
        <v>32</v>
      </c>
      <c r="H16" s="16">
        <v>1</v>
      </c>
      <c r="I16" s="75">
        <f>+J16+('2018'!I16-'2018'!K16)</f>
        <v>0.06</v>
      </c>
      <c r="J16" s="16">
        <v>0</v>
      </c>
      <c r="K16" s="16"/>
      <c r="L16" s="13" t="e">
        <f t="shared" si="0"/>
        <v>#DIV/0!</v>
      </c>
      <c r="M16" s="14">
        <f t="shared" si="1"/>
        <v>-119.00277777777778</v>
      </c>
      <c r="N16" s="15" t="str">
        <f t="shared" si="2"/>
        <v xml:space="preserve"> -</v>
      </c>
      <c r="O16" s="84">
        <v>5430101</v>
      </c>
      <c r="P16" s="39">
        <v>0</v>
      </c>
      <c r="Q16" s="39"/>
      <c r="R16" s="39"/>
      <c r="S16" s="16" t="str">
        <f t="shared" si="3"/>
        <v xml:space="preserve"> -</v>
      </c>
      <c r="T16" s="15" t="str">
        <f t="shared" si="4"/>
        <v xml:space="preserve"> -</v>
      </c>
    </row>
    <row r="17" spans="2:20" ht="46" thickBot="1">
      <c r="B17" s="212"/>
      <c r="C17" s="209"/>
      <c r="D17" s="225"/>
      <c r="E17" s="41">
        <v>43466</v>
      </c>
      <c r="F17" s="80">
        <v>43830</v>
      </c>
      <c r="G17" s="11" t="s">
        <v>33</v>
      </c>
      <c r="H17" s="43">
        <v>1</v>
      </c>
      <c r="I17" s="43">
        <f>+J17+('2018'!I17-'2018'!K17)</f>
        <v>0.5</v>
      </c>
      <c r="J17" s="43">
        <v>0.5</v>
      </c>
      <c r="K17" s="43"/>
      <c r="L17" s="64">
        <f t="shared" si="0"/>
        <v>0</v>
      </c>
      <c r="M17" s="65">
        <f t="shared" si="1"/>
        <v>-119.00277777777778</v>
      </c>
      <c r="N17" s="45">
        <f t="shared" si="2"/>
        <v>0</v>
      </c>
      <c r="O17" s="85">
        <v>5430101</v>
      </c>
      <c r="P17" s="42">
        <v>700000</v>
      </c>
      <c r="Q17" s="42"/>
      <c r="R17" s="42"/>
      <c r="S17" s="43">
        <f t="shared" si="3"/>
        <v>0</v>
      </c>
      <c r="T17" s="45" t="str">
        <f t="shared" si="4"/>
        <v xml:space="preserve"> -</v>
      </c>
    </row>
    <row r="18" spans="2:20" ht="46" thickBot="1">
      <c r="B18" s="212"/>
      <c r="C18" s="209"/>
      <c r="D18" s="74" t="s">
        <v>41</v>
      </c>
      <c r="E18" s="57">
        <v>43466</v>
      </c>
      <c r="F18" s="81">
        <v>43830</v>
      </c>
      <c r="G18" s="58" t="s">
        <v>34</v>
      </c>
      <c r="H18" s="59">
        <v>7350</v>
      </c>
      <c r="I18" s="42">
        <f>+J18+('2018'!I18-'2018'!K18)</f>
        <v>-12787</v>
      </c>
      <c r="J18" s="59">
        <v>1850</v>
      </c>
      <c r="K18" s="60"/>
      <c r="L18" s="71">
        <f t="shared" si="0"/>
        <v>0</v>
      </c>
      <c r="M18" s="72">
        <f t="shared" si="1"/>
        <v>-119.00277777777778</v>
      </c>
      <c r="N18" s="73">
        <f t="shared" si="2"/>
        <v>0</v>
      </c>
      <c r="O18" s="86">
        <v>5430102</v>
      </c>
      <c r="P18" s="59">
        <v>180000</v>
      </c>
      <c r="Q18" s="59"/>
      <c r="R18" s="59"/>
      <c r="S18" s="61">
        <f t="shared" si="3"/>
        <v>0</v>
      </c>
      <c r="T18" s="63" t="str">
        <f t="shared" si="4"/>
        <v xml:space="preserve"> -</v>
      </c>
    </row>
    <row r="19" spans="2:20" ht="30">
      <c r="B19" s="212"/>
      <c r="C19" s="209"/>
      <c r="D19" s="222" t="s">
        <v>42</v>
      </c>
      <c r="E19" s="38">
        <v>43466</v>
      </c>
      <c r="F19" s="79">
        <v>43830</v>
      </c>
      <c r="G19" s="10" t="s">
        <v>35</v>
      </c>
      <c r="H19" s="16">
        <v>1</v>
      </c>
      <c r="I19" s="75">
        <f>+J19+('2018'!I19-'2018'!K19)</f>
        <v>0.48000000000000004</v>
      </c>
      <c r="J19" s="16">
        <v>0.45</v>
      </c>
      <c r="K19" s="16"/>
      <c r="L19" s="68">
        <f t="shared" si="0"/>
        <v>0</v>
      </c>
      <c r="M19" s="69">
        <f t="shared" si="1"/>
        <v>-119.00277777777778</v>
      </c>
      <c r="N19" s="70">
        <f t="shared" si="2"/>
        <v>0</v>
      </c>
      <c r="O19" s="84">
        <v>5439002</v>
      </c>
      <c r="P19" s="39">
        <v>300000</v>
      </c>
      <c r="Q19" s="39"/>
      <c r="R19" s="39"/>
      <c r="S19" s="16">
        <f t="shared" si="3"/>
        <v>0</v>
      </c>
      <c r="T19" s="15" t="str">
        <f t="shared" si="4"/>
        <v xml:space="preserve"> -</v>
      </c>
    </row>
    <row r="20" spans="2:20" ht="45">
      <c r="B20" s="212"/>
      <c r="C20" s="209"/>
      <c r="D20" s="223"/>
      <c r="E20" s="35">
        <v>43466</v>
      </c>
      <c r="F20" s="77">
        <v>43830</v>
      </c>
      <c r="G20" s="9" t="s">
        <v>36</v>
      </c>
      <c r="H20" s="20">
        <v>1</v>
      </c>
      <c r="I20" s="20">
        <f>+J20+('2018'!I20-'2018'!K20)</f>
        <v>0.91999999999999993</v>
      </c>
      <c r="J20" s="20">
        <v>0.75</v>
      </c>
      <c r="K20" s="20"/>
      <c r="L20" s="22">
        <f t="shared" si="0"/>
        <v>0</v>
      </c>
      <c r="M20" s="23">
        <f t="shared" si="1"/>
        <v>-119.00277777777778</v>
      </c>
      <c r="N20" s="21">
        <f t="shared" si="2"/>
        <v>0</v>
      </c>
      <c r="O20" s="87">
        <v>5439002</v>
      </c>
      <c r="P20" s="36">
        <v>0</v>
      </c>
      <c r="Q20" s="36"/>
      <c r="R20" s="36"/>
      <c r="S20" s="20" t="str">
        <f t="shared" si="3"/>
        <v xml:space="preserve"> -</v>
      </c>
      <c r="T20" s="21" t="str">
        <f t="shared" si="4"/>
        <v xml:space="preserve"> -</v>
      </c>
    </row>
    <row r="21" spans="2:20" ht="30">
      <c r="B21" s="212"/>
      <c r="C21" s="209"/>
      <c r="D21" s="223"/>
      <c r="E21" s="35">
        <v>43466</v>
      </c>
      <c r="F21" s="35">
        <v>43830</v>
      </c>
      <c r="G21" s="9" t="s">
        <v>37</v>
      </c>
      <c r="H21" s="36">
        <v>5000</v>
      </c>
      <c r="I21" s="36">
        <f>+J21+('2018'!I21-'2018'!K21)</f>
        <v>-1311</v>
      </c>
      <c r="J21" s="36">
        <v>2000</v>
      </c>
      <c r="K21" s="36"/>
      <c r="L21" s="22">
        <f t="shared" si="0"/>
        <v>0</v>
      </c>
      <c r="M21" s="23">
        <f t="shared" si="1"/>
        <v>-119.00277777777778</v>
      </c>
      <c r="N21" s="21">
        <f t="shared" si="2"/>
        <v>0</v>
      </c>
      <c r="O21" s="87">
        <v>5430101</v>
      </c>
      <c r="P21" s="36">
        <v>3250000</v>
      </c>
      <c r="Q21" s="36"/>
      <c r="R21" s="36"/>
      <c r="S21" s="20">
        <f t="shared" si="3"/>
        <v>0</v>
      </c>
      <c r="T21" s="21" t="str">
        <f t="shared" si="4"/>
        <v xml:space="preserve"> -</v>
      </c>
    </row>
    <row r="22" spans="2:20" ht="31" thickBot="1">
      <c r="B22" s="213"/>
      <c r="C22" s="210"/>
      <c r="D22" s="225"/>
      <c r="E22" s="41">
        <v>43466</v>
      </c>
      <c r="F22" s="41">
        <v>43830</v>
      </c>
      <c r="G22" s="12" t="s">
        <v>38</v>
      </c>
      <c r="H22" s="42">
        <v>3000</v>
      </c>
      <c r="I22" s="42">
        <f>+J22+('2018'!I22-'2018'!K22)</f>
        <v>1987</v>
      </c>
      <c r="J22" s="42">
        <v>2000</v>
      </c>
      <c r="K22" s="42"/>
      <c r="L22" s="64">
        <f t="shared" si="0"/>
        <v>0</v>
      </c>
      <c r="M22" s="65">
        <f t="shared" si="1"/>
        <v>-119.00277777777778</v>
      </c>
      <c r="N22" s="45">
        <f t="shared" si="2"/>
        <v>0</v>
      </c>
      <c r="O22" s="85">
        <v>5430101</v>
      </c>
      <c r="P22" s="42">
        <v>2850000</v>
      </c>
      <c r="Q22" s="42"/>
      <c r="R22" s="42"/>
      <c r="S22" s="43">
        <f t="shared" si="3"/>
        <v>0</v>
      </c>
      <c r="T22" s="45" t="str">
        <f t="shared" si="4"/>
        <v xml:space="preserve"> -</v>
      </c>
    </row>
    <row r="23" spans="2:20" ht="21" customHeight="1" thickBot="1">
      <c r="M23" s="29">
        <f>+AVERAGE(M12:M22)</f>
        <v>-119.00277777777775</v>
      </c>
      <c r="N23" s="30">
        <f>+AVERAGE(N12:N22)</f>
        <v>0</v>
      </c>
      <c r="O23" s="31"/>
      <c r="P23" s="32">
        <f>+SUM(P12:P22)</f>
        <v>13401000</v>
      </c>
      <c r="Q23" s="33">
        <f>+SUM(Q12:Q22)</f>
        <v>0</v>
      </c>
      <c r="R23" s="33">
        <f>+SUM(R12:R22)</f>
        <v>0</v>
      </c>
      <c r="S23" s="34">
        <f t="shared" si="3"/>
        <v>0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3" spans="2:25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</row>
    <row r="4" spans="2:25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46</v>
      </c>
      <c r="C8" s="24">
        <f>+'2018'!C8</f>
        <v>43434</v>
      </c>
      <c r="D8" s="187" t="s">
        <v>3</v>
      </c>
      <c r="E8" s="188"/>
      <c r="F8" s="188"/>
      <c r="G8" s="188"/>
      <c r="H8" s="228"/>
      <c r="I8" s="228"/>
      <c r="J8" s="228"/>
      <c r="K8" s="228"/>
      <c r="L8" s="228"/>
      <c r="M8" s="228"/>
      <c r="N8" s="18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0" t="s">
        <v>17</v>
      </c>
      <c r="C9" s="193" t="s">
        <v>18</v>
      </c>
      <c r="D9" s="195" t="s">
        <v>0</v>
      </c>
      <c r="E9" s="229" t="s">
        <v>5</v>
      </c>
      <c r="F9" s="230"/>
      <c r="G9" s="230"/>
      <c r="H9" s="230"/>
      <c r="I9" s="230"/>
      <c r="J9" s="230"/>
      <c r="K9" s="230"/>
      <c r="L9" s="230"/>
      <c r="M9" s="230"/>
      <c r="N9" s="231"/>
      <c r="O9" s="232" t="s">
        <v>48</v>
      </c>
      <c r="P9" s="233"/>
      <c r="Q9" s="233"/>
      <c r="R9" s="233"/>
      <c r="S9" s="234"/>
      <c r="T9" s="216" t="s">
        <v>47</v>
      </c>
      <c r="U9" s="217"/>
      <c r="V9" s="217"/>
      <c r="W9" s="217"/>
      <c r="X9" s="217"/>
      <c r="Y9" s="218"/>
    </row>
    <row r="10" spans="2:25" ht="17" customHeight="1">
      <c r="B10" s="191"/>
      <c r="C10" s="194"/>
      <c r="D10" s="196"/>
      <c r="E10" s="199" t="s">
        <v>7</v>
      </c>
      <c r="F10" s="203" t="s">
        <v>25</v>
      </c>
      <c r="G10" s="88" t="s">
        <v>1</v>
      </c>
      <c r="H10" s="90" t="s">
        <v>1</v>
      </c>
      <c r="I10" s="120" t="s">
        <v>1</v>
      </c>
      <c r="J10" s="120" t="s">
        <v>1</v>
      </c>
      <c r="K10" s="122" t="s">
        <v>8</v>
      </c>
      <c r="L10" s="120" t="s">
        <v>8</v>
      </c>
      <c r="M10" s="120" t="s">
        <v>8</v>
      </c>
      <c r="N10" s="89" t="s">
        <v>8</v>
      </c>
      <c r="O10" s="237">
        <v>2016</v>
      </c>
      <c r="P10" s="235">
        <v>2017</v>
      </c>
      <c r="Q10" s="241">
        <v>2018</v>
      </c>
      <c r="R10" s="243">
        <v>2019</v>
      </c>
      <c r="S10" s="239" t="s">
        <v>46</v>
      </c>
      <c r="T10" s="219"/>
      <c r="U10" s="220"/>
      <c r="V10" s="220"/>
      <c r="W10" s="220"/>
      <c r="X10" s="220"/>
      <c r="Y10" s="221"/>
    </row>
    <row r="11" spans="2:25" ht="37.5" customHeight="1" thickBot="1">
      <c r="B11" s="192"/>
      <c r="C11" s="194"/>
      <c r="D11" s="197"/>
      <c r="E11" s="203"/>
      <c r="F11" s="226"/>
      <c r="G11" s="92">
        <v>2016</v>
      </c>
      <c r="H11" s="123">
        <v>2017</v>
      </c>
      <c r="I11" s="121">
        <v>2018</v>
      </c>
      <c r="J11" s="121">
        <v>2019</v>
      </c>
      <c r="K11" s="124">
        <v>2016</v>
      </c>
      <c r="L11" s="123">
        <v>2017</v>
      </c>
      <c r="M11" s="121">
        <v>2018</v>
      </c>
      <c r="N11" s="125">
        <v>2019</v>
      </c>
      <c r="O11" s="238"/>
      <c r="P11" s="236"/>
      <c r="Q11" s="242"/>
      <c r="R11" s="244"/>
      <c r="S11" s="240"/>
      <c r="T11" s="91" t="s">
        <v>23</v>
      </c>
      <c r="U11" s="27" t="s">
        <v>20</v>
      </c>
      <c r="V11" s="28" t="s">
        <v>21</v>
      </c>
      <c r="W11" s="17" t="s">
        <v>22</v>
      </c>
      <c r="X11" s="17" t="s">
        <v>14</v>
      </c>
      <c r="Y11" s="18" t="s">
        <v>15</v>
      </c>
    </row>
    <row r="12" spans="2:25" ht="45">
      <c r="B12" s="211" t="s">
        <v>44</v>
      </c>
      <c r="C12" s="208" t="s">
        <v>43</v>
      </c>
      <c r="D12" s="222" t="s">
        <v>39</v>
      </c>
      <c r="E12" s="8" t="s">
        <v>27</v>
      </c>
      <c r="F12" s="39">
        <v>850</v>
      </c>
      <c r="G12" s="39">
        <f>'2016'!J12</f>
        <v>50</v>
      </c>
      <c r="H12" s="46">
        <f>'2017'!J12</f>
        <v>130</v>
      </c>
      <c r="I12" s="46">
        <f>'2018'!J12</f>
        <v>110</v>
      </c>
      <c r="J12" s="46">
        <f>'2019'!J12</f>
        <v>560</v>
      </c>
      <c r="K12" s="130">
        <f>'2016'!K12</f>
        <v>801</v>
      </c>
      <c r="L12" s="46">
        <f>'2017'!K12</f>
        <v>267</v>
      </c>
      <c r="M12" s="46">
        <f>'2018'!K12</f>
        <v>60</v>
      </c>
      <c r="N12" s="131">
        <f>'2019'!K12</f>
        <v>0</v>
      </c>
      <c r="O12" s="93">
        <f>'2016'!N12</f>
        <v>1</v>
      </c>
      <c r="P12" s="94">
        <f>'2017'!N12</f>
        <v>1</v>
      </c>
      <c r="Q12" s="105">
        <f>'2018'!N12</f>
        <v>0.54545454545454541</v>
      </c>
      <c r="R12" s="94">
        <f>'2019'!N12</f>
        <v>0</v>
      </c>
      <c r="S12" s="114">
        <v>1</v>
      </c>
      <c r="T12" s="82" t="s">
        <v>68</v>
      </c>
      <c r="U12" s="39">
        <f>+'2016'!P12+'2017'!P12</f>
        <v>2230334</v>
      </c>
      <c r="V12" s="39">
        <f>+'2016'!Q12+'2017'!Q12</f>
        <v>1711379</v>
      </c>
      <c r="W12" s="39">
        <f>+'2016'!R12+'2017'!R12</f>
        <v>2675085</v>
      </c>
      <c r="X12" s="16">
        <f>IF(U12=0," -",V12/U12)</f>
        <v>0.76731960325224835</v>
      </c>
      <c r="Y12" s="15">
        <f>IF(W12=0," -",IF(V12=0,100%,W12/V12))</f>
        <v>1.5631166445305218</v>
      </c>
    </row>
    <row r="13" spans="2:25" ht="30">
      <c r="B13" s="212"/>
      <c r="C13" s="209"/>
      <c r="D13" s="223"/>
      <c r="E13" s="9" t="s">
        <v>29</v>
      </c>
      <c r="F13" s="36">
        <v>1000</v>
      </c>
      <c r="G13" s="36">
        <f>'2016'!J14</f>
        <v>200</v>
      </c>
      <c r="H13" s="47">
        <f>'2017'!J14</f>
        <v>300</v>
      </c>
      <c r="I13" s="47">
        <f>'2018'!J13</f>
        <v>250</v>
      </c>
      <c r="J13" s="47">
        <f>'2019'!J13</f>
        <v>250</v>
      </c>
      <c r="K13" s="132">
        <f>'2016'!K14</f>
        <v>300</v>
      </c>
      <c r="L13" s="47">
        <f>'2017'!K14</f>
        <v>340</v>
      </c>
      <c r="M13" s="47">
        <f>'2018'!K13</f>
        <v>153</v>
      </c>
      <c r="N13" s="133">
        <f>'2019'!K13</f>
        <v>0</v>
      </c>
      <c r="O13" s="95">
        <f>'2016'!N14</f>
        <v>1</v>
      </c>
      <c r="P13" s="96">
        <f>'2017'!N14</f>
        <v>1</v>
      </c>
      <c r="Q13" s="106">
        <f>'2018'!N13</f>
        <v>0.61199999999999999</v>
      </c>
      <c r="R13" s="96">
        <f>'2019'!N13</f>
        <v>0</v>
      </c>
      <c r="S13" s="115">
        <v>0.79300000000000004</v>
      </c>
      <c r="T13" s="83" t="s">
        <v>70</v>
      </c>
      <c r="U13" s="36">
        <f>+'2016'!P14+'2017'!P14</f>
        <v>2320847</v>
      </c>
      <c r="V13" s="36">
        <f>+'2016'!Q14+'2017'!Q14</f>
        <v>1256130</v>
      </c>
      <c r="W13" s="36">
        <f>+'2016'!R14+'2017'!R14</f>
        <v>154278</v>
      </c>
      <c r="X13" s="20">
        <f t="shared" ref="X13:X23" si="0">IF(U13=0," -",V13/U13)</f>
        <v>0.54123774639172684</v>
      </c>
      <c r="Y13" s="21">
        <f t="shared" ref="Y13:Y23" si="1">IF(W13=0," -",IF(V13=0,100%,W13/V13))</f>
        <v>0.12282009027728022</v>
      </c>
    </row>
    <row r="14" spans="2:25" ht="30">
      <c r="B14" s="212"/>
      <c r="C14" s="209"/>
      <c r="D14" s="223"/>
      <c r="E14" s="9" t="s">
        <v>30</v>
      </c>
      <c r="F14" s="36">
        <v>100</v>
      </c>
      <c r="G14" s="36">
        <f>'2016'!J15</f>
        <v>10</v>
      </c>
      <c r="H14" s="47">
        <f>'2017'!J15</f>
        <v>40</v>
      </c>
      <c r="I14" s="47">
        <f>'2018'!J14</f>
        <v>25</v>
      </c>
      <c r="J14" s="47">
        <f>'2019'!J14</f>
        <v>25</v>
      </c>
      <c r="K14" s="132">
        <f>'2016'!K15</f>
        <v>30</v>
      </c>
      <c r="L14" s="47">
        <f>'2017'!K15</f>
        <v>118</v>
      </c>
      <c r="M14" s="47">
        <f>'2018'!K14</f>
        <v>25</v>
      </c>
      <c r="N14" s="133">
        <f>'2019'!K14</f>
        <v>0</v>
      </c>
      <c r="O14" s="95">
        <f>'2016'!N15</f>
        <v>1</v>
      </c>
      <c r="P14" s="96">
        <f>'2017'!N15</f>
        <v>1</v>
      </c>
      <c r="Q14" s="106">
        <f>'2018'!N14</f>
        <v>1</v>
      </c>
      <c r="R14" s="96">
        <f>'2019'!N14</f>
        <v>0</v>
      </c>
      <c r="S14" s="115">
        <v>1</v>
      </c>
      <c r="T14" s="83" t="s">
        <v>70</v>
      </c>
      <c r="U14" s="36">
        <f>+'2016'!P15+'2017'!P15</f>
        <v>68389</v>
      </c>
      <c r="V14" s="36">
        <f>+'2016'!Q15+'2017'!Q15</f>
        <v>25288</v>
      </c>
      <c r="W14" s="36">
        <f>+'2016'!R15+'2017'!R15</f>
        <v>0</v>
      </c>
      <c r="X14" s="20">
        <f t="shared" si="0"/>
        <v>0.36976706780330171</v>
      </c>
      <c r="Y14" s="21" t="str">
        <f t="shared" si="1"/>
        <v xml:space="preserve"> -</v>
      </c>
    </row>
    <row r="15" spans="2:25" ht="76" thickBot="1">
      <c r="B15" s="212"/>
      <c r="C15" s="209"/>
      <c r="D15" s="224"/>
      <c r="E15" s="56" t="s">
        <v>31</v>
      </c>
      <c r="F15" s="51">
        <v>1</v>
      </c>
      <c r="G15" s="51">
        <f>'2016'!J16</f>
        <v>1</v>
      </c>
      <c r="H15" s="52">
        <f>'2017'!J16</f>
        <v>1</v>
      </c>
      <c r="I15" s="52">
        <f>'2018'!J15</f>
        <v>1</v>
      </c>
      <c r="J15" s="52">
        <f>'2019'!J15</f>
        <v>1</v>
      </c>
      <c r="K15" s="134">
        <f>'2016'!K16</f>
        <v>1</v>
      </c>
      <c r="L15" s="52">
        <f>'2017'!K16</f>
        <v>1</v>
      </c>
      <c r="M15" s="52">
        <f>'2018'!K15</f>
        <v>1</v>
      </c>
      <c r="N15" s="135">
        <f>'2019'!K15</f>
        <v>0</v>
      </c>
      <c r="O15" s="97">
        <f>'2016'!N16</f>
        <v>1</v>
      </c>
      <c r="P15" s="98">
        <f>'2017'!N16</f>
        <v>1</v>
      </c>
      <c r="Q15" s="107">
        <f>'2018'!N15</f>
        <v>1</v>
      </c>
      <c r="R15" s="98">
        <f>'2019'!N15</f>
        <v>0</v>
      </c>
      <c r="S15" s="116">
        <v>0.75</v>
      </c>
      <c r="T15" s="27">
        <v>5430102</v>
      </c>
      <c r="U15" s="42">
        <f>+'2016'!P16+'2017'!P16</f>
        <v>84650</v>
      </c>
      <c r="V15" s="42">
        <f>+'2016'!Q16+'2017'!Q16</f>
        <v>34650</v>
      </c>
      <c r="W15" s="42">
        <f>+'2016'!R16+'2017'!R16</f>
        <v>0</v>
      </c>
      <c r="X15" s="53">
        <f t="shared" si="0"/>
        <v>0.40933254577672773</v>
      </c>
      <c r="Y15" s="55" t="str">
        <f t="shared" si="1"/>
        <v xml:space="preserve"> -</v>
      </c>
    </row>
    <row r="16" spans="2:25" ht="45">
      <c r="B16" s="212"/>
      <c r="C16" s="209"/>
      <c r="D16" s="222" t="s">
        <v>40</v>
      </c>
      <c r="E16" s="10" t="s">
        <v>32</v>
      </c>
      <c r="F16" s="16">
        <v>1</v>
      </c>
      <c r="G16" s="16">
        <f>'2016'!J17</f>
        <v>0.1</v>
      </c>
      <c r="H16" s="16">
        <f>'2017'!J17</f>
        <v>0.4</v>
      </c>
      <c r="I16" s="16">
        <f>'2018'!J16</f>
        <v>0.5</v>
      </c>
      <c r="J16" s="126">
        <f>'2019'!J16</f>
        <v>0</v>
      </c>
      <c r="K16" s="14">
        <f>'2016'!K17</f>
        <v>0.1</v>
      </c>
      <c r="L16" s="16">
        <f>'2017'!K17</f>
        <v>0.4</v>
      </c>
      <c r="M16" s="16">
        <f>'2018'!K16</f>
        <v>0.44</v>
      </c>
      <c r="N16" s="15">
        <f>'2019'!K16</f>
        <v>0</v>
      </c>
      <c r="O16" s="93">
        <f>'2016'!N17</f>
        <v>1</v>
      </c>
      <c r="P16" s="94">
        <f>'2017'!N17</f>
        <v>1</v>
      </c>
      <c r="Q16" s="105">
        <f>'2018'!N16</f>
        <v>0.88</v>
      </c>
      <c r="R16" s="94" t="str">
        <f>'2019'!N16</f>
        <v xml:space="preserve"> -</v>
      </c>
      <c r="S16" s="114">
        <v>0.94</v>
      </c>
      <c r="T16" s="84">
        <v>5430101</v>
      </c>
      <c r="U16" s="76">
        <f>+'2016'!P17+'2017'!P17</f>
        <v>949045</v>
      </c>
      <c r="V16" s="76">
        <f>+'2016'!Q17+'2017'!Q17</f>
        <v>176498</v>
      </c>
      <c r="W16" s="76">
        <f>+'2016'!R17+'2017'!R17</f>
        <v>0</v>
      </c>
      <c r="X16" s="16">
        <f t="shared" si="0"/>
        <v>0.18597432155482616</v>
      </c>
      <c r="Y16" s="15" t="str">
        <f t="shared" si="1"/>
        <v xml:space="preserve"> -</v>
      </c>
    </row>
    <row r="17" spans="2:25" ht="46" thickBot="1">
      <c r="B17" s="212"/>
      <c r="C17" s="209"/>
      <c r="D17" s="225"/>
      <c r="E17" s="11" t="s">
        <v>33</v>
      </c>
      <c r="F17" s="43">
        <v>1</v>
      </c>
      <c r="G17" s="43">
        <f>'2016'!J18</f>
        <v>0.1</v>
      </c>
      <c r="H17" s="43">
        <f>'2017'!J18</f>
        <v>0.4</v>
      </c>
      <c r="I17" s="43">
        <f>'2018'!J17</f>
        <v>0</v>
      </c>
      <c r="J17" s="127">
        <f>'2019'!J17</f>
        <v>0.5</v>
      </c>
      <c r="K17" s="65">
        <f>'2016'!K18</f>
        <v>0.1</v>
      </c>
      <c r="L17" s="43">
        <f>'2017'!K18</f>
        <v>0.4</v>
      </c>
      <c r="M17" s="43">
        <f>'2018'!K17</f>
        <v>0</v>
      </c>
      <c r="N17" s="45">
        <f>'2019'!K17</f>
        <v>0</v>
      </c>
      <c r="O17" s="99">
        <f>'2016'!N18</f>
        <v>1</v>
      </c>
      <c r="P17" s="100">
        <f>'2017'!N18</f>
        <v>1</v>
      </c>
      <c r="Q17" s="108" t="str">
        <f>'2018'!N17</f>
        <v xml:space="preserve"> -</v>
      </c>
      <c r="R17" s="100">
        <f>'2019'!N17</f>
        <v>0</v>
      </c>
      <c r="S17" s="117">
        <v>0.5</v>
      </c>
      <c r="T17" s="85">
        <v>5430101</v>
      </c>
      <c r="U17" s="42">
        <f>+'2016'!P18+'2017'!P18</f>
        <v>537298</v>
      </c>
      <c r="V17" s="42">
        <f>+'2016'!Q18+'2017'!Q18</f>
        <v>421886</v>
      </c>
      <c r="W17" s="42">
        <f>+'2016'!R18+'2017'!R18</f>
        <v>0</v>
      </c>
      <c r="X17" s="43">
        <f t="shared" si="0"/>
        <v>0.78519927489028429</v>
      </c>
      <c r="Y17" s="45" t="str">
        <f t="shared" si="1"/>
        <v xml:space="preserve"> -</v>
      </c>
    </row>
    <row r="18" spans="2:25" ht="46" thickBot="1">
      <c r="B18" s="212"/>
      <c r="C18" s="209"/>
      <c r="D18" s="74" t="s">
        <v>41</v>
      </c>
      <c r="E18" s="58" t="s">
        <v>34</v>
      </c>
      <c r="F18" s="59">
        <v>7350</v>
      </c>
      <c r="G18" s="59">
        <f>'2016'!J19</f>
        <v>1800</v>
      </c>
      <c r="H18" s="60">
        <f>'2017'!J19</f>
        <v>1850</v>
      </c>
      <c r="I18" s="60">
        <f>'2018'!J18</f>
        <v>1850</v>
      </c>
      <c r="J18" s="60">
        <f>'2019'!J18</f>
        <v>1850</v>
      </c>
      <c r="K18" s="136">
        <f>'2016'!K19</f>
        <v>8659</v>
      </c>
      <c r="L18" s="60">
        <f>'2017'!K19</f>
        <v>6039</v>
      </c>
      <c r="M18" s="60">
        <f>'2018'!K18</f>
        <v>5439</v>
      </c>
      <c r="N18" s="137">
        <f>'2019'!K18</f>
        <v>0</v>
      </c>
      <c r="O18" s="101">
        <f>'2016'!N19</f>
        <v>1</v>
      </c>
      <c r="P18" s="102">
        <f>'2017'!N19</f>
        <v>1</v>
      </c>
      <c r="Q18" s="109">
        <f>'2018'!N18</f>
        <v>1</v>
      </c>
      <c r="R18" s="102">
        <f>'2019'!N18</f>
        <v>0</v>
      </c>
      <c r="S18" s="118">
        <v>1</v>
      </c>
      <c r="T18" s="86">
        <v>5430102</v>
      </c>
      <c r="U18" s="42">
        <f>+'2016'!P19+'2017'!P19</f>
        <v>222930</v>
      </c>
      <c r="V18" s="42">
        <f>+'2016'!Q19+'2017'!Q19</f>
        <v>83998</v>
      </c>
      <c r="W18" s="42">
        <f>+'2016'!R19+'2017'!R19</f>
        <v>0</v>
      </c>
      <c r="X18" s="61">
        <f t="shared" si="0"/>
        <v>0.37679092091687971</v>
      </c>
      <c r="Y18" s="63" t="str">
        <f t="shared" si="1"/>
        <v xml:space="preserve"> -</v>
      </c>
    </row>
    <row r="19" spans="2:25" ht="30">
      <c r="B19" s="212"/>
      <c r="C19" s="209"/>
      <c r="D19" s="222" t="s">
        <v>42</v>
      </c>
      <c r="E19" s="10" t="s">
        <v>35</v>
      </c>
      <c r="F19" s="16">
        <v>1</v>
      </c>
      <c r="G19" s="16">
        <f>'2016'!J20</f>
        <v>0.1</v>
      </c>
      <c r="H19" s="16">
        <f>'2017'!J20</f>
        <v>0.4</v>
      </c>
      <c r="I19" s="16">
        <f>'2018'!J19</f>
        <v>0.05</v>
      </c>
      <c r="J19" s="126">
        <f>'2019'!J19</f>
        <v>0.45</v>
      </c>
      <c r="K19" s="14">
        <f>'2016'!K20</f>
        <v>0.1</v>
      </c>
      <c r="L19" s="16">
        <f>'2017'!K20</f>
        <v>0.4</v>
      </c>
      <c r="M19" s="16">
        <f>'2018'!K19</f>
        <v>0.02</v>
      </c>
      <c r="N19" s="15">
        <f>'2019'!K19</f>
        <v>0</v>
      </c>
      <c r="O19" s="103">
        <f>'2016'!N20</f>
        <v>1</v>
      </c>
      <c r="P19" s="104">
        <f>'2017'!N20</f>
        <v>1</v>
      </c>
      <c r="Q19" s="110">
        <f>'2018'!N19</f>
        <v>0.39999999999999997</v>
      </c>
      <c r="R19" s="104">
        <f>'2019'!N19</f>
        <v>0</v>
      </c>
      <c r="S19" s="119">
        <v>0.52</v>
      </c>
      <c r="T19" s="84">
        <v>5439002</v>
      </c>
      <c r="U19" s="76">
        <f>+'2016'!P20+'2017'!P20</f>
        <v>247440</v>
      </c>
      <c r="V19" s="76">
        <f>+'2016'!Q20+'2017'!Q20</f>
        <v>157531</v>
      </c>
      <c r="W19" s="76">
        <f>+'2016'!R20+'2017'!R20</f>
        <v>0</v>
      </c>
      <c r="X19" s="16">
        <f t="shared" si="0"/>
        <v>0.63664322664080186</v>
      </c>
      <c r="Y19" s="15" t="str">
        <f t="shared" si="1"/>
        <v xml:space="preserve"> -</v>
      </c>
    </row>
    <row r="20" spans="2:25" ht="45">
      <c r="B20" s="212"/>
      <c r="C20" s="209"/>
      <c r="D20" s="223"/>
      <c r="E20" s="9" t="s">
        <v>36</v>
      </c>
      <c r="F20" s="20">
        <v>1</v>
      </c>
      <c r="G20" s="20">
        <f>'2016'!J21</f>
        <v>0</v>
      </c>
      <c r="H20" s="20">
        <f>'2017'!J21</f>
        <v>0.1</v>
      </c>
      <c r="I20" s="20">
        <f>'2018'!J20</f>
        <v>0.15</v>
      </c>
      <c r="J20" s="128">
        <f>'2019'!J20</f>
        <v>0.75</v>
      </c>
      <c r="K20" s="23">
        <f>'2016'!K21</f>
        <v>0</v>
      </c>
      <c r="L20" s="20">
        <f>'2017'!K21</f>
        <v>0.08</v>
      </c>
      <c r="M20" s="20">
        <f>'2018'!K20</f>
        <v>0</v>
      </c>
      <c r="N20" s="21">
        <f>'2019'!K20</f>
        <v>0</v>
      </c>
      <c r="O20" s="95" t="str">
        <f>'2016'!N21</f>
        <v xml:space="preserve"> -</v>
      </c>
      <c r="P20" s="96">
        <f>'2017'!N21</f>
        <v>0.79999999999999993</v>
      </c>
      <c r="Q20" s="106">
        <f>'2018'!N20</f>
        <v>0</v>
      </c>
      <c r="R20" s="96">
        <f>'2019'!N20</f>
        <v>0</v>
      </c>
      <c r="S20" s="115">
        <v>0.08</v>
      </c>
      <c r="T20" s="87">
        <v>5439002</v>
      </c>
      <c r="U20" s="36">
        <f>+'2016'!P21+'2017'!P21</f>
        <v>60000</v>
      </c>
      <c r="V20" s="36">
        <f>+'2016'!Q21+'2017'!Q21</f>
        <v>24698</v>
      </c>
      <c r="W20" s="36">
        <f>+'2016'!R21+'2017'!R21</f>
        <v>0</v>
      </c>
      <c r="X20" s="20">
        <f t="shared" si="0"/>
        <v>0.41163333333333335</v>
      </c>
      <c r="Y20" s="21" t="str">
        <f t="shared" si="1"/>
        <v xml:space="preserve"> -</v>
      </c>
    </row>
    <row r="21" spans="2:25" ht="30">
      <c r="B21" s="212"/>
      <c r="C21" s="209"/>
      <c r="D21" s="223"/>
      <c r="E21" s="9" t="s">
        <v>37</v>
      </c>
      <c r="F21" s="36">
        <v>5000</v>
      </c>
      <c r="G21" s="36">
        <f>'2016'!J22</f>
        <v>500</v>
      </c>
      <c r="H21" s="36">
        <f>'2017'!J22</f>
        <v>1000</v>
      </c>
      <c r="I21" s="36">
        <f>'2018'!J21</f>
        <v>1500</v>
      </c>
      <c r="J21" s="47">
        <f>'2019'!J21</f>
        <v>2000</v>
      </c>
      <c r="K21" s="138">
        <f>'2016'!K22</f>
        <v>960</v>
      </c>
      <c r="L21" s="36">
        <f>'2017'!K22</f>
        <v>1334</v>
      </c>
      <c r="M21" s="36">
        <f>'2018'!K21</f>
        <v>4017</v>
      </c>
      <c r="N21" s="133">
        <f>'2019'!K21</f>
        <v>0</v>
      </c>
      <c r="O21" s="95">
        <f>'2016'!N22</f>
        <v>1</v>
      </c>
      <c r="P21" s="96">
        <f>'2017'!N22</f>
        <v>1</v>
      </c>
      <c r="Q21" s="106">
        <f>'2018'!N21</f>
        <v>1</v>
      </c>
      <c r="R21" s="96">
        <f>'2019'!N21</f>
        <v>0</v>
      </c>
      <c r="S21" s="115">
        <v>1</v>
      </c>
      <c r="T21" s="87">
        <v>5430101</v>
      </c>
      <c r="U21" s="36">
        <f>+'2016'!P22+'2017'!P22</f>
        <v>8746196</v>
      </c>
      <c r="V21" s="36">
        <f>+'2016'!Q22+'2017'!Q22</f>
        <v>3286981</v>
      </c>
      <c r="W21" s="36">
        <f>+'2016'!R22+'2017'!R22</f>
        <v>800000</v>
      </c>
      <c r="X21" s="20">
        <f t="shared" si="0"/>
        <v>0.37581835577432748</v>
      </c>
      <c r="Y21" s="21">
        <f t="shared" si="1"/>
        <v>0.24338443088049488</v>
      </c>
    </row>
    <row r="22" spans="2:25" ht="31" thickBot="1">
      <c r="B22" s="213"/>
      <c r="C22" s="210"/>
      <c r="D22" s="225"/>
      <c r="E22" s="12" t="s">
        <v>38</v>
      </c>
      <c r="F22" s="42">
        <v>3000</v>
      </c>
      <c r="G22" s="42">
        <f>'2016'!J23</f>
        <v>0</v>
      </c>
      <c r="H22" s="42">
        <f>'2017'!J23</f>
        <v>500</v>
      </c>
      <c r="I22" s="42">
        <f>'2018'!J22</f>
        <v>500</v>
      </c>
      <c r="J22" s="129">
        <f>'2019'!J22</f>
        <v>2000</v>
      </c>
      <c r="K22" s="139">
        <f>'2016'!K23</f>
        <v>0</v>
      </c>
      <c r="L22" s="42">
        <f>'2017'!K23</f>
        <v>491</v>
      </c>
      <c r="M22" s="42">
        <f>'2018'!K22</f>
        <v>522</v>
      </c>
      <c r="N22" s="140">
        <f>'2019'!K22</f>
        <v>0</v>
      </c>
      <c r="O22" s="99" t="str">
        <f>'2016'!N23</f>
        <v xml:space="preserve"> -</v>
      </c>
      <c r="P22" s="100">
        <f>'2017'!N23</f>
        <v>0.98199999999999998</v>
      </c>
      <c r="Q22" s="108">
        <f>'2018'!N22</f>
        <v>1</v>
      </c>
      <c r="R22" s="100">
        <f>'2019'!N22</f>
        <v>0</v>
      </c>
      <c r="S22" s="117">
        <v>0.33766666666666667</v>
      </c>
      <c r="T22" s="85">
        <v>5430101</v>
      </c>
      <c r="U22" s="51">
        <f>+'2016'!P23+'2017'!P23</f>
        <v>1625025</v>
      </c>
      <c r="V22" s="51">
        <f>+'2016'!Q23+'2017'!Q23</f>
        <v>1131678</v>
      </c>
      <c r="W22" s="51">
        <f>+'2016'!R23+'2017'!R23</f>
        <v>0</v>
      </c>
      <c r="X22" s="53">
        <f t="shared" si="0"/>
        <v>0.69640651682281807</v>
      </c>
      <c r="Y22" s="55" t="str">
        <f t="shared" si="1"/>
        <v xml:space="preserve"> -</v>
      </c>
    </row>
    <row r="23" spans="2:25" ht="21" customHeight="1" thickBot="1">
      <c r="O23" s="112">
        <f>+AVERAGE(O12:O22)</f>
        <v>1</v>
      </c>
      <c r="P23" s="111">
        <f t="shared" ref="P23:R23" si="2">+AVERAGE(P12:P22)</f>
        <v>0.98018181818181815</v>
      </c>
      <c r="Q23" s="111">
        <f t="shared" si="2"/>
        <v>0.7437454545454546</v>
      </c>
      <c r="R23" s="111">
        <f t="shared" si="2"/>
        <v>0</v>
      </c>
      <c r="S23" s="113">
        <f>+AVERAGE(S12:S22)</f>
        <v>0.72006060606060607</v>
      </c>
      <c r="T23" s="31"/>
      <c r="U23" s="175">
        <f>+SUM(U12:U22)</f>
        <v>17092154</v>
      </c>
      <c r="V23" s="176">
        <f>+SUM(V12:V22)</f>
        <v>8310717</v>
      </c>
      <c r="W23" s="176">
        <f>+SUM(W12:W22)</f>
        <v>3629363</v>
      </c>
      <c r="X23" s="184">
        <f t="shared" si="0"/>
        <v>0.48622993918730195</v>
      </c>
      <c r="Y23" s="113">
        <f t="shared" si="1"/>
        <v>0.43670877013379233</v>
      </c>
    </row>
  </sheetData>
  <mergeCells count="22">
    <mergeCell ref="R10:R11"/>
    <mergeCell ref="B12:B22"/>
    <mergeCell ref="C12:C22"/>
    <mergeCell ref="D12:D15"/>
    <mergeCell ref="D16:D17"/>
    <mergeCell ref="D19:D22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53" t="s">
        <v>67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15" ht="16" thickBot="1">
      <c r="C4" s="141"/>
      <c r="D4" s="141"/>
      <c r="E4" s="141"/>
      <c r="F4" s="141"/>
      <c r="G4" s="141"/>
      <c r="H4" s="141"/>
      <c r="I4" s="141"/>
    </row>
    <row r="5" spans="2:15" ht="19" customHeight="1">
      <c r="C5" s="141"/>
      <c r="D5" s="141"/>
      <c r="E5" s="256" t="s">
        <v>49</v>
      </c>
      <c r="F5" s="257"/>
      <c r="G5" s="257"/>
      <c r="H5" s="257"/>
      <c r="I5" s="260" t="s">
        <v>48</v>
      </c>
      <c r="J5" s="261"/>
      <c r="K5" s="264" t="s">
        <v>50</v>
      </c>
      <c r="L5" s="265"/>
      <c r="M5" s="265"/>
      <c r="N5" s="265"/>
      <c r="O5" s="266"/>
    </row>
    <row r="6" spans="2:15" ht="19" customHeight="1" thickBot="1">
      <c r="E6" s="258"/>
      <c r="F6" s="259"/>
      <c r="G6" s="259"/>
      <c r="H6" s="259"/>
      <c r="I6" s="262"/>
      <c r="J6" s="263"/>
      <c r="K6" s="267" t="s">
        <v>46</v>
      </c>
      <c r="L6" s="268"/>
      <c r="M6" s="268"/>
      <c r="N6" s="268"/>
      <c r="O6" s="269"/>
    </row>
    <row r="7" spans="2:15" ht="32" customHeight="1" thickBot="1">
      <c r="C7" s="274"/>
      <c r="D7" s="275"/>
      <c r="E7" s="142">
        <v>2016</v>
      </c>
      <c r="F7" s="143">
        <v>2017</v>
      </c>
      <c r="G7" s="143">
        <v>2018</v>
      </c>
      <c r="H7" s="143">
        <v>2019</v>
      </c>
      <c r="I7" s="245" t="s">
        <v>46</v>
      </c>
      <c r="J7" s="246"/>
      <c r="K7" s="144" t="s">
        <v>51</v>
      </c>
      <c r="L7" s="145" t="s">
        <v>52</v>
      </c>
      <c r="M7" s="145" t="s">
        <v>53</v>
      </c>
      <c r="N7" s="145" t="s">
        <v>54</v>
      </c>
      <c r="O7" s="146" t="s">
        <v>55</v>
      </c>
    </row>
    <row r="8" spans="2:15" ht="22" customHeight="1" thickBot="1">
      <c r="B8" s="147">
        <v>2</v>
      </c>
      <c r="C8" s="247" t="s">
        <v>56</v>
      </c>
      <c r="D8" s="248"/>
      <c r="E8" s="165">
        <f>+IF(SUM('2016 - 2019'!G12:G22)&gt;0,AVERAGE('2016 - 2019'!O12:O22)," -")</f>
        <v>1</v>
      </c>
      <c r="F8" s="165">
        <f>+IF(SUM('2016 - 2019'!H12:H22)&gt;0,AVERAGE('2016 - 2019'!P12:P22)," -")</f>
        <v>0.98018181818181815</v>
      </c>
      <c r="G8" s="165">
        <f>+IF(SUM('2016 - 2019'!I12:I22)&gt;0,AVERAGE('2016 - 2019'!Q12:Q22)," -")</f>
        <v>0.7437454545454546</v>
      </c>
      <c r="H8" s="165">
        <f>+IF(SUM('2016 - 2019'!J12:J22)&gt;0,AVERAGE('2016 - 2019'!R12:R22)," -")</f>
        <v>0</v>
      </c>
      <c r="I8" s="166">
        <f>+AVERAGE('2016 - 2019'!S12:S22)</f>
        <v>0.72006060606060607</v>
      </c>
      <c r="J8" s="167">
        <f t="shared" ref="J8:J13" si="0">+I8</f>
        <v>0.72006060606060607</v>
      </c>
      <c r="K8" s="168">
        <f>+K9</f>
        <v>17092154</v>
      </c>
      <c r="L8" s="169">
        <f t="shared" ref="L8:M8" si="1">+L9</f>
        <v>8310717</v>
      </c>
      <c r="M8" s="169">
        <f t="shared" si="1"/>
        <v>3629363</v>
      </c>
      <c r="N8" s="170">
        <f t="shared" ref="N8:N13" si="2">IF(K8=0,"-",+L8/K8)</f>
        <v>0.48622993918730195</v>
      </c>
      <c r="O8" s="171">
        <f t="shared" ref="O8:O13" si="3">IF(M8=0," -",IF(L8=0,100%,M8/L8))</f>
        <v>0.43670877013379233</v>
      </c>
    </row>
    <row r="9" spans="2:15" ht="20" customHeight="1">
      <c r="B9" s="148" t="s">
        <v>57</v>
      </c>
      <c r="C9" s="249" t="s">
        <v>43</v>
      </c>
      <c r="D9" s="250"/>
      <c r="E9" s="155">
        <f>+IF(SUM('2016 - 2019'!G12:G22)&gt;0,AVERAGE('2016 - 2019'!O12:O22)," -")</f>
        <v>1</v>
      </c>
      <c r="F9" s="155">
        <f>+IF(SUM('2016 - 2019'!H12:H22)&gt;0,AVERAGE('2016 - 2019'!P12:P22)," -")</f>
        <v>0.98018181818181815</v>
      </c>
      <c r="G9" s="155">
        <f>+IF(SUM('2016 - 2019'!I12:I22)&gt;0,AVERAGE('2016 - 2019'!Q12:Q22)," -")</f>
        <v>0.7437454545454546</v>
      </c>
      <c r="H9" s="155">
        <f>+IF(SUM('2016 - 2019'!J12:J22)&gt;0,AVERAGE('2016 - 2019'!R12:R22)," -")</f>
        <v>0</v>
      </c>
      <c r="I9" s="156">
        <f>+AVERAGE('2016 - 2019'!S12:S22)</f>
        <v>0.72006060606060607</v>
      </c>
      <c r="J9" s="157">
        <f t="shared" si="0"/>
        <v>0.72006060606060607</v>
      </c>
      <c r="K9" s="158">
        <f>+SUM(K10:K13)</f>
        <v>17092154</v>
      </c>
      <c r="L9" s="159">
        <f t="shared" ref="L9:M9" si="4">+SUM(L10:L13)</f>
        <v>8310717</v>
      </c>
      <c r="M9" s="159">
        <f t="shared" si="4"/>
        <v>3629363</v>
      </c>
      <c r="N9" s="160">
        <f t="shared" si="2"/>
        <v>0.48622993918730195</v>
      </c>
      <c r="O9" s="161">
        <v>6.5046150243597831E-4</v>
      </c>
    </row>
    <row r="10" spans="2:15" ht="18" customHeight="1">
      <c r="B10" s="149" t="s">
        <v>58</v>
      </c>
      <c r="C10" s="251" t="s">
        <v>59</v>
      </c>
      <c r="D10" s="252"/>
      <c r="E10" s="150">
        <f>+IF(SUM('2016 - 2019'!G12:G15)&gt;0,AVERAGE('2016 - 2019'!O12:O15)," -")</f>
        <v>1</v>
      </c>
      <c r="F10" s="150">
        <f>+IF(SUM('2016 - 2019'!H12:H15)&gt;0,AVERAGE('2016 - 2019'!P12:P15)," -")</f>
        <v>1</v>
      </c>
      <c r="G10" s="150">
        <f>+IF(SUM('2016 - 2019'!I12:I15)&gt;0,AVERAGE('2016 - 2019'!Q12:Q15)," -")</f>
        <v>0.78936363636363638</v>
      </c>
      <c r="H10" s="150">
        <f>+IF(SUM('2016 - 2019'!J12:J15)&gt;0,AVERAGE('2016 - 2019'!R12:R15)," -")</f>
        <v>0</v>
      </c>
      <c r="I10" s="151">
        <f>+AVERAGE('2016 - 2019'!S12:S15)</f>
        <v>0.88575000000000004</v>
      </c>
      <c r="J10" s="152">
        <f t="shared" si="0"/>
        <v>0.88575000000000004</v>
      </c>
      <c r="K10" s="138">
        <f>+SUM('2016 - 2019'!U12:U15)</f>
        <v>4704220</v>
      </c>
      <c r="L10" s="36">
        <f>+SUM('2016 - 2019'!V12:V15)</f>
        <v>3027447</v>
      </c>
      <c r="M10" s="36">
        <f>+SUM('2016 - 2019'!W12:W15)</f>
        <v>2829363</v>
      </c>
      <c r="N10" s="153">
        <f t="shared" si="2"/>
        <v>0.64355982500818409</v>
      </c>
      <c r="O10" s="154">
        <f t="shared" si="3"/>
        <v>0.93457061345747749</v>
      </c>
    </row>
    <row r="11" spans="2:15" ht="18" customHeight="1">
      <c r="B11" s="149" t="s">
        <v>60</v>
      </c>
      <c r="C11" s="251" t="s">
        <v>61</v>
      </c>
      <c r="D11" s="252"/>
      <c r="E11" s="150">
        <f>+IF(SUM('2016 - 2019'!G16:G17)&gt;0,AVERAGE('2016 - 2019'!O16:O17)," -")</f>
        <v>1</v>
      </c>
      <c r="F11" s="150">
        <f>+IF(SUM('2016 - 2019'!H16:H17)&gt;0,AVERAGE('2016 - 2019'!P16:P17)," -")</f>
        <v>1</v>
      </c>
      <c r="G11" s="150">
        <f>+IF(SUM('2016 - 2019'!I16:I17)&gt;0,AVERAGE('2016 - 2019'!Q16:Q17)," -")</f>
        <v>0.88</v>
      </c>
      <c r="H11" s="150">
        <f>+IF(SUM('2016 - 2019'!J16:J17)&gt;0,AVERAGE('2016 - 2019'!R16:R17)," -")</f>
        <v>0</v>
      </c>
      <c r="I11" s="151">
        <f>+AVERAGE('2016 - 2019'!S16:S17)</f>
        <v>0.72</v>
      </c>
      <c r="J11" s="152">
        <f t="shared" si="0"/>
        <v>0.72</v>
      </c>
      <c r="K11" s="138">
        <f>+SUM('2016 - 2019'!U16:U17)</f>
        <v>1486343</v>
      </c>
      <c r="L11" s="36">
        <f>+SUM('2016 - 2019'!V16:V17)</f>
        <v>598384</v>
      </c>
      <c r="M11" s="36">
        <f>+SUM('2016 - 2019'!W16:W17)</f>
        <v>0</v>
      </c>
      <c r="N11" s="153">
        <f t="shared" si="2"/>
        <v>0.40258809709468135</v>
      </c>
      <c r="O11" s="154" t="str">
        <f t="shared" si="3"/>
        <v xml:space="preserve"> -</v>
      </c>
    </row>
    <row r="12" spans="2:15" ht="18" customHeight="1">
      <c r="B12" s="149" t="s">
        <v>62</v>
      </c>
      <c r="C12" s="251" t="s">
        <v>63</v>
      </c>
      <c r="D12" s="252"/>
      <c r="E12" s="150">
        <f>+IF('2016 - 2019'!G18&gt;0,'2016 - 2019'!O18," -")</f>
        <v>1</v>
      </c>
      <c r="F12" s="150">
        <f>+IF('2016 - 2019'!H18&gt;0,'2016 - 2019'!P18," -")</f>
        <v>1</v>
      </c>
      <c r="G12" s="150">
        <f>+IF('2016 - 2019'!I18&gt;0,'2016 - 2019'!Q18," -")</f>
        <v>1</v>
      </c>
      <c r="H12" s="150">
        <f>+IF('2016 - 2019'!J18&gt;0,'2016 - 2019'!R18," -")</f>
        <v>0</v>
      </c>
      <c r="I12" s="151">
        <f>+'2016 - 2019'!S18</f>
        <v>1</v>
      </c>
      <c r="J12" s="152">
        <f t="shared" si="0"/>
        <v>1</v>
      </c>
      <c r="K12" s="138">
        <f>+'2016 - 2019'!U18</f>
        <v>222930</v>
      </c>
      <c r="L12" s="36">
        <f>+'2016 - 2019'!V18</f>
        <v>83998</v>
      </c>
      <c r="M12" s="36">
        <f>+'2016 - 2019'!W18</f>
        <v>0</v>
      </c>
      <c r="N12" s="153">
        <f t="shared" si="2"/>
        <v>0.37679092091687971</v>
      </c>
      <c r="O12" s="154" t="str">
        <f t="shared" si="3"/>
        <v xml:space="preserve"> -</v>
      </c>
    </row>
    <row r="13" spans="2:15" ht="18" customHeight="1" thickBot="1">
      <c r="B13" s="149" t="s">
        <v>64</v>
      </c>
      <c r="C13" s="270" t="s">
        <v>65</v>
      </c>
      <c r="D13" s="271"/>
      <c r="E13" s="162">
        <f>+IF(SUM('2016 - 2019'!G19:G22)&gt;0,AVERAGE('2016 - 2019'!O19:O22)," -")</f>
        <v>1</v>
      </c>
      <c r="F13" s="162">
        <f>+IF(SUM('2016 - 2019'!H19:H22)&gt;0,AVERAGE('2016 - 2019'!P19:P22)," -")</f>
        <v>0.94550000000000001</v>
      </c>
      <c r="G13" s="162">
        <f>+IF(SUM('2016 - 2019'!I19:I22)&gt;0,AVERAGE('2016 - 2019'!Q19:Q22)," -")</f>
        <v>0.6</v>
      </c>
      <c r="H13" s="162">
        <f>+IF(SUM('2016 - 2019'!J19:J22)&gt;0,AVERAGE('2016 - 2019'!R19:R22)," -")</f>
        <v>0</v>
      </c>
      <c r="I13" s="163">
        <f>+AVERAGE('2016 - 2019'!S19:S22)</f>
        <v>0.48441666666666672</v>
      </c>
      <c r="J13" s="164">
        <f t="shared" si="0"/>
        <v>0.48441666666666672</v>
      </c>
      <c r="K13" s="139">
        <f>+SUM('2016 - 2019'!U19:U22)</f>
        <v>10678661</v>
      </c>
      <c r="L13" s="42">
        <f>+SUM('2016 - 2019'!V19:V22)</f>
        <v>4600888</v>
      </c>
      <c r="M13" s="42">
        <f>+SUM('2016 - 2019'!W19:W22)</f>
        <v>800000</v>
      </c>
      <c r="N13" s="182">
        <f t="shared" si="2"/>
        <v>0.43084877401764132</v>
      </c>
      <c r="O13" s="183">
        <f t="shared" si="3"/>
        <v>0.17387947717918803</v>
      </c>
    </row>
    <row r="14" spans="2:15" ht="24" customHeight="1" thickBot="1">
      <c r="C14" s="272" t="s">
        <v>66</v>
      </c>
      <c r="D14" s="273"/>
      <c r="E14" s="172">
        <f>+'2016 - 2019'!O23</f>
        <v>1</v>
      </c>
      <c r="F14" s="172">
        <f>+'2016 - 2019'!P23</f>
        <v>0.98018181818181815</v>
      </c>
      <c r="G14" s="172">
        <f>+'2016 - 2019'!Q23</f>
        <v>0.7437454545454546</v>
      </c>
      <c r="H14" s="172">
        <f>+'2016 - 2019'!R23</f>
        <v>0</v>
      </c>
      <c r="I14" s="173">
        <f>+'2016 - 2019'!S23</f>
        <v>0.72006060606060607</v>
      </c>
      <c r="J14" s="174">
        <f t="shared" ref="J14" si="5">+I14</f>
        <v>0.72006060606060607</v>
      </c>
      <c r="K14" s="175">
        <f>+K8</f>
        <v>17092154</v>
      </c>
      <c r="L14" s="176">
        <f>+L8</f>
        <v>8310717</v>
      </c>
      <c r="M14" s="176">
        <f>+M8</f>
        <v>3629363</v>
      </c>
      <c r="N14" s="177">
        <f t="shared" ref="N14" si="6">IF(K14=0,"-",+L14/K14)</f>
        <v>0.48622993918730195</v>
      </c>
      <c r="O14" s="178">
        <f t="shared" ref="O14" si="7">IF(M14=0," -",IF(L14=0,100%,M14/L14))</f>
        <v>0.43670877013379233</v>
      </c>
    </row>
    <row r="16" spans="2:15" ht="17">
      <c r="C16" s="179" t="str">
        <f>+'2016 - 2019'!C7</f>
        <v>FECHA CORTE</v>
      </c>
      <c r="D16" s="180"/>
      <c r="E16" s="181"/>
      <c r="F16" s="181"/>
      <c r="I16" s="179" t="s">
        <v>71</v>
      </c>
    </row>
    <row r="17" spans="3:3" ht="17">
      <c r="C17" s="185">
        <f>+'2016 - 2019'!C8</f>
        <v>43434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{AFF1B3CC-139A-CF43-88B1-03AF0437533D}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1B3CC-139A-CF43-88B1-03AF0437533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2018-12-13T20:18:12Z</dcterms:modified>
</cp:coreProperties>
</file>