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3"/>
  </bookViews>
  <sheets>
    <sheet name="2016" sheetId="7" r:id="rId1"/>
    <sheet name="2017" sheetId="8" r:id="rId2"/>
    <sheet name="2018" sheetId="9" r:id="rId3"/>
    <sheet name="2019" sheetId="10" r:id="rId4"/>
    <sheet name="2016 - 2019" sheetId="11" r:id="rId5"/>
    <sheet name="RESUMEN" sheetId="12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1" l="1"/>
  <c r="V12" i="11"/>
  <c r="W12" i="11"/>
  <c r="V13" i="11"/>
  <c r="W13" i="11"/>
  <c r="V14" i="11"/>
  <c r="W14" i="11"/>
  <c r="V16" i="11"/>
  <c r="W16" i="11"/>
  <c r="V17" i="11"/>
  <c r="W17" i="11"/>
  <c r="V18" i="11"/>
  <c r="W18" i="11"/>
  <c r="V19" i="11"/>
  <c r="W19" i="11"/>
  <c r="V20" i="11"/>
  <c r="W20" i="11"/>
  <c r="V21" i="11"/>
  <c r="W21" i="11"/>
  <c r="V23" i="11"/>
  <c r="W23" i="11"/>
  <c r="V24" i="11"/>
  <c r="W24" i="11"/>
  <c r="V25" i="11"/>
  <c r="W25" i="11"/>
  <c r="V26" i="11"/>
  <c r="W26" i="11"/>
  <c r="V27" i="11"/>
  <c r="W27" i="11"/>
  <c r="V28" i="11"/>
  <c r="W28" i="11"/>
  <c r="V29" i="11"/>
  <c r="W29" i="11"/>
  <c r="V30" i="11"/>
  <c r="W30" i="11"/>
  <c r="V31" i="11"/>
  <c r="W31" i="11"/>
  <c r="V32" i="11"/>
  <c r="W32" i="11"/>
  <c r="V33" i="11"/>
  <c r="W33" i="11"/>
  <c r="V34" i="11"/>
  <c r="W34" i="11"/>
  <c r="V35" i="11"/>
  <c r="W35" i="11"/>
  <c r="U35" i="11"/>
  <c r="U34" i="11"/>
  <c r="U33" i="11"/>
  <c r="U32" i="11"/>
  <c r="U31" i="11"/>
  <c r="U30" i="11"/>
  <c r="U29" i="11"/>
  <c r="U28" i="11"/>
  <c r="U27" i="11"/>
  <c r="U26" i="11"/>
  <c r="U25" i="11"/>
  <c r="U24" i="11"/>
  <c r="U23" i="11"/>
  <c r="U21" i="11"/>
  <c r="U20" i="11"/>
  <c r="U19" i="11"/>
  <c r="U18" i="11"/>
  <c r="U17" i="11"/>
  <c r="U16" i="11"/>
  <c r="U14" i="11"/>
  <c r="U13" i="11"/>
  <c r="U12" i="11"/>
  <c r="S36" i="11"/>
  <c r="L12" i="10"/>
  <c r="N12" i="10"/>
  <c r="R12" i="11"/>
  <c r="L13" i="10"/>
  <c r="N13" i="10"/>
  <c r="R13" i="11"/>
  <c r="L14" i="10"/>
  <c r="N14" i="10"/>
  <c r="R14" i="11"/>
  <c r="L16" i="10"/>
  <c r="N16" i="10"/>
  <c r="R16" i="11"/>
  <c r="L17" i="10"/>
  <c r="N17" i="10"/>
  <c r="R17" i="11"/>
  <c r="L18" i="10"/>
  <c r="N18" i="10"/>
  <c r="R18" i="11"/>
  <c r="L19" i="10"/>
  <c r="N19" i="10"/>
  <c r="R19" i="11"/>
  <c r="L20" i="10"/>
  <c r="N20" i="10"/>
  <c r="R20" i="11"/>
  <c r="L21" i="10"/>
  <c r="N21" i="10"/>
  <c r="R21" i="11"/>
  <c r="L23" i="10"/>
  <c r="N23" i="10"/>
  <c r="R23" i="11"/>
  <c r="L24" i="10"/>
  <c r="N24" i="10"/>
  <c r="R24" i="11"/>
  <c r="L25" i="10"/>
  <c r="N25" i="10"/>
  <c r="R25" i="11"/>
  <c r="L26" i="10"/>
  <c r="N26" i="10"/>
  <c r="R26" i="11"/>
  <c r="L27" i="10"/>
  <c r="N27" i="10"/>
  <c r="R27" i="11"/>
  <c r="L28" i="10"/>
  <c r="N28" i="10"/>
  <c r="R28" i="11"/>
  <c r="L29" i="10"/>
  <c r="N29" i="10"/>
  <c r="R29" i="11"/>
  <c r="L30" i="10"/>
  <c r="N30" i="10"/>
  <c r="R30" i="11"/>
  <c r="L31" i="10"/>
  <c r="N31" i="10"/>
  <c r="R31" i="11"/>
  <c r="L32" i="10"/>
  <c r="N32" i="10"/>
  <c r="R32" i="11"/>
  <c r="L33" i="10"/>
  <c r="N33" i="10"/>
  <c r="R33" i="11"/>
  <c r="L34" i="10"/>
  <c r="N34" i="10"/>
  <c r="R34" i="11"/>
  <c r="L35" i="10"/>
  <c r="N35" i="10"/>
  <c r="R35" i="11"/>
  <c r="R36" i="11"/>
  <c r="L12" i="9"/>
  <c r="N12" i="9"/>
  <c r="Q12" i="11"/>
  <c r="L13" i="9"/>
  <c r="N13" i="9"/>
  <c r="Q13" i="11"/>
  <c r="L14" i="9"/>
  <c r="N14" i="9"/>
  <c r="Q14" i="11"/>
  <c r="L16" i="9"/>
  <c r="N16" i="9"/>
  <c r="Q16" i="11"/>
  <c r="L17" i="9"/>
  <c r="N17" i="9"/>
  <c r="Q17" i="11"/>
  <c r="L18" i="9"/>
  <c r="N18" i="9"/>
  <c r="Q18" i="11"/>
  <c r="L19" i="9"/>
  <c r="N19" i="9"/>
  <c r="Q19" i="11"/>
  <c r="L20" i="9"/>
  <c r="N20" i="9"/>
  <c r="Q20" i="11"/>
  <c r="L21" i="9"/>
  <c r="N21" i="9"/>
  <c r="Q21" i="11"/>
  <c r="L23" i="9"/>
  <c r="N23" i="9"/>
  <c r="Q23" i="11"/>
  <c r="L24" i="9"/>
  <c r="N24" i="9"/>
  <c r="Q24" i="11"/>
  <c r="L25" i="9"/>
  <c r="N25" i="9"/>
  <c r="Q25" i="11"/>
  <c r="L26" i="9"/>
  <c r="N26" i="9"/>
  <c r="Q26" i="11"/>
  <c r="L27" i="9"/>
  <c r="N27" i="9"/>
  <c r="Q27" i="11"/>
  <c r="L28" i="9"/>
  <c r="N28" i="9"/>
  <c r="Q28" i="11"/>
  <c r="L29" i="9"/>
  <c r="N29" i="9"/>
  <c r="Q29" i="11"/>
  <c r="L30" i="9"/>
  <c r="N30" i="9"/>
  <c r="Q30" i="11"/>
  <c r="L31" i="9"/>
  <c r="N31" i="9"/>
  <c r="Q31" i="11"/>
  <c r="L32" i="9"/>
  <c r="N32" i="9"/>
  <c r="Q32" i="11"/>
  <c r="L33" i="9"/>
  <c r="N33" i="9"/>
  <c r="Q33" i="11"/>
  <c r="L34" i="9"/>
  <c r="N34" i="9"/>
  <c r="Q34" i="11"/>
  <c r="L35" i="9"/>
  <c r="N35" i="9"/>
  <c r="Q35" i="11"/>
  <c r="Q36" i="11"/>
  <c r="L12" i="8"/>
  <c r="N12" i="8"/>
  <c r="P12" i="11"/>
  <c r="L13" i="8"/>
  <c r="N13" i="8"/>
  <c r="P13" i="11"/>
  <c r="L14" i="8"/>
  <c r="N14" i="8"/>
  <c r="P14" i="11"/>
  <c r="L16" i="8"/>
  <c r="N16" i="8"/>
  <c r="P16" i="11"/>
  <c r="L17" i="8"/>
  <c r="N17" i="8"/>
  <c r="P17" i="11"/>
  <c r="L18" i="8"/>
  <c r="N18" i="8"/>
  <c r="P18" i="11"/>
  <c r="L19" i="8"/>
  <c r="N19" i="8"/>
  <c r="P19" i="11"/>
  <c r="L20" i="8"/>
  <c r="N20" i="8"/>
  <c r="P20" i="11"/>
  <c r="L21" i="8"/>
  <c r="N21" i="8"/>
  <c r="P21" i="11"/>
  <c r="L23" i="8"/>
  <c r="N23" i="8"/>
  <c r="P23" i="11"/>
  <c r="L24" i="8"/>
  <c r="N24" i="8"/>
  <c r="P24" i="11"/>
  <c r="L25" i="8"/>
  <c r="N25" i="8"/>
  <c r="P25" i="11"/>
  <c r="L26" i="8"/>
  <c r="N26" i="8"/>
  <c r="P26" i="11"/>
  <c r="L27" i="8"/>
  <c r="N27" i="8"/>
  <c r="P27" i="11"/>
  <c r="L28" i="8"/>
  <c r="N28" i="8"/>
  <c r="P28" i="11"/>
  <c r="L29" i="8"/>
  <c r="N29" i="8"/>
  <c r="P29" i="11"/>
  <c r="L30" i="8"/>
  <c r="N30" i="8"/>
  <c r="P30" i="11"/>
  <c r="L31" i="8"/>
  <c r="N31" i="8"/>
  <c r="P31" i="11"/>
  <c r="L32" i="8"/>
  <c r="N32" i="8"/>
  <c r="P32" i="11"/>
  <c r="L33" i="8"/>
  <c r="N33" i="8"/>
  <c r="P33" i="11"/>
  <c r="L34" i="8"/>
  <c r="N34" i="8"/>
  <c r="P34" i="11"/>
  <c r="L35" i="8"/>
  <c r="N35" i="8"/>
  <c r="P35" i="11"/>
  <c r="P36" i="11"/>
  <c r="L12" i="7"/>
  <c r="N12" i="7"/>
  <c r="O12" i="11"/>
  <c r="L13" i="7"/>
  <c r="N13" i="7"/>
  <c r="O13" i="11"/>
  <c r="L14" i="7"/>
  <c r="N14" i="7"/>
  <c r="O14" i="11"/>
  <c r="L16" i="7"/>
  <c r="N16" i="7"/>
  <c r="O16" i="11"/>
  <c r="L17" i="7"/>
  <c r="N17" i="7"/>
  <c r="O17" i="11"/>
  <c r="L18" i="7"/>
  <c r="N18" i="7"/>
  <c r="O18" i="11"/>
  <c r="L19" i="7"/>
  <c r="N19" i="7"/>
  <c r="O19" i="11"/>
  <c r="N20" i="7"/>
  <c r="O20" i="11"/>
  <c r="L21" i="7"/>
  <c r="N21" i="7"/>
  <c r="O21" i="11"/>
  <c r="L23" i="7"/>
  <c r="N23" i="7"/>
  <c r="O23" i="11"/>
  <c r="L24" i="7"/>
  <c r="N24" i="7"/>
  <c r="O24" i="11"/>
  <c r="L25" i="7"/>
  <c r="N25" i="7"/>
  <c r="O25" i="11"/>
  <c r="L26" i="7"/>
  <c r="N26" i="7"/>
  <c r="O26" i="11"/>
  <c r="N27" i="7"/>
  <c r="O27" i="11"/>
  <c r="L28" i="7"/>
  <c r="N28" i="7"/>
  <c r="O28" i="11"/>
  <c r="L29" i="7"/>
  <c r="N29" i="7"/>
  <c r="O29" i="11"/>
  <c r="L30" i="7"/>
  <c r="N30" i="7"/>
  <c r="O30" i="11"/>
  <c r="L31" i="7"/>
  <c r="N31" i="7"/>
  <c r="O31" i="11"/>
  <c r="L32" i="7"/>
  <c r="N32" i="7"/>
  <c r="O32" i="11"/>
  <c r="L33" i="7"/>
  <c r="N33" i="7"/>
  <c r="O33" i="11"/>
  <c r="L34" i="7"/>
  <c r="N34" i="7"/>
  <c r="O34" i="11"/>
  <c r="L35" i="7"/>
  <c r="N35" i="7"/>
  <c r="O35" i="11"/>
  <c r="O36" i="11"/>
  <c r="I22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L10" i="12"/>
  <c r="L11" i="12"/>
  <c r="L12" i="12"/>
  <c r="L9" i="12"/>
  <c r="L14" i="12"/>
  <c r="L13" i="12"/>
  <c r="L8" i="12"/>
  <c r="M10" i="12"/>
  <c r="M11" i="12"/>
  <c r="M12" i="12"/>
  <c r="M9" i="12"/>
  <c r="M14" i="12"/>
  <c r="M13" i="12"/>
  <c r="M8" i="12"/>
  <c r="L17" i="12"/>
  <c r="L18" i="12"/>
  <c r="L19" i="12"/>
  <c r="L20" i="12"/>
  <c r="L21" i="12"/>
  <c r="L22" i="12"/>
  <c r="L16" i="12"/>
  <c r="L15" i="12"/>
  <c r="M17" i="12"/>
  <c r="M18" i="12"/>
  <c r="M19" i="12"/>
  <c r="M20" i="12"/>
  <c r="M21" i="12"/>
  <c r="M22" i="12"/>
  <c r="M16" i="12"/>
  <c r="M15" i="12"/>
  <c r="K22" i="12"/>
  <c r="K21" i="12"/>
  <c r="K20" i="12"/>
  <c r="K19" i="12"/>
  <c r="K18" i="12"/>
  <c r="K17" i="12"/>
  <c r="K14" i="12"/>
  <c r="K12" i="12"/>
  <c r="K11" i="12"/>
  <c r="K10" i="12"/>
  <c r="K16" i="12"/>
  <c r="K15" i="12"/>
  <c r="K13" i="12"/>
  <c r="K9" i="12"/>
  <c r="K8" i="12"/>
  <c r="H12" i="11"/>
  <c r="H13" i="11"/>
  <c r="H14" i="11"/>
  <c r="H16" i="11"/>
  <c r="H17" i="11"/>
  <c r="H18" i="11"/>
  <c r="H19" i="11"/>
  <c r="H20" i="11"/>
  <c r="H21" i="11"/>
  <c r="F8" i="12"/>
  <c r="I12" i="11"/>
  <c r="I13" i="11"/>
  <c r="I14" i="11"/>
  <c r="I16" i="11"/>
  <c r="I17" i="11"/>
  <c r="I18" i="11"/>
  <c r="I19" i="11"/>
  <c r="I20" i="11"/>
  <c r="I21" i="11"/>
  <c r="G8" i="12"/>
  <c r="J12" i="11"/>
  <c r="J13" i="11"/>
  <c r="J14" i="11"/>
  <c r="J16" i="11"/>
  <c r="J17" i="11"/>
  <c r="J18" i="11"/>
  <c r="J19" i="11"/>
  <c r="J20" i="11"/>
  <c r="J21" i="11"/>
  <c r="H8" i="12"/>
  <c r="F9" i="12"/>
  <c r="G9" i="12"/>
  <c r="H9" i="12"/>
  <c r="F10" i="12"/>
  <c r="G10" i="12"/>
  <c r="H10" i="12"/>
  <c r="F11" i="12"/>
  <c r="G11" i="12"/>
  <c r="H11" i="12"/>
  <c r="F12" i="12"/>
  <c r="G12" i="12"/>
  <c r="H12" i="12"/>
  <c r="F13" i="12"/>
  <c r="G13" i="12"/>
  <c r="H13" i="12"/>
  <c r="F14" i="12"/>
  <c r="G14" i="12"/>
  <c r="H14" i="12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F15" i="12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G15" i="12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H15" i="12"/>
  <c r="F16" i="12"/>
  <c r="G16" i="12"/>
  <c r="H16" i="12"/>
  <c r="F17" i="12"/>
  <c r="G17" i="12"/>
  <c r="H17" i="12"/>
  <c r="F18" i="12"/>
  <c r="G18" i="12"/>
  <c r="H18" i="12"/>
  <c r="F19" i="12"/>
  <c r="G19" i="12"/>
  <c r="H19" i="12"/>
  <c r="F20" i="12"/>
  <c r="G20" i="12"/>
  <c r="H20" i="12"/>
  <c r="F21" i="12"/>
  <c r="G21" i="12"/>
  <c r="H21" i="12"/>
  <c r="F22" i="12"/>
  <c r="G22" i="12"/>
  <c r="H22" i="12"/>
  <c r="G33" i="11"/>
  <c r="G34" i="11"/>
  <c r="G35" i="11"/>
  <c r="E22" i="12"/>
  <c r="G32" i="11"/>
  <c r="E21" i="12"/>
  <c r="G31" i="11"/>
  <c r="E20" i="12"/>
  <c r="G28" i="11"/>
  <c r="G29" i="11"/>
  <c r="G30" i="11"/>
  <c r="E19" i="12"/>
  <c r="G25" i="11"/>
  <c r="G26" i="11"/>
  <c r="G27" i="11"/>
  <c r="E18" i="12"/>
  <c r="G23" i="11"/>
  <c r="G24" i="11"/>
  <c r="E17" i="12"/>
  <c r="E16" i="12"/>
  <c r="E15" i="12"/>
  <c r="G16" i="11"/>
  <c r="G17" i="11"/>
  <c r="G18" i="11"/>
  <c r="G19" i="11"/>
  <c r="G20" i="11"/>
  <c r="G21" i="11"/>
  <c r="E14" i="12"/>
  <c r="E13" i="12"/>
  <c r="G14" i="11"/>
  <c r="E12" i="12"/>
  <c r="G13" i="11"/>
  <c r="E11" i="12"/>
  <c r="G12" i="11"/>
  <c r="E10" i="12"/>
  <c r="E9" i="12"/>
  <c r="E8" i="12"/>
  <c r="M23" i="12"/>
  <c r="L23" i="12"/>
  <c r="K23" i="12"/>
  <c r="I23" i="12"/>
  <c r="F23" i="12"/>
  <c r="G23" i="12"/>
  <c r="H23" i="12"/>
  <c r="E23" i="12"/>
  <c r="C26" i="12"/>
  <c r="C25" i="12"/>
  <c r="O23" i="12"/>
  <c r="N23" i="12"/>
  <c r="J23" i="12"/>
  <c r="O22" i="12"/>
  <c r="N22" i="12"/>
  <c r="J22" i="12"/>
  <c r="O21" i="12"/>
  <c r="N21" i="12"/>
  <c r="J21" i="12"/>
  <c r="O20" i="12"/>
  <c r="N20" i="12"/>
  <c r="J20" i="12"/>
  <c r="O19" i="12"/>
  <c r="N19" i="12"/>
  <c r="J19" i="12"/>
  <c r="O18" i="12"/>
  <c r="N18" i="12"/>
  <c r="J18" i="12"/>
  <c r="O17" i="12"/>
  <c r="N17" i="12"/>
  <c r="J17" i="12"/>
  <c r="O16" i="12"/>
  <c r="N16" i="12"/>
  <c r="J16" i="12"/>
  <c r="O15" i="12"/>
  <c r="N15" i="12"/>
  <c r="J15" i="12"/>
  <c r="O14" i="12"/>
  <c r="N14" i="12"/>
  <c r="J14" i="12"/>
  <c r="O13" i="12"/>
  <c r="N13" i="12"/>
  <c r="J13" i="12"/>
  <c r="O12" i="12"/>
  <c r="N12" i="12"/>
  <c r="J12" i="12"/>
  <c r="O11" i="12"/>
  <c r="N11" i="12"/>
  <c r="J11" i="12"/>
  <c r="O10" i="12"/>
  <c r="N10" i="12"/>
  <c r="J10" i="12"/>
  <c r="O9" i="12"/>
  <c r="N9" i="12"/>
  <c r="J9" i="12"/>
  <c r="O8" i="12"/>
  <c r="N8" i="12"/>
  <c r="J8" i="12"/>
  <c r="N36" i="10"/>
  <c r="N36" i="9"/>
  <c r="N36" i="8"/>
  <c r="N36" i="7"/>
  <c r="N12" i="11"/>
  <c r="N13" i="11"/>
  <c r="N14" i="11"/>
  <c r="N16" i="11"/>
  <c r="N17" i="11"/>
  <c r="N18" i="11"/>
  <c r="N19" i="11"/>
  <c r="N20" i="11"/>
  <c r="N21" i="11"/>
  <c r="N23" i="11"/>
  <c r="N24" i="11"/>
  <c r="N25" i="11"/>
  <c r="N26" i="11"/>
  <c r="N27" i="11"/>
  <c r="N28" i="11"/>
  <c r="N29" i="11"/>
  <c r="N30" i="11"/>
  <c r="N31" i="11"/>
  <c r="N32" i="11"/>
  <c r="N33" i="11"/>
  <c r="N34" i="11"/>
  <c r="N35" i="11"/>
  <c r="M12" i="11"/>
  <c r="M13" i="11"/>
  <c r="M14" i="11"/>
  <c r="M16" i="11"/>
  <c r="M17" i="11"/>
  <c r="M18" i="11"/>
  <c r="M19" i="11"/>
  <c r="M20" i="11"/>
  <c r="M21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L12" i="11"/>
  <c r="L13" i="11"/>
  <c r="L14" i="11"/>
  <c r="L16" i="11"/>
  <c r="L17" i="11"/>
  <c r="L18" i="11"/>
  <c r="L19" i="11"/>
  <c r="L20" i="11"/>
  <c r="L21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K12" i="11"/>
  <c r="K13" i="11"/>
  <c r="K14" i="11"/>
  <c r="K16" i="11"/>
  <c r="K17" i="11"/>
  <c r="K18" i="11"/>
  <c r="K19" i="11"/>
  <c r="K20" i="11"/>
  <c r="K21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W36" i="11"/>
  <c r="V36" i="11"/>
  <c r="Y36" i="11"/>
  <c r="U36" i="11"/>
  <c r="X36" i="11"/>
  <c r="Y35" i="11"/>
  <c r="X35" i="11"/>
  <c r="Y34" i="11"/>
  <c r="X34" i="11"/>
  <c r="Y33" i="11"/>
  <c r="X33" i="11"/>
  <c r="Y32" i="11"/>
  <c r="X32" i="11"/>
  <c r="Y31" i="11"/>
  <c r="X31" i="11"/>
  <c r="Y30" i="11"/>
  <c r="X30" i="11"/>
  <c r="Y29" i="11"/>
  <c r="X29" i="11"/>
  <c r="Y28" i="11"/>
  <c r="X28" i="11"/>
  <c r="Y27" i="11"/>
  <c r="X27" i="11"/>
  <c r="Y26" i="11"/>
  <c r="X26" i="11"/>
  <c r="Y25" i="11"/>
  <c r="X25" i="11"/>
  <c r="Y24" i="11"/>
  <c r="X24" i="11"/>
  <c r="Y23" i="11"/>
  <c r="X23" i="11"/>
  <c r="Y21" i="11"/>
  <c r="X21" i="11"/>
  <c r="Y20" i="11"/>
  <c r="X20" i="11"/>
  <c r="Y19" i="11"/>
  <c r="X19" i="11"/>
  <c r="Y18" i="11"/>
  <c r="X18" i="11"/>
  <c r="Y17" i="11"/>
  <c r="X17" i="11"/>
  <c r="Y16" i="11"/>
  <c r="X16" i="11"/>
  <c r="Y14" i="11"/>
  <c r="X14" i="11"/>
  <c r="Y13" i="11"/>
  <c r="X13" i="11"/>
  <c r="Y12" i="11"/>
  <c r="X12" i="11"/>
  <c r="I21" i="10"/>
  <c r="I20" i="10"/>
  <c r="I16" i="10"/>
  <c r="I13" i="8"/>
  <c r="I13" i="9"/>
  <c r="I13" i="10"/>
  <c r="I14" i="8"/>
  <c r="I14" i="9"/>
  <c r="I14" i="10"/>
  <c r="I17" i="8"/>
  <c r="I17" i="9"/>
  <c r="I17" i="10"/>
  <c r="I18" i="8"/>
  <c r="I18" i="9"/>
  <c r="I18" i="10"/>
  <c r="I19" i="8"/>
  <c r="I19" i="9"/>
  <c r="I19" i="10"/>
  <c r="I23" i="8"/>
  <c r="I23" i="9"/>
  <c r="I23" i="10"/>
  <c r="I24" i="8"/>
  <c r="I24" i="9"/>
  <c r="I24" i="10"/>
  <c r="I25" i="8"/>
  <c r="I25" i="9"/>
  <c r="I25" i="10"/>
  <c r="I26" i="8"/>
  <c r="I26" i="9"/>
  <c r="I26" i="10"/>
  <c r="I27" i="8"/>
  <c r="I27" i="9"/>
  <c r="I27" i="10"/>
  <c r="I28" i="8"/>
  <c r="I28" i="9"/>
  <c r="I28" i="10"/>
  <c r="I29" i="8"/>
  <c r="I29" i="9"/>
  <c r="I29" i="10"/>
  <c r="I30" i="8"/>
  <c r="I30" i="9"/>
  <c r="I30" i="10"/>
  <c r="I31" i="8"/>
  <c r="I31" i="9"/>
  <c r="I31" i="10"/>
  <c r="I32" i="8"/>
  <c r="I32" i="9"/>
  <c r="I32" i="10"/>
  <c r="I33" i="8"/>
  <c r="I33" i="9"/>
  <c r="I33" i="10"/>
  <c r="I34" i="8"/>
  <c r="I34" i="9"/>
  <c r="I34" i="10"/>
  <c r="I35" i="8"/>
  <c r="I35" i="9"/>
  <c r="I35" i="10"/>
  <c r="I21" i="9"/>
  <c r="I20" i="9"/>
  <c r="I16" i="9"/>
  <c r="I21" i="8"/>
  <c r="I20" i="8"/>
  <c r="I16" i="8"/>
  <c r="I12" i="8"/>
  <c r="I12" i="9"/>
  <c r="I12" i="10"/>
  <c r="R36" i="10"/>
  <c r="Q36" i="10"/>
  <c r="T36" i="10"/>
  <c r="P36" i="10"/>
  <c r="S36" i="10"/>
  <c r="M12" i="10"/>
  <c r="M13" i="10"/>
  <c r="M14" i="10"/>
  <c r="M16" i="10"/>
  <c r="M17" i="10"/>
  <c r="M18" i="10"/>
  <c r="M19" i="10"/>
  <c r="M20" i="10"/>
  <c r="M21" i="10"/>
  <c r="M23" i="10"/>
  <c r="M24" i="10"/>
  <c r="M25" i="10"/>
  <c r="M26" i="10"/>
  <c r="M27" i="10"/>
  <c r="M28" i="10"/>
  <c r="M29" i="10"/>
  <c r="M30" i="10"/>
  <c r="M31" i="10"/>
  <c r="M32" i="10"/>
  <c r="M33" i="10"/>
  <c r="M34" i="10"/>
  <c r="M35" i="10"/>
  <c r="M36" i="10"/>
  <c r="T35" i="10"/>
  <c r="S35" i="10"/>
  <c r="T34" i="10"/>
  <c r="S34" i="10"/>
  <c r="T33" i="10"/>
  <c r="S33" i="10"/>
  <c r="T32" i="10"/>
  <c r="S32" i="10"/>
  <c r="T31" i="10"/>
  <c r="S31" i="10"/>
  <c r="T30" i="10"/>
  <c r="S30" i="10"/>
  <c r="T29" i="10"/>
  <c r="S29" i="10"/>
  <c r="T28" i="10"/>
  <c r="S28" i="10"/>
  <c r="T27" i="10"/>
  <c r="S27" i="10"/>
  <c r="T26" i="10"/>
  <c r="S26" i="10"/>
  <c r="T25" i="10"/>
  <c r="S25" i="10"/>
  <c r="T24" i="10"/>
  <c r="S24" i="10"/>
  <c r="T23" i="10"/>
  <c r="S23" i="10"/>
  <c r="T21" i="10"/>
  <c r="S21" i="10"/>
  <c r="T20" i="10"/>
  <c r="S20" i="10"/>
  <c r="T19" i="10"/>
  <c r="S19" i="10"/>
  <c r="T18" i="10"/>
  <c r="S18" i="10"/>
  <c r="T17" i="10"/>
  <c r="S17" i="10"/>
  <c r="T16" i="10"/>
  <c r="S16" i="10"/>
  <c r="T14" i="10"/>
  <c r="S14" i="10"/>
  <c r="T13" i="10"/>
  <c r="S13" i="10"/>
  <c r="T12" i="10"/>
  <c r="S12" i="10"/>
  <c r="R36" i="9"/>
  <c r="Q36" i="9"/>
  <c r="T36" i="9"/>
  <c r="P36" i="9"/>
  <c r="S36" i="9"/>
  <c r="M12" i="9"/>
  <c r="M13" i="9"/>
  <c r="M14" i="9"/>
  <c r="M16" i="9"/>
  <c r="M17" i="9"/>
  <c r="M18" i="9"/>
  <c r="M19" i="9"/>
  <c r="M20" i="9"/>
  <c r="M21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T35" i="9"/>
  <c r="S35" i="9"/>
  <c r="T34" i="9"/>
  <c r="S34" i="9"/>
  <c r="T33" i="9"/>
  <c r="S33" i="9"/>
  <c r="T32" i="9"/>
  <c r="S32" i="9"/>
  <c r="T31" i="9"/>
  <c r="S31" i="9"/>
  <c r="T30" i="9"/>
  <c r="S30" i="9"/>
  <c r="T29" i="9"/>
  <c r="S29" i="9"/>
  <c r="T28" i="9"/>
  <c r="S28" i="9"/>
  <c r="T27" i="9"/>
  <c r="S27" i="9"/>
  <c r="T26" i="9"/>
  <c r="S26" i="9"/>
  <c r="T25" i="9"/>
  <c r="S25" i="9"/>
  <c r="T24" i="9"/>
  <c r="S24" i="9"/>
  <c r="T23" i="9"/>
  <c r="S23" i="9"/>
  <c r="T21" i="9"/>
  <c r="S21" i="9"/>
  <c r="T20" i="9"/>
  <c r="S20" i="9"/>
  <c r="T19" i="9"/>
  <c r="S19" i="9"/>
  <c r="T18" i="9"/>
  <c r="S18" i="9"/>
  <c r="T17" i="9"/>
  <c r="S17" i="9"/>
  <c r="T16" i="9"/>
  <c r="S16" i="9"/>
  <c r="T14" i="9"/>
  <c r="S14" i="9"/>
  <c r="T13" i="9"/>
  <c r="S13" i="9"/>
  <c r="T12" i="9"/>
  <c r="S12" i="9"/>
  <c r="R36" i="8"/>
  <c r="Q36" i="8"/>
  <c r="T36" i="8"/>
  <c r="P36" i="8"/>
  <c r="S36" i="8"/>
  <c r="M12" i="8"/>
  <c r="M13" i="8"/>
  <c r="M14" i="8"/>
  <c r="M16" i="8"/>
  <c r="M17" i="8"/>
  <c r="M18" i="8"/>
  <c r="M19" i="8"/>
  <c r="M20" i="8"/>
  <c r="M21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T35" i="8"/>
  <c r="S35" i="8"/>
  <c r="T34" i="8"/>
  <c r="S34" i="8"/>
  <c r="T33" i="8"/>
  <c r="S33" i="8"/>
  <c r="T32" i="8"/>
  <c r="S32" i="8"/>
  <c r="T31" i="8"/>
  <c r="S31" i="8"/>
  <c r="T30" i="8"/>
  <c r="S30" i="8"/>
  <c r="T29" i="8"/>
  <c r="S29" i="8"/>
  <c r="T28" i="8"/>
  <c r="S28" i="8"/>
  <c r="T27" i="8"/>
  <c r="S27" i="8"/>
  <c r="T26" i="8"/>
  <c r="S26" i="8"/>
  <c r="T25" i="8"/>
  <c r="S25" i="8"/>
  <c r="T24" i="8"/>
  <c r="S24" i="8"/>
  <c r="T23" i="8"/>
  <c r="S23" i="8"/>
  <c r="T21" i="8"/>
  <c r="S21" i="8"/>
  <c r="T20" i="8"/>
  <c r="S20" i="8"/>
  <c r="T19" i="8"/>
  <c r="S19" i="8"/>
  <c r="T18" i="8"/>
  <c r="S18" i="8"/>
  <c r="T17" i="8"/>
  <c r="S17" i="8"/>
  <c r="T16" i="8"/>
  <c r="S16" i="8"/>
  <c r="T14" i="8"/>
  <c r="S14" i="8"/>
  <c r="T13" i="8"/>
  <c r="S13" i="8"/>
  <c r="T12" i="8"/>
  <c r="S12" i="8"/>
  <c r="Q36" i="7"/>
  <c r="R36" i="7"/>
  <c r="P36" i="7"/>
  <c r="L20" i="7"/>
  <c r="M12" i="7"/>
  <c r="M13" i="7"/>
  <c r="M14" i="7"/>
  <c r="M16" i="7"/>
  <c r="M17" i="7"/>
  <c r="M18" i="7"/>
  <c r="M19" i="7"/>
  <c r="M20" i="7"/>
  <c r="M21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T36" i="7"/>
  <c r="S36" i="7"/>
  <c r="L27" i="7"/>
  <c r="T13" i="7"/>
  <c r="T14" i="7"/>
  <c r="T16" i="7"/>
  <c r="T17" i="7"/>
  <c r="T18" i="7"/>
  <c r="T19" i="7"/>
  <c r="T20" i="7"/>
  <c r="T21" i="7"/>
  <c r="T23" i="7"/>
  <c r="T24" i="7"/>
  <c r="T25" i="7"/>
  <c r="T26" i="7"/>
  <c r="T27" i="7"/>
  <c r="T28" i="7"/>
  <c r="T29" i="7"/>
  <c r="T30" i="7"/>
  <c r="T31" i="7"/>
  <c r="T32" i="7"/>
  <c r="T33" i="7"/>
  <c r="T34" i="7"/>
  <c r="T35" i="7"/>
  <c r="S13" i="7"/>
  <c r="S14" i="7"/>
  <c r="S16" i="7"/>
  <c r="S17" i="7"/>
  <c r="S18" i="7"/>
  <c r="S19" i="7"/>
  <c r="S20" i="7"/>
  <c r="S21" i="7"/>
  <c r="S23" i="7"/>
  <c r="S24" i="7"/>
  <c r="S25" i="7"/>
  <c r="S26" i="7"/>
  <c r="S27" i="7"/>
  <c r="S28" i="7"/>
  <c r="S29" i="7"/>
  <c r="S30" i="7"/>
  <c r="S31" i="7"/>
  <c r="S32" i="7"/>
  <c r="S33" i="7"/>
  <c r="S34" i="7"/>
  <c r="S35" i="7"/>
  <c r="T12" i="7"/>
  <c r="S12" i="7"/>
</calcChain>
</file>

<file path=xl/sharedStrings.xml><?xml version="1.0" encoding="utf-8"?>
<sst xmlns="http://schemas.openxmlformats.org/spreadsheetml/2006/main" count="478" uniqueCount="125">
  <si>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</si>
  <si>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</si>
  <si>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</si>
  <si>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</si>
  <si>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</si>
  <si>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</si>
  <si>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</si>
  <si>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</si>
  <si>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</si>
  <si>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</si>
  <si>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</si>
  <si>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</si>
  <si>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</si>
  <si>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</si>
  <si>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</si>
  <si>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</si>
  <si>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</si>
  <si>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</si>
  <si>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</si>
  <si>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</si>
  <si>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</si>
  <si>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</si>
  <si>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</si>
  <si>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</si>
  <si>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</si>
  <si>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</si>
  <si>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</si>
  <si>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INSTITUTO MUNICIPAL DE DEPORTE Y RECREACIÓN DE BUCARAMANGA (INDERBU)</t>
  </si>
  <si>
    <t>Número de eventos deportivos y recreativos desarrollados dirigidos a población con discapacidad.</t>
  </si>
  <si>
    <t>Número de eventos deportivos y recreativos desarrollados dirigidos a la población víctimas del conflicto interno armado.</t>
  </si>
  <si>
    <t>Número de eventos deportivos y recreativos desarrollados dirigidos a la población carcelaria.</t>
  </si>
  <si>
    <t>Número de casas de la juventud mantenidas con una oferta programática del uso adecuado del tiempo libre.</t>
  </si>
  <si>
    <t>Número de jóvenes vinculados en los diferentes procesos democráticos de participación ciudadana.</t>
  </si>
  <si>
    <t>Número de jóvenes vinculados en procesos de formación en diferentes competencias de inclusión laboral, social, valores humanos, ambientales y organización juvenil.</t>
  </si>
  <si>
    <t>Número de procesos de comunicación estratégica implementados mediante campañas de innovación para la promoción y prevención de flagelos juveniles.</t>
  </si>
  <si>
    <t>Número de Consejos Municipales de Juventud reactivados y mantenidos.</t>
  </si>
  <si>
    <t>Número de políticas públicas de  juventud  actualizadas y mantenidas.</t>
  </si>
  <si>
    <t>Número de eventos de hábitos de vida saludable (recreovías, ciclovías y ciclopaseos) realizados.</t>
  </si>
  <si>
    <t>Número de grupos comunitarios creados para la práctica de la actividad física regular.</t>
  </si>
  <si>
    <t>Número de estudiantes vinculados en competencias y festivales deportivos en los juegos estudiantiles.</t>
  </si>
  <si>
    <t>Número de niñas, niños y adolescentes vinculados en las escuelas de iniciación, formación y especialización deportiva.</t>
  </si>
  <si>
    <t>Número de estudiantes en edad pre-escolar y escolar vinculados a los procesos de educación física.</t>
  </si>
  <si>
    <t>Número de eventos deportivos comunitarios desarrollados en diferentes disciplinas.</t>
  </si>
  <si>
    <t>Número de eventos recreodeportivos comunitarios desarrollados.</t>
  </si>
  <si>
    <t>Número de eventos de vacaciones creativas dirigidas a la primera infancia e infancia realizadas.</t>
  </si>
  <si>
    <t>Número de personas capacitadas en áreas afines a la actividad física, recreación y deporte.</t>
  </si>
  <si>
    <t>Número de escenarios y/o campos deportivos con mantenimiento realizado.</t>
  </si>
  <si>
    <t>Número de iniciativas apoyadas del deporte asociado.</t>
  </si>
  <si>
    <t>Número de eventos deportivos y recreativos de inclusión con carácter diferencial realizados.</t>
  </si>
  <si>
    <t>Número de iniciativas comunitarias deportivas y recreativas apoyadas.</t>
  </si>
  <si>
    <t>POBLACIÓN CON DISCAPACIDAD</t>
  </si>
  <si>
    <t>VÍCTIMAS DEL CONFLICTO INTERNO ARMADO</t>
  </si>
  <si>
    <t>POBLACIÓN CARCELARIA Y POSPENADOS</t>
  </si>
  <si>
    <t>JÓVENES VITALES</t>
  </si>
  <si>
    <t>ATENCIÓN PRIORITARIA Y FOCALIZADA A GRUPOS DE POBLACIÓN VULNERABLE</t>
  </si>
  <si>
    <t>2 - INCLUSIÓN SOCIAL</t>
  </si>
  <si>
    <t>LOS CAMINOS DE LA VIDA</t>
  </si>
  <si>
    <t>ACTIVIDAD FÍSICA Y SALUD "BUCARAMANGA ACTIVA Y SALUDABLE"</t>
  </si>
  <si>
    <t>DEPORTE FORMATIVO</t>
  </si>
  <si>
    <t>DEPORTE Y RECREACIÓN SOCIAL COMUNITARIA</t>
  </si>
  <si>
    <t>CUALIFICACIÓN DEL TALENTO DEPORTIVO</t>
  </si>
  <si>
    <t>AMBIENTES DEPORTIVOS Y RECREATIVOS</t>
  </si>
  <si>
    <t>DEPORTE ASOCIADO Y COMUNITARIO</t>
  </si>
  <si>
    <t>ACTIVIDAD FÍSICA, EDUCACIÓN FÍSICA, RECREACIÓN Y DEPORTE</t>
  </si>
  <si>
    <t>4 - CALIDAD DE VIDA</t>
  </si>
  <si>
    <t>2016 - 2019</t>
  </si>
  <si>
    <t>RECURSOS FINANCIEROS 2016 - 2017 (Miles de pesos)</t>
  </si>
  <si>
    <t>AVANCE EN CUMPLIMIENTO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</si>
  <si>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</si>
  <si>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</si>
  <si>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</si>
  <si>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</si>
  <si>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</si>
  <si>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</si>
  <si>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</si>
  <si>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2: INCLUSIÓN SOCIAL</t>
  </si>
  <si>
    <t>2.1.</t>
  </si>
  <si>
    <t>2.1.2</t>
  </si>
  <si>
    <t>Población con Discapacidad</t>
  </si>
  <si>
    <t>2.1.7</t>
  </si>
  <si>
    <t>Víctimas del Conflicto Interno Armado</t>
  </si>
  <si>
    <t>2.1.9</t>
  </si>
  <si>
    <t>Población Carcelaria y Pospenados</t>
  </si>
  <si>
    <t>2.2</t>
  </si>
  <si>
    <t>2.2.4</t>
  </si>
  <si>
    <t>Jóvenes Vitales (Juventud)</t>
  </si>
  <si>
    <t>LÍNEA ESTRATÉGICA 4: CALIDAD DE VIDA</t>
  </si>
  <si>
    <t>4.3</t>
  </si>
  <si>
    <t>4.3.1</t>
  </si>
  <si>
    <t>Actividad física y Salud "Bucaramanga Activa y Saludable"</t>
  </si>
  <si>
    <t>4.3.2</t>
  </si>
  <si>
    <t>Deporte Formativo</t>
  </si>
  <si>
    <t>4.3.3</t>
  </si>
  <si>
    <t>Deporte y Recreación Social Comunitario</t>
  </si>
  <si>
    <t>4.3.4</t>
  </si>
  <si>
    <t>Cualificación del Talento Deportivo</t>
  </si>
  <si>
    <t>4.3.5</t>
  </si>
  <si>
    <t>Ambientes Deportivos y Recreativos</t>
  </si>
  <si>
    <t>4.3.6</t>
  </si>
  <si>
    <t>Deporte Asociado y Comunitario</t>
  </si>
  <si>
    <t>PLAN DE DESARROLLO 2016 - 2019</t>
  </si>
  <si>
    <t>RESUMEN CUMPLIMIENTO INSTITUTO MUNICIPAL DE DEPORTE Y RECREACIÓN DE BUCARAMANGA (INDERBU) 2016 - 2019</t>
  </si>
  <si>
    <t>2.4.1.2.1.1</t>
  </si>
  <si>
    <t>2.4.1.2.3.1</t>
  </si>
  <si>
    <t>2.4.1.2.2.1</t>
  </si>
  <si>
    <t>2,4,1,3,1,1</t>
  </si>
  <si>
    <t>2,4,1,3,1,2</t>
  </si>
  <si>
    <t>2,4,1,3,1,3</t>
  </si>
  <si>
    <t>2,4,1,3,1,4</t>
  </si>
  <si>
    <t xml:space="preserve"> -</t>
  </si>
  <si>
    <t>2.4.1.3.1.6</t>
  </si>
  <si>
    <t>2,4,1,1,1,1</t>
  </si>
  <si>
    <t>2,4,1,1,1,2</t>
  </si>
  <si>
    <t>2,4,1,1,2,1</t>
  </si>
  <si>
    <t>2,4,1,1,2,2</t>
  </si>
  <si>
    <t>2,4,1,1,2,3</t>
  </si>
  <si>
    <t>2,4,1,1,3,1</t>
  </si>
  <si>
    <t>2,4,1,1,3,3</t>
  </si>
  <si>
    <t>2,4,1,1,3,2</t>
  </si>
  <si>
    <t>2,4,1,1,4,1</t>
  </si>
  <si>
    <t>2,4,1,1,5,1</t>
  </si>
  <si>
    <t>2,4,1,1,6,1</t>
  </si>
  <si>
    <t>2,4,1,1,6,2</t>
  </si>
  <si>
    <t>2,4,1,1,6,3</t>
  </si>
  <si>
    <t>META A JUNIO 2019: 83%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</si>
</sst>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#,##0.0"/>
  </numFmts>
  <fonts count="24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indexed="8"/>
      <name val="Arial"/>
    </font>
    <font>
      <sz val="12"/>
      <color theme="1"/>
      <name val="Arial"/>
    </font>
    <font>
      <sz val="12"/>
      <color rgb="FF000000"/>
      <name val="Arial"/>
      <family val="2"/>
    </font>
    <font>
      <sz val="12"/>
      <color rgb="FFFF0000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4"/>
      <color theme="1"/>
      <name val="Arial"/>
    </font>
    <font>
      <b/>
      <sz val="12"/>
      <color theme="1"/>
      <name val="Arial"/>
    </font>
    <font>
      <b/>
      <sz val="14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4"/>
      <color theme="0"/>
      <name val="Arial"/>
    </font>
    <font>
      <b/>
      <sz val="18"/>
      <color theme="0"/>
      <name val="Arial"/>
    </font>
    <font>
      <sz val="12"/>
      <color theme="0"/>
      <name val="Arial"/>
    </font>
    <font>
      <i/>
      <sz val="12"/>
      <color theme="1"/>
      <name val="Arial"/>
      <family val="2"/>
    </font>
    <font>
      <i/>
      <sz val="14"/>
      <color theme="1"/>
      <name val="Arial"/>
    </font>
    <font>
      <sz val="16"/>
      <color theme="1"/>
      <name val="Arial"/>
    </font>
    <font>
      <sz val="14"/>
      <color theme="1"/>
      <name val="Arial"/>
    </font>
    <font>
      <b/>
      <sz val="18"/>
      <color theme="1"/>
      <name val="Arial"/>
    </font>
  </fonts>
  <fills count="11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/>
        <bgColor indexed="64"/>
      </patternFill>
    </fill>
  </fills>
  <borders count="7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71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358">
    <xf numFmtId="0" fontId="0" fillId="0" borderId="0" xfId="0"/>
    <xf numFmtId="0" fontId="6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8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34" xfId="0" applyFont="1" applyFill="1" applyBorder="1" applyAlignment="1">
      <alignment horizontal="justify" vertical="center" wrapText="1"/>
    </xf>
    <xf numFmtId="0" fontId="7" fillId="0" borderId="34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9" fontId="6" fillId="2" borderId="36" xfId="0" applyNumberFormat="1" applyFont="1" applyFill="1" applyBorder="1" applyAlignment="1">
      <alignment horizontal="center" vertical="center"/>
    </xf>
    <xf numFmtId="164" fontId="3" fillId="0" borderId="19" xfId="0" applyNumberFormat="1" applyFont="1" applyBorder="1" applyAlignment="1" applyProtection="1">
      <alignment horizontal="center" vertical="center"/>
    </xf>
    <xf numFmtId="9" fontId="6" fillId="4" borderId="36" xfId="0" applyNumberFormat="1" applyFont="1" applyFill="1" applyBorder="1" applyAlignment="1">
      <alignment horizontal="center" vertical="center"/>
    </xf>
    <xf numFmtId="9" fontId="8" fillId="0" borderId="37" xfId="0" applyNumberFormat="1" applyFont="1" applyBorder="1" applyAlignment="1">
      <alignment horizontal="center" vertical="center"/>
    </xf>
    <xf numFmtId="9" fontId="8" fillId="0" borderId="38" xfId="0" applyNumberFormat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9" fontId="6" fillId="0" borderId="40" xfId="0" applyNumberFormat="1" applyFont="1" applyBorder="1" applyAlignment="1">
      <alignment horizontal="center" vertical="center"/>
    </xf>
    <xf numFmtId="9" fontId="6" fillId="0" borderId="41" xfId="0" applyNumberFormat="1" applyFont="1" applyBorder="1" applyAlignment="1">
      <alignment horizontal="center" vertical="center"/>
    </xf>
    <xf numFmtId="9" fontId="6" fillId="0" borderId="34" xfId="0" applyNumberFormat="1" applyFont="1" applyBorder="1" applyAlignment="1">
      <alignment horizontal="center" vertical="center"/>
    </xf>
    <xf numFmtId="3" fontId="11" fillId="3" borderId="42" xfId="0" applyNumberFormat="1" applyFont="1" applyFill="1" applyBorder="1" applyAlignment="1">
      <alignment horizontal="center" vertical="center"/>
    </xf>
    <xf numFmtId="3" fontId="11" fillId="3" borderId="35" xfId="0" applyNumberFormat="1" applyFont="1" applyFill="1" applyBorder="1" applyAlignment="1">
      <alignment horizontal="center" vertical="center"/>
    </xf>
    <xf numFmtId="9" fontId="11" fillId="3" borderId="35" xfId="0" applyNumberFormat="1" applyFont="1" applyFill="1" applyBorder="1" applyAlignment="1">
      <alignment horizontal="center" vertical="center"/>
    </xf>
    <xf numFmtId="9" fontId="11" fillId="3" borderId="43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justify" vertical="center" wrapText="1"/>
    </xf>
    <xf numFmtId="9" fontId="8" fillId="0" borderId="18" xfId="0" applyNumberFormat="1" applyFont="1" applyBorder="1" applyAlignment="1">
      <alignment horizontal="center" vertical="center"/>
    </xf>
    <xf numFmtId="9" fontId="6" fillId="0" borderId="51" xfId="0" applyNumberFormat="1" applyFont="1" applyBorder="1" applyAlignment="1">
      <alignment horizontal="center" vertical="center"/>
    </xf>
    <xf numFmtId="9" fontId="6" fillId="0" borderId="30" xfId="0" applyNumberFormat="1" applyFont="1" applyBorder="1" applyAlignment="1">
      <alignment horizontal="center" vertical="center"/>
    </xf>
    <xf numFmtId="9" fontId="6" fillId="0" borderId="31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9" fontId="6" fillId="0" borderId="9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9" fontId="6" fillId="0" borderId="7" xfId="0" applyNumberFormat="1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3" fontId="6" fillId="0" borderId="52" xfId="0" applyNumberFormat="1" applyFont="1" applyBorder="1" applyAlignment="1">
      <alignment horizontal="center" vertical="center"/>
    </xf>
    <xf numFmtId="3" fontId="6" fillId="0" borderId="39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9" fontId="8" fillId="0" borderId="55" xfId="0" applyNumberFormat="1" applyFont="1" applyBorder="1" applyAlignment="1">
      <alignment horizontal="center" vertical="center"/>
    </xf>
    <xf numFmtId="9" fontId="8" fillId="0" borderId="56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0" fontId="6" fillId="2" borderId="0" xfId="0" applyFont="1" applyFill="1" applyBorder="1" applyAlignment="1">
      <alignment horizontal="justify" vertical="center" wrapText="1"/>
    </xf>
    <xf numFmtId="164" fontId="6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3" fontId="6" fillId="2" borderId="0" xfId="0" applyNumberFormat="1" applyFont="1" applyFill="1" applyBorder="1" applyAlignment="1">
      <alignment horizontal="center" vertical="center"/>
    </xf>
    <xf numFmtId="9" fontId="6" fillId="2" borderId="0" xfId="0" applyNumberFormat="1" applyFont="1" applyFill="1" applyBorder="1" applyAlignment="1">
      <alignment horizontal="center" vertical="center"/>
    </xf>
    <xf numFmtId="9" fontId="6" fillId="2" borderId="22" xfId="0" applyNumberFormat="1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9" fontId="8" fillId="0" borderId="15" xfId="0" applyNumberFormat="1" applyFont="1" applyBorder="1" applyAlignment="1">
      <alignment horizontal="center" vertical="center"/>
    </xf>
    <xf numFmtId="9" fontId="8" fillId="0" borderId="57" xfId="0" applyNumberFormat="1" applyFont="1" applyBorder="1" applyAlignment="1">
      <alignment horizontal="center" vertical="center"/>
    </xf>
    <xf numFmtId="9" fontId="8" fillId="0" borderId="58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0" fontId="6" fillId="4" borderId="0" xfId="0" applyFont="1" applyFill="1" applyBorder="1" applyAlignment="1">
      <alignment horizontal="justify" vertical="center" wrapText="1"/>
    </xf>
    <xf numFmtId="164" fontId="6" fillId="4" borderId="0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 wrapText="1"/>
    </xf>
    <xf numFmtId="9" fontId="6" fillId="4" borderId="0" xfId="0" applyNumberFormat="1" applyFont="1" applyFill="1" applyBorder="1" applyAlignment="1">
      <alignment horizontal="center" vertical="center"/>
    </xf>
    <xf numFmtId="9" fontId="6" fillId="4" borderId="22" xfId="0" applyNumberFormat="1" applyFont="1" applyFill="1" applyBorder="1" applyAlignment="1">
      <alignment horizontal="center" vertical="center"/>
    </xf>
    <xf numFmtId="164" fontId="6" fillId="0" borderId="34" xfId="0" applyNumberFormat="1" applyFont="1" applyBorder="1" applyAlignment="1">
      <alignment horizontal="center" vertical="center"/>
    </xf>
    <xf numFmtId="3" fontId="6" fillId="0" borderId="34" xfId="0" applyNumberFormat="1" applyFont="1" applyBorder="1" applyAlignment="1">
      <alignment horizontal="center" vertical="center"/>
    </xf>
    <xf numFmtId="3" fontId="6" fillId="0" borderId="59" xfId="0" applyNumberFormat="1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6" fillId="0" borderId="49" xfId="0" applyNumberFormat="1" applyFont="1" applyBorder="1" applyAlignment="1">
      <alignment horizontal="center" vertical="center"/>
    </xf>
    <xf numFmtId="9" fontId="8" fillId="0" borderId="61" xfId="0" applyNumberFormat="1" applyFont="1" applyBorder="1" applyAlignment="1">
      <alignment horizontal="center" vertical="center"/>
    </xf>
    <xf numFmtId="9" fontId="6" fillId="0" borderId="45" xfId="0" applyNumberFormat="1" applyFont="1" applyBorder="1" applyAlignment="1">
      <alignment horizontal="center" vertical="center"/>
    </xf>
    <xf numFmtId="9" fontId="6" fillId="0" borderId="29" xfId="0" applyNumberFormat="1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164" fontId="6" fillId="0" borderId="46" xfId="0" applyNumberFormat="1" applyFont="1" applyBorder="1" applyAlignment="1">
      <alignment horizontal="center" vertical="center"/>
    </xf>
    <xf numFmtId="0" fontId="7" fillId="0" borderId="46" xfId="0" applyFont="1" applyFill="1" applyBorder="1" applyAlignment="1">
      <alignment horizontal="justify" vertical="center" wrapText="1"/>
    </xf>
    <xf numFmtId="3" fontId="6" fillId="0" borderId="46" xfId="0" applyNumberFormat="1" applyFont="1" applyBorder="1" applyAlignment="1">
      <alignment horizontal="center" vertical="center"/>
    </xf>
    <xf numFmtId="3" fontId="6" fillId="0" borderId="63" xfId="0" applyNumberFormat="1" applyFont="1" applyBorder="1" applyAlignment="1">
      <alignment horizontal="center" vertical="center"/>
    </xf>
    <xf numFmtId="9" fontId="8" fillId="0" borderId="28" xfId="0" applyNumberFormat="1" applyFont="1" applyBorder="1" applyAlignment="1">
      <alignment horizontal="center" vertical="center"/>
    </xf>
    <xf numFmtId="9" fontId="6" fillId="0" borderId="62" xfId="0" applyNumberFormat="1" applyFont="1" applyBorder="1" applyAlignment="1">
      <alignment horizontal="center" vertical="center"/>
    </xf>
    <xf numFmtId="9" fontId="6" fillId="0" borderId="47" xfId="0" applyNumberFormat="1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9" fontId="6" fillId="0" borderId="46" xfId="0" applyNumberFormat="1" applyFont="1" applyBorder="1" applyAlignment="1">
      <alignment horizontal="center" vertical="center"/>
    </xf>
    <xf numFmtId="0" fontId="6" fillId="0" borderId="42" xfId="0" applyFont="1" applyBorder="1" applyAlignment="1">
      <alignment horizontal="justify" vertical="center" wrapText="1"/>
    </xf>
    <xf numFmtId="164" fontId="6" fillId="0" borderId="35" xfId="0" applyNumberFormat="1" applyFont="1" applyBorder="1" applyAlignment="1">
      <alignment horizontal="center" vertical="center"/>
    </xf>
    <xf numFmtId="0" fontId="7" fillId="0" borderId="35" xfId="0" applyFont="1" applyBorder="1" applyAlignment="1">
      <alignment horizontal="justify" vertical="center" wrapText="1"/>
    </xf>
    <xf numFmtId="3" fontId="6" fillId="0" borderId="35" xfId="0" applyNumberFormat="1" applyFont="1" applyBorder="1" applyAlignment="1">
      <alignment horizontal="center" vertical="center"/>
    </xf>
    <xf numFmtId="3" fontId="6" fillId="0" borderId="65" xfId="0" applyNumberFormat="1" applyFont="1" applyBorder="1" applyAlignment="1">
      <alignment horizontal="center" vertical="center"/>
    </xf>
    <xf numFmtId="9" fontId="8" fillId="0" borderId="44" xfId="0" applyNumberFormat="1" applyFont="1" applyBorder="1" applyAlignment="1">
      <alignment horizontal="center" vertical="center"/>
    </xf>
    <xf numFmtId="9" fontId="6" fillId="0" borderId="42" xfId="0" applyNumberFormat="1" applyFont="1" applyBorder="1" applyAlignment="1">
      <alignment horizontal="center" vertical="center"/>
    </xf>
    <xf numFmtId="9" fontId="6" fillId="0" borderId="43" xfId="0" applyNumberFormat="1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9" fontId="6" fillId="0" borderId="35" xfId="0" applyNumberFormat="1" applyFont="1" applyBorder="1" applyAlignment="1">
      <alignment horizontal="center" vertical="center"/>
    </xf>
    <xf numFmtId="0" fontId="6" fillId="0" borderId="64" xfId="0" applyFont="1" applyFill="1" applyBorder="1" applyAlignment="1">
      <alignment horizontal="justify" vertical="center" wrapText="1"/>
    </xf>
    <xf numFmtId="0" fontId="6" fillId="0" borderId="66" xfId="0" applyFont="1" applyBorder="1" applyAlignment="1">
      <alignment horizontal="justify" vertical="center" wrapText="1"/>
    </xf>
    <xf numFmtId="0" fontId="6" fillId="4" borderId="50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9" fontId="11" fillId="3" borderId="42" xfId="0" applyNumberFormat="1" applyFont="1" applyFill="1" applyBorder="1" applyAlignment="1">
      <alignment horizontal="center" vertical="center"/>
    </xf>
    <xf numFmtId="0" fontId="6" fillId="0" borderId="67" xfId="0" applyFont="1" applyBorder="1" applyAlignment="1">
      <alignment horizontal="justify" vertical="center" wrapText="1"/>
    </xf>
    <xf numFmtId="164" fontId="6" fillId="0" borderId="20" xfId="0" applyNumberFormat="1" applyFont="1" applyBorder="1" applyAlignment="1">
      <alignment horizontal="center" vertical="center"/>
    </xf>
    <xf numFmtId="3" fontId="6" fillId="0" borderId="20" xfId="0" applyNumberFormat="1" applyFont="1" applyBorder="1" applyAlignment="1">
      <alignment horizontal="center" vertical="center"/>
    </xf>
    <xf numFmtId="3" fontId="6" fillId="0" borderId="68" xfId="0" applyNumberFormat="1" applyFont="1" applyBorder="1" applyAlignment="1">
      <alignment horizontal="center" vertical="center"/>
    </xf>
    <xf numFmtId="9" fontId="8" fillId="0" borderId="11" xfId="0" applyNumberFormat="1" applyFont="1" applyBorder="1" applyAlignment="1">
      <alignment horizontal="center" vertical="center"/>
    </xf>
    <xf numFmtId="9" fontId="6" fillId="0" borderId="23" xfId="0" applyNumberFormat="1" applyFont="1" applyBorder="1" applyAlignment="1">
      <alignment horizontal="center" vertical="center"/>
    </xf>
    <xf numFmtId="9" fontId="6" fillId="0" borderId="24" xfId="0" applyNumberFormat="1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9" fontId="6" fillId="0" borderId="20" xfId="0" applyNumberFormat="1" applyFont="1" applyBorder="1" applyAlignment="1">
      <alignment horizontal="center" vertical="center"/>
    </xf>
    <xf numFmtId="0" fontId="6" fillId="0" borderId="69" xfId="0" applyFont="1" applyBorder="1" applyAlignment="1">
      <alignment horizontal="justify" vertical="center" wrapText="1"/>
    </xf>
    <xf numFmtId="164" fontId="6" fillId="0" borderId="31" xfId="0" applyNumberFormat="1" applyFont="1" applyBorder="1" applyAlignment="1">
      <alignment horizontal="center" vertical="center"/>
    </xf>
    <xf numFmtId="0" fontId="7" fillId="0" borderId="31" xfId="0" applyFont="1" applyFill="1" applyBorder="1" applyAlignment="1">
      <alignment horizontal="justify" vertical="center" wrapText="1"/>
    </xf>
    <xf numFmtId="3" fontId="6" fillId="0" borderId="31" xfId="0" applyNumberFormat="1" applyFont="1" applyBorder="1" applyAlignment="1">
      <alignment horizontal="center" vertical="center"/>
    </xf>
    <xf numFmtId="3" fontId="6" fillId="0" borderId="70" xfId="0" applyNumberFormat="1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3" fillId="0" borderId="35" xfId="0" applyFont="1" applyFill="1" applyBorder="1" applyAlignment="1">
      <alignment horizontal="justify" vertical="center" wrapText="1"/>
    </xf>
    <xf numFmtId="3" fontId="6" fillId="2" borderId="58" xfId="0" applyNumberFormat="1" applyFont="1" applyFill="1" applyBorder="1" applyAlignment="1">
      <alignment horizontal="center" vertical="center"/>
    </xf>
    <xf numFmtId="3" fontId="6" fillId="4" borderId="58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justify" vertical="center" wrapText="1"/>
    </xf>
    <xf numFmtId="4" fontId="6" fillId="0" borderId="1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45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9" fontId="12" fillId="3" borderId="35" xfId="0" applyNumberFormat="1" applyFont="1" applyFill="1" applyBorder="1" applyAlignment="1">
      <alignment horizontal="center" vertical="center"/>
    </xf>
    <xf numFmtId="9" fontId="12" fillId="3" borderId="42" xfId="0" applyNumberFormat="1" applyFont="1" applyFill="1" applyBorder="1" applyAlignment="1">
      <alignment horizontal="center" vertical="center"/>
    </xf>
    <xf numFmtId="9" fontId="6" fillId="5" borderId="2" xfId="0" applyNumberFormat="1" applyFont="1" applyFill="1" applyBorder="1" applyAlignment="1">
      <alignment horizontal="center" vertical="center"/>
    </xf>
    <xf numFmtId="9" fontId="6" fillId="5" borderId="15" xfId="0" applyNumberFormat="1" applyFont="1" applyFill="1" applyBorder="1" applyAlignment="1">
      <alignment horizontal="center" vertical="center"/>
    </xf>
    <xf numFmtId="9" fontId="6" fillId="5" borderId="3" xfId="0" applyNumberFormat="1" applyFont="1" applyFill="1" applyBorder="1" applyAlignment="1">
      <alignment horizontal="center" vertical="center"/>
    </xf>
    <xf numFmtId="9" fontId="6" fillId="5" borderId="6" xfId="0" applyNumberFormat="1" applyFont="1" applyFill="1" applyBorder="1" applyAlignment="1">
      <alignment horizontal="center" vertical="center"/>
    </xf>
    <xf numFmtId="9" fontId="6" fillId="5" borderId="58" xfId="0" applyNumberFormat="1" applyFont="1" applyFill="1" applyBorder="1" applyAlignment="1">
      <alignment horizontal="center" vertical="center"/>
    </xf>
    <xf numFmtId="9" fontId="6" fillId="5" borderId="7" xfId="0" applyNumberFormat="1" applyFont="1" applyFill="1" applyBorder="1" applyAlignment="1">
      <alignment horizontal="center" vertical="center"/>
    </xf>
    <xf numFmtId="9" fontId="6" fillId="5" borderId="4" xfId="0" applyNumberFormat="1" applyFont="1" applyFill="1" applyBorder="1" applyAlignment="1">
      <alignment horizontal="center" vertical="center"/>
    </xf>
    <xf numFmtId="9" fontId="6" fillId="5" borderId="57" xfId="0" applyNumberFormat="1" applyFont="1" applyFill="1" applyBorder="1" applyAlignment="1">
      <alignment horizontal="center" vertical="center"/>
    </xf>
    <xf numFmtId="9" fontId="6" fillId="5" borderId="5" xfId="0" applyNumberFormat="1" applyFont="1" applyFill="1" applyBorder="1" applyAlignment="1">
      <alignment horizontal="center" vertical="center"/>
    </xf>
    <xf numFmtId="9" fontId="6" fillId="5" borderId="45" xfId="0" applyNumberFormat="1" applyFont="1" applyFill="1" applyBorder="1" applyAlignment="1">
      <alignment horizontal="center" vertical="center"/>
    </xf>
    <xf numFmtId="9" fontId="6" fillId="5" borderId="16" xfId="0" applyNumberFormat="1" applyFont="1" applyFill="1" applyBorder="1" applyAlignment="1">
      <alignment horizontal="center" vertical="center"/>
    </xf>
    <xf numFmtId="9" fontId="6" fillId="5" borderId="1" xfId="0" applyNumberFormat="1" applyFont="1" applyFill="1" applyBorder="1" applyAlignment="1">
      <alignment horizontal="center" vertical="center"/>
    </xf>
    <xf numFmtId="9" fontId="6" fillId="5" borderId="62" xfId="0" applyNumberFormat="1" applyFont="1" applyFill="1" applyBorder="1" applyAlignment="1">
      <alignment horizontal="center" vertical="center"/>
    </xf>
    <xf numFmtId="9" fontId="6" fillId="5" borderId="0" xfId="0" applyNumberFormat="1" applyFont="1" applyFill="1" applyBorder="1" applyAlignment="1">
      <alignment horizontal="center" vertical="center"/>
    </xf>
    <xf numFmtId="9" fontId="6" fillId="5" borderId="46" xfId="0" applyNumberFormat="1" applyFont="1" applyFill="1" applyBorder="1" applyAlignment="1">
      <alignment horizontal="center" vertical="center"/>
    </xf>
    <xf numFmtId="9" fontId="6" fillId="5" borderId="42" xfId="0" applyNumberFormat="1" applyFont="1" applyFill="1" applyBorder="1" applyAlignment="1">
      <alignment horizontal="center" vertical="center"/>
    </xf>
    <xf numFmtId="9" fontId="6" fillId="5" borderId="71" xfId="0" applyNumberFormat="1" applyFont="1" applyFill="1" applyBorder="1" applyAlignment="1">
      <alignment horizontal="center" vertical="center"/>
    </xf>
    <xf numFmtId="9" fontId="6" fillId="5" borderId="35" xfId="0" applyNumberFormat="1" applyFont="1" applyFill="1" applyBorder="1" applyAlignment="1">
      <alignment horizontal="center" vertical="center"/>
    </xf>
    <xf numFmtId="9" fontId="6" fillId="5" borderId="40" xfId="0" applyNumberFormat="1" applyFont="1" applyFill="1" applyBorder="1" applyAlignment="1">
      <alignment horizontal="center" vertical="center"/>
    </xf>
    <xf numFmtId="9" fontId="6" fillId="5" borderId="72" xfId="0" applyNumberFormat="1" applyFont="1" applyFill="1" applyBorder="1" applyAlignment="1">
      <alignment horizontal="center" vertical="center"/>
    </xf>
    <xf numFmtId="9" fontId="6" fillId="5" borderId="34" xfId="0" applyNumberFormat="1" applyFont="1" applyFill="1" applyBorder="1" applyAlignment="1">
      <alignment horizontal="center" vertical="center"/>
    </xf>
    <xf numFmtId="9" fontId="6" fillId="5" borderId="23" xfId="0" applyNumberFormat="1" applyFont="1" applyFill="1" applyBorder="1" applyAlignment="1">
      <alignment horizontal="center" vertical="center"/>
    </xf>
    <xf numFmtId="9" fontId="6" fillId="5" borderId="21" xfId="0" applyNumberFormat="1" applyFont="1" applyFill="1" applyBorder="1" applyAlignment="1">
      <alignment horizontal="center" vertical="center"/>
    </xf>
    <xf numFmtId="9" fontId="6" fillId="5" borderId="20" xfId="0" applyNumberFormat="1" applyFont="1" applyFill="1" applyBorder="1" applyAlignment="1">
      <alignment horizontal="center" vertical="center"/>
    </xf>
    <xf numFmtId="9" fontId="6" fillId="5" borderId="51" xfId="0" applyNumberFormat="1" applyFont="1" applyFill="1" applyBorder="1" applyAlignment="1">
      <alignment horizontal="center" vertical="center"/>
    </xf>
    <xf numFmtId="9" fontId="6" fillId="5" borderId="17" xfId="0" applyNumberFormat="1" applyFont="1" applyFill="1" applyBorder="1" applyAlignment="1">
      <alignment horizontal="center" vertical="center"/>
    </xf>
    <xf numFmtId="9" fontId="6" fillId="5" borderId="31" xfId="0" applyNumberFormat="1" applyFont="1" applyFill="1" applyBorder="1" applyAlignment="1">
      <alignment horizontal="center" vertical="center"/>
    </xf>
    <xf numFmtId="0" fontId="2" fillId="0" borderId="73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51" xfId="0" applyFont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/>
    </xf>
    <xf numFmtId="3" fontId="6" fillId="0" borderId="32" xfId="0" applyNumberFormat="1" applyFont="1" applyBorder="1" applyAlignment="1">
      <alignment horizontal="center" vertical="center"/>
    </xf>
    <xf numFmtId="3" fontId="6" fillId="0" borderId="24" xfId="0" applyNumberFormat="1" applyFont="1" applyBorder="1" applyAlignment="1">
      <alignment horizontal="center" vertical="center"/>
    </xf>
    <xf numFmtId="3" fontId="6" fillId="0" borderId="75" xfId="0" applyNumberFormat="1" applyFont="1" applyBorder="1" applyAlignment="1">
      <alignment horizontal="center" vertical="center"/>
    </xf>
    <xf numFmtId="3" fontId="6" fillId="0" borderId="43" xfId="0" applyNumberFormat="1" applyFont="1" applyBorder="1" applyAlignment="1">
      <alignment horizontal="center" vertical="center"/>
    </xf>
    <xf numFmtId="3" fontId="6" fillId="0" borderId="50" xfId="0" applyNumberFormat="1" applyFont="1" applyBorder="1" applyAlignment="1">
      <alignment horizontal="center" vertical="center"/>
    </xf>
    <xf numFmtId="3" fontId="6" fillId="0" borderId="30" xfId="0" applyNumberFormat="1" applyFont="1" applyBorder="1" applyAlignment="1">
      <alignment horizontal="center" vertical="center"/>
    </xf>
    <xf numFmtId="3" fontId="6" fillId="0" borderId="25" xfId="0" applyNumberFormat="1" applyFont="1" applyBorder="1" applyAlignment="1">
      <alignment horizontal="center" vertical="center"/>
    </xf>
    <xf numFmtId="3" fontId="6" fillId="0" borderId="26" xfId="0" applyNumberFormat="1" applyFont="1" applyBorder="1" applyAlignment="1">
      <alignment horizontal="center" vertical="center"/>
    </xf>
    <xf numFmtId="3" fontId="6" fillId="0" borderId="27" xfId="0" applyNumberFormat="1" applyFont="1" applyBorder="1" applyAlignment="1">
      <alignment horizontal="center" vertical="center"/>
    </xf>
    <xf numFmtId="3" fontId="6" fillId="0" borderId="76" xfId="0" applyNumberFormat="1" applyFont="1" applyBorder="1" applyAlignment="1">
      <alignment horizontal="center" vertical="center"/>
    </xf>
    <xf numFmtId="3" fontId="6" fillId="0" borderId="41" xfId="0" applyNumberFormat="1" applyFont="1" applyBorder="1" applyAlignment="1">
      <alignment horizontal="center" vertical="center"/>
    </xf>
    <xf numFmtId="3" fontId="6" fillId="0" borderId="73" xfId="0" applyNumberFormat="1" applyFont="1" applyBorder="1" applyAlignment="1">
      <alignment horizontal="center" vertical="center"/>
    </xf>
    <xf numFmtId="3" fontId="6" fillId="0" borderId="29" xfId="0" applyNumberFormat="1" applyFont="1" applyBorder="1" applyAlignment="1">
      <alignment horizontal="center" vertical="center"/>
    </xf>
    <xf numFmtId="3" fontId="6" fillId="0" borderId="33" xfId="0" applyNumberFormat="1" applyFont="1" applyBorder="1" applyAlignment="1">
      <alignment horizontal="center" vertical="center"/>
    </xf>
    <xf numFmtId="3" fontId="6" fillId="0" borderId="47" xfId="0" applyNumberFormat="1" applyFont="1" applyBorder="1" applyAlignment="1">
      <alignment horizontal="center" vertical="center"/>
    </xf>
    <xf numFmtId="9" fontId="6" fillId="4" borderId="58" xfId="0" applyNumberFormat="1" applyFont="1" applyFill="1" applyBorder="1" applyAlignment="1">
      <alignment horizontal="center" vertical="center"/>
    </xf>
    <xf numFmtId="9" fontId="6" fillId="2" borderId="58" xfId="0" applyNumberFormat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" fillId="0" borderId="23" xfId="0" applyFont="1" applyBorder="1" applyAlignment="1" applyProtection="1">
      <alignment horizontal="center" vertical="center"/>
      <protection locked="0"/>
    </xf>
    <xf numFmtId="0" fontId="1" fillId="0" borderId="68" xfId="0" applyFont="1" applyBorder="1" applyAlignment="1" applyProtection="1">
      <alignment horizontal="center" vertical="center"/>
      <protection locked="0"/>
    </xf>
    <xf numFmtId="0" fontId="2" fillId="0" borderId="64" xfId="0" applyFont="1" applyFill="1" applyBorder="1" applyAlignment="1" applyProtection="1">
      <alignment horizontal="center" vertical="center" wrapText="1"/>
      <protection locked="0"/>
    </xf>
    <xf numFmtId="0" fontId="2" fillId="0" borderId="46" xfId="0" applyFont="1" applyFill="1" applyBorder="1" applyAlignment="1" applyProtection="1">
      <alignment horizontal="center" vertical="center" wrapText="1"/>
      <protection locked="0"/>
    </xf>
    <xf numFmtId="0" fontId="2" fillId="0" borderId="47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3" fontId="6" fillId="7" borderId="40" xfId="0" applyNumberFormat="1" applyFont="1" applyFill="1" applyBorder="1" applyAlignment="1">
      <alignment horizontal="center" vertical="center"/>
    </xf>
    <xf numFmtId="3" fontId="6" fillId="7" borderId="34" xfId="0" applyNumberFormat="1" applyFont="1" applyFill="1" applyBorder="1" applyAlignment="1">
      <alignment horizontal="center" vertical="center"/>
    </xf>
    <xf numFmtId="9" fontId="5" fillId="7" borderId="59" xfId="0" applyNumberFormat="1" applyFont="1" applyFill="1" applyBorder="1" applyAlignment="1" applyProtection="1">
      <alignment horizontal="center" vertical="center"/>
    </xf>
    <xf numFmtId="9" fontId="5" fillId="7" borderId="41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 wrapText="1"/>
    </xf>
    <xf numFmtId="9" fontId="22" fillId="0" borderId="26" xfId="0" applyNumberFormat="1" applyFont="1" applyBorder="1" applyAlignment="1">
      <alignment horizontal="center" vertical="center" wrapText="1"/>
    </xf>
    <xf numFmtId="9" fontId="21" fillId="0" borderId="57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/>
    </xf>
    <xf numFmtId="9" fontId="5" fillId="0" borderId="39" xfId="0" applyNumberFormat="1" applyFont="1" applyBorder="1" applyAlignment="1" applyProtection="1">
      <alignment horizontal="center" vertical="center"/>
    </xf>
    <xf numFmtId="9" fontId="5" fillId="0" borderId="9" xfId="0" applyNumberFormat="1" applyFont="1" applyBorder="1" applyAlignment="1" applyProtection="1">
      <alignment horizontal="center" vertical="center"/>
    </xf>
    <xf numFmtId="9" fontId="19" fillId="7" borderId="5" xfId="0" applyNumberFormat="1" applyFont="1" applyFill="1" applyBorder="1" applyAlignment="1">
      <alignment horizontal="center" vertical="center" wrapText="1"/>
    </xf>
    <xf numFmtId="9" fontId="20" fillId="7" borderId="26" xfId="0" applyNumberFormat="1" applyFont="1" applyFill="1" applyBorder="1" applyAlignment="1">
      <alignment horizontal="center" vertical="center" wrapText="1"/>
    </xf>
    <xf numFmtId="9" fontId="21" fillId="7" borderId="57" xfId="0" applyNumberFormat="1" applyFont="1" applyFill="1" applyBorder="1" applyAlignment="1">
      <alignment horizontal="center" vertical="center" wrapText="1"/>
    </xf>
    <xf numFmtId="3" fontId="6" fillId="7" borderId="4" xfId="0" applyNumberFormat="1" applyFont="1" applyFill="1" applyBorder="1" applyAlignment="1">
      <alignment horizontal="center" vertical="center"/>
    </xf>
    <xf numFmtId="3" fontId="6" fillId="7" borderId="5" xfId="0" applyNumberFormat="1" applyFont="1" applyFill="1" applyBorder="1" applyAlignment="1">
      <alignment horizontal="center" vertical="center"/>
    </xf>
    <xf numFmtId="9" fontId="5" fillId="7" borderId="39" xfId="0" applyNumberFormat="1" applyFont="1" applyFill="1" applyBorder="1" applyAlignment="1" applyProtection="1">
      <alignment horizontal="center" vertical="center"/>
    </xf>
    <xf numFmtId="9" fontId="5" fillId="7" borderId="9" xfId="0" applyNumberFormat="1" applyFont="1" applyFill="1" applyBorder="1" applyAlignment="1" applyProtection="1">
      <alignment horizontal="center" vertical="center"/>
    </xf>
    <xf numFmtId="9" fontId="15" fillId="8" borderId="35" xfId="0" applyNumberFormat="1" applyFont="1" applyFill="1" applyBorder="1" applyAlignment="1">
      <alignment horizontal="center" vertical="center" wrapText="1"/>
    </xf>
    <xf numFmtId="9" fontId="16" fillId="8" borderId="75" xfId="0" applyNumberFormat="1" applyFont="1" applyFill="1" applyBorder="1" applyAlignment="1">
      <alignment horizontal="center" vertical="center" wrapText="1"/>
    </xf>
    <xf numFmtId="9" fontId="17" fillId="8" borderId="71" xfId="0" applyNumberFormat="1" applyFont="1" applyFill="1" applyBorder="1" applyAlignment="1">
      <alignment horizontal="center" vertical="center" wrapText="1"/>
    </xf>
    <xf numFmtId="3" fontId="15" fillId="8" borderId="42" xfId="0" applyNumberFormat="1" applyFont="1" applyFill="1" applyBorder="1" applyAlignment="1">
      <alignment horizontal="center" vertical="center"/>
    </xf>
    <xf numFmtId="3" fontId="15" fillId="8" borderId="35" xfId="0" applyNumberFormat="1" applyFont="1" applyFill="1" applyBorder="1" applyAlignment="1">
      <alignment horizontal="center" vertical="center"/>
    </xf>
    <xf numFmtId="9" fontId="18" fillId="8" borderId="65" xfId="0" applyNumberFormat="1" applyFont="1" applyFill="1" applyBorder="1" applyAlignment="1" applyProtection="1">
      <alignment horizontal="center" vertical="center"/>
    </xf>
    <xf numFmtId="9" fontId="18" fillId="8" borderId="43" xfId="0" applyNumberFormat="1" applyFont="1" applyFill="1" applyBorder="1" applyAlignment="1" applyProtection="1">
      <alignment horizontal="center" vertical="center"/>
    </xf>
    <xf numFmtId="9" fontId="19" fillId="7" borderId="34" xfId="0" applyNumberFormat="1" applyFont="1" applyFill="1" applyBorder="1" applyAlignment="1">
      <alignment horizontal="center" vertical="center" wrapText="1"/>
    </xf>
    <xf numFmtId="9" fontId="20" fillId="7" borderId="76" xfId="0" applyNumberFormat="1" applyFont="1" applyFill="1" applyBorder="1" applyAlignment="1">
      <alignment horizontal="center" vertical="center" wrapText="1"/>
    </xf>
    <xf numFmtId="9" fontId="21" fillId="7" borderId="72" xfId="0" applyNumberFormat="1" applyFont="1" applyFill="1" applyBorder="1" applyAlignment="1">
      <alignment horizontal="center" vertical="center" wrapText="1"/>
    </xf>
    <xf numFmtId="9" fontId="15" fillId="9" borderId="35" xfId="0" applyNumberFormat="1" applyFont="1" applyFill="1" applyBorder="1" applyAlignment="1">
      <alignment horizontal="center" vertical="center" wrapText="1"/>
    </xf>
    <xf numFmtId="9" fontId="16" fillId="9" borderId="75" xfId="0" applyNumberFormat="1" applyFont="1" applyFill="1" applyBorder="1" applyAlignment="1">
      <alignment horizontal="center" vertical="center" wrapText="1"/>
    </xf>
    <xf numFmtId="9" fontId="17" fillId="9" borderId="71" xfId="0" applyNumberFormat="1" applyFont="1" applyFill="1" applyBorder="1" applyAlignment="1">
      <alignment horizontal="center" vertical="center" wrapText="1"/>
    </xf>
    <xf numFmtId="3" fontId="15" fillId="9" borderId="42" xfId="0" applyNumberFormat="1" applyFont="1" applyFill="1" applyBorder="1" applyAlignment="1">
      <alignment horizontal="center" vertical="center"/>
    </xf>
    <xf numFmtId="3" fontId="15" fillId="9" borderId="35" xfId="0" applyNumberFormat="1" applyFont="1" applyFill="1" applyBorder="1" applyAlignment="1">
      <alignment horizontal="center" vertical="center"/>
    </xf>
    <xf numFmtId="9" fontId="15" fillId="10" borderId="65" xfId="0" applyNumberFormat="1" applyFont="1" applyFill="1" applyBorder="1" applyAlignment="1" applyProtection="1">
      <alignment horizontal="center" vertical="center"/>
    </xf>
    <xf numFmtId="9" fontId="15" fillId="10" borderId="43" xfId="0" applyNumberFormat="1" applyFont="1" applyFill="1" applyBorder="1" applyAlignment="1" applyProtection="1">
      <alignment horizontal="center" vertical="center"/>
    </xf>
    <xf numFmtId="9" fontId="11" fillId="3" borderId="35" xfId="0" applyNumberFormat="1" applyFont="1" applyFill="1" applyBorder="1" applyAlignment="1">
      <alignment horizontal="center" vertical="center" wrapText="1"/>
    </xf>
    <xf numFmtId="9" fontId="11" fillId="3" borderId="75" xfId="0" applyNumberFormat="1" applyFont="1" applyFill="1" applyBorder="1" applyAlignment="1">
      <alignment horizontal="center" vertical="center" wrapText="1"/>
    </xf>
    <xf numFmtId="9" fontId="23" fillId="3" borderId="71" xfId="0" applyNumberFormat="1" applyFont="1" applyFill="1" applyBorder="1" applyAlignment="1">
      <alignment horizontal="center" vertical="center" wrapText="1"/>
    </xf>
    <xf numFmtId="9" fontId="4" fillId="3" borderId="35" xfId="0" applyNumberFormat="1" applyFont="1" applyFill="1" applyBorder="1" applyAlignment="1" applyProtection="1">
      <alignment horizontal="center" vertical="center"/>
    </xf>
    <xf numFmtId="9" fontId="4" fillId="3" borderId="43" xfId="0" applyNumberFormat="1" applyFont="1" applyFill="1" applyBorder="1" applyAlignment="1" applyProtection="1">
      <alignment horizontal="center" vertical="center"/>
    </xf>
    <xf numFmtId="0" fontId="11" fillId="0" borderId="0" xfId="0" applyFont="1"/>
    <xf numFmtId="0" fontId="22" fillId="0" borderId="0" xfId="0" applyFont="1"/>
    <xf numFmtId="0" fontId="11" fillId="0" borderId="0" xfId="0" applyFont="1" applyAlignment="1">
      <alignment vertical="center"/>
    </xf>
    <xf numFmtId="164" fontId="22" fillId="0" borderId="0" xfId="0" applyNumberFormat="1" applyFont="1" applyAlignment="1">
      <alignment horizontal="left"/>
    </xf>
    <xf numFmtId="3" fontId="6" fillId="0" borderId="6" xfId="0" applyNumberFormat="1" applyFont="1" applyBorder="1" applyAlignment="1">
      <alignment horizontal="center" vertical="center"/>
    </xf>
    <xf numFmtId="9" fontId="5" fillId="0" borderId="13" xfId="0" applyNumberFormat="1" applyFont="1" applyBorder="1" applyAlignment="1" applyProtection="1">
      <alignment horizontal="center" vertical="center"/>
    </xf>
    <xf numFmtId="9" fontId="5" fillId="0" borderId="10" xfId="0" applyNumberFormat="1" applyFont="1" applyBorder="1" applyAlignment="1" applyProtection="1">
      <alignment horizontal="center" vertical="center"/>
    </xf>
    <xf numFmtId="9" fontId="11" fillId="5" borderId="24" xfId="0" applyNumberFormat="1" applyFont="1" applyFill="1" applyBorder="1" applyAlignment="1">
      <alignment horizontal="center" vertical="center"/>
    </xf>
    <xf numFmtId="9" fontId="11" fillId="5" borderId="43" xfId="0" applyNumberFormat="1" applyFont="1" applyFill="1" applyBorder="1" applyAlignment="1">
      <alignment horizontal="center" vertical="center"/>
    </xf>
    <xf numFmtId="9" fontId="11" fillId="5" borderId="30" xfId="0" applyNumberFormat="1" applyFont="1" applyFill="1" applyBorder="1" applyAlignment="1">
      <alignment horizontal="center" vertical="center"/>
    </xf>
    <xf numFmtId="9" fontId="11" fillId="2" borderId="0" xfId="0" applyNumberFormat="1" applyFont="1" applyFill="1" applyBorder="1" applyAlignment="1">
      <alignment horizontal="center" vertical="center"/>
    </xf>
    <xf numFmtId="9" fontId="11" fillId="5" borderId="8" xfId="0" applyNumberFormat="1" applyFont="1" applyFill="1" applyBorder="1" applyAlignment="1">
      <alignment horizontal="center" vertical="center"/>
    </xf>
    <xf numFmtId="9" fontId="11" fillId="5" borderId="9" xfId="0" applyNumberFormat="1" applyFont="1" applyFill="1" applyBorder="1" applyAlignment="1">
      <alignment horizontal="center" vertical="center"/>
    </xf>
    <xf numFmtId="9" fontId="11" fillId="5" borderId="10" xfId="0" applyNumberFormat="1" applyFont="1" applyFill="1" applyBorder="1" applyAlignment="1">
      <alignment horizontal="center" vertical="center"/>
    </xf>
    <xf numFmtId="9" fontId="11" fillId="4" borderId="0" xfId="0" applyNumberFormat="1" applyFont="1" applyFill="1" applyBorder="1" applyAlignment="1">
      <alignment horizontal="center" vertical="center"/>
    </xf>
    <xf numFmtId="9" fontId="11" fillId="5" borderId="29" xfId="0" applyNumberFormat="1" applyFont="1" applyFill="1" applyBorder="1" applyAlignment="1">
      <alignment horizontal="center" vertical="center"/>
    </xf>
    <xf numFmtId="9" fontId="11" fillId="5" borderId="47" xfId="0" applyNumberFormat="1" applyFont="1" applyFill="1" applyBorder="1" applyAlignment="1">
      <alignment horizontal="center" vertical="center"/>
    </xf>
    <xf numFmtId="9" fontId="11" fillId="5" borderId="41" xfId="0" applyNumberFormat="1" applyFont="1" applyFill="1" applyBorder="1" applyAlignment="1">
      <alignment horizontal="center" vertical="center"/>
    </xf>
    <xf numFmtId="165" fontId="6" fillId="0" borderId="10" xfId="0" applyNumberFormat="1" applyFont="1" applyBorder="1" applyAlignment="1">
      <alignment horizontal="center" vertical="center"/>
    </xf>
    <xf numFmtId="0" fontId="16" fillId="0" borderId="0" xfId="0" applyFont="1"/>
    <xf numFmtId="165" fontId="6" fillId="0" borderId="9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justify" vertical="center" wrapText="1"/>
    </xf>
    <xf numFmtId="0" fontId="6" fillId="0" borderId="54" xfId="0" applyFont="1" applyBorder="1" applyAlignment="1">
      <alignment horizontal="justify" vertical="center" wrapText="1"/>
    </xf>
    <xf numFmtId="0" fontId="6" fillId="0" borderId="14" xfId="0" applyFont="1" applyBorder="1" applyAlignment="1">
      <alignment horizontal="justify" vertical="center" wrapText="1"/>
    </xf>
    <xf numFmtId="0" fontId="6" fillId="0" borderId="53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68" xfId="0" applyFont="1" applyBorder="1" applyAlignment="1" applyProtection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7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45" xfId="0" applyFont="1" applyFill="1" applyBorder="1" applyAlignment="1">
      <alignment horizontal="center" vertical="center" wrapText="1"/>
    </xf>
    <xf numFmtId="0" fontId="2" fillId="5" borderId="49" xfId="0" applyFont="1" applyFill="1" applyBorder="1" applyAlignment="1">
      <alignment horizontal="center" vertical="center" wrapText="1"/>
    </xf>
    <xf numFmtId="0" fontId="2" fillId="5" borderId="70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31" xfId="0" applyFont="1" applyFill="1" applyBorder="1" applyAlignment="1">
      <alignment horizontal="center" vertical="center" wrapText="1"/>
    </xf>
    <xf numFmtId="0" fontId="2" fillId="5" borderId="48" xfId="0" applyFont="1" applyFill="1" applyBorder="1" applyAlignment="1">
      <alignment horizontal="center" vertical="center" wrapText="1"/>
    </xf>
    <xf numFmtId="0" fontId="2" fillId="5" borderId="69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3" fillId="5" borderId="29" xfId="0" applyFont="1" applyFill="1" applyBorder="1" applyAlignment="1">
      <alignment horizontal="center" vertical="center" wrapText="1"/>
    </xf>
    <xf numFmtId="0" fontId="14" fillId="0" borderId="75" xfId="0" applyFont="1" applyBorder="1" applyAlignment="1">
      <alignment horizontal="center" vertical="center"/>
    </xf>
    <xf numFmtId="0" fontId="14" fillId="0" borderId="71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2" fillId="6" borderId="32" xfId="0" applyFont="1" applyFill="1" applyBorder="1" applyAlignment="1" applyProtection="1">
      <alignment horizontal="center" vertical="center" wrapText="1"/>
      <protection locked="0"/>
    </xf>
    <xf numFmtId="0" fontId="2" fillId="6" borderId="21" xfId="0" applyFont="1" applyFill="1" applyBorder="1" applyAlignment="1" applyProtection="1">
      <alignment horizontal="center" vertical="center" wrapText="1"/>
      <protection locked="0"/>
    </xf>
    <xf numFmtId="0" fontId="2" fillId="6" borderId="50" xfId="0" applyFont="1" applyFill="1" applyBorder="1" applyAlignment="1" applyProtection="1">
      <alignment horizontal="center" vertical="center" wrapText="1"/>
      <protection locked="0"/>
    </xf>
    <xf numFmtId="0" fontId="2" fillId="6" borderId="17" xfId="0" applyFont="1" applyFill="1" applyBorder="1" applyAlignment="1" applyProtection="1">
      <alignment horizontal="center" vertical="center" wrapText="1"/>
      <protection locked="0"/>
    </xf>
    <xf numFmtId="0" fontId="1" fillId="6" borderId="32" xfId="0" applyFont="1" applyFill="1" applyBorder="1" applyAlignment="1" applyProtection="1">
      <alignment horizontal="center" vertical="center" wrapText="1"/>
      <protection locked="0"/>
    </xf>
    <xf numFmtId="0" fontId="1" fillId="6" borderId="12" xfId="0" applyFont="1" applyFill="1" applyBorder="1" applyAlignment="1" applyProtection="1">
      <alignment horizontal="center" vertical="center" wrapText="1"/>
      <protection locked="0"/>
    </xf>
    <xf numFmtId="0" fontId="1" fillId="6" borderId="50" xfId="0" applyFont="1" applyFill="1" applyBorder="1" applyAlignment="1" applyProtection="1">
      <alignment horizontal="center" vertical="center" wrapText="1"/>
      <protection locked="0"/>
    </xf>
    <xf numFmtId="0" fontId="1" fillId="6" borderId="19" xfId="0" applyFont="1" applyFill="1" applyBorder="1" applyAlignment="1" applyProtection="1">
      <alignment horizontal="center" vertical="center" wrapText="1"/>
      <protection locked="0"/>
    </xf>
    <xf numFmtId="0" fontId="1" fillId="0" borderId="53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2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" fillId="0" borderId="32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5" fillId="8" borderId="75" xfId="0" applyFont="1" applyFill="1" applyBorder="1" applyAlignment="1">
      <alignment horizontal="justify" vertical="center"/>
    </xf>
    <xf numFmtId="0" fontId="15" fillId="8" borderId="66" xfId="0" applyFont="1" applyFill="1" applyBorder="1" applyAlignment="1">
      <alignment horizontal="justify" vertical="center"/>
    </xf>
    <xf numFmtId="0" fontId="19" fillId="7" borderId="25" xfId="0" applyFont="1" applyFill="1" applyBorder="1" applyAlignment="1">
      <alignment horizontal="justify" vertical="center"/>
    </xf>
    <xf numFmtId="0" fontId="19" fillId="7" borderId="53" xfId="0" applyFont="1" applyFill="1" applyBorder="1" applyAlignment="1">
      <alignment horizontal="justify" vertical="center"/>
    </xf>
    <xf numFmtId="0" fontId="6" fillId="0" borderId="26" xfId="0" applyFont="1" applyBorder="1" applyAlignment="1">
      <alignment horizontal="justify" vertical="center"/>
    </xf>
    <xf numFmtId="0" fontId="6" fillId="0" borderId="54" xfId="0" applyFont="1" applyBorder="1" applyAlignment="1">
      <alignment horizontal="justify" vertical="center"/>
    </xf>
    <xf numFmtId="0" fontId="19" fillId="7" borderId="26" xfId="0" applyFont="1" applyFill="1" applyBorder="1" applyAlignment="1">
      <alignment horizontal="justify" vertical="center"/>
    </xf>
    <xf numFmtId="0" fontId="19" fillId="7" borderId="54" xfId="0" applyFont="1" applyFill="1" applyBorder="1" applyAlignment="1">
      <alignment horizontal="justify" vertical="center"/>
    </xf>
    <xf numFmtId="0" fontId="15" fillId="9" borderId="75" xfId="0" applyFont="1" applyFill="1" applyBorder="1" applyAlignment="1">
      <alignment horizontal="justify" vertical="center"/>
    </xf>
    <xf numFmtId="0" fontId="15" fillId="9" borderId="66" xfId="0" applyFont="1" applyFill="1" applyBorder="1" applyAlignment="1">
      <alignment horizontal="justify" vertical="center"/>
    </xf>
    <xf numFmtId="0" fontId="11" fillId="3" borderId="75" xfId="0" applyFont="1" applyFill="1" applyBorder="1" applyAlignment="1">
      <alignment horizontal="justify" vertical="center"/>
    </xf>
    <xf numFmtId="0" fontId="11" fillId="3" borderId="66" xfId="0" applyFont="1" applyFill="1" applyBorder="1" applyAlignment="1">
      <alignment horizontal="justify" vertical="center"/>
    </xf>
  </cellXfs>
  <cellStyles count="17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427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2070100</xdr:colOff>
      <xdr:row>1</xdr:row>
      <xdr:rowOff>63500</xdr:rowOff>
    </xdr:from>
    <xdr:to>
      <xdr:col>17</xdr:col>
      <xdr:colOff>355600</xdr:colOff>
      <xdr:row>5</xdr:row>
      <xdr:rowOff>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164300" y="254000"/>
          <a:ext cx="24765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292100</xdr:colOff>
      <xdr:row>1</xdr:row>
      <xdr:rowOff>25400</xdr:rowOff>
    </xdr:from>
    <xdr:to>
      <xdr:col>17</xdr:col>
      <xdr:colOff>889000</xdr:colOff>
      <xdr:row>4</xdr:row>
      <xdr:rowOff>152400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481800" y="215900"/>
          <a:ext cx="26924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723900</xdr:colOff>
      <xdr:row>1</xdr:row>
      <xdr:rowOff>76200</xdr:rowOff>
    </xdr:from>
    <xdr:to>
      <xdr:col>4</xdr:col>
      <xdr:colOff>304800</xdr:colOff>
      <xdr:row>6</xdr:row>
      <xdr:rowOff>101600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266700"/>
          <a:ext cx="13335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101600</xdr:colOff>
      <xdr:row>1</xdr:row>
      <xdr:rowOff>38100</xdr:rowOff>
    </xdr:from>
    <xdr:to>
      <xdr:col>22</xdr:col>
      <xdr:colOff>444500</xdr:colOff>
      <xdr:row>4</xdr:row>
      <xdr:rowOff>165100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24752300" y="228600"/>
          <a:ext cx="24384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1447800</xdr:colOff>
      <xdr:row>3</xdr:row>
      <xdr:rowOff>50800</xdr:rowOff>
    </xdr:from>
    <xdr:to>
      <xdr:col>2</xdr:col>
      <xdr:colOff>2451100</xdr:colOff>
      <xdr:row>6</xdr:row>
      <xdr:rowOff>292100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7239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3136900</xdr:colOff>
      <xdr:row>3</xdr:row>
      <xdr:rowOff>101600</xdr:rowOff>
    </xdr:from>
    <xdr:to>
      <xdr:col>3</xdr:col>
      <xdr:colOff>1270000</xdr:colOff>
      <xdr:row>6</xdr:row>
      <xdr:rowOff>279400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4127500" y="774700"/>
          <a:ext cx="2159000" cy="863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6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91" t="s">
        <v>16</v>
      </c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</row>
    <row r="3" spans="2:20" ht="20" customHeight="1">
      <c r="B3" s="291" t="s">
        <v>19</v>
      </c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</row>
    <row r="4" spans="2:20" ht="20" customHeight="1">
      <c r="B4" s="291" t="s">
        <v>27</v>
      </c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2016</v>
      </c>
      <c r="C8" s="18">
        <v>42735</v>
      </c>
      <c r="D8" s="292" t="s">
        <v>3</v>
      </c>
      <c r="E8" s="293"/>
      <c r="F8" s="293"/>
      <c r="G8" s="293"/>
      <c r="H8" s="293"/>
      <c r="I8" s="293"/>
      <c r="J8" s="293"/>
      <c r="K8" s="294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95" t="s">
        <v>17</v>
      </c>
      <c r="C9" s="298" t="s">
        <v>18</v>
      </c>
      <c r="D9" s="301" t="s">
        <v>0</v>
      </c>
      <c r="E9" s="304" t="s">
        <v>4</v>
      </c>
      <c r="F9" s="304"/>
      <c r="G9" s="304" t="s">
        <v>5</v>
      </c>
      <c r="H9" s="304"/>
      <c r="I9" s="304"/>
      <c r="J9" s="304"/>
      <c r="K9" s="306"/>
      <c r="L9" s="5"/>
      <c r="M9" s="301" t="s">
        <v>6</v>
      </c>
      <c r="N9" s="306"/>
      <c r="O9" s="283" t="s">
        <v>24</v>
      </c>
      <c r="P9" s="284"/>
      <c r="Q9" s="284"/>
      <c r="R9" s="284"/>
      <c r="S9" s="284"/>
      <c r="T9" s="285"/>
    </row>
    <row r="10" spans="2:20" ht="17" customHeight="1">
      <c r="B10" s="296"/>
      <c r="C10" s="299"/>
      <c r="D10" s="302"/>
      <c r="E10" s="305"/>
      <c r="F10" s="305"/>
      <c r="G10" s="305" t="s">
        <v>7</v>
      </c>
      <c r="H10" s="289" t="s">
        <v>25</v>
      </c>
      <c r="I10" s="289" t="s">
        <v>26</v>
      </c>
      <c r="J10" s="269" t="s">
        <v>1</v>
      </c>
      <c r="K10" s="307" t="s">
        <v>8</v>
      </c>
      <c r="L10" s="6"/>
      <c r="M10" s="271" t="s">
        <v>9</v>
      </c>
      <c r="N10" s="281" t="s">
        <v>10</v>
      </c>
      <c r="O10" s="286"/>
      <c r="P10" s="287"/>
      <c r="Q10" s="287"/>
      <c r="R10" s="287"/>
      <c r="S10" s="287"/>
      <c r="T10" s="288"/>
    </row>
    <row r="11" spans="2:20" ht="37.5" customHeight="1" thickBot="1">
      <c r="B11" s="297"/>
      <c r="C11" s="300"/>
      <c r="D11" s="303"/>
      <c r="E11" s="32" t="s">
        <v>11</v>
      </c>
      <c r="F11" s="32" t="s">
        <v>12</v>
      </c>
      <c r="G11" s="289"/>
      <c r="H11" s="290"/>
      <c r="I11" s="290"/>
      <c r="J11" s="270"/>
      <c r="K11" s="308"/>
      <c r="L11" s="33"/>
      <c r="M11" s="272"/>
      <c r="N11" s="282"/>
      <c r="O11" s="34" t="s">
        <v>23</v>
      </c>
      <c r="P11" s="35" t="s">
        <v>20</v>
      </c>
      <c r="Q11" s="36" t="s">
        <v>21</v>
      </c>
      <c r="R11" s="37" t="s">
        <v>22</v>
      </c>
      <c r="S11" s="37" t="s">
        <v>14</v>
      </c>
      <c r="T11" s="38" t="s">
        <v>15</v>
      </c>
    </row>
    <row r="12" spans="2:20" ht="46" thickBot="1">
      <c r="B12" s="277" t="s">
        <v>55</v>
      </c>
      <c r="C12" s="277" t="s">
        <v>54</v>
      </c>
      <c r="D12" s="120" t="s">
        <v>50</v>
      </c>
      <c r="E12" s="121">
        <v>42370</v>
      </c>
      <c r="F12" s="121">
        <v>42735</v>
      </c>
      <c r="G12" s="39" t="s">
        <v>28</v>
      </c>
      <c r="H12" s="122">
        <v>4</v>
      </c>
      <c r="I12" s="122">
        <v>1</v>
      </c>
      <c r="J12" s="122">
        <v>1</v>
      </c>
      <c r="K12" s="123">
        <v>1</v>
      </c>
      <c r="L12" s="124">
        <f>+K12/J12</f>
        <v>1</v>
      </c>
      <c r="M12" s="125">
        <f>DAYS360(E12,$C$8)/DAYS360(E12,F12)</f>
        <v>1</v>
      </c>
      <c r="N12" s="126">
        <f>IF(J12=0," -",IF(L12&gt;100%,100%,L12))</f>
        <v>1</v>
      </c>
      <c r="O12" s="127" t="s">
        <v>102</v>
      </c>
      <c r="P12" s="122">
        <v>35000</v>
      </c>
      <c r="Q12" s="122">
        <v>34000</v>
      </c>
      <c r="R12" s="122">
        <v>0</v>
      </c>
      <c r="S12" s="128">
        <f>IF(P12=0," -",Q12/P12)</f>
        <v>0.97142857142857142</v>
      </c>
      <c r="T12" s="126" t="str">
        <f>IF(R12=0," -",IF(Q12=0,100%,R12/Q12))</f>
        <v xml:space="preserve"> -</v>
      </c>
    </row>
    <row r="13" spans="2:20" ht="46" thickBot="1">
      <c r="B13" s="278"/>
      <c r="C13" s="278"/>
      <c r="D13" s="105" t="s">
        <v>51</v>
      </c>
      <c r="E13" s="106">
        <v>42370</v>
      </c>
      <c r="F13" s="106">
        <v>42735</v>
      </c>
      <c r="G13" s="135" t="s">
        <v>29</v>
      </c>
      <c r="H13" s="108">
        <v>4</v>
      </c>
      <c r="I13" s="108">
        <v>1</v>
      </c>
      <c r="J13" s="108">
        <v>1</v>
      </c>
      <c r="K13" s="109">
        <v>1</v>
      </c>
      <c r="L13" s="110">
        <f t="shared" ref="L13:L35" si="0">+K13/J13</f>
        <v>1</v>
      </c>
      <c r="M13" s="111">
        <f t="shared" ref="M13:M35" si="1">DAYS360(E13,$C$8)/DAYS360(E13,F13)</f>
        <v>1</v>
      </c>
      <c r="N13" s="112">
        <f t="shared" ref="N13:N35" si="2">IF(J13=0," -",IF(L13&gt;100%,100%,L13))</f>
        <v>1</v>
      </c>
      <c r="O13" s="113" t="s">
        <v>103</v>
      </c>
      <c r="P13" s="108">
        <v>0</v>
      </c>
      <c r="Q13" s="108">
        <v>0</v>
      </c>
      <c r="R13" s="108">
        <v>0</v>
      </c>
      <c r="S13" s="114" t="str">
        <f t="shared" ref="S13:S36" si="3">IF(P13=0," -",Q13/P13)</f>
        <v xml:space="preserve"> -</v>
      </c>
      <c r="T13" s="112" t="str">
        <f t="shared" ref="T13:T36" si="4">IF(R13=0," -",IF(Q13=0,100%,R13/Q13))</f>
        <v xml:space="preserve"> -</v>
      </c>
    </row>
    <row r="14" spans="2:20" ht="46" thickBot="1">
      <c r="B14" s="278"/>
      <c r="C14" s="279"/>
      <c r="D14" s="129" t="s">
        <v>52</v>
      </c>
      <c r="E14" s="130">
        <v>42370</v>
      </c>
      <c r="F14" s="130">
        <v>42735</v>
      </c>
      <c r="G14" s="131" t="s">
        <v>30</v>
      </c>
      <c r="H14" s="132">
        <v>8</v>
      </c>
      <c r="I14" s="132">
        <v>2</v>
      </c>
      <c r="J14" s="132">
        <v>2</v>
      </c>
      <c r="K14" s="133">
        <v>2</v>
      </c>
      <c r="L14" s="40">
        <f t="shared" si="0"/>
        <v>1</v>
      </c>
      <c r="M14" s="41">
        <f t="shared" si="1"/>
        <v>1</v>
      </c>
      <c r="N14" s="42">
        <f t="shared" si="2"/>
        <v>1</v>
      </c>
      <c r="O14" s="134" t="s">
        <v>104</v>
      </c>
      <c r="P14" s="132">
        <v>22000</v>
      </c>
      <c r="Q14" s="132">
        <v>22000</v>
      </c>
      <c r="R14" s="132">
        <v>0</v>
      </c>
      <c r="S14" s="43">
        <f t="shared" si="3"/>
        <v>1</v>
      </c>
      <c r="T14" s="42" t="str">
        <f t="shared" si="4"/>
        <v xml:space="preserve"> -</v>
      </c>
    </row>
    <row r="15" spans="2:20" ht="13" customHeight="1" thickBot="1">
      <c r="B15" s="278"/>
      <c r="C15" s="118"/>
      <c r="D15" s="64"/>
      <c r="E15" s="65"/>
      <c r="F15" s="65"/>
      <c r="G15" s="66"/>
      <c r="H15" s="67"/>
      <c r="I15" s="67"/>
      <c r="J15" s="67"/>
      <c r="K15" s="67"/>
      <c r="L15" s="68"/>
      <c r="M15" s="68"/>
      <c r="N15" s="68"/>
      <c r="O15" s="66"/>
      <c r="P15" s="67"/>
      <c r="Q15" s="67"/>
      <c r="R15" s="67"/>
      <c r="S15" s="69"/>
      <c r="T15" s="69"/>
    </row>
    <row r="16" spans="2:20" ht="45">
      <c r="B16" s="278"/>
      <c r="C16" s="277" t="s">
        <v>56</v>
      </c>
      <c r="D16" s="276" t="s">
        <v>53</v>
      </c>
      <c r="E16" s="47">
        <v>42370</v>
      </c>
      <c r="F16" s="47">
        <v>42735</v>
      </c>
      <c r="G16" s="11" t="s">
        <v>31</v>
      </c>
      <c r="H16" s="48">
        <v>6</v>
      </c>
      <c r="I16" s="48">
        <v>6</v>
      </c>
      <c r="J16" s="48">
        <v>6</v>
      </c>
      <c r="K16" s="76">
        <v>6</v>
      </c>
      <c r="L16" s="73">
        <f t="shared" si="0"/>
        <v>1</v>
      </c>
      <c r="M16" s="22">
        <f t="shared" si="1"/>
        <v>1</v>
      </c>
      <c r="N16" s="23">
        <f t="shared" si="2"/>
        <v>1</v>
      </c>
      <c r="O16" s="57" t="s">
        <v>105</v>
      </c>
      <c r="P16" s="48">
        <v>85000</v>
      </c>
      <c r="Q16" s="48">
        <v>13493</v>
      </c>
      <c r="R16" s="48">
        <v>0</v>
      </c>
      <c r="S16" s="24">
        <f t="shared" si="3"/>
        <v>0.15874117647058825</v>
      </c>
      <c r="T16" s="23" t="str">
        <f t="shared" si="4"/>
        <v xml:space="preserve"> -</v>
      </c>
    </row>
    <row r="17" spans="2:20" ht="45">
      <c r="B17" s="278"/>
      <c r="C17" s="278"/>
      <c r="D17" s="274"/>
      <c r="E17" s="44">
        <v>42370</v>
      </c>
      <c r="F17" s="44">
        <v>42735</v>
      </c>
      <c r="G17" s="10" t="s">
        <v>32</v>
      </c>
      <c r="H17" s="45">
        <v>3000</v>
      </c>
      <c r="I17" s="45">
        <v>500</v>
      </c>
      <c r="J17" s="45">
        <v>500</v>
      </c>
      <c r="K17" s="77">
        <v>377</v>
      </c>
      <c r="L17" s="74">
        <f t="shared" si="0"/>
        <v>0.754</v>
      </c>
      <c r="M17" s="62">
        <f t="shared" si="1"/>
        <v>1</v>
      </c>
      <c r="N17" s="49">
        <f t="shared" si="2"/>
        <v>0.754</v>
      </c>
      <c r="O17" s="58" t="s">
        <v>106</v>
      </c>
      <c r="P17" s="45">
        <v>39000</v>
      </c>
      <c r="Q17" s="45">
        <v>0</v>
      </c>
      <c r="R17" s="45">
        <v>0</v>
      </c>
      <c r="S17" s="46">
        <f t="shared" si="3"/>
        <v>0</v>
      </c>
      <c r="T17" s="49" t="str">
        <f t="shared" si="4"/>
        <v xml:space="preserve"> -</v>
      </c>
    </row>
    <row r="18" spans="2:20" ht="60">
      <c r="B18" s="278"/>
      <c r="C18" s="278"/>
      <c r="D18" s="274"/>
      <c r="E18" s="44">
        <v>42370</v>
      </c>
      <c r="F18" s="44">
        <v>42735</v>
      </c>
      <c r="G18" s="10" t="s">
        <v>33</v>
      </c>
      <c r="H18" s="45">
        <v>5000</v>
      </c>
      <c r="I18" s="45">
        <v>400</v>
      </c>
      <c r="J18" s="45">
        <v>400</v>
      </c>
      <c r="K18" s="77">
        <v>405</v>
      </c>
      <c r="L18" s="74">
        <f t="shared" si="0"/>
        <v>1.0125</v>
      </c>
      <c r="M18" s="62">
        <f t="shared" si="1"/>
        <v>1</v>
      </c>
      <c r="N18" s="49">
        <f t="shared" si="2"/>
        <v>1</v>
      </c>
      <c r="O18" s="58" t="s">
        <v>107</v>
      </c>
      <c r="P18" s="45">
        <v>68000</v>
      </c>
      <c r="Q18" s="45">
        <v>0</v>
      </c>
      <c r="R18" s="45">
        <v>0</v>
      </c>
      <c r="S18" s="46">
        <f t="shared" si="3"/>
        <v>0</v>
      </c>
      <c r="T18" s="49" t="str">
        <f t="shared" si="4"/>
        <v xml:space="preserve"> -</v>
      </c>
    </row>
    <row r="19" spans="2:20" ht="60">
      <c r="B19" s="278"/>
      <c r="C19" s="278"/>
      <c r="D19" s="274"/>
      <c r="E19" s="44">
        <v>42370</v>
      </c>
      <c r="F19" s="44">
        <v>42735</v>
      </c>
      <c r="G19" s="10" t="s">
        <v>34</v>
      </c>
      <c r="H19" s="45">
        <v>10</v>
      </c>
      <c r="I19" s="45">
        <v>2</v>
      </c>
      <c r="J19" s="45">
        <v>2</v>
      </c>
      <c r="K19" s="77">
        <v>2</v>
      </c>
      <c r="L19" s="74">
        <f t="shared" si="0"/>
        <v>1</v>
      </c>
      <c r="M19" s="62">
        <f t="shared" si="1"/>
        <v>1</v>
      </c>
      <c r="N19" s="49">
        <f t="shared" si="2"/>
        <v>1</v>
      </c>
      <c r="O19" s="58" t="s">
        <v>108</v>
      </c>
      <c r="P19" s="45">
        <v>28000</v>
      </c>
      <c r="Q19" s="45">
        <v>7000</v>
      </c>
      <c r="R19" s="45">
        <v>0</v>
      </c>
      <c r="S19" s="46">
        <f t="shared" si="3"/>
        <v>0.25</v>
      </c>
      <c r="T19" s="49" t="str">
        <f t="shared" si="4"/>
        <v xml:space="preserve"> -</v>
      </c>
    </row>
    <row r="20" spans="2:20" ht="30">
      <c r="B20" s="278"/>
      <c r="C20" s="278"/>
      <c r="D20" s="274"/>
      <c r="E20" s="44">
        <v>42370</v>
      </c>
      <c r="F20" s="44">
        <v>42735</v>
      </c>
      <c r="G20" s="9" t="s">
        <v>35</v>
      </c>
      <c r="H20" s="45">
        <v>1</v>
      </c>
      <c r="I20" s="45">
        <v>0</v>
      </c>
      <c r="J20" s="45">
        <v>0</v>
      </c>
      <c r="K20" s="77">
        <v>0</v>
      </c>
      <c r="L20" s="74" t="e">
        <f t="shared" si="0"/>
        <v>#DIV/0!</v>
      </c>
      <c r="M20" s="62">
        <f t="shared" si="1"/>
        <v>1</v>
      </c>
      <c r="N20" s="49" t="str">
        <f t="shared" si="2"/>
        <v xml:space="preserve"> -</v>
      </c>
      <c r="O20" s="58" t="s">
        <v>109</v>
      </c>
      <c r="P20" s="45">
        <v>0</v>
      </c>
      <c r="Q20" s="45">
        <v>0</v>
      </c>
      <c r="R20" s="45">
        <v>0</v>
      </c>
      <c r="S20" s="46" t="str">
        <f t="shared" si="3"/>
        <v xml:space="preserve"> -</v>
      </c>
      <c r="T20" s="49" t="str">
        <f t="shared" si="4"/>
        <v xml:space="preserve"> -</v>
      </c>
    </row>
    <row r="21" spans="2:20" ht="31" thickBot="1">
      <c r="B21" s="279"/>
      <c r="C21" s="279"/>
      <c r="D21" s="275"/>
      <c r="E21" s="50">
        <v>42370</v>
      </c>
      <c r="F21" s="50">
        <v>42735</v>
      </c>
      <c r="G21" s="138" t="s">
        <v>36</v>
      </c>
      <c r="H21" s="51">
        <v>1</v>
      </c>
      <c r="I21" s="51">
        <v>1</v>
      </c>
      <c r="J21" s="51">
        <v>1</v>
      </c>
      <c r="K21" s="139">
        <v>0.33</v>
      </c>
      <c r="L21" s="75">
        <f t="shared" si="0"/>
        <v>0.33</v>
      </c>
      <c r="M21" s="63">
        <f t="shared" si="1"/>
        <v>1</v>
      </c>
      <c r="N21" s="53">
        <f t="shared" si="2"/>
        <v>0.33</v>
      </c>
      <c r="O21" s="59" t="s">
        <v>110</v>
      </c>
      <c r="P21" s="51">
        <v>0</v>
      </c>
      <c r="Q21" s="51">
        <v>0</v>
      </c>
      <c r="R21" s="51">
        <v>0</v>
      </c>
      <c r="S21" s="52" t="str">
        <f t="shared" si="3"/>
        <v xml:space="preserve"> -</v>
      </c>
      <c r="T21" s="53" t="str">
        <f t="shared" si="4"/>
        <v xml:space="preserve"> -</v>
      </c>
    </row>
    <row r="22" spans="2:20" ht="13" customHeight="1" thickBot="1">
      <c r="B22" s="117"/>
      <c r="C22" s="70"/>
      <c r="D22" s="79"/>
      <c r="E22" s="80"/>
      <c r="F22" s="80"/>
      <c r="G22" s="81"/>
      <c r="H22" s="72"/>
      <c r="I22" s="72"/>
      <c r="J22" s="72"/>
      <c r="K22" s="72"/>
      <c r="L22" s="82"/>
      <c r="M22" s="82"/>
      <c r="N22" s="82"/>
      <c r="O22" s="71"/>
      <c r="P22" s="72"/>
      <c r="Q22" s="72"/>
      <c r="R22" s="72"/>
      <c r="S22" s="83"/>
      <c r="T22" s="83"/>
    </row>
    <row r="23" spans="2:20" ht="45">
      <c r="B23" s="277" t="s">
        <v>64</v>
      </c>
      <c r="C23" s="277" t="s">
        <v>63</v>
      </c>
      <c r="D23" s="276" t="s">
        <v>57</v>
      </c>
      <c r="E23" s="47">
        <v>42370</v>
      </c>
      <c r="F23" s="47">
        <v>42735</v>
      </c>
      <c r="G23" s="11" t="s">
        <v>37</v>
      </c>
      <c r="H23" s="48">
        <v>170</v>
      </c>
      <c r="I23" s="48">
        <v>40</v>
      </c>
      <c r="J23" s="48">
        <v>40</v>
      </c>
      <c r="K23" s="54">
        <v>46</v>
      </c>
      <c r="L23" s="20">
        <f t="shared" si="0"/>
        <v>1.1499999999999999</v>
      </c>
      <c r="M23" s="22">
        <f t="shared" si="1"/>
        <v>1</v>
      </c>
      <c r="N23" s="23">
        <f t="shared" si="2"/>
        <v>1</v>
      </c>
      <c r="O23" s="57" t="s">
        <v>111</v>
      </c>
      <c r="P23" s="48">
        <v>297000</v>
      </c>
      <c r="Q23" s="48">
        <v>282411</v>
      </c>
      <c r="R23" s="48">
        <v>19000</v>
      </c>
      <c r="S23" s="24">
        <f t="shared" si="3"/>
        <v>0.95087878787878788</v>
      </c>
      <c r="T23" s="23">
        <f t="shared" si="4"/>
        <v>6.7277832662325482E-2</v>
      </c>
    </row>
    <row r="24" spans="2:20" ht="31" thickBot="1">
      <c r="B24" s="278"/>
      <c r="C24" s="278"/>
      <c r="D24" s="275"/>
      <c r="E24" s="50">
        <v>42370</v>
      </c>
      <c r="F24" s="50">
        <v>42735</v>
      </c>
      <c r="G24" s="8" t="s">
        <v>38</v>
      </c>
      <c r="H24" s="51">
        <v>90</v>
      </c>
      <c r="I24" s="51">
        <v>20</v>
      </c>
      <c r="J24" s="51">
        <v>20</v>
      </c>
      <c r="K24" s="56">
        <v>20</v>
      </c>
      <c r="L24" s="61">
        <f t="shared" si="0"/>
        <v>1</v>
      </c>
      <c r="M24" s="63">
        <f t="shared" si="1"/>
        <v>1</v>
      </c>
      <c r="N24" s="53">
        <f t="shared" si="2"/>
        <v>1</v>
      </c>
      <c r="O24" s="59" t="s">
        <v>112</v>
      </c>
      <c r="P24" s="51">
        <v>25574</v>
      </c>
      <c r="Q24" s="51">
        <v>23467</v>
      </c>
      <c r="R24" s="51">
        <v>0</v>
      </c>
      <c r="S24" s="52">
        <f t="shared" si="3"/>
        <v>0.91761163681864388</v>
      </c>
      <c r="T24" s="53" t="str">
        <f t="shared" si="4"/>
        <v xml:space="preserve"> -</v>
      </c>
    </row>
    <row r="25" spans="2:20" ht="45">
      <c r="B25" s="278"/>
      <c r="C25" s="278"/>
      <c r="D25" s="273" t="s">
        <v>58</v>
      </c>
      <c r="E25" s="84">
        <v>42370</v>
      </c>
      <c r="F25" s="84">
        <v>42735</v>
      </c>
      <c r="G25" s="13" t="s">
        <v>39</v>
      </c>
      <c r="H25" s="85">
        <v>30300</v>
      </c>
      <c r="I25" s="85">
        <v>7000</v>
      </c>
      <c r="J25" s="85">
        <v>7000</v>
      </c>
      <c r="K25" s="86">
        <v>9116</v>
      </c>
      <c r="L25" s="60">
        <f t="shared" si="0"/>
        <v>1.3022857142857143</v>
      </c>
      <c r="M25" s="62">
        <f t="shared" si="1"/>
        <v>1</v>
      </c>
      <c r="N25" s="49">
        <f t="shared" si="2"/>
        <v>1</v>
      </c>
      <c r="O25" s="87" t="s">
        <v>113</v>
      </c>
      <c r="P25" s="85">
        <v>412792</v>
      </c>
      <c r="Q25" s="85">
        <v>262371</v>
      </c>
      <c r="R25" s="85">
        <v>0</v>
      </c>
      <c r="S25" s="27">
        <f t="shared" si="3"/>
        <v>0.63560098063915971</v>
      </c>
      <c r="T25" s="26" t="str">
        <f t="shared" si="4"/>
        <v xml:space="preserve"> -</v>
      </c>
    </row>
    <row r="26" spans="2:20" ht="45">
      <c r="B26" s="278"/>
      <c r="C26" s="278"/>
      <c r="D26" s="274"/>
      <c r="E26" s="44">
        <v>42370</v>
      </c>
      <c r="F26" s="44">
        <v>42735</v>
      </c>
      <c r="G26" s="10" t="s">
        <v>40</v>
      </c>
      <c r="H26" s="45">
        <v>4300</v>
      </c>
      <c r="I26" s="45">
        <v>1000</v>
      </c>
      <c r="J26" s="45">
        <v>1000</v>
      </c>
      <c r="K26" s="55">
        <v>1485</v>
      </c>
      <c r="L26" s="60">
        <f t="shared" si="0"/>
        <v>1.4850000000000001</v>
      </c>
      <c r="M26" s="62">
        <f t="shared" si="1"/>
        <v>1</v>
      </c>
      <c r="N26" s="49">
        <f t="shared" si="2"/>
        <v>1</v>
      </c>
      <c r="O26" s="58" t="s">
        <v>114</v>
      </c>
      <c r="P26" s="45">
        <v>474845</v>
      </c>
      <c r="Q26" s="45">
        <v>398287</v>
      </c>
      <c r="R26" s="45">
        <v>85342</v>
      </c>
      <c r="S26" s="46">
        <f t="shared" si="3"/>
        <v>0.83877265212858931</v>
      </c>
      <c r="T26" s="49">
        <f t="shared" si="4"/>
        <v>0.21427262250588144</v>
      </c>
    </row>
    <row r="27" spans="2:20" ht="46" thickBot="1">
      <c r="B27" s="278"/>
      <c r="C27" s="278"/>
      <c r="D27" s="280"/>
      <c r="E27" s="88">
        <v>42370</v>
      </c>
      <c r="F27" s="88">
        <v>42735</v>
      </c>
      <c r="G27" s="12" t="s">
        <v>41</v>
      </c>
      <c r="H27" s="89">
        <v>3000</v>
      </c>
      <c r="I27" s="89">
        <v>0</v>
      </c>
      <c r="J27" s="89">
        <v>0</v>
      </c>
      <c r="K27" s="90">
        <v>0</v>
      </c>
      <c r="L27" s="91" t="e">
        <f t="shared" si="0"/>
        <v>#DIV/0!</v>
      </c>
      <c r="M27" s="92">
        <f t="shared" si="1"/>
        <v>1</v>
      </c>
      <c r="N27" s="93" t="str">
        <f t="shared" si="2"/>
        <v xml:space="preserve"> -</v>
      </c>
      <c r="O27" s="94" t="s">
        <v>115</v>
      </c>
      <c r="P27" s="89">
        <v>0</v>
      </c>
      <c r="Q27" s="89">
        <v>0</v>
      </c>
      <c r="R27" s="89">
        <v>0</v>
      </c>
      <c r="S27" s="95" t="str">
        <f t="shared" si="3"/>
        <v xml:space="preserve"> -</v>
      </c>
      <c r="T27" s="93" t="str">
        <f t="shared" si="4"/>
        <v xml:space="preserve"> -</v>
      </c>
    </row>
    <row r="28" spans="2:20" ht="30">
      <c r="B28" s="278"/>
      <c r="C28" s="278"/>
      <c r="D28" s="276" t="s">
        <v>59</v>
      </c>
      <c r="E28" s="47">
        <v>42370</v>
      </c>
      <c r="F28" s="47">
        <v>42735</v>
      </c>
      <c r="G28" s="11" t="s">
        <v>42</v>
      </c>
      <c r="H28" s="48">
        <v>12</v>
      </c>
      <c r="I28" s="48">
        <v>3</v>
      </c>
      <c r="J28" s="48">
        <v>3</v>
      </c>
      <c r="K28" s="54">
        <v>3</v>
      </c>
      <c r="L28" s="20">
        <f t="shared" si="0"/>
        <v>1</v>
      </c>
      <c r="M28" s="22">
        <f t="shared" si="1"/>
        <v>1</v>
      </c>
      <c r="N28" s="23">
        <f t="shared" si="2"/>
        <v>1</v>
      </c>
      <c r="O28" s="57" t="s">
        <v>116</v>
      </c>
      <c r="P28" s="48">
        <v>217483</v>
      </c>
      <c r="Q28" s="48">
        <v>129880</v>
      </c>
      <c r="R28" s="48">
        <v>0</v>
      </c>
      <c r="S28" s="24">
        <f t="shared" si="3"/>
        <v>0.5971961026838879</v>
      </c>
      <c r="T28" s="23" t="str">
        <f t="shared" si="4"/>
        <v xml:space="preserve"> -</v>
      </c>
    </row>
    <row r="29" spans="2:20" ht="30">
      <c r="B29" s="278"/>
      <c r="C29" s="278"/>
      <c r="D29" s="274"/>
      <c r="E29" s="44">
        <v>42370</v>
      </c>
      <c r="F29" s="44">
        <v>42735</v>
      </c>
      <c r="G29" s="10" t="s">
        <v>43</v>
      </c>
      <c r="H29" s="45">
        <v>40</v>
      </c>
      <c r="I29" s="45">
        <v>10</v>
      </c>
      <c r="J29" s="45">
        <v>10</v>
      </c>
      <c r="K29" s="55">
        <v>10</v>
      </c>
      <c r="L29" s="60">
        <f t="shared" si="0"/>
        <v>1</v>
      </c>
      <c r="M29" s="62">
        <f t="shared" si="1"/>
        <v>1</v>
      </c>
      <c r="N29" s="49">
        <f t="shared" si="2"/>
        <v>1</v>
      </c>
      <c r="O29" s="58" t="s">
        <v>117</v>
      </c>
      <c r="P29" s="45">
        <v>47000</v>
      </c>
      <c r="Q29" s="45">
        <v>20000</v>
      </c>
      <c r="R29" s="45">
        <v>0</v>
      </c>
      <c r="S29" s="46">
        <f t="shared" si="3"/>
        <v>0.42553191489361702</v>
      </c>
      <c r="T29" s="49" t="str">
        <f t="shared" si="4"/>
        <v xml:space="preserve"> -</v>
      </c>
    </row>
    <row r="30" spans="2:20" ht="46" thickBot="1">
      <c r="B30" s="278"/>
      <c r="C30" s="278"/>
      <c r="D30" s="275"/>
      <c r="E30" s="50">
        <v>42370</v>
      </c>
      <c r="F30" s="50">
        <v>42735</v>
      </c>
      <c r="G30" s="8" t="s">
        <v>44</v>
      </c>
      <c r="H30" s="51">
        <v>8</v>
      </c>
      <c r="I30" s="51">
        <v>2</v>
      </c>
      <c r="J30" s="51">
        <v>2</v>
      </c>
      <c r="K30" s="56">
        <v>2</v>
      </c>
      <c r="L30" s="61">
        <f t="shared" si="0"/>
        <v>1</v>
      </c>
      <c r="M30" s="63">
        <f t="shared" si="1"/>
        <v>1</v>
      </c>
      <c r="N30" s="53">
        <f t="shared" si="2"/>
        <v>1</v>
      </c>
      <c r="O30" s="59" t="s">
        <v>118</v>
      </c>
      <c r="P30" s="51">
        <v>81000</v>
      </c>
      <c r="Q30" s="51">
        <v>15243</v>
      </c>
      <c r="R30" s="51">
        <v>0</v>
      </c>
      <c r="S30" s="52">
        <f t="shared" si="3"/>
        <v>0.18818518518518518</v>
      </c>
      <c r="T30" s="53" t="str">
        <f t="shared" si="4"/>
        <v xml:space="preserve"> -</v>
      </c>
    </row>
    <row r="31" spans="2:20" ht="46" thickBot="1">
      <c r="B31" s="278"/>
      <c r="C31" s="278"/>
      <c r="D31" s="115" t="s">
        <v>60</v>
      </c>
      <c r="E31" s="96">
        <v>42370</v>
      </c>
      <c r="F31" s="96">
        <v>42735</v>
      </c>
      <c r="G31" s="97" t="s">
        <v>45</v>
      </c>
      <c r="H31" s="98">
        <v>600</v>
      </c>
      <c r="I31" s="98">
        <v>100</v>
      </c>
      <c r="J31" s="98">
        <v>100</v>
      </c>
      <c r="K31" s="99">
        <v>242</v>
      </c>
      <c r="L31" s="100">
        <f t="shared" si="0"/>
        <v>2.42</v>
      </c>
      <c r="M31" s="101">
        <f t="shared" si="1"/>
        <v>1</v>
      </c>
      <c r="N31" s="102">
        <f t="shared" si="2"/>
        <v>1</v>
      </c>
      <c r="O31" s="103" t="s">
        <v>119</v>
      </c>
      <c r="P31" s="98">
        <v>16800</v>
      </c>
      <c r="Q31" s="98">
        <v>16000</v>
      </c>
      <c r="R31" s="98">
        <v>0</v>
      </c>
      <c r="S31" s="104">
        <f t="shared" si="3"/>
        <v>0.95238095238095233</v>
      </c>
      <c r="T31" s="102" t="str">
        <f t="shared" si="4"/>
        <v xml:space="preserve"> -</v>
      </c>
    </row>
    <row r="32" spans="2:20" ht="46" thickBot="1">
      <c r="B32" s="278"/>
      <c r="C32" s="278"/>
      <c r="D32" s="116" t="s">
        <v>61</v>
      </c>
      <c r="E32" s="106">
        <v>42370</v>
      </c>
      <c r="F32" s="106">
        <v>42735</v>
      </c>
      <c r="G32" s="107" t="s">
        <v>46</v>
      </c>
      <c r="H32" s="108">
        <v>120</v>
      </c>
      <c r="I32" s="108">
        <v>20</v>
      </c>
      <c r="J32" s="108">
        <v>20</v>
      </c>
      <c r="K32" s="109">
        <v>22</v>
      </c>
      <c r="L32" s="110">
        <f t="shared" si="0"/>
        <v>1.1000000000000001</v>
      </c>
      <c r="M32" s="111">
        <f t="shared" si="1"/>
        <v>1</v>
      </c>
      <c r="N32" s="112">
        <f t="shared" si="2"/>
        <v>1</v>
      </c>
      <c r="O32" s="113" t="s">
        <v>120</v>
      </c>
      <c r="P32" s="108">
        <v>932268</v>
      </c>
      <c r="Q32" s="108">
        <v>679594</v>
      </c>
      <c r="R32" s="108">
        <v>0</v>
      </c>
      <c r="S32" s="114">
        <f t="shared" si="3"/>
        <v>0.72896849403819508</v>
      </c>
      <c r="T32" s="112" t="str">
        <f t="shared" si="4"/>
        <v xml:space="preserve"> -</v>
      </c>
    </row>
    <row r="33" spans="2:20" ht="30">
      <c r="B33" s="278"/>
      <c r="C33" s="278"/>
      <c r="D33" s="273" t="s">
        <v>62</v>
      </c>
      <c r="E33" s="84">
        <v>42370</v>
      </c>
      <c r="F33" s="84">
        <v>42735</v>
      </c>
      <c r="G33" s="14" t="s">
        <v>47</v>
      </c>
      <c r="H33" s="85">
        <v>80</v>
      </c>
      <c r="I33" s="85">
        <v>20</v>
      </c>
      <c r="J33" s="85">
        <v>20</v>
      </c>
      <c r="K33" s="86">
        <v>20</v>
      </c>
      <c r="L33" s="21">
        <f t="shared" si="0"/>
        <v>1</v>
      </c>
      <c r="M33" s="25">
        <f t="shared" si="1"/>
        <v>1</v>
      </c>
      <c r="N33" s="26">
        <f t="shared" si="2"/>
        <v>1</v>
      </c>
      <c r="O33" s="87" t="s">
        <v>121</v>
      </c>
      <c r="P33" s="85">
        <v>90404</v>
      </c>
      <c r="Q33" s="85">
        <v>0</v>
      </c>
      <c r="R33" s="85">
        <v>0</v>
      </c>
      <c r="S33" s="27">
        <f t="shared" si="3"/>
        <v>0</v>
      </c>
      <c r="T33" s="26" t="str">
        <f t="shared" si="4"/>
        <v xml:space="preserve"> -</v>
      </c>
    </row>
    <row r="34" spans="2:20" ht="45">
      <c r="B34" s="278"/>
      <c r="C34" s="278"/>
      <c r="D34" s="274"/>
      <c r="E34" s="44">
        <v>42370</v>
      </c>
      <c r="F34" s="44">
        <v>42735</v>
      </c>
      <c r="G34" s="15" t="s">
        <v>48</v>
      </c>
      <c r="H34" s="45">
        <v>8</v>
      </c>
      <c r="I34" s="45">
        <v>2</v>
      </c>
      <c r="J34" s="45">
        <v>2</v>
      </c>
      <c r="K34" s="55">
        <v>2</v>
      </c>
      <c r="L34" s="60">
        <f t="shared" si="0"/>
        <v>1</v>
      </c>
      <c r="M34" s="62">
        <f t="shared" si="1"/>
        <v>1</v>
      </c>
      <c r="N34" s="49">
        <f t="shared" si="2"/>
        <v>1</v>
      </c>
      <c r="O34" s="58" t="s">
        <v>122</v>
      </c>
      <c r="P34" s="45">
        <v>16803</v>
      </c>
      <c r="Q34" s="45">
        <v>0</v>
      </c>
      <c r="R34" s="45">
        <v>0</v>
      </c>
      <c r="S34" s="46">
        <f t="shared" si="3"/>
        <v>0</v>
      </c>
      <c r="T34" s="49" t="str">
        <f t="shared" si="4"/>
        <v xml:space="preserve"> -</v>
      </c>
    </row>
    <row r="35" spans="2:20" ht="31" thickBot="1">
      <c r="B35" s="279"/>
      <c r="C35" s="279"/>
      <c r="D35" s="275"/>
      <c r="E35" s="50">
        <v>42370</v>
      </c>
      <c r="F35" s="50">
        <v>42735</v>
      </c>
      <c r="G35" s="16" t="s">
        <v>49</v>
      </c>
      <c r="H35" s="51">
        <v>8</v>
      </c>
      <c r="I35" s="51">
        <v>2</v>
      </c>
      <c r="J35" s="51">
        <v>2</v>
      </c>
      <c r="K35" s="56">
        <v>2</v>
      </c>
      <c r="L35" s="61">
        <f t="shared" si="0"/>
        <v>1</v>
      </c>
      <c r="M35" s="63">
        <f t="shared" si="1"/>
        <v>1</v>
      </c>
      <c r="N35" s="53">
        <f t="shared" si="2"/>
        <v>1</v>
      </c>
      <c r="O35" s="59" t="s">
        <v>123</v>
      </c>
      <c r="P35" s="51">
        <v>25194</v>
      </c>
      <c r="Q35" s="51">
        <v>0</v>
      </c>
      <c r="R35" s="51">
        <v>0</v>
      </c>
      <c r="S35" s="52">
        <f t="shared" si="3"/>
        <v>0</v>
      </c>
      <c r="T35" s="53" t="str">
        <f t="shared" si="4"/>
        <v xml:space="preserve"> -</v>
      </c>
    </row>
    <row r="36" spans="2:20" ht="21" customHeight="1" thickBot="1">
      <c r="M36" s="119">
        <f>+AVERAGE(M12:M14,M16:M21,M23:M35)</f>
        <v>1</v>
      </c>
      <c r="N36" s="31">
        <f>+AVERAGE(N12:N14,N16:N21,N23:N35)</f>
        <v>0.95419999999999994</v>
      </c>
      <c r="P36" s="28">
        <f>+SUM(P12:P14,P16:P21,P23:P35)</f>
        <v>2914163</v>
      </c>
      <c r="Q36" s="29">
        <f t="shared" ref="Q36:R36" si="5">+SUM(Q12:Q14,Q16:Q21,Q23:Q35)</f>
        <v>1903746</v>
      </c>
      <c r="R36" s="29">
        <f t="shared" si="5"/>
        <v>104342</v>
      </c>
      <c r="S36" s="30">
        <f t="shared" si="3"/>
        <v>0.65327368441641731</v>
      </c>
      <c r="T36" s="31">
        <f t="shared" si="4"/>
        <v>5.4808782264020514E-2</v>
      </c>
    </row>
  </sheetData>
  <mergeCells count="28">
    <mergeCell ref="N10:N11"/>
    <mergeCell ref="O9:T10"/>
    <mergeCell ref="H10:H11"/>
    <mergeCell ref="I10:I1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J10:J11"/>
    <mergeCell ref="M10:M11"/>
    <mergeCell ref="D33:D35"/>
    <mergeCell ref="D16:D21"/>
    <mergeCell ref="B12:B21"/>
    <mergeCell ref="C16:C21"/>
    <mergeCell ref="C12:C14"/>
    <mergeCell ref="B23:B35"/>
    <mergeCell ref="C23:C35"/>
    <mergeCell ref="D23:D24"/>
    <mergeCell ref="D25:D27"/>
    <mergeCell ref="D28:D30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6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91" t="s">
        <v>16</v>
      </c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</row>
    <row r="3" spans="2:20" ht="20" customHeight="1">
      <c r="B3" s="291" t="s">
        <v>19</v>
      </c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</row>
    <row r="4" spans="2:20" ht="20" customHeight="1">
      <c r="B4" s="291" t="s">
        <v>27</v>
      </c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2017</v>
      </c>
      <c r="C8" s="18">
        <v>43100</v>
      </c>
      <c r="D8" s="292" t="s">
        <v>3</v>
      </c>
      <c r="E8" s="293"/>
      <c r="F8" s="293"/>
      <c r="G8" s="293"/>
      <c r="H8" s="293"/>
      <c r="I8" s="293"/>
      <c r="J8" s="293"/>
      <c r="K8" s="294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95" t="s">
        <v>17</v>
      </c>
      <c r="C9" s="298" t="s">
        <v>18</v>
      </c>
      <c r="D9" s="301" t="s">
        <v>0</v>
      </c>
      <c r="E9" s="304" t="s">
        <v>4</v>
      </c>
      <c r="F9" s="304"/>
      <c r="G9" s="304" t="s">
        <v>5</v>
      </c>
      <c r="H9" s="304"/>
      <c r="I9" s="304"/>
      <c r="J9" s="304"/>
      <c r="K9" s="306"/>
      <c r="L9" s="5"/>
      <c r="M9" s="301" t="s">
        <v>6</v>
      </c>
      <c r="N9" s="306"/>
      <c r="O9" s="283" t="s">
        <v>24</v>
      </c>
      <c r="P9" s="284"/>
      <c r="Q9" s="284"/>
      <c r="R9" s="284"/>
      <c r="S9" s="284"/>
      <c r="T9" s="285"/>
    </row>
    <row r="10" spans="2:20" ht="17" customHeight="1">
      <c r="B10" s="296"/>
      <c r="C10" s="299"/>
      <c r="D10" s="302"/>
      <c r="E10" s="305"/>
      <c r="F10" s="305"/>
      <c r="G10" s="305" t="s">
        <v>7</v>
      </c>
      <c r="H10" s="289" t="s">
        <v>25</v>
      </c>
      <c r="I10" s="289" t="s">
        <v>26</v>
      </c>
      <c r="J10" s="269" t="s">
        <v>1</v>
      </c>
      <c r="K10" s="307" t="s">
        <v>8</v>
      </c>
      <c r="L10" s="6"/>
      <c r="M10" s="271" t="s">
        <v>9</v>
      </c>
      <c r="N10" s="281" t="s">
        <v>10</v>
      </c>
      <c r="O10" s="286"/>
      <c r="P10" s="287"/>
      <c r="Q10" s="287"/>
      <c r="R10" s="287"/>
      <c r="S10" s="287"/>
      <c r="T10" s="288"/>
    </row>
    <row r="11" spans="2:20" ht="37.5" customHeight="1" thickBot="1">
      <c r="B11" s="297"/>
      <c r="C11" s="300"/>
      <c r="D11" s="303"/>
      <c r="E11" s="32" t="s">
        <v>11</v>
      </c>
      <c r="F11" s="32" t="s">
        <v>12</v>
      </c>
      <c r="G11" s="289"/>
      <c r="H11" s="290"/>
      <c r="I11" s="309"/>
      <c r="J11" s="270"/>
      <c r="K11" s="308"/>
      <c r="L11" s="33"/>
      <c r="M11" s="272"/>
      <c r="N11" s="282"/>
      <c r="O11" s="34" t="s">
        <v>23</v>
      </c>
      <c r="P11" s="35" t="s">
        <v>20</v>
      </c>
      <c r="Q11" s="36" t="s">
        <v>21</v>
      </c>
      <c r="R11" s="37" t="s">
        <v>22</v>
      </c>
      <c r="S11" s="37" t="s">
        <v>14</v>
      </c>
      <c r="T11" s="38" t="s">
        <v>15</v>
      </c>
    </row>
    <row r="12" spans="2:20" ht="46" thickBot="1">
      <c r="B12" s="277" t="s">
        <v>55</v>
      </c>
      <c r="C12" s="277" t="s">
        <v>54</v>
      </c>
      <c r="D12" s="120" t="s">
        <v>50</v>
      </c>
      <c r="E12" s="121">
        <v>42736</v>
      </c>
      <c r="F12" s="121">
        <v>43100</v>
      </c>
      <c r="G12" s="39" t="s">
        <v>28</v>
      </c>
      <c r="H12" s="122">
        <v>4</v>
      </c>
      <c r="I12" s="51">
        <f>+J12+('2016'!I12-'2016'!K12)</f>
        <v>1</v>
      </c>
      <c r="J12" s="122">
        <v>1</v>
      </c>
      <c r="K12" s="123">
        <v>1</v>
      </c>
      <c r="L12" s="124">
        <f>+K12/J12</f>
        <v>1</v>
      </c>
      <c r="M12" s="125">
        <f>DAYS360(E12,$C$8)/DAYS360(E12,F12)</f>
        <v>1</v>
      </c>
      <c r="N12" s="126">
        <f>IF(J12=0," -",IF(L12&gt;100%,100%,L12))</f>
        <v>1</v>
      </c>
      <c r="O12" s="127" t="s">
        <v>102</v>
      </c>
      <c r="P12" s="122">
        <v>104500</v>
      </c>
      <c r="Q12" s="122">
        <v>104500</v>
      </c>
      <c r="R12" s="122">
        <v>0</v>
      </c>
      <c r="S12" s="128">
        <f>IF(P12=0," -",Q12/P12)</f>
        <v>1</v>
      </c>
      <c r="T12" s="126" t="str">
        <f>IF(R12=0," -",IF(Q12=0,100%,R12/Q12))</f>
        <v xml:space="preserve"> -</v>
      </c>
    </row>
    <row r="13" spans="2:20" ht="46" thickBot="1">
      <c r="B13" s="278"/>
      <c r="C13" s="278"/>
      <c r="D13" s="105" t="s">
        <v>51</v>
      </c>
      <c r="E13" s="106">
        <v>42736</v>
      </c>
      <c r="F13" s="106">
        <v>43100</v>
      </c>
      <c r="G13" s="135" t="s">
        <v>29</v>
      </c>
      <c r="H13" s="108">
        <v>4</v>
      </c>
      <c r="I13" s="51">
        <f>+J13+('2016'!I13-'2016'!K13)</f>
        <v>1</v>
      </c>
      <c r="J13" s="108">
        <v>1</v>
      </c>
      <c r="K13" s="109">
        <v>1</v>
      </c>
      <c r="L13" s="110">
        <f t="shared" ref="L13:L35" si="0">+K13/J13</f>
        <v>1</v>
      </c>
      <c r="M13" s="111">
        <f t="shared" ref="M13:M35" si="1">DAYS360(E13,$C$8)/DAYS360(E13,F13)</f>
        <v>1</v>
      </c>
      <c r="N13" s="112">
        <f t="shared" ref="N13:N35" si="2">IF(J13=0," -",IF(L13&gt;100%,100%,L13))</f>
        <v>1</v>
      </c>
      <c r="O13" s="113" t="s">
        <v>103</v>
      </c>
      <c r="P13" s="108">
        <v>46350</v>
      </c>
      <c r="Q13" s="108">
        <v>42164</v>
      </c>
      <c r="R13" s="108">
        <v>0</v>
      </c>
      <c r="S13" s="114">
        <f t="shared" ref="S13:S36" si="3">IF(P13=0," -",Q13/P13)</f>
        <v>0.90968716289104634</v>
      </c>
      <c r="T13" s="112" t="str">
        <f t="shared" ref="T13:T36" si="4">IF(R13=0," -",IF(Q13=0,100%,R13/Q13))</f>
        <v xml:space="preserve"> -</v>
      </c>
    </row>
    <row r="14" spans="2:20" ht="46" thickBot="1">
      <c r="B14" s="278"/>
      <c r="C14" s="279"/>
      <c r="D14" s="129" t="s">
        <v>52</v>
      </c>
      <c r="E14" s="130">
        <v>42736</v>
      </c>
      <c r="F14" s="130">
        <v>43100</v>
      </c>
      <c r="G14" s="131" t="s">
        <v>30</v>
      </c>
      <c r="H14" s="132">
        <v>8</v>
      </c>
      <c r="I14" s="51">
        <f>+J14+('2016'!I14-'2016'!K14)</f>
        <v>2</v>
      </c>
      <c r="J14" s="132">
        <v>2</v>
      </c>
      <c r="K14" s="133">
        <v>2</v>
      </c>
      <c r="L14" s="40">
        <f t="shared" si="0"/>
        <v>1</v>
      </c>
      <c r="M14" s="41">
        <f t="shared" si="1"/>
        <v>1</v>
      </c>
      <c r="N14" s="42">
        <f t="shared" si="2"/>
        <v>1</v>
      </c>
      <c r="O14" s="134" t="s">
        <v>104</v>
      </c>
      <c r="P14" s="132">
        <v>49890</v>
      </c>
      <c r="Q14" s="132">
        <v>48223</v>
      </c>
      <c r="R14" s="132">
        <v>0</v>
      </c>
      <c r="S14" s="43">
        <f t="shared" si="3"/>
        <v>0.96658649027861299</v>
      </c>
      <c r="T14" s="42" t="str">
        <f t="shared" si="4"/>
        <v xml:space="preserve"> -</v>
      </c>
    </row>
    <row r="15" spans="2:20" ht="13" customHeight="1" thickBot="1">
      <c r="B15" s="278"/>
      <c r="C15" s="118"/>
      <c r="D15" s="64"/>
      <c r="E15" s="65"/>
      <c r="F15" s="65"/>
      <c r="G15" s="66"/>
      <c r="H15" s="67"/>
      <c r="I15" s="136"/>
      <c r="J15" s="67"/>
      <c r="K15" s="67"/>
      <c r="L15" s="68"/>
      <c r="M15" s="68"/>
      <c r="N15" s="68"/>
      <c r="O15" s="66"/>
      <c r="P15" s="67"/>
      <c r="Q15" s="67"/>
      <c r="R15" s="67"/>
      <c r="S15" s="68"/>
      <c r="T15" s="17"/>
    </row>
    <row r="16" spans="2:20" ht="45">
      <c r="B16" s="278"/>
      <c r="C16" s="277" t="s">
        <v>56</v>
      </c>
      <c r="D16" s="276" t="s">
        <v>53</v>
      </c>
      <c r="E16" s="47">
        <v>42736</v>
      </c>
      <c r="F16" s="47">
        <v>43100</v>
      </c>
      <c r="G16" s="11" t="s">
        <v>31</v>
      </c>
      <c r="H16" s="48">
        <v>6</v>
      </c>
      <c r="I16" s="85">
        <f>+J16</f>
        <v>6</v>
      </c>
      <c r="J16" s="48">
        <v>6</v>
      </c>
      <c r="K16" s="76">
        <v>6</v>
      </c>
      <c r="L16" s="73">
        <f t="shared" si="0"/>
        <v>1</v>
      </c>
      <c r="M16" s="22">
        <f t="shared" si="1"/>
        <v>1</v>
      </c>
      <c r="N16" s="23">
        <f t="shared" si="2"/>
        <v>1</v>
      </c>
      <c r="O16" s="57" t="s">
        <v>105</v>
      </c>
      <c r="P16" s="48">
        <v>120384</v>
      </c>
      <c r="Q16" s="48">
        <v>93500</v>
      </c>
      <c r="R16" s="48">
        <v>0</v>
      </c>
      <c r="S16" s="24">
        <f t="shared" si="3"/>
        <v>0.77668128654970758</v>
      </c>
      <c r="T16" s="23" t="str">
        <f t="shared" si="4"/>
        <v xml:space="preserve"> -</v>
      </c>
    </row>
    <row r="17" spans="2:20" ht="45">
      <c r="B17" s="278"/>
      <c r="C17" s="278"/>
      <c r="D17" s="274"/>
      <c r="E17" s="44">
        <v>42736</v>
      </c>
      <c r="F17" s="44">
        <v>43100</v>
      </c>
      <c r="G17" s="10" t="s">
        <v>32</v>
      </c>
      <c r="H17" s="45">
        <v>3000</v>
      </c>
      <c r="I17" s="45">
        <f>+J17+('2016'!I17-'2016'!K17)</f>
        <v>1123</v>
      </c>
      <c r="J17" s="45">
        <v>1000</v>
      </c>
      <c r="K17" s="77">
        <v>1394</v>
      </c>
      <c r="L17" s="74">
        <f t="shared" si="0"/>
        <v>1.3939999999999999</v>
      </c>
      <c r="M17" s="62">
        <f t="shared" si="1"/>
        <v>1</v>
      </c>
      <c r="N17" s="49">
        <f t="shared" si="2"/>
        <v>1</v>
      </c>
      <c r="O17" s="58" t="s">
        <v>106</v>
      </c>
      <c r="P17" s="45">
        <v>42221</v>
      </c>
      <c r="Q17" s="45">
        <v>34515</v>
      </c>
      <c r="R17" s="45">
        <v>0</v>
      </c>
      <c r="S17" s="46">
        <f t="shared" si="3"/>
        <v>0.8174841903318254</v>
      </c>
      <c r="T17" s="49" t="str">
        <f t="shared" si="4"/>
        <v xml:space="preserve"> -</v>
      </c>
    </row>
    <row r="18" spans="2:20" ht="60">
      <c r="B18" s="278"/>
      <c r="C18" s="278"/>
      <c r="D18" s="274"/>
      <c r="E18" s="44">
        <v>42736</v>
      </c>
      <c r="F18" s="44">
        <v>43100</v>
      </c>
      <c r="G18" s="10" t="s">
        <v>33</v>
      </c>
      <c r="H18" s="45">
        <v>5000</v>
      </c>
      <c r="I18" s="45">
        <f>+J18+('2016'!I18-'2016'!K18)</f>
        <v>1995</v>
      </c>
      <c r="J18" s="45">
        <v>2000</v>
      </c>
      <c r="K18" s="77">
        <v>2155</v>
      </c>
      <c r="L18" s="74">
        <f t="shared" si="0"/>
        <v>1.0774999999999999</v>
      </c>
      <c r="M18" s="62">
        <f t="shared" si="1"/>
        <v>1</v>
      </c>
      <c r="N18" s="49">
        <f t="shared" si="2"/>
        <v>1</v>
      </c>
      <c r="O18" s="58" t="s">
        <v>107</v>
      </c>
      <c r="P18" s="45">
        <v>183900</v>
      </c>
      <c r="Q18" s="45">
        <v>183900</v>
      </c>
      <c r="R18" s="45">
        <v>0</v>
      </c>
      <c r="S18" s="46">
        <f t="shared" si="3"/>
        <v>1</v>
      </c>
      <c r="T18" s="49" t="str">
        <f t="shared" si="4"/>
        <v xml:space="preserve"> -</v>
      </c>
    </row>
    <row r="19" spans="2:20" ht="60">
      <c r="B19" s="278"/>
      <c r="C19" s="278"/>
      <c r="D19" s="274"/>
      <c r="E19" s="44">
        <v>42736</v>
      </c>
      <c r="F19" s="44">
        <v>43100</v>
      </c>
      <c r="G19" s="10" t="s">
        <v>34</v>
      </c>
      <c r="H19" s="45">
        <v>10</v>
      </c>
      <c r="I19" s="45">
        <f>+J19+('2016'!I19-'2016'!K19)</f>
        <v>3</v>
      </c>
      <c r="J19" s="45">
        <v>3</v>
      </c>
      <c r="K19" s="77">
        <v>3</v>
      </c>
      <c r="L19" s="74">
        <f t="shared" si="0"/>
        <v>1</v>
      </c>
      <c r="M19" s="62">
        <f t="shared" si="1"/>
        <v>1</v>
      </c>
      <c r="N19" s="49">
        <f t="shared" si="2"/>
        <v>1</v>
      </c>
      <c r="O19" s="58" t="s">
        <v>108</v>
      </c>
      <c r="P19" s="45">
        <v>83135</v>
      </c>
      <c r="Q19" s="45">
        <v>69711</v>
      </c>
      <c r="R19" s="45">
        <v>0</v>
      </c>
      <c r="S19" s="46">
        <f t="shared" si="3"/>
        <v>0.83852769591628074</v>
      </c>
      <c r="T19" s="49" t="str">
        <f t="shared" si="4"/>
        <v xml:space="preserve"> -</v>
      </c>
    </row>
    <row r="20" spans="2:20" ht="30">
      <c r="B20" s="278"/>
      <c r="C20" s="278"/>
      <c r="D20" s="274"/>
      <c r="E20" s="44">
        <v>42736</v>
      </c>
      <c r="F20" s="44">
        <v>43100</v>
      </c>
      <c r="G20" s="9" t="s">
        <v>35</v>
      </c>
      <c r="H20" s="45">
        <v>1</v>
      </c>
      <c r="I20" s="45">
        <f>+J20</f>
        <v>1</v>
      </c>
      <c r="J20" s="45">
        <v>1</v>
      </c>
      <c r="K20" s="77">
        <v>0</v>
      </c>
      <c r="L20" s="74">
        <f t="shared" si="0"/>
        <v>0</v>
      </c>
      <c r="M20" s="62">
        <f t="shared" si="1"/>
        <v>1</v>
      </c>
      <c r="N20" s="49">
        <f t="shared" si="2"/>
        <v>0</v>
      </c>
      <c r="O20" s="58" t="s">
        <v>109</v>
      </c>
      <c r="P20" s="45">
        <v>1000</v>
      </c>
      <c r="Q20" s="45">
        <v>0</v>
      </c>
      <c r="R20" s="45">
        <v>0</v>
      </c>
      <c r="S20" s="46">
        <f t="shared" si="3"/>
        <v>0</v>
      </c>
      <c r="T20" s="49" t="str">
        <f t="shared" si="4"/>
        <v xml:space="preserve"> -</v>
      </c>
    </row>
    <row r="21" spans="2:20" ht="31" thickBot="1">
      <c r="B21" s="279"/>
      <c r="C21" s="279"/>
      <c r="D21" s="275"/>
      <c r="E21" s="50">
        <v>42736</v>
      </c>
      <c r="F21" s="50">
        <v>43100</v>
      </c>
      <c r="G21" s="138" t="s">
        <v>36</v>
      </c>
      <c r="H21" s="51">
        <v>1</v>
      </c>
      <c r="I21" s="51">
        <f>+J21</f>
        <v>1</v>
      </c>
      <c r="J21" s="51">
        <v>1</v>
      </c>
      <c r="K21" s="266">
        <v>0.5</v>
      </c>
      <c r="L21" s="75">
        <f t="shared" si="0"/>
        <v>0.5</v>
      </c>
      <c r="M21" s="63">
        <f t="shared" si="1"/>
        <v>1</v>
      </c>
      <c r="N21" s="53">
        <f t="shared" si="2"/>
        <v>0.5</v>
      </c>
      <c r="O21" s="59" t="s">
        <v>110</v>
      </c>
      <c r="P21" s="51">
        <v>15000</v>
      </c>
      <c r="Q21" s="51">
        <v>0</v>
      </c>
      <c r="R21" s="51">
        <v>0</v>
      </c>
      <c r="S21" s="52">
        <f t="shared" si="3"/>
        <v>0</v>
      </c>
      <c r="T21" s="53" t="str">
        <f t="shared" si="4"/>
        <v xml:space="preserve"> -</v>
      </c>
    </row>
    <row r="22" spans="2:20" ht="13" customHeight="1" thickBot="1">
      <c r="B22" s="117"/>
      <c r="C22" s="70"/>
      <c r="D22" s="79"/>
      <c r="E22" s="80"/>
      <c r="F22" s="80"/>
      <c r="G22" s="81"/>
      <c r="H22" s="72"/>
      <c r="I22" s="137"/>
      <c r="J22" s="72"/>
      <c r="K22" s="72"/>
      <c r="L22" s="82"/>
      <c r="M22" s="82"/>
      <c r="N22" s="82"/>
      <c r="O22" s="71"/>
      <c r="P22" s="72"/>
      <c r="Q22" s="72"/>
      <c r="R22" s="72"/>
      <c r="S22" s="82"/>
      <c r="T22" s="19"/>
    </row>
    <row r="23" spans="2:20" ht="45">
      <c r="B23" s="277" t="s">
        <v>64</v>
      </c>
      <c r="C23" s="277" t="s">
        <v>63</v>
      </c>
      <c r="D23" s="276" t="s">
        <v>57</v>
      </c>
      <c r="E23" s="47">
        <v>42736</v>
      </c>
      <c r="F23" s="47">
        <v>43100</v>
      </c>
      <c r="G23" s="11" t="s">
        <v>37</v>
      </c>
      <c r="H23" s="48">
        <v>170</v>
      </c>
      <c r="I23" s="85">
        <f>+J23+('2016'!I23-'2016'!K23)</f>
        <v>36</v>
      </c>
      <c r="J23" s="48">
        <v>42</v>
      </c>
      <c r="K23" s="54">
        <v>58</v>
      </c>
      <c r="L23" s="20">
        <f t="shared" si="0"/>
        <v>1.3809523809523809</v>
      </c>
      <c r="M23" s="22">
        <f t="shared" si="1"/>
        <v>1</v>
      </c>
      <c r="N23" s="23">
        <f t="shared" si="2"/>
        <v>1</v>
      </c>
      <c r="O23" s="57" t="s">
        <v>111</v>
      </c>
      <c r="P23" s="48">
        <v>403547</v>
      </c>
      <c r="Q23" s="48">
        <v>347318</v>
      </c>
      <c r="R23" s="48">
        <v>62188</v>
      </c>
      <c r="S23" s="24">
        <f t="shared" si="3"/>
        <v>0.86066307022478172</v>
      </c>
      <c r="T23" s="23">
        <f t="shared" si="4"/>
        <v>0.17905205028245008</v>
      </c>
    </row>
    <row r="24" spans="2:20" ht="31" thickBot="1">
      <c r="B24" s="278"/>
      <c r="C24" s="278"/>
      <c r="D24" s="275"/>
      <c r="E24" s="50">
        <v>42736</v>
      </c>
      <c r="F24" s="50">
        <v>43100</v>
      </c>
      <c r="G24" s="8" t="s">
        <v>38</v>
      </c>
      <c r="H24" s="51">
        <v>90</v>
      </c>
      <c r="I24" s="51">
        <f>+J24+('2016'!I24-'2016'!K24)</f>
        <v>22</v>
      </c>
      <c r="J24" s="51">
        <v>22</v>
      </c>
      <c r="K24" s="56">
        <v>58</v>
      </c>
      <c r="L24" s="61">
        <f t="shared" si="0"/>
        <v>2.6363636363636362</v>
      </c>
      <c r="M24" s="63">
        <f t="shared" si="1"/>
        <v>1</v>
      </c>
      <c r="N24" s="53">
        <f t="shared" si="2"/>
        <v>1</v>
      </c>
      <c r="O24" s="59" t="s">
        <v>112</v>
      </c>
      <c r="P24" s="51">
        <v>737661</v>
      </c>
      <c r="Q24" s="51">
        <v>703141</v>
      </c>
      <c r="R24" s="51">
        <v>0</v>
      </c>
      <c r="S24" s="52">
        <f t="shared" si="3"/>
        <v>0.9532034362667946</v>
      </c>
      <c r="T24" s="53" t="str">
        <f t="shared" si="4"/>
        <v xml:space="preserve"> -</v>
      </c>
    </row>
    <row r="25" spans="2:20" ht="45">
      <c r="B25" s="278"/>
      <c r="C25" s="278"/>
      <c r="D25" s="273" t="s">
        <v>58</v>
      </c>
      <c r="E25" s="84">
        <v>42736</v>
      </c>
      <c r="F25" s="84">
        <v>43100</v>
      </c>
      <c r="G25" s="13" t="s">
        <v>39</v>
      </c>
      <c r="H25" s="85">
        <v>30300</v>
      </c>
      <c r="I25" s="85">
        <f>+J25+('2016'!I25-'2016'!K25)</f>
        <v>5384</v>
      </c>
      <c r="J25" s="85">
        <v>7500</v>
      </c>
      <c r="K25" s="86">
        <v>10930</v>
      </c>
      <c r="L25" s="60">
        <f t="shared" si="0"/>
        <v>1.4573333333333334</v>
      </c>
      <c r="M25" s="62">
        <f t="shared" si="1"/>
        <v>1</v>
      </c>
      <c r="N25" s="49">
        <f t="shared" si="2"/>
        <v>1</v>
      </c>
      <c r="O25" s="87" t="s">
        <v>113</v>
      </c>
      <c r="P25" s="85">
        <v>610712</v>
      </c>
      <c r="Q25" s="85">
        <v>534909</v>
      </c>
      <c r="R25" s="85">
        <v>0</v>
      </c>
      <c r="S25" s="27">
        <f t="shared" si="3"/>
        <v>0.87587766410353818</v>
      </c>
      <c r="T25" s="26" t="str">
        <f t="shared" si="4"/>
        <v xml:space="preserve"> -</v>
      </c>
    </row>
    <row r="26" spans="2:20" ht="45">
      <c r="B26" s="278"/>
      <c r="C26" s="278"/>
      <c r="D26" s="274"/>
      <c r="E26" s="44">
        <v>42736</v>
      </c>
      <c r="F26" s="44">
        <v>43100</v>
      </c>
      <c r="G26" s="10" t="s">
        <v>40</v>
      </c>
      <c r="H26" s="45">
        <v>4300</v>
      </c>
      <c r="I26" s="45">
        <f>+J26+('2016'!I26-'2016'!K26)</f>
        <v>615</v>
      </c>
      <c r="J26" s="45">
        <v>1100</v>
      </c>
      <c r="K26" s="55">
        <v>2242</v>
      </c>
      <c r="L26" s="60">
        <f t="shared" si="0"/>
        <v>2.0381818181818181</v>
      </c>
      <c r="M26" s="62">
        <f t="shared" si="1"/>
        <v>1</v>
      </c>
      <c r="N26" s="49">
        <f t="shared" si="2"/>
        <v>1</v>
      </c>
      <c r="O26" s="58" t="s">
        <v>114</v>
      </c>
      <c r="P26" s="45">
        <v>637522</v>
      </c>
      <c r="Q26" s="45">
        <v>504522</v>
      </c>
      <c r="R26" s="45">
        <v>0</v>
      </c>
      <c r="S26" s="46">
        <f t="shared" si="3"/>
        <v>0.79137974846358239</v>
      </c>
      <c r="T26" s="49" t="str">
        <f t="shared" si="4"/>
        <v xml:space="preserve"> -</v>
      </c>
    </row>
    <row r="27" spans="2:20" ht="46" thickBot="1">
      <c r="B27" s="278"/>
      <c r="C27" s="278"/>
      <c r="D27" s="280"/>
      <c r="E27" s="88">
        <v>42736</v>
      </c>
      <c r="F27" s="88">
        <v>43100</v>
      </c>
      <c r="G27" s="12" t="s">
        <v>41</v>
      </c>
      <c r="H27" s="89">
        <v>3000</v>
      </c>
      <c r="I27" s="51">
        <f>+J27+('2016'!I27-'2016'!K27)</f>
        <v>1000</v>
      </c>
      <c r="J27" s="89">
        <v>1000</v>
      </c>
      <c r="K27" s="90">
        <v>8671</v>
      </c>
      <c r="L27" s="91">
        <f t="shared" si="0"/>
        <v>8.6709999999999994</v>
      </c>
      <c r="M27" s="92">
        <f t="shared" si="1"/>
        <v>1</v>
      </c>
      <c r="N27" s="93">
        <f t="shared" si="2"/>
        <v>1</v>
      </c>
      <c r="O27" s="94" t="s">
        <v>115</v>
      </c>
      <c r="P27" s="89">
        <v>232403</v>
      </c>
      <c r="Q27" s="89">
        <v>238203</v>
      </c>
      <c r="R27" s="89">
        <v>0</v>
      </c>
      <c r="S27" s="95">
        <f t="shared" si="3"/>
        <v>1.0249566485802679</v>
      </c>
      <c r="T27" s="93" t="str">
        <f t="shared" si="4"/>
        <v xml:space="preserve"> -</v>
      </c>
    </row>
    <row r="28" spans="2:20" ht="30">
      <c r="B28" s="278"/>
      <c r="C28" s="278"/>
      <c r="D28" s="276" t="s">
        <v>59</v>
      </c>
      <c r="E28" s="47">
        <v>42736</v>
      </c>
      <c r="F28" s="47">
        <v>43100</v>
      </c>
      <c r="G28" s="11" t="s">
        <v>42</v>
      </c>
      <c r="H28" s="48">
        <v>12</v>
      </c>
      <c r="I28" s="85">
        <f>+J28+('2016'!I28-'2016'!K28)</f>
        <v>3</v>
      </c>
      <c r="J28" s="48">
        <v>3</v>
      </c>
      <c r="K28" s="54">
        <v>3</v>
      </c>
      <c r="L28" s="20">
        <f t="shared" si="0"/>
        <v>1</v>
      </c>
      <c r="M28" s="22">
        <f t="shared" si="1"/>
        <v>1</v>
      </c>
      <c r="N28" s="23">
        <f t="shared" si="2"/>
        <v>1</v>
      </c>
      <c r="O28" s="57" t="s">
        <v>116</v>
      </c>
      <c r="P28" s="48">
        <v>233481</v>
      </c>
      <c r="Q28" s="48">
        <v>233481</v>
      </c>
      <c r="R28" s="48">
        <v>0</v>
      </c>
      <c r="S28" s="24">
        <f t="shared" si="3"/>
        <v>1</v>
      </c>
      <c r="T28" s="23" t="str">
        <f t="shared" si="4"/>
        <v xml:space="preserve"> -</v>
      </c>
    </row>
    <row r="29" spans="2:20" ht="30">
      <c r="B29" s="278"/>
      <c r="C29" s="278"/>
      <c r="D29" s="274"/>
      <c r="E29" s="44">
        <v>42736</v>
      </c>
      <c r="F29" s="44">
        <v>43100</v>
      </c>
      <c r="G29" s="10" t="s">
        <v>43</v>
      </c>
      <c r="H29" s="45">
        <v>40</v>
      </c>
      <c r="I29" s="45">
        <f>+J29+('2016'!I29-'2016'!K29)</f>
        <v>10</v>
      </c>
      <c r="J29" s="45">
        <v>10</v>
      </c>
      <c r="K29" s="55">
        <v>19</v>
      </c>
      <c r="L29" s="60">
        <f t="shared" si="0"/>
        <v>1.9</v>
      </c>
      <c r="M29" s="62">
        <f t="shared" si="1"/>
        <v>1</v>
      </c>
      <c r="N29" s="49">
        <f t="shared" si="2"/>
        <v>1</v>
      </c>
      <c r="O29" s="58" t="s">
        <v>117</v>
      </c>
      <c r="P29" s="45">
        <v>60305</v>
      </c>
      <c r="Q29" s="45">
        <v>60305</v>
      </c>
      <c r="R29" s="45">
        <v>0</v>
      </c>
      <c r="S29" s="46">
        <f t="shared" si="3"/>
        <v>1</v>
      </c>
      <c r="T29" s="49" t="str">
        <f t="shared" si="4"/>
        <v xml:space="preserve"> -</v>
      </c>
    </row>
    <row r="30" spans="2:20" ht="46" thickBot="1">
      <c r="B30" s="278"/>
      <c r="C30" s="278"/>
      <c r="D30" s="275"/>
      <c r="E30" s="50">
        <v>42736</v>
      </c>
      <c r="F30" s="50">
        <v>43100</v>
      </c>
      <c r="G30" s="8" t="s">
        <v>44</v>
      </c>
      <c r="H30" s="51">
        <v>8</v>
      </c>
      <c r="I30" s="51">
        <f>+J30+('2016'!I30-'2016'!K30)</f>
        <v>2</v>
      </c>
      <c r="J30" s="51">
        <v>2</v>
      </c>
      <c r="K30" s="56">
        <v>2</v>
      </c>
      <c r="L30" s="61">
        <f t="shared" si="0"/>
        <v>1</v>
      </c>
      <c r="M30" s="63">
        <f t="shared" si="1"/>
        <v>1</v>
      </c>
      <c r="N30" s="53">
        <f t="shared" si="2"/>
        <v>1</v>
      </c>
      <c r="O30" s="59" t="s">
        <v>118</v>
      </c>
      <c r="P30" s="51">
        <v>70000</v>
      </c>
      <c r="Q30" s="51">
        <v>69998</v>
      </c>
      <c r="R30" s="51">
        <v>0</v>
      </c>
      <c r="S30" s="52">
        <f t="shared" si="3"/>
        <v>0.99997142857142862</v>
      </c>
      <c r="T30" s="53" t="str">
        <f t="shared" si="4"/>
        <v xml:space="preserve"> -</v>
      </c>
    </row>
    <row r="31" spans="2:20" ht="46" thickBot="1">
      <c r="B31" s="278"/>
      <c r="C31" s="278"/>
      <c r="D31" s="115" t="s">
        <v>60</v>
      </c>
      <c r="E31" s="96">
        <v>42736</v>
      </c>
      <c r="F31" s="96">
        <v>43100</v>
      </c>
      <c r="G31" s="97" t="s">
        <v>45</v>
      </c>
      <c r="H31" s="98">
        <v>600</v>
      </c>
      <c r="I31" s="51">
        <f>+J31+('2016'!I31-'2016'!K31)</f>
        <v>8</v>
      </c>
      <c r="J31" s="98">
        <v>150</v>
      </c>
      <c r="K31" s="99">
        <v>572</v>
      </c>
      <c r="L31" s="100">
        <f t="shared" si="0"/>
        <v>3.8133333333333335</v>
      </c>
      <c r="M31" s="101">
        <f t="shared" si="1"/>
        <v>1</v>
      </c>
      <c r="N31" s="102">
        <f t="shared" si="2"/>
        <v>1</v>
      </c>
      <c r="O31" s="103" t="s">
        <v>119</v>
      </c>
      <c r="P31" s="98">
        <v>31266</v>
      </c>
      <c r="Q31" s="98">
        <v>31266</v>
      </c>
      <c r="R31" s="98">
        <v>0</v>
      </c>
      <c r="S31" s="104">
        <f t="shared" si="3"/>
        <v>1</v>
      </c>
      <c r="T31" s="102" t="str">
        <f t="shared" si="4"/>
        <v xml:space="preserve"> -</v>
      </c>
    </row>
    <row r="32" spans="2:20" ht="46" thickBot="1">
      <c r="B32" s="278"/>
      <c r="C32" s="278"/>
      <c r="D32" s="116" t="s">
        <v>61</v>
      </c>
      <c r="E32" s="106">
        <v>42736</v>
      </c>
      <c r="F32" s="106">
        <v>43100</v>
      </c>
      <c r="G32" s="107" t="s">
        <v>46</v>
      </c>
      <c r="H32" s="108">
        <v>120</v>
      </c>
      <c r="I32" s="51">
        <f>+J32+('2016'!I32-'2016'!K32)</f>
        <v>28</v>
      </c>
      <c r="J32" s="108">
        <v>30</v>
      </c>
      <c r="K32" s="109">
        <v>32</v>
      </c>
      <c r="L32" s="110">
        <f t="shared" si="0"/>
        <v>1.0666666666666667</v>
      </c>
      <c r="M32" s="111">
        <f t="shared" si="1"/>
        <v>1</v>
      </c>
      <c r="N32" s="112">
        <f t="shared" si="2"/>
        <v>1</v>
      </c>
      <c r="O32" s="113" t="s">
        <v>120</v>
      </c>
      <c r="P32" s="108">
        <v>1265854</v>
      </c>
      <c r="Q32" s="108">
        <v>1246979</v>
      </c>
      <c r="R32" s="108">
        <v>41085</v>
      </c>
      <c r="S32" s="114">
        <f t="shared" si="3"/>
        <v>0.98508911770235741</v>
      </c>
      <c r="T32" s="112">
        <f t="shared" si="4"/>
        <v>3.2947627826932127E-2</v>
      </c>
    </row>
    <row r="33" spans="2:20" ht="30">
      <c r="B33" s="278"/>
      <c r="C33" s="278"/>
      <c r="D33" s="273" t="s">
        <v>62</v>
      </c>
      <c r="E33" s="84">
        <v>42736</v>
      </c>
      <c r="F33" s="84">
        <v>43100</v>
      </c>
      <c r="G33" s="14" t="s">
        <v>47</v>
      </c>
      <c r="H33" s="85">
        <v>80</v>
      </c>
      <c r="I33" s="85">
        <f>+J33+('2016'!I33-'2016'!K33)</f>
        <v>20</v>
      </c>
      <c r="J33" s="85">
        <v>20</v>
      </c>
      <c r="K33" s="86">
        <v>20</v>
      </c>
      <c r="L33" s="21">
        <f t="shared" si="0"/>
        <v>1</v>
      </c>
      <c r="M33" s="25">
        <f t="shared" si="1"/>
        <v>1</v>
      </c>
      <c r="N33" s="26">
        <f t="shared" si="2"/>
        <v>1</v>
      </c>
      <c r="O33" s="87" t="s">
        <v>121</v>
      </c>
      <c r="P33" s="85">
        <v>80500</v>
      </c>
      <c r="Q33" s="85">
        <v>70500</v>
      </c>
      <c r="R33" s="85">
        <v>0</v>
      </c>
      <c r="S33" s="27">
        <f t="shared" si="3"/>
        <v>0.87577639751552794</v>
      </c>
      <c r="T33" s="26" t="str">
        <f t="shared" si="4"/>
        <v xml:space="preserve"> -</v>
      </c>
    </row>
    <row r="34" spans="2:20" ht="45">
      <c r="B34" s="278"/>
      <c r="C34" s="278"/>
      <c r="D34" s="274"/>
      <c r="E34" s="44">
        <v>42736</v>
      </c>
      <c r="F34" s="44">
        <v>43100</v>
      </c>
      <c r="G34" s="15" t="s">
        <v>48</v>
      </c>
      <c r="H34" s="45">
        <v>8</v>
      </c>
      <c r="I34" s="45">
        <f>+J34+('2016'!I34-'2016'!K34)</f>
        <v>1</v>
      </c>
      <c r="J34" s="45">
        <v>1</v>
      </c>
      <c r="K34" s="55">
        <v>1</v>
      </c>
      <c r="L34" s="60">
        <f t="shared" si="0"/>
        <v>1</v>
      </c>
      <c r="M34" s="62">
        <f t="shared" si="1"/>
        <v>1</v>
      </c>
      <c r="N34" s="49">
        <f t="shared" si="2"/>
        <v>1</v>
      </c>
      <c r="O34" s="58" t="s">
        <v>122</v>
      </c>
      <c r="P34" s="45">
        <v>0</v>
      </c>
      <c r="Q34" s="45">
        <v>0</v>
      </c>
      <c r="R34" s="45">
        <v>0</v>
      </c>
      <c r="S34" s="46" t="str">
        <f t="shared" si="3"/>
        <v xml:space="preserve"> -</v>
      </c>
      <c r="T34" s="49" t="str">
        <f t="shared" si="4"/>
        <v xml:space="preserve"> -</v>
      </c>
    </row>
    <row r="35" spans="2:20" ht="31" thickBot="1">
      <c r="B35" s="279"/>
      <c r="C35" s="279"/>
      <c r="D35" s="275"/>
      <c r="E35" s="50">
        <v>42736</v>
      </c>
      <c r="F35" s="50">
        <v>43100</v>
      </c>
      <c r="G35" s="16" t="s">
        <v>49</v>
      </c>
      <c r="H35" s="51">
        <v>8</v>
      </c>
      <c r="I35" s="51">
        <f>+J35+('2016'!I35-'2016'!K35)</f>
        <v>2</v>
      </c>
      <c r="J35" s="51">
        <v>2</v>
      </c>
      <c r="K35" s="56">
        <v>2</v>
      </c>
      <c r="L35" s="61">
        <f t="shared" si="0"/>
        <v>1</v>
      </c>
      <c r="M35" s="63">
        <f t="shared" si="1"/>
        <v>1</v>
      </c>
      <c r="N35" s="53">
        <f t="shared" si="2"/>
        <v>1</v>
      </c>
      <c r="O35" s="59" t="s">
        <v>123</v>
      </c>
      <c r="P35" s="51">
        <v>22800</v>
      </c>
      <c r="Q35" s="51">
        <v>22800</v>
      </c>
      <c r="R35" s="51">
        <v>0</v>
      </c>
      <c r="S35" s="52">
        <f t="shared" si="3"/>
        <v>1</v>
      </c>
      <c r="T35" s="53" t="str">
        <f t="shared" si="4"/>
        <v xml:space="preserve"> -</v>
      </c>
    </row>
    <row r="36" spans="2:20" ht="21" customHeight="1" thickBot="1">
      <c r="M36" s="119">
        <f>+AVERAGE(M12:M14,M16:M21,M23:M35)</f>
        <v>1</v>
      </c>
      <c r="N36" s="31">
        <f>+AVERAGE(N12:N14,N16:N21,N23:N35)</f>
        <v>0.93181818181818177</v>
      </c>
      <c r="P36" s="28">
        <f>+SUM(P12:P14,P16:P21,P23:P35)</f>
        <v>5032431</v>
      </c>
      <c r="Q36" s="29">
        <f t="shared" ref="Q36:R36" si="5">+SUM(Q12:Q14,Q16:Q21,Q23:Q35)</f>
        <v>4639935</v>
      </c>
      <c r="R36" s="29">
        <f t="shared" si="5"/>
        <v>103273</v>
      </c>
      <c r="S36" s="30">
        <f t="shared" si="3"/>
        <v>0.92200668027042998</v>
      </c>
      <c r="T36" s="31">
        <f t="shared" si="4"/>
        <v>2.2257423864773966E-2</v>
      </c>
    </row>
  </sheetData>
  <mergeCells count="28">
    <mergeCell ref="B23:B35"/>
    <mergeCell ref="C23:C35"/>
    <mergeCell ref="D23:D24"/>
    <mergeCell ref="D25:D27"/>
    <mergeCell ref="D28:D30"/>
    <mergeCell ref="D33:D35"/>
    <mergeCell ref="M10:M11"/>
    <mergeCell ref="N10:N11"/>
    <mergeCell ref="B12:B21"/>
    <mergeCell ref="C12:C14"/>
    <mergeCell ref="C16:C21"/>
    <mergeCell ref="D16:D2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6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91" t="s">
        <v>16</v>
      </c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</row>
    <row r="3" spans="2:20" ht="20" customHeight="1">
      <c r="B3" s="291" t="s">
        <v>19</v>
      </c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</row>
    <row r="4" spans="2:20" ht="20" customHeight="1">
      <c r="B4" s="291" t="s">
        <v>27</v>
      </c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2018</v>
      </c>
      <c r="C8" s="18">
        <v>43465</v>
      </c>
      <c r="D8" s="292" t="s">
        <v>3</v>
      </c>
      <c r="E8" s="293"/>
      <c r="F8" s="293"/>
      <c r="G8" s="293"/>
      <c r="H8" s="293"/>
      <c r="I8" s="293"/>
      <c r="J8" s="293"/>
      <c r="K8" s="294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95" t="s">
        <v>17</v>
      </c>
      <c r="C9" s="298" t="s">
        <v>18</v>
      </c>
      <c r="D9" s="301" t="s">
        <v>0</v>
      </c>
      <c r="E9" s="304" t="s">
        <v>4</v>
      </c>
      <c r="F9" s="304"/>
      <c r="G9" s="304" t="s">
        <v>5</v>
      </c>
      <c r="H9" s="304"/>
      <c r="I9" s="304"/>
      <c r="J9" s="304"/>
      <c r="K9" s="306"/>
      <c r="L9" s="5"/>
      <c r="M9" s="301" t="s">
        <v>6</v>
      </c>
      <c r="N9" s="306"/>
      <c r="O9" s="283" t="s">
        <v>24</v>
      </c>
      <c r="P9" s="284"/>
      <c r="Q9" s="284"/>
      <c r="R9" s="284"/>
      <c r="S9" s="284"/>
      <c r="T9" s="285"/>
    </row>
    <row r="10" spans="2:20" ht="17" customHeight="1">
      <c r="B10" s="296"/>
      <c r="C10" s="299"/>
      <c r="D10" s="302"/>
      <c r="E10" s="305"/>
      <c r="F10" s="305"/>
      <c r="G10" s="305" t="s">
        <v>7</v>
      </c>
      <c r="H10" s="289" t="s">
        <v>25</v>
      </c>
      <c r="I10" s="289" t="s">
        <v>26</v>
      </c>
      <c r="J10" s="269" t="s">
        <v>1</v>
      </c>
      <c r="K10" s="307" t="s">
        <v>8</v>
      </c>
      <c r="L10" s="6"/>
      <c r="M10" s="271" t="s">
        <v>9</v>
      </c>
      <c r="N10" s="281" t="s">
        <v>10</v>
      </c>
      <c r="O10" s="286"/>
      <c r="P10" s="287"/>
      <c r="Q10" s="287"/>
      <c r="R10" s="287"/>
      <c r="S10" s="287"/>
      <c r="T10" s="288"/>
    </row>
    <row r="11" spans="2:20" ht="37.5" customHeight="1" thickBot="1">
      <c r="B11" s="297"/>
      <c r="C11" s="300"/>
      <c r="D11" s="303"/>
      <c r="E11" s="32" t="s">
        <v>11</v>
      </c>
      <c r="F11" s="32" t="s">
        <v>12</v>
      </c>
      <c r="G11" s="289"/>
      <c r="H11" s="290"/>
      <c r="I11" s="309"/>
      <c r="J11" s="270"/>
      <c r="K11" s="308"/>
      <c r="L11" s="33"/>
      <c r="M11" s="272"/>
      <c r="N11" s="282"/>
      <c r="O11" s="34" t="s">
        <v>23</v>
      </c>
      <c r="P11" s="35" t="s">
        <v>20</v>
      </c>
      <c r="Q11" s="36" t="s">
        <v>21</v>
      </c>
      <c r="R11" s="37" t="s">
        <v>22</v>
      </c>
      <c r="S11" s="37" t="s">
        <v>14</v>
      </c>
      <c r="T11" s="38" t="s">
        <v>15</v>
      </c>
    </row>
    <row r="12" spans="2:20" ht="46" thickBot="1">
      <c r="B12" s="277" t="s">
        <v>55</v>
      </c>
      <c r="C12" s="277" t="s">
        <v>54</v>
      </c>
      <c r="D12" s="120" t="s">
        <v>50</v>
      </c>
      <c r="E12" s="121">
        <v>43101</v>
      </c>
      <c r="F12" s="121">
        <v>43465</v>
      </c>
      <c r="G12" s="39" t="s">
        <v>28</v>
      </c>
      <c r="H12" s="122">
        <v>4</v>
      </c>
      <c r="I12" s="51">
        <f>+J12+('2017'!I12-'2017'!K12)</f>
        <v>1</v>
      </c>
      <c r="J12" s="122">
        <v>1</v>
      </c>
      <c r="K12" s="123">
        <v>1</v>
      </c>
      <c r="L12" s="124">
        <f>+K12/J12</f>
        <v>1</v>
      </c>
      <c r="M12" s="125">
        <f>DAYS360(E12,$C$8)/DAYS360(E12,F12)</f>
        <v>1</v>
      </c>
      <c r="N12" s="126">
        <f>IF(J12=0," -",IF(L12&gt;100%,100%,L12))</f>
        <v>1</v>
      </c>
      <c r="O12" s="127" t="s">
        <v>102</v>
      </c>
      <c r="P12" s="122">
        <v>109201</v>
      </c>
      <c r="Q12" s="122">
        <v>92797</v>
      </c>
      <c r="R12" s="122">
        <v>0</v>
      </c>
      <c r="S12" s="128">
        <f>IF(P12=0," -",Q12/P12)</f>
        <v>0.84978159540663545</v>
      </c>
      <c r="T12" s="126" t="str">
        <f>IF(R12=0," -",IF(Q12=0,100%,R12/Q12))</f>
        <v xml:space="preserve"> -</v>
      </c>
    </row>
    <row r="13" spans="2:20" ht="46" thickBot="1">
      <c r="B13" s="278"/>
      <c r="C13" s="278"/>
      <c r="D13" s="105" t="s">
        <v>51</v>
      </c>
      <c r="E13" s="106">
        <v>43101</v>
      </c>
      <c r="F13" s="106">
        <v>43465</v>
      </c>
      <c r="G13" s="135" t="s">
        <v>29</v>
      </c>
      <c r="H13" s="108">
        <v>4</v>
      </c>
      <c r="I13" s="51">
        <f>+J13+('2017'!I13-'2017'!K13)</f>
        <v>1</v>
      </c>
      <c r="J13" s="108">
        <v>1</v>
      </c>
      <c r="K13" s="109">
        <v>1</v>
      </c>
      <c r="L13" s="110">
        <f t="shared" ref="L13:L35" si="0">+K13/J13</f>
        <v>1</v>
      </c>
      <c r="M13" s="111">
        <f t="shared" ref="M13:M35" si="1">DAYS360(E13,$C$8)/DAYS360(E13,F13)</f>
        <v>1</v>
      </c>
      <c r="N13" s="112">
        <f t="shared" ref="N13:N35" si="2">IF(J13=0," -",IF(L13&gt;100%,100%,L13))</f>
        <v>1</v>
      </c>
      <c r="O13" s="113" t="s">
        <v>103</v>
      </c>
      <c r="P13" s="108">
        <v>32760</v>
      </c>
      <c r="Q13" s="108">
        <v>32539</v>
      </c>
      <c r="R13" s="108">
        <v>0</v>
      </c>
      <c r="S13" s="114">
        <f t="shared" ref="S13:S36" si="3">IF(P13=0," -",Q13/P13)</f>
        <v>0.99325396825396828</v>
      </c>
      <c r="T13" s="112" t="str">
        <f t="shared" ref="T13:T36" si="4">IF(R13=0," -",IF(Q13=0,100%,R13/Q13))</f>
        <v xml:space="preserve"> -</v>
      </c>
    </row>
    <row r="14" spans="2:20" ht="46" thickBot="1">
      <c r="B14" s="278"/>
      <c r="C14" s="279"/>
      <c r="D14" s="129" t="s">
        <v>52</v>
      </c>
      <c r="E14" s="130">
        <v>43101</v>
      </c>
      <c r="F14" s="130">
        <v>43465</v>
      </c>
      <c r="G14" s="131" t="s">
        <v>30</v>
      </c>
      <c r="H14" s="132">
        <v>8</v>
      </c>
      <c r="I14" s="51">
        <f>+J14+('2017'!I14-'2017'!K14)</f>
        <v>2</v>
      </c>
      <c r="J14" s="132">
        <v>2</v>
      </c>
      <c r="K14" s="133">
        <v>2</v>
      </c>
      <c r="L14" s="40">
        <f t="shared" si="0"/>
        <v>1</v>
      </c>
      <c r="M14" s="41">
        <f t="shared" si="1"/>
        <v>1</v>
      </c>
      <c r="N14" s="42">
        <f t="shared" si="2"/>
        <v>1</v>
      </c>
      <c r="O14" s="134" t="s">
        <v>104</v>
      </c>
      <c r="P14" s="132">
        <v>45864</v>
      </c>
      <c r="Q14" s="132">
        <v>45002</v>
      </c>
      <c r="R14" s="132">
        <v>0</v>
      </c>
      <c r="S14" s="43">
        <f t="shared" si="3"/>
        <v>0.98120530263387407</v>
      </c>
      <c r="T14" s="42" t="str">
        <f t="shared" si="4"/>
        <v xml:space="preserve"> -</v>
      </c>
    </row>
    <row r="15" spans="2:20" ht="13" customHeight="1" thickBot="1">
      <c r="B15" s="278"/>
      <c r="C15" s="118"/>
      <c r="D15" s="64"/>
      <c r="E15" s="65"/>
      <c r="F15" s="65"/>
      <c r="G15" s="66"/>
      <c r="H15" s="67"/>
      <c r="I15" s="136"/>
      <c r="J15" s="67"/>
      <c r="K15" s="67"/>
      <c r="L15" s="68"/>
      <c r="M15" s="68"/>
      <c r="N15" s="68"/>
      <c r="O15" s="66"/>
      <c r="P15" s="67"/>
      <c r="Q15" s="67"/>
      <c r="R15" s="67"/>
      <c r="S15" s="68"/>
      <c r="T15" s="17"/>
    </row>
    <row r="16" spans="2:20" ht="45">
      <c r="B16" s="278"/>
      <c r="C16" s="277" t="s">
        <v>56</v>
      </c>
      <c r="D16" s="276" t="s">
        <v>53</v>
      </c>
      <c r="E16" s="47">
        <v>43101</v>
      </c>
      <c r="F16" s="47">
        <v>43465</v>
      </c>
      <c r="G16" s="11" t="s">
        <v>31</v>
      </c>
      <c r="H16" s="48">
        <v>6</v>
      </c>
      <c r="I16" s="85">
        <f>+J16</f>
        <v>6</v>
      </c>
      <c r="J16" s="48">
        <v>6</v>
      </c>
      <c r="K16" s="76">
        <v>6</v>
      </c>
      <c r="L16" s="73">
        <f t="shared" si="0"/>
        <v>1</v>
      </c>
      <c r="M16" s="22">
        <f t="shared" si="1"/>
        <v>1</v>
      </c>
      <c r="N16" s="23">
        <f t="shared" si="2"/>
        <v>1</v>
      </c>
      <c r="O16" s="57" t="s">
        <v>105</v>
      </c>
      <c r="P16" s="48">
        <v>125800</v>
      </c>
      <c r="Q16" s="48">
        <v>122500</v>
      </c>
      <c r="R16" s="48">
        <v>0</v>
      </c>
      <c r="S16" s="24">
        <f t="shared" si="3"/>
        <v>0.97376788553259142</v>
      </c>
      <c r="T16" s="23" t="str">
        <f t="shared" si="4"/>
        <v xml:space="preserve"> -</v>
      </c>
    </row>
    <row r="17" spans="2:20" ht="45">
      <c r="B17" s="278"/>
      <c r="C17" s="278"/>
      <c r="D17" s="274"/>
      <c r="E17" s="44">
        <v>43101</v>
      </c>
      <c r="F17" s="44">
        <v>43465</v>
      </c>
      <c r="G17" s="10" t="s">
        <v>32</v>
      </c>
      <c r="H17" s="45">
        <v>3000</v>
      </c>
      <c r="I17" s="45">
        <f>+J17+('2017'!I17-'2017'!K17)</f>
        <v>729</v>
      </c>
      <c r="J17" s="45">
        <v>1000</v>
      </c>
      <c r="K17" s="77">
        <v>1331</v>
      </c>
      <c r="L17" s="74">
        <f t="shared" si="0"/>
        <v>1.331</v>
      </c>
      <c r="M17" s="62">
        <f t="shared" si="1"/>
        <v>1</v>
      </c>
      <c r="N17" s="49">
        <f t="shared" si="2"/>
        <v>1</v>
      </c>
      <c r="O17" s="58" t="s">
        <v>106</v>
      </c>
      <c r="P17" s="45">
        <v>61030</v>
      </c>
      <c r="Q17" s="45">
        <v>61030</v>
      </c>
      <c r="R17" s="45">
        <v>0</v>
      </c>
      <c r="S17" s="46">
        <f t="shared" si="3"/>
        <v>1</v>
      </c>
      <c r="T17" s="49" t="str">
        <f t="shared" si="4"/>
        <v xml:space="preserve"> -</v>
      </c>
    </row>
    <row r="18" spans="2:20" ht="60">
      <c r="B18" s="278"/>
      <c r="C18" s="278"/>
      <c r="D18" s="274"/>
      <c r="E18" s="44">
        <v>43101</v>
      </c>
      <c r="F18" s="44">
        <v>43465</v>
      </c>
      <c r="G18" s="10" t="s">
        <v>33</v>
      </c>
      <c r="H18" s="45">
        <v>5000</v>
      </c>
      <c r="I18" s="45">
        <f>+J18+('2017'!I18-'2017'!K18)</f>
        <v>1840</v>
      </c>
      <c r="J18" s="45">
        <v>2000</v>
      </c>
      <c r="K18" s="77">
        <v>2015</v>
      </c>
      <c r="L18" s="74">
        <f t="shared" si="0"/>
        <v>1.0075000000000001</v>
      </c>
      <c r="M18" s="62">
        <f t="shared" si="1"/>
        <v>1</v>
      </c>
      <c r="N18" s="49">
        <f t="shared" si="2"/>
        <v>1</v>
      </c>
      <c r="O18" s="58" t="s">
        <v>107</v>
      </c>
      <c r="P18" s="45">
        <v>202758</v>
      </c>
      <c r="Q18" s="45">
        <v>163764</v>
      </c>
      <c r="R18" s="45">
        <v>0</v>
      </c>
      <c r="S18" s="46">
        <f t="shared" si="3"/>
        <v>0.80768206433284995</v>
      </c>
      <c r="T18" s="49" t="str">
        <f t="shared" si="4"/>
        <v xml:space="preserve"> -</v>
      </c>
    </row>
    <row r="19" spans="2:20" ht="60">
      <c r="B19" s="278"/>
      <c r="C19" s="278"/>
      <c r="D19" s="274"/>
      <c r="E19" s="44">
        <v>43101</v>
      </c>
      <c r="F19" s="44">
        <v>43465</v>
      </c>
      <c r="G19" s="10" t="s">
        <v>34</v>
      </c>
      <c r="H19" s="45">
        <v>10</v>
      </c>
      <c r="I19" s="45">
        <f>+J19+('2017'!I19-'2017'!K19)</f>
        <v>3</v>
      </c>
      <c r="J19" s="45">
        <v>3</v>
      </c>
      <c r="K19" s="77">
        <v>3</v>
      </c>
      <c r="L19" s="74">
        <f t="shared" si="0"/>
        <v>1</v>
      </c>
      <c r="M19" s="62">
        <f t="shared" si="1"/>
        <v>1</v>
      </c>
      <c r="N19" s="49">
        <f t="shared" si="2"/>
        <v>1</v>
      </c>
      <c r="O19" s="58" t="s">
        <v>108</v>
      </c>
      <c r="P19" s="45">
        <v>195835</v>
      </c>
      <c r="Q19" s="45">
        <v>171004</v>
      </c>
      <c r="R19" s="45">
        <v>0</v>
      </c>
      <c r="S19" s="46">
        <f t="shared" si="3"/>
        <v>0.87320448336609902</v>
      </c>
      <c r="T19" s="49" t="str">
        <f t="shared" si="4"/>
        <v xml:space="preserve"> -</v>
      </c>
    </row>
    <row r="20" spans="2:20" ht="30">
      <c r="B20" s="278"/>
      <c r="C20" s="278"/>
      <c r="D20" s="274"/>
      <c r="E20" s="44">
        <v>43101</v>
      </c>
      <c r="F20" s="44">
        <v>43465</v>
      </c>
      <c r="G20" s="9" t="s">
        <v>35</v>
      </c>
      <c r="H20" s="45">
        <v>1</v>
      </c>
      <c r="I20" s="45">
        <f>+J20</f>
        <v>1</v>
      </c>
      <c r="J20" s="45">
        <v>1</v>
      </c>
      <c r="K20" s="77">
        <v>0.6</v>
      </c>
      <c r="L20" s="74">
        <f t="shared" si="0"/>
        <v>0.6</v>
      </c>
      <c r="M20" s="62">
        <f t="shared" si="1"/>
        <v>1</v>
      </c>
      <c r="N20" s="49">
        <f t="shared" si="2"/>
        <v>0.6</v>
      </c>
      <c r="O20" s="58" t="s">
        <v>109</v>
      </c>
      <c r="P20" s="45">
        <v>0</v>
      </c>
      <c r="Q20" s="45">
        <v>0</v>
      </c>
      <c r="R20" s="45">
        <v>0</v>
      </c>
      <c r="S20" s="46" t="str">
        <f t="shared" si="3"/>
        <v xml:space="preserve"> -</v>
      </c>
      <c r="T20" s="49" t="str">
        <f t="shared" si="4"/>
        <v xml:space="preserve"> -</v>
      </c>
    </row>
    <row r="21" spans="2:20" ht="31" thickBot="1">
      <c r="B21" s="279"/>
      <c r="C21" s="279"/>
      <c r="D21" s="275"/>
      <c r="E21" s="50">
        <v>43101</v>
      </c>
      <c r="F21" s="50">
        <v>43465</v>
      </c>
      <c r="G21" s="138" t="s">
        <v>36</v>
      </c>
      <c r="H21" s="51">
        <v>1</v>
      </c>
      <c r="I21" s="51">
        <f>+J21</f>
        <v>1</v>
      </c>
      <c r="J21" s="51">
        <v>1</v>
      </c>
      <c r="K21" s="78">
        <v>0.75</v>
      </c>
      <c r="L21" s="75">
        <f t="shared" si="0"/>
        <v>0.75</v>
      </c>
      <c r="M21" s="63">
        <f t="shared" si="1"/>
        <v>1</v>
      </c>
      <c r="N21" s="53">
        <f t="shared" si="2"/>
        <v>0.75</v>
      </c>
      <c r="O21" s="59" t="s">
        <v>110</v>
      </c>
      <c r="P21" s="51">
        <v>50000</v>
      </c>
      <c r="Q21" s="51">
        <v>50000</v>
      </c>
      <c r="R21" s="51">
        <v>0</v>
      </c>
      <c r="S21" s="52">
        <f t="shared" si="3"/>
        <v>1</v>
      </c>
      <c r="T21" s="53" t="str">
        <f t="shared" si="4"/>
        <v xml:space="preserve"> -</v>
      </c>
    </row>
    <row r="22" spans="2:20" ht="13" customHeight="1" thickBot="1">
      <c r="B22" s="117"/>
      <c r="C22" s="70"/>
      <c r="D22" s="79"/>
      <c r="E22" s="80"/>
      <c r="F22" s="80"/>
      <c r="G22" s="81"/>
      <c r="H22" s="72"/>
      <c r="I22" s="137"/>
      <c r="J22" s="72"/>
      <c r="K22" s="72"/>
      <c r="L22" s="82"/>
      <c r="M22" s="82"/>
      <c r="N22" s="82"/>
      <c r="O22" s="71"/>
      <c r="P22" s="72"/>
      <c r="Q22" s="72"/>
      <c r="R22" s="72"/>
      <c r="S22" s="82"/>
      <c r="T22" s="19"/>
    </row>
    <row r="23" spans="2:20" ht="45">
      <c r="B23" s="277" t="s">
        <v>64</v>
      </c>
      <c r="C23" s="277" t="s">
        <v>63</v>
      </c>
      <c r="D23" s="276" t="s">
        <v>57</v>
      </c>
      <c r="E23" s="47">
        <v>43101</v>
      </c>
      <c r="F23" s="47">
        <v>43465</v>
      </c>
      <c r="G23" s="11" t="s">
        <v>37</v>
      </c>
      <c r="H23" s="48">
        <v>170</v>
      </c>
      <c r="I23" s="85">
        <f>+J23+('2017'!I23-'2017'!K23)</f>
        <v>21</v>
      </c>
      <c r="J23" s="48">
        <v>43</v>
      </c>
      <c r="K23" s="54">
        <v>70</v>
      </c>
      <c r="L23" s="20">
        <f t="shared" si="0"/>
        <v>1.6279069767441861</v>
      </c>
      <c r="M23" s="22">
        <f t="shared" si="1"/>
        <v>1</v>
      </c>
      <c r="N23" s="23">
        <f t="shared" si="2"/>
        <v>1</v>
      </c>
      <c r="O23" s="57" t="s">
        <v>111</v>
      </c>
      <c r="P23" s="48">
        <v>478848</v>
      </c>
      <c r="Q23" s="48">
        <v>459481</v>
      </c>
      <c r="R23" s="48">
        <v>0</v>
      </c>
      <c r="S23" s="24">
        <f t="shared" si="3"/>
        <v>0.95955501537022192</v>
      </c>
      <c r="T23" s="23" t="str">
        <f t="shared" si="4"/>
        <v xml:space="preserve"> -</v>
      </c>
    </row>
    <row r="24" spans="2:20" ht="31" thickBot="1">
      <c r="B24" s="278"/>
      <c r="C24" s="278"/>
      <c r="D24" s="275"/>
      <c r="E24" s="50">
        <v>43101</v>
      </c>
      <c r="F24" s="50">
        <v>43465</v>
      </c>
      <c r="G24" s="8" t="s">
        <v>38</v>
      </c>
      <c r="H24" s="51">
        <v>90</v>
      </c>
      <c r="I24" s="51">
        <f>+J24+('2017'!I24-'2017'!K24)</f>
        <v>-13</v>
      </c>
      <c r="J24" s="51">
        <v>23</v>
      </c>
      <c r="K24" s="56">
        <v>132</v>
      </c>
      <c r="L24" s="61">
        <f t="shared" si="0"/>
        <v>5.7391304347826084</v>
      </c>
      <c r="M24" s="63">
        <f t="shared" si="1"/>
        <v>1</v>
      </c>
      <c r="N24" s="53">
        <f t="shared" si="2"/>
        <v>1</v>
      </c>
      <c r="O24" s="59" t="s">
        <v>112</v>
      </c>
      <c r="P24" s="51">
        <v>686394</v>
      </c>
      <c r="Q24" s="51">
        <v>684304</v>
      </c>
      <c r="R24" s="51">
        <v>0</v>
      </c>
      <c r="S24" s="52">
        <f t="shared" si="3"/>
        <v>0.99695510158888334</v>
      </c>
      <c r="T24" s="53" t="str">
        <f t="shared" si="4"/>
        <v xml:space="preserve"> -</v>
      </c>
    </row>
    <row r="25" spans="2:20" ht="45">
      <c r="B25" s="278"/>
      <c r="C25" s="278"/>
      <c r="D25" s="273" t="s">
        <v>58</v>
      </c>
      <c r="E25" s="84">
        <v>43101</v>
      </c>
      <c r="F25" s="84">
        <v>43465</v>
      </c>
      <c r="G25" s="13" t="s">
        <v>39</v>
      </c>
      <c r="H25" s="85">
        <v>30300</v>
      </c>
      <c r="I25" s="85">
        <f>+J25+('2017'!I25-'2017'!K25)</f>
        <v>2254</v>
      </c>
      <c r="J25" s="85">
        <v>7800</v>
      </c>
      <c r="K25" s="86">
        <v>9483</v>
      </c>
      <c r="L25" s="60">
        <f t="shared" si="0"/>
        <v>1.2157692307692307</v>
      </c>
      <c r="M25" s="62">
        <f t="shared" si="1"/>
        <v>1</v>
      </c>
      <c r="N25" s="49">
        <f t="shared" si="2"/>
        <v>1</v>
      </c>
      <c r="O25" s="87" t="s">
        <v>113</v>
      </c>
      <c r="P25" s="85">
        <v>383550</v>
      </c>
      <c r="Q25" s="85">
        <v>328937</v>
      </c>
      <c r="R25" s="85">
        <v>117105</v>
      </c>
      <c r="S25" s="27">
        <f t="shared" si="3"/>
        <v>0.85761178464346244</v>
      </c>
      <c r="T25" s="26">
        <f t="shared" si="4"/>
        <v>0.35601042144848405</v>
      </c>
    </row>
    <row r="26" spans="2:20" ht="45">
      <c r="B26" s="278"/>
      <c r="C26" s="278"/>
      <c r="D26" s="274"/>
      <c r="E26" s="44">
        <v>43101</v>
      </c>
      <c r="F26" s="44">
        <v>43465</v>
      </c>
      <c r="G26" s="10" t="s">
        <v>40</v>
      </c>
      <c r="H26" s="45">
        <v>4300</v>
      </c>
      <c r="I26" s="45">
        <f>+J26+('2017'!I26-'2017'!K26)</f>
        <v>-427</v>
      </c>
      <c r="J26" s="45">
        <v>1200</v>
      </c>
      <c r="K26" s="55">
        <v>1435</v>
      </c>
      <c r="L26" s="60">
        <f t="shared" si="0"/>
        <v>1.1958333333333333</v>
      </c>
      <c r="M26" s="62">
        <f t="shared" si="1"/>
        <v>1</v>
      </c>
      <c r="N26" s="49">
        <f t="shared" si="2"/>
        <v>1</v>
      </c>
      <c r="O26" s="58" t="s">
        <v>114</v>
      </c>
      <c r="P26" s="45">
        <v>543989</v>
      </c>
      <c r="Q26" s="45">
        <v>524926</v>
      </c>
      <c r="R26" s="45">
        <v>0</v>
      </c>
      <c r="S26" s="46">
        <f t="shared" si="3"/>
        <v>0.96495701199840433</v>
      </c>
      <c r="T26" s="49" t="str">
        <f t="shared" si="4"/>
        <v xml:space="preserve"> -</v>
      </c>
    </row>
    <row r="27" spans="2:20" ht="46" thickBot="1">
      <c r="B27" s="278"/>
      <c r="C27" s="278"/>
      <c r="D27" s="280"/>
      <c r="E27" s="88">
        <v>43101</v>
      </c>
      <c r="F27" s="88">
        <v>43465</v>
      </c>
      <c r="G27" s="12" t="s">
        <v>41</v>
      </c>
      <c r="H27" s="89">
        <v>3000</v>
      </c>
      <c r="I27" s="51">
        <f>+J27+('2017'!I27-'2017'!K27)</f>
        <v>-6671</v>
      </c>
      <c r="J27" s="89">
        <v>1000</v>
      </c>
      <c r="K27" s="90">
        <v>9245</v>
      </c>
      <c r="L27" s="91">
        <f t="shared" si="0"/>
        <v>9.2449999999999992</v>
      </c>
      <c r="M27" s="92">
        <f t="shared" si="1"/>
        <v>1</v>
      </c>
      <c r="N27" s="93">
        <f t="shared" si="2"/>
        <v>1</v>
      </c>
      <c r="O27" s="94" t="s">
        <v>115</v>
      </c>
      <c r="P27" s="89">
        <v>310800</v>
      </c>
      <c r="Q27" s="89">
        <v>308415</v>
      </c>
      <c r="R27" s="89">
        <v>0</v>
      </c>
      <c r="S27" s="95">
        <f t="shared" si="3"/>
        <v>0.99232625482625481</v>
      </c>
      <c r="T27" s="93" t="str">
        <f t="shared" si="4"/>
        <v xml:space="preserve"> -</v>
      </c>
    </row>
    <row r="28" spans="2:20" ht="30">
      <c r="B28" s="278"/>
      <c r="C28" s="278"/>
      <c r="D28" s="276" t="s">
        <v>59</v>
      </c>
      <c r="E28" s="47">
        <v>43101</v>
      </c>
      <c r="F28" s="47">
        <v>43465</v>
      </c>
      <c r="G28" s="11" t="s">
        <v>42</v>
      </c>
      <c r="H28" s="48">
        <v>12</v>
      </c>
      <c r="I28" s="85">
        <f>+J28+('2017'!I28-'2017'!K28)</f>
        <v>3</v>
      </c>
      <c r="J28" s="48">
        <v>3</v>
      </c>
      <c r="K28" s="54">
        <v>3</v>
      </c>
      <c r="L28" s="20">
        <f t="shared" si="0"/>
        <v>1</v>
      </c>
      <c r="M28" s="22">
        <f t="shared" si="1"/>
        <v>1</v>
      </c>
      <c r="N28" s="23">
        <f t="shared" si="2"/>
        <v>1</v>
      </c>
      <c r="O28" s="57" t="s">
        <v>116</v>
      </c>
      <c r="P28" s="48">
        <v>292992</v>
      </c>
      <c r="Q28" s="48">
        <v>278524</v>
      </c>
      <c r="R28" s="48">
        <v>0</v>
      </c>
      <c r="S28" s="24">
        <f t="shared" si="3"/>
        <v>0.95061981214504154</v>
      </c>
      <c r="T28" s="23" t="str">
        <f t="shared" si="4"/>
        <v xml:space="preserve"> -</v>
      </c>
    </row>
    <row r="29" spans="2:20" ht="30">
      <c r="B29" s="278"/>
      <c r="C29" s="278"/>
      <c r="D29" s="274"/>
      <c r="E29" s="44">
        <v>43101</v>
      </c>
      <c r="F29" s="44">
        <v>43465</v>
      </c>
      <c r="G29" s="10" t="s">
        <v>43</v>
      </c>
      <c r="H29" s="45">
        <v>40</v>
      </c>
      <c r="I29" s="45">
        <f>+J29+('2017'!I29-'2017'!K29)</f>
        <v>1</v>
      </c>
      <c r="J29" s="45">
        <v>10</v>
      </c>
      <c r="K29" s="55">
        <v>15</v>
      </c>
      <c r="L29" s="60">
        <f t="shared" si="0"/>
        <v>1.5</v>
      </c>
      <c r="M29" s="62">
        <f t="shared" si="1"/>
        <v>1</v>
      </c>
      <c r="N29" s="49">
        <f t="shared" si="2"/>
        <v>1</v>
      </c>
      <c r="O29" s="58" t="s">
        <v>117</v>
      </c>
      <c r="P29" s="45">
        <v>65694</v>
      </c>
      <c r="Q29" s="45">
        <v>65610</v>
      </c>
      <c r="R29" s="45">
        <v>0</v>
      </c>
      <c r="S29" s="46">
        <f t="shared" si="3"/>
        <v>0.99872134441501503</v>
      </c>
      <c r="T29" s="49" t="str">
        <f t="shared" si="4"/>
        <v xml:space="preserve"> -</v>
      </c>
    </row>
    <row r="30" spans="2:20" ht="46" thickBot="1">
      <c r="B30" s="278"/>
      <c r="C30" s="278"/>
      <c r="D30" s="275"/>
      <c r="E30" s="50">
        <v>43101</v>
      </c>
      <c r="F30" s="50">
        <v>43465</v>
      </c>
      <c r="G30" s="8" t="s">
        <v>44</v>
      </c>
      <c r="H30" s="51">
        <v>8</v>
      </c>
      <c r="I30" s="51">
        <f>+J30+('2017'!I30-'2017'!K30)</f>
        <v>2</v>
      </c>
      <c r="J30" s="51">
        <v>2</v>
      </c>
      <c r="K30" s="56">
        <v>2</v>
      </c>
      <c r="L30" s="61">
        <f t="shared" si="0"/>
        <v>1</v>
      </c>
      <c r="M30" s="63">
        <f t="shared" si="1"/>
        <v>1</v>
      </c>
      <c r="N30" s="53">
        <f t="shared" si="2"/>
        <v>1</v>
      </c>
      <c r="O30" s="59" t="s">
        <v>118</v>
      </c>
      <c r="P30" s="51">
        <v>98803</v>
      </c>
      <c r="Q30" s="51">
        <v>65155</v>
      </c>
      <c r="R30" s="51">
        <v>0</v>
      </c>
      <c r="S30" s="52">
        <f t="shared" si="3"/>
        <v>0.65944353916379062</v>
      </c>
      <c r="T30" s="53" t="str">
        <f t="shared" si="4"/>
        <v xml:space="preserve"> -</v>
      </c>
    </row>
    <row r="31" spans="2:20" ht="46" thickBot="1">
      <c r="B31" s="278"/>
      <c r="C31" s="278"/>
      <c r="D31" s="115" t="s">
        <v>60</v>
      </c>
      <c r="E31" s="96">
        <v>43101</v>
      </c>
      <c r="F31" s="96">
        <v>43465</v>
      </c>
      <c r="G31" s="97" t="s">
        <v>45</v>
      </c>
      <c r="H31" s="98">
        <v>600</v>
      </c>
      <c r="I31" s="51">
        <f>+J31+('2017'!I31-'2017'!K31)</f>
        <v>-364</v>
      </c>
      <c r="J31" s="98">
        <v>200</v>
      </c>
      <c r="K31" s="99">
        <v>336</v>
      </c>
      <c r="L31" s="100">
        <f t="shared" si="0"/>
        <v>1.68</v>
      </c>
      <c r="M31" s="101">
        <f t="shared" si="1"/>
        <v>1</v>
      </c>
      <c r="N31" s="102">
        <f t="shared" si="2"/>
        <v>1</v>
      </c>
      <c r="O31" s="103" t="s">
        <v>119</v>
      </c>
      <c r="P31" s="98">
        <v>0</v>
      </c>
      <c r="Q31" s="98">
        <v>0</v>
      </c>
      <c r="R31" s="98">
        <v>0</v>
      </c>
      <c r="S31" s="104" t="str">
        <f t="shared" si="3"/>
        <v xml:space="preserve"> -</v>
      </c>
      <c r="T31" s="102" t="str">
        <f t="shared" si="4"/>
        <v xml:space="preserve"> -</v>
      </c>
    </row>
    <row r="32" spans="2:20" ht="46" thickBot="1">
      <c r="B32" s="278"/>
      <c r="C32" s="278"/>
      <c r="D32" s="116" t="s">
        <v>61</v>
      </c>
      <c r="E32" s="106">
        <v>43101</v>
      </c>
      <c r="F32" s="106">
        <v>43465</v>
      </c>
      <c r="G32" s="107" t="s">
        <v>46</v>
      </c>
      <c r="H32" s="108">
        <v>120</v>
      </c>
      <c r="I32" s="51">
        <f>+J32+('2017'!I32-'2017'!K32)</f>
        <v>31</v>
      </c>
      <c r="J32" s="108">
        <v>35</v>
      </c>
      <c r="K32" s="109">
        <v>36</v>
      </c>
      <c r="L32" s="110">
        <f t="shared" si="0"/>
        <v>1.0285714285714285</v>
      </c>
      <c r="M32" s="111">
        <f t="shared" si="1"/>
        <v>1</v>
      </c>
      <c r="N32" s="112">
        <f t="shared" si="2"/>
        <v>1</v>
      </c>
      <c r="O32" s="113" t="s">
        <v>120</v>
      </c>
      <c r="P32" s="108">
        <v>2736673</v>
      </c>
      <c r="Q32" s="108">
        <v>2372193</v>
      </c>
      <c r="R32" s="108">
        <v>8890</v>
      </c>
      <c r="S32" s="114">
        <f t="shared" si="3"/>
        <v>0.86681638617401491</v>
      </c>
      <c r="T32" s="112">
        <f t="shared" si="4"/>
        <v>3.7475871482632317E-3</v>
      </c>
    </row>
    <row r="33" spans="2:20" ht="30">
      <c r="B33" s="278"/>
      <c r="C33" s="278"/>
      <c r="D33" s="273" t="s">
        <v>62</v>
      </c>
      <c r="E33" s="84">
        <v>43101</v>
      </c>
      <c r="F33" s="84">
        <v>43465</v>
      </c>
      <c r="G33" s="14" t="s">
        <v>47</v>
      </c>
      <c r="H33" s="85">
        <v>80</v>
      </c>
      <c r="I33" s="85">
        <f>+J33+('2017'!I33-'2017'!K33)</f>
        <v>20</v>
      </c>
      <c r="J33" s="85">
        <v>20</v>
      </c>
      <c r="K33" s="86">
        <v>20</v>
      </c>
      <c r="L33" s="21">
        <f t="shared" si="0"/>
        <v>1</v>
      </c>
      <c r="M33" s="25">
        <f t="shared" si="1"/>
        <v>1</v>
      </c>
      <c r="N33" s="26">
        <f t="shared" si="2"/>
        <v>1</v>
      </c>
      <c r="O33" s="87" t="s">
        <v>121</v>
      </c>
      <c r="P33" s="85">
        <v>45415</v>
      </c>
      <c r="Q33" s="85">
        <v>45162</v>
      </c>
      <c r="R33" s="85">
        <v>0</v>
      </c>
      <c r="S33" s="27">
        <f t="shared" si="3"/>
        <v>0.99442915336342619</v>
      </c>
      <c r="T33" s="26" t="str">
        <f t="shared" si="4"/>
        <v xml:space="preserve"> -</v>
      </c>
    </row>
    <row r="34" spans="2:20" ht="45">
      <c r="B34" s="278"/>
      <c r="C34" s="278"/>
      <c r="D34" s="274"/>
      <c r="E34" s="44">
        <v>43101</v>
      </c>
      <c r="F34" s="44">
        <v>43465</v>
      </c>
      <c r="G34" s="15" t="s">
        <v>48</v>
      </c>
      <c r="H34" s="45">
        <v>8</v>
      </c>
      <c r="I34" s="45">
        <f>+J34+('2017'!I34-'2017'!K34)</f>
        <v>2</v>
      </c>
      <c r="J34" s="45">
        <v>2</v>
      </c>
      <c r="K34" s="55">
        <v>2</v>
      </c>
      <c r="L34" s="60">
        <f t="shared" si="0"/>
        <v>1</v>
      </c>
      <c r="M34" s="62">
        <f t="shared" si="1"/>
        <v>1</v>
      </c>
      <c r="N34" s="49">
        <f t="shared" si="2"/>
        <v>1</v>
      </c>
      <c r="O34" s="58" t="s">
        <v>122</v>
      </c>
      <c r="P34" s="45">
        <v>14000</v>
      </c>
      <c r="Q34" s="45">
        <v>13809</v>
      </c>
      <c r="R34" s="45">
        <v>0</v>
      </c>
      <c r="S34" s="46">
        <f t="shared" si="3"/>
        <v>0.98635714285714282</v>
      </c>
      <c r="T34" s="49" t="str">
        <f t="shared" si="4"/>
        <v xml:space="preserve"> -</v>
      </c>
    </row>
    <row r="35" spans="2:20" ht="31" thickBot="1">
      <c r="B35" s="279"/>
      <c r="C35" s="279"/>
      <c r="D35" s="275"/>
      <c r="E35" s="50">
        <v>43101</v>
      </c>
      <c r="F35" s="50">
        <v>43465</v>
      </c>
      <c r="G35" s="16" t="s">
        <v>49</v>
      </c>
      <c r="H35" s="51">
        <v>8</v>
      </c>
      <c r="I35" s="51">
        <f>+J35+('2017'!I35-'2017'!K35)</f>
        <v>2</v>
      </c>
      <c r="J35" s="51">
        <v>2</v>
      </c>
      <c r="K35" s="56">
        <v>3</v>
      </c>
      <c r="L35" s="61">
        <f t="shared" si="0"/>
        <v>1.5</v>
      </c>
      <c r="M35" s="63">
        <f t="shared" si="1"/>
        <v>1</v>
      </c>
      <c r="N35" s="53">
        <f t="shared" si="2"/>
        <v>1</v>
      </c>
      <c r="O35" s="59" t="s">
        <v>123</v>
      </c>
      <c r="P35" s="51">
        <v>104150</v>
      </c>
      <c r="Q35" s="51">
        <v>95000</v>
      </c>
      <c r="R35" s="51">
        <v>0</v>
      </c>
      <c r="S35" s="52">
        <f t="shared" si="3"/>
        <v>0.91214594335093613</v>
      </c>
      <c r="T35" s="53" t="str">
        <f t="shared" si="4"/>
        <v xml:space="preserve"> -</v>
      </c>
    </row>
    <row r="36" spans="2:20" ht="21" customHeight="1" thickBot="1">
      <c r="M36" s="119">
        <f>+AVERAGE(M12:M14,M16:M21,M23:M35)</f>
        <v>1</v>
      </c>
      <c r="N36" s="31">
        <f>+AVERAGE(N12:N14,N16:N21,N23:N35)</f>
        <v>0.97045454545454557</v>
      </c>
      <c r="P36" s="28">
        <f>+SUM(P12:P14,P16:P21,P23:P35)</f>
        <v>6584556</v>
      </c>
      <c r="Q36" s="29">
        <f t="shared" ref="Q36:R36" si="5">+SUM(Q12:Q14,Q16:Q21,Q23:Q35)</f>
        <v>5980152</v>
      </c>
      <c r="R36" s="29">
        <f t="shared" si="5"/>
        <v>125995</v>
      </c>
      <c r="S36" s="30">
        <f t="shared" si="3"/>
        <v>0.90820884506107924</v>
      </c>
      <c r="T36" s="31">
        <f t="shared" si="4"/>
        <v>2.1068862463696575E-2</v>
      </c>
    </row>
  </sheetData>
  <mergeCells count="28">
    <mergeCell ref="B23:B35"/>
    <mergeCell ref="C23:C35"/>
    <mergeCell ref="D23:D24"/>
    <mergeCell ref="D25:D27"/>
    <mergeCell ref="D28:D30"/>
    <mergeCell ref="D33:D35"/>
    <mergeCell ref="M10:M11"/>
    <mergeCell ref="N10:N11"/>
    <mergeCell ref="B12:B21"/>
    <mergeCell ref="C12:C14"/>
    <mergeCell ref="C16:C21"/>
    <mergeCell ref="D16:D2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6"/>
  <sheetViews>
    <sheetView tabSelected="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91" t="s">
        <v>16</v>
      </c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</row>
    <row r="3" spans="2:20" ht="20" customHeight="1">
      <c r="B3" s="291" t="s">
        <v>19</v>
      </c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</row>
    <row r="4" spans="2:20" ht="20" customHeight="1">
      <c r="B4" s="291" t="s">
        <v>27</v>
      </c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2019</v>
      </c>
      <c r="C8" s="18">
        <v>43646</v>
      </c>
      <c r="D8" s="292" t="s">
        <v>3</v>
      </c>
      <c r="E8" s="293"/>
      <c r="F8" s="293"/>
      <c r="G8" s="293"/>
      <c r="H8" s="293"/>
      <c r="I8" s="293"/>
      <c r="J8" s="293"/>
      <c r="K8" s="294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95" t="s">
        <v>17</v>
      </c>
      <c r="C9" s="298" t="s">
        <v>18</v>
      </c>
      <c r="D9" s="301" t="s">
        <v>0</v>
      </c>
      <c r="E9" s="304" t="s">
        <v>4</v>
      </c>
      <c r="F9" s="304"/>
      <c r="G9" s="304" t="s">
        <v>5</v>
      </c>
      <c r="H9" s="304"/>
      <c r="I9" s="304"/>
      <c r="J9" s="304"/>
      <c r="K9" s="306"/>
      <c r="L9" s="5"/>
      <c r="M9" s="301" t="s">
        <v>6</v>
      </c>
      <c r="N9" s="306"/>
      <c r="O9" s="283" t="s">
        <v>24</v>
      </c>
      <c r="P9" s="284"/>
      <c r="Q9" s="284"/>
      <c r="R9" s="284"/>
      <c r="S9" s="284"/>
      <c r="T9" s="285"/>
    </row>
    <row r="10" spans="2:20" ht="17" customHeight="1">
      <c r="B10" s="296"/>
      <c r="C10" s="299"/>
      <c r="D10" s="302"/>
      <c r="E10" s="305"/>
      <c r="F10" s="305"/>
      <c r="G10" s="305" t="s">
        <v>7</v>
      </c>
      <c r="H10" s="289" t="s">
        <v>25</v>
      </c>
      <c r="I10" s="289" t="s">
        <v>26</v>
      </c>
      <c r="J10" s="269" t="s">
        <v>1</v>
      </c>
      <c r="K10" s="307" t="s">
        <v>8</v>
      </c>
      <c r="L10" s="6"/>
      <c r="M10" s="271" t="s">
        <v>9</v>
      </c>
      <c r="N10" s="281" t="s">
        <v>10</v>
      </c>
      <c r="O10" s="286"/>
      <c r="P10" s="287"/>
      <c r="Q10" s="287"/>
      <c r="R10" s="287"/>
      <c r="S10" s="287"/>
      <c r="T10" s="288"/>
    </row>
    <row r="11" spans="2:20" ht="37.5" customHeight="1" thickBot="1">
      <c r="B11" s="297"/>
      <c r="C11" s="300"/>
      <c r="D11" s="303"/>
      <c r="E11" s="32" t="s">
        <v>11</v>
      </c>
      <c r="F11" s="32" t="s">
        <v>12</v>
      </c>
      <c r="G11" s="289"/>
      <c r="H11" s="290"/>
      <c r="I11" s="309"/>
      <c r="J11" s="270"/>
      <c r="K11" s="308"/>
      <c r="L11" s="33"/>
      <c r="M11" s="272"/>
      <c r="N11" s="282"/>
      <c r="O11" s="34" t="s">
        <v>23</v>
      </c>
      <c r="P11" s="35" t="s">
        <v>20</v>
      </c>
      <c r="Q11" s="36" t="s">
        <v>21</v>
      </c>
      <c r="R11" s="37" t="s">
        <v>22</v>
      </c>
      <c r="S11" s="37" t="s">
        <v>14</v>
      </c>
      <c r="T11" s="38" t="s">
        <v>15</v>
      </c>
    </row>
    <row r="12" spans="2:20" ht="46" thickBot="1">
      <c r="B12" s="277" t="s">
        <v>55</v>
      </c>
      <c r="C12" s="277" t="s">
        <v>54</v>
      </c>
      <c r="D12" s="120" t="s">
        <v>50</v>
      </c>
      <c r="E12" s="121">
        <v>43466</v>
      </c>
      <c r="F12" s="121">
        <v>43830</v>
      </c>
      <c r="G12" s="39" t="s">
        <v>28</v>
      </c>
      <c r="H12" s="122">
        <v>4</v>
      </c>
      <c r="I12" s="51">
        <f>+J12+('2018'!I12-'2018'!K12)</f>
        <v>1</v>
      </c>
      <c r="J12" s="122">
        <v>1</v>
      </c>
      <c r="K12" s="123">
        <v>0</v>
      </c>
      <c r="L12" s="124">
        <f>+K12/J12</f>
        <v>0</v>
      </c>
      <c r="M12" s="125">
        <f>DAYS360(E12,$C$8)/DAYS360(E12,F12)</f>
        <v>0.49722222222222223</v>
      </c>
      <c r="N12" s="126">
        <f>IF(J12=0," -",IF(L12&gt;100%,100%,L12))</f>
        <v>0</v>
      </c>
      <c r="O12" s="127" t="s">
        <v>102</v>
      </c>
      <c r="P12" s="122">
        <v>75000</v>
      </c>
      <c r="Q12" s="122">
        <v>0</v>
      </c>
      <c r="R12" s="122">
        <v>0</v>
      </c>
      <c r="S12" s="128">
        <f>IF(P12=0," -",Q12/P12)</f>
        <v>0</v>
      </c>
      <c r="T12" s="126" t="str">
        <f>IF(R12=0," -",IF(Q12=0,100%,R12/Q12))</f>
        <v xml:space="preserve"> -</v>
      </c>
    </row>
    <row r="13" spans="2:20" ht="46" thickBot="1">
      <c r="B13" s="278"/>
      <c r="C13" s="278"/>
      <c r="D13" s="105" t="s">
        <v>51</v>
      </c>
      <c r="E13" s="106">
        <v>43466</v>
      </c>
      <c r="F13" s="106">
        <v>43830</v>
      </c>
      <c r="G13" s="135" t="s">
        <v>29</v>
      </c>
      <c r="H13" s="108">
        <v>4</v>
      </c>
      <c r="I13" s="51">
        <f>+J13+('2018'!I13-'2018'!K13)</f>
        <v>1</v>
      </c>
      <c r="J13" s="108">
        <v>1</v>
      </c>
      <c r="K13" s="109">
        <v>1</v>
      </c>
      <c r="L13" s="110">
        <f t="shared" ref="L13:L35" si="0">+K13/J13</f>
        <v>1</v>
      </c>
      <c r="M13" s="111">
        <f t="shared" ref="M13:M35" si="1">DAYS360(E13,$C$8)/DAYS360(E13,F13)</f>
        <v>0.49722222222222223</v>
      </c>
      <c r="N13" s="112">
        <f t="shared" ref="N13:N35" si="2">IF(J13=0," -",IF(L13&gt;100%,100%,L13))</f>
        <v>1</v>
      </c>
      <c r="O13" s="113" t="s">
        <v>103</v>
      </c>
      <c r="P13" s="108">
        <v>30000</v>
      </c>
      <c r="Q13" s="108">
        <v>28000</v>
      </c>
      <c r="R13" s="108">
        <v>0</v>
      </c>
      <c r="S13" s="114">
        <f t="shared" ref="S13:S36" si="3">IF(P13=0," -",Q13/P13)</f>
        <v>0.93333333333333335</v>
      </c>
      <c r="T13" s="112" t="str">
        <f t="shared" ref="T13:T36" si="4">IF(R13=0," -",IF(Q13=0,100%,R13/Q13))</f>
        <v xml:space="preserve"> -</v>
      </c>
    </row>
    <row r="14" spans="2:20" ht="46" thickBot="1">
      <c r="B14" s="278"/>
      <c r="C14" s="279"/>
      <c r="D14" s="129" t="s">
        <v>52</v>
      </c>
      <c r="E14" s="130">
        <v>43466</v>
      </c>
      <c r="F14" s="130">
        <v>43830</v>
      </c>
      <c r="G14" s="131" t="s">
        <v>30</v>
      </c>
      <c r="H14" s="132">
        <v>8</v>
      </c>
      <c r="I14" s="51">
        <f>+J14+('2018'!I14-'2018'!K14)</f>
        <v>2</v>
      </c>
      <c r="J14" s="132">
        <v>2</v>
      </c>
      <c r="K14" s="133">
        <v>0</v>
      </c>
      <c r="L14" s="40">
        <f t="shared" si="0"/>
        <v>0</v>
      </c>
      <c r="M14" s="41">
        <f t="shared" si="1"/>
        <v>0.49722222222222223</v>
      </c>
      <c r="N14" s="42">
        <f t="shared" si="2"/>
        <v>0</v>
      </c>
      <c r="O14" s="134" t="s">
        <v>104</v>
      </c>
      <c r="P14" s="132">
        <v>20000</v>
      </c>
      <c r="Q14" s="132">
        <v>0</v>
      </c>
      <c r="R14" s="132">
        <v>0</v>
      </c>
      <c r="S14" s="43">
        <f t="shared" si="3"/>
        <v>0</v>
      </c>
      <c r="T14" s="42" t="str">
        <f t="shared" si="4"/>
        <v xml:space="preserve"> -</v>
      </c>
    </row>
    <row r="15" spans="2:20" ht="13" customHeight="1" thickBot="1">
      <c r="B15" s="278"/>
      <c r="C15" s="118"/>
      <c r="D15" s="64"/>
      <c r="E15" s="65"/>
      <c r="F15" s="65"/>
      <c r="G15" s="66"/>
      <c r="H15" s="67"/>
      <c r="I15" s="136"/>
      <c r="J15" s="67"/>
      <c r="K15" s="67"/>
      <c r="L15" s="68"/>
      <c r="M15" s="68"/>
      <c r="N15" s="68"/>
      <c r="O15" s="66"/>
      <c r="P15" s="67"/>
      <c r="Q15" s="67"/>
      <c r="R15" s="67"/>
      <c r="S15" s="68"/>
      <c r="T15" s="17"/>
    </row>
    <row r="16" spans="2:20" ht="45">
      <c r="B16" s="278"/>
      <c r="C16" s="277" t="s">
        <v>56</v>
      </c>
      <c r="D16" s="276" t="s">
        <v>53</v>
      </c>
      <c r="E16" s="47">
        <v>43466</v>
      </c>
      <c r="F16" s="47">
        <v>43830</v>
      </c>
      <c r="G16" s="11" t="s">
        <v>31</v>
      </c>
      <c r="H16" s="48">
        <v>6</v>
      </c>
      <c r="I16" s="85">
        <f>+J16</f>
        <v>6</v>
      </c>
      <c r="J16" s="48">
        <v>6</v>
      </c>
      <c r="K16" s="76">
        <v>6</v>
      </c>
      <c r="L16" s="73">
        <f t="shared" si="0"/>
        <v>1</v>
      </c>
      <c r="M16" s="22">
        <f t="shared" si="1"/>
        <v>0.49722222222222223</v>
      </c>
      <c r="N16" s="23">
        <f t="shared" si="2"/>
        <v>1</v>
      </c>
      <c r="O16" s="57" t="s">
        <v>105</v>
      </c>
      <c r="P16" s="48">
        <v>126215</v>
      </c>
      <c r="Q16" s="48">
        <v>126215</v>
      </c>
      <c r="R16" s="48">
        <v>0</v>
      </c>
      <c r="S16" s="24">
        <f t="shared" si="3"/>
        <v>1</v>
      </c>
      <c r="T16" s="23" t="str">
        <f t="shared" si="4"/>
        <v xml:space="preserve"> -</v>
      </c>
    </row>
    <row r="17" spans="2:20" ht="45">
      <c r="B17" s="278"/>
      <c r="C17" s="278"/>
      <c r="D17" s="274"/>
      <c r="E17" s="44">
        <v>43466</v>
      </c>
      <c r="F17" s="44">
        <v>43830</v>
      </c>
      <c r="G17" s="10" t="s">
        <v>32</v>
      </c>
      <c r="H17" s="45">
        <v>3000</v>
      </c>
      <c r="I17" s="45">
        <f>+J17+('2018'!I17-'2018'!K17)</f>
        <v>-102</v>
      </c>
      <c r="J17" s="45">
        <v>500</v>
      </c>
      <c r="K17" s="77">
        <v>702</v>
      </c>
      <c r="L17" s="74">
        <f t="shared" si="0"/>
        <v>1.4039999999999999</v>
      </c>
      <c r="M17" s="62">
        <f t="shared" si="1"/>
        <v>0.49722222222222223</v>
      </c>
      <c r="N17" s="49">
        <f t="shared" si="2"/>
        <v>1</v>
      </c>
      <c r="O17" s="58" t="s">
        <v>106</v>
      </c>
      <c r="P17" s="45">
        <v>66066</v>
      </c>
      <c r="Q17" s="45">
        <v>66066</v>
      </c>
      <c r="R17" s="45">
        <v>0</v>
      </c>
      <c r="S17" s="46">
        <f t="shared" si="3"/>
        <v>1</v>
      </c>
      <c r="T17" s="49" t="str">
        <f t="shared" si="4"/>
        <v xml:space="preserve"> -</v>
      </c>
    </row>
    <row r="18" spans="2:20" ht="60">
      <c r="B18" s="278"/>
      <c r="C18" s="278"/>
      <c r="D18" s="274"/>
      <c r="E18" s="44">
        <v>43466</v>
      </c>
      <c r="F18" s="44">
        <v>43830</v>
      </c>
      <c r="G18" s="10" t="s">
        <v>33</v>
      </c>
      <c r="H18" s="45">
        <v>5000</v>
      </c>
      <c r="I18" s="45">
        <f>+J18+('2018'!I18-'2018'!K18)</f>
        <v>425</v>
      </c>
      <c r="J18" s="45">
        <v>600</v>
      </c>
      <c r="K18" s="77">
        <v>730</v>
      </c>
      <c r="L18" s="74">
        <f t="shared" si="0"/>
        <v>1.2166666666666666</v>
      </c>
      <c r="M18" s="62">
        <f t="shared" si="1"/>
        <v>0.49722222222222223</v>
      </c>
      <c r="N18" s="49">
        <f t="shared" si="2"/>
        <v>1</v>
      </c>
      <c r="O18" s="58" t="s">
        <v>107</v>
      </c>
      <c r="P18" s="45">
        <v>172622</v>
      </c>
      <c r="Q18" s="45">
        <v>135622</v>
      </c>
      <c r="R18" s="45">
        <v>0</v>
      </c>
      <c r="S18" s="46">
        <f t="shared" si="3"/>
        <v>0.78565883838676409</v>
      </c>
      <c r="T18" s="49" t="str">
        <f t="shared" si="4"/>
        <v xml:space="preserve"> -</v>
      </c>
    </row>
    <row r="19" spans="2:20" ht="60">
      <c r="B19" s="278"/>
      <c r="C19" s="278"/>
      <c r="D19" s="274"/>
      <c r="E19" s="44">
        <v>43466</v>
      </c>
      <c r="F19" s="44">
        <v>43830</v>
      </c>
      <c r="G19" s="10" t="s">
        <v>34</v>
      </c>
      <c r="H19" s="45">
        <v>10</v>
      </c>
      <c r="I19" s="45">
        <f>+J19+('2018'!I19-'2018'!K19)</f>
        <v>2</v>
      </c>
      <c r="J19" s="45">
        <v>2</v>
      </c>
      <c r="K19" s="77">
        <v>1</v>
      </c>
      <c r="L19" s="74">
        <f t="shared" si="0"/>
        <v>0.5</v>
      </c>
      <c r="M19" s="62">
        <f t="shared" si="1"/>
        <v>0.49722222222222223</v>
      </c>
      <c r="N19" s="49">
        <f t="shared" si="2"/>
        <v>0.5</v>
      </c>
      <c r="O19" s="58" t="s">
        <v>108</v>
      </c>
      <c r="P19" s="45">
        <v>180707</v>
      </c>
      <c r="Q19" s="45">
        <v>143294</v>
      </c>
      <c r="R19" s="45">
        <v>0</v>
      </c>
      <c r="S19" s="46">
        <f t="shared" si="3"/>
        <v>0.79296319456357534</v>
      </c>
      <c r="T19" s="49" t="str">
        <f t="shared" si="4"/>
        <v xml:space="preserve"> -</v>
      </c>
    </row>
    <row r="20" spans="2:20" ht="30">
      <c r="B20" s="278"/>
      <c r="C20" s="278"/>
      <c r="D20" s="274"/>
      <c r="E20" s="44">
        <v>43466</v>
      </c>
      <c r="F20" s="44">
        <v>43830</v>
      </c>
      <c r="G20" s="9" t="s">
        <v>35</v>
      </c>
      <c r="H20" s="45">
        <v>1</v>
      </c>
      <c r="I20" s="45">
        <f>+J20</f>
        <v>1</v>
      </c>
      <c r="J20" s="45">
        <v>1</v>
      </c>
      <c r="K20" s="268">
        <v>0.1</v>
      </c>
      <c r="L20" s="74">
        <f t="shared" si="0"/>
        <v>0.1</v>
      </c>
      <c r="M20" s="62">
        <f t="shared" si="1"/>
        <v>0.49722222222222223</v>
      </c>
      <c r="N20" s="49">
        <f t="shared" si="2"/>
        <v>0.1</v>
      </c>
      <c r="O20" s="58" t="s">
        <v>109</v>
      </c>
      <c r="P20" s="45">
        <v>0</v>
      </c>
      <c r="Q20" s="45">
        <v>0</v>
      </c>
      <c r="R20" s="45">
        <v>0</v>
      </c>
      <c r="S20" s="46" t="str">
        <f t="shared" si="3"/>
        <v xml:space="preserve"> -</v>
      </c>
      <c r="T20" s="49" t="str">
        <f t="shared" si="4"/>
        <v xml:space="preserve"> -</v>
      </c>
    </row>
    <row r="21" spans="2:20" ht="31" thickBot="1">
      <c r="B21" s="279"/>
      <c r="C21" s="279"/>
      <c r="D21" s="275"/>
      <c r="E21" s="50">
        <v>43466</v>
      </c>
      <c r="F21" s="50">
        <v>43830</v>
      </c>
      <c r="G21" s="138" t="s">
        <v>36</v>
      </c>
      <c r="H21" s="51">
        <v>1</v>
      </c>
      <c r="I21" s="51">
        <f>+J21</f>
        <v>1</v>
      </c>
      <c r="J21" s="51">
        <v>1</v>
      </c>
      <c r="K21" s="266">
        <v>0.2</v>
      </c>
      <c r="L21" s="75">
        <f t="shared" si="0"/>
        <v>0.2</v>
      </c>
      <c r="M21" s="63">
        <f t="shared" si="1"/>
        <v>0.49722222222222223</v>
      </c>
      <c r="N21" s="53">
        <f t="shared" si="2"/>
        <v>0.2</v>
      </c>
      <c r="O21" s="59" t="s">
        <v>110</v>
      </c>
      <c r="P21" s="51">
        <v>118150</v>
      </c>
      <c r="Q21" s="51">
        <v>118150</v>
      </c>
      <c r="R21" s="51">
        <v>0</v>
      </c>
      <c r="S21" s="52">
        <f t="shared" si="3"/>
        <v>1</v>
      </c>
      <c r="T21" s="53" t="str">
        <f t="shared" si="4"/>
        <v xml:space="preserve"> -</v>
      </c>
    </row>
    <row r="22" spans="2:20" ht="13" customHeight="1" thickBot="1">
      <c r="B22" s="117"/>
      <c r="C22" s="70"/>
      <c r="D22" s="79"/>
      <c r="E22" s="80"/>
      <c r="F22" s="80"/>
      <c r="G22" s="81"/>
      <c r="H22" s="72"/>
      <c r="I22" s="137"/>
      <c r="J22" s="72"/>
      <c r="K22" s="72"/>
      <c r="L22" s="82"/>
      <c r="M22" s="82"/>
      <c r="N22" s="82"/>
      <c r="O22" s="71"/>
      <c r="P22" s="72"/>
      <c r="Q22" s="72"/>
      <c r="R22" s="72"/>
      <c r="S22" s="82"/>
      <c r="T22" s="19"/>
    </row>
    <row r="23" spans="2:20" ht="45">
      <c r="B23" s="277" t="s">
        <v>64</v>
      </c>
      <c r="C23" s="277" t="s">
        <v>63</v>
      </c>
      <c r="D23" s="276" t="s">
        <v>57</v>
      </c>
      <c r="E23" s="47">
        <v>43466</v>
      </c>
      <c r="F23" s="47">
        <v>43830</v>
      </c>
      <c r="G23" s="11" t="s">
        <v>37</v>
      </c>
      <c r="H23" s="48">
        <v>170</v>
      </c>
      <c r="I23" s="85">
        <f>+J23+('2018'!I23-'2018'!K23)</f>
        <v>-4</v>
      </c>
      <c r="J23" s="48">
        <v>45</v>
      </c>
      <c r="K23" s="54">
        <v>38</v>
      </c>
      <c r="L23" s="20">
        <f t="shared" si="0"/>
        <v>0.84444444444444444</v>
      </c>
      <c r="M23" s="22">
        <f t="shared" si="1"/>
        <v>0.49722222222222223</v>
      </c>
      <c r="N23" s="23">
        <f t="shared" si="2"/>
        <v>0.84444444444444444</v>
      </c>
      <c r="O23" s="57" t="s">
        <v>111</v>
      </c>
      <c r="P23" s="48">
        <v>352774</v>
      </c>
      <c r="Q23" s="48">
        <v>320435</v>
      </c>
      <c r="R23" s="48">
        <v>0</v>
      </c>
      <c r="S23" s="24">
        <f t="shared" si="3"/>
        <v>0.90832941203149897</v>
      </c>
      <c r="T23" s="23" t="str">
        <f t="shared" si="4"/>
        <v xml:space="preserve"> -</v>
      </c>
    </row>
    <row r="24" spans="2:20" ht="31" thickBot="1">
      <c r="B24" s="278"/>
      <c r="C24" s="278"/>
      <c r="D24" s="275"/>
      <c r="E24" s="50">
        <v>43466</v>
      </c>
      <c r="F24" s="50">
        <v>43830</v>
      </c>
      <c r="G24" s="8" t="s">
        <v>38</v>
      </c>
      <c r="H24" s="51">
        <v>90</v>
      </c>
      <c r="I24" s="51">
        <f>+J24+('2018'!I24-'2018'!K24)</f>
        <v>-120</v>
      </c>
      <c r="J24" s="51">
        <v>25</v>
      </c>
      <c r="K24" s="56">
        <v>104</v>
      </c>
      <c r="L24" s="61">
        <f t="shared" si="0"/>
        <v>4.16</v>
      </c>
      <c r="M24" s="63">
        <f t="shared" si="1"/>
        <v>0.49722222222222223</v>
      </c>
      <c r="N24" s="53">
        <f t="shared" si="2"/>
        <v>1</v>
      </c>
      <c r="O24" s="59" t="s">
        <v>112</v>
      </c>
      <c r="P24" s="51">
        <v>689762</v>
      </c>
      <c r="Q24" s="51">
        <v>600260</v>
      </c>
      <c r="R24" s="51">
        <v>422763</v>
      </c>
      <c r="S24" s="52">
        <f t="shared" si="3"/>
        <v>0.87024219948330006</v>
      </c>
      <c r="T24" s="53">
        <f t="shared" si="4"/>
        <v>0.70429980341851861</v>
      </c>
    </row>
    <row r="25" spans="2:20" ht="45">
      <c r="B25" s="278"/>
      <c r="C25" s="278"/>
      <c r="D25" s="273" t="s">
        <v>58</v>
      </c>
      <c r="E25" s="84">
        <v>43466</v>
      </c>
      <c r="F25" s="84">
        <v>43830</v>
      </c>
      <c r="G25" s="13" t="s">
        <v>39</v>
      </c>
      <c r="H25" s="85">
        <v>30300</v>
      </c>
      <c r="I25" s="85">
        <f>+J25+('2018'!I25-'2018'!K25)</f>
        <v>771</v>
      </c>
      <c r="J25" s="85">
        <v>8000</v>
      </c>
      <c r="K25" s="86">
        <v>7822</v>
      </c>
      <c r="L25" s="60">
        <f t="shared" si="0"/>
        <v>0.97775000000000001</v>
      </c>
      <c r="M25" s="62">
        <f t="shared" si="1"/>
        <v>0.49722222222222223</v>
      </c>
      <c r="N25" s="49">
        <f t="shared" si="2"/>
        <v>0.97775000000000001</v>
      </c>
      <c r="O25" s="87" t="s">
        <v>113</v>
      </c>
      <c r="P25" s="85">
        <v>387511</v>
      </c>
      <c r="Q25" s="85">
        <v>157413</v>
      </c>
      <c r="R25" s="85">
        <v>0</v>
      </c>
      <c r="S25" s="27">
        <f t="shared" si="3"/>
        <v>0.4062155654936247</v>
      </c>
      <c r="T25" s="26" t="str">
        <f t="shared" si="4"/>
        <v xml:space="preserve"> -</v>
      </c>
    </row>
    <row r="26" spans="2:20" ht="45">
      <c r="B26" s="278"/>
      <c r="C26" s="278"/>
      <c r="D26" s="274"/>
      <c r="E26" s="44">
        <v>43466</v>
      </c>
      <c r="F26" s="44">
        <v>43830</v>
      </c>
      <c r="G26" s="10" t="s">
        <v>40</v>
      </c>
      <c r="H26" s="45">
        <v>4300</v>
      </c>
      <c r="I26" s="45">
        <f>+J26+('2018'!I26-'2018'!K26)</f>
        <v>-862</v>
      </c>
      <c r="J26" s="45">
        <v>1000</v>
      </c>
      <c r="K26" s="55">
        <v>2500</v>
      </c>
      <c r="L26" s="60">
        <f t="shared" si="0"/>
        <v>2.5</v>
      </c>
      <c r="M26" s="62">
        <f t="shared" si="1"/>
        <v>0.49722222222222223</v>
      </c>
      <c r="N26" s="49">
        <f t="shared" si="2"/>
        <v>1</v>
      </c>
      <c r="O26" s="58" t="s">
        <v>114</v>
      </c>
      <c r="P26" s="45">
        <v>961346</v>
      </c>
      <c r="Q26" s="45">
        <v>816500</v>
      </c>
      <c r="R26" s="45">
        <v>636717</v>
      </c>
      <c r="S26" s="46">
        <f t="shared" si="3"/>
        <v>0.84933000189317898</v>
      </c>
      <c r="T26" s="49">
        <f t="shared" si="4"/>
        <v>0.77981261481935094</v>
      </c>
    </row>
    <row r="27" spans="2:20" ht="46" thickBot="1">
      <c r="B27" s="278"/>
      <c r="C27" s="278"/>
      <c r="D27" s="280"/>
      <c r="E27" s="88">
        <v>43466</v>
      </c>
      <c r="F27" s="88">
        <v>43830</v>
      </c>
      <c r="G27" s="12" t="s">
        <v>41</v>
      </c>
      <c r="H27" s="89">
        <v>3000</v>
      </c>
      <c r="I27" s="51">
        <f>+J27+('2018'!I27-'2018'!K27)</f>
        <v>-14916</v>
      </c>
      <c r="J27" s="89">
        <v>1000</v>
      </c>
      <c r="K27" s="90">
        <v>7600</v>
      </c>
      <c r="L27" s="91">
        <f t="shared" si="0"/>
        <v>7.6</v>
      </c>
      <c r="M27" s="92">
        <f t="shared" si="1"/>
        <v>0.49722222222222223</v>
      </c>
      <c r="N27" s="93">
        <f t="shared" si="2"/>
        <v>1</v>
      </c>
      <c r="O27" s="94" t="s">
        <v>115</v>
      </c>
      <c r="P27" s="89">
        <v>269000</v>
      </c>
      <c r="Q27" s="89">
        <v>251467</v>
      </c>
      <c r="R27" s="89">
        <v>0</v>
      </c>
      <c r="S27" s="95">
        <f t="shared" si="3"/>
        <v>0.93482156133828997</v>
      </c>
      <c r="T27" s="93" t="str">
        <f t="shared" si="4"/>
        <v xml:space="preserve"> -</v>
      </c>
    </row>
    <row r="28" spans="2:20" ht="30">
      <c r="B28" s="278"/>
      <c r="C28" s="278"/>
      <c r="D28" s="276" t="s">
        <v>59</v>
      </c>
      <c r="E28" s="47">
        <v>43466</v>
      </c>
      <c r="F28" s="47">
        <v>43830</v>
      </c>
      <c r="G28" s="11" t="s">
        <v>42</v>
      </c>
      <c r="H28" s="48">
        <v>12</v>
      </c>
      <c r="I28" s="85">
        <f>+J28+('2018'!I28-'2018'!K28)</f>
        <v>3</v>
      </c>
      <c r="J28" s="48">
        <v>3</v>
      </c>
      <c r="K28" s="54">
        <v>1</v>
      </c>
      <c r="L28" s="20">
        <f t="shared" si="0"/>
        <v>0.33333333333333331</v>
      </c>
      <c r="M28" s="22">
        <f t="shared" si="1"/>
        <v>0.49722222222222223</v>
      </c>
      <c r="N28" s="23">
        <f t="shared" si="2"/>
        <v>0.33333333333333331</v>
      </c>
      <c r="O28" s="57" t="s">
        <v>116</v>
      </c>
      <c r="P28" s="48">
        <v>262992</v>
      </c>
      <c r="Q28" s="48">
        <v>97891</v>
      </c>
      <c r="R28" s="48">
        <v>0</v>
      </c>
      <c r="S28" s="24">
        <f t="shared" si="3"/>
        <v>0.37222044777027435</v>
      </c>
      <c r="T28" s="23" t="str">
        <f t="shared" si="4"/>
        <v xml:space="preserve"> -</v>
      </c>
    </row>
    <row r="29" spans="2:20" ht="30">
      <c r="B29" s="278"/>
      <c r="C29" s="278"/>
      <c r="D29" s="274"/>
      <c r="E29" s="44">
        <v>43466</v>
      </c>
      <c r="F29" s="44">
        <v>43830</v>
      </c>
      <c r="G29" s="10" t="s">
        <v>43</v>
      </c>
      <c r="H29" s="45">
        <v>40</v>
      </c>
      <c r="I29" s="45">
        <f>+J29+('2018'!I29-'2018'!K29)</f>
        <v>-4</v>
      </c>
      <c r="J29" s="45">
        <v>10</v>
      </c>
      <c r="K29" s="55">
        <v>12</v>
      </c>
      <c r="L29" s="60">
        <f t="shared" si="0"/>
        <v>1.2</v>
      </c>
      <c r="M29" s="62">
        <f t="shared" si="1"/>
        <v>0.49722222222222223</v>
      </c>
      <c r="N29" s="49">
        <f t="shared" si="2"/>
        <v>1</v>
      </c>
      <c r="O29" s="58" t="s">
        <v>117</v>
      </c>
      <c r="P29" s="45">
        <v>65694</v>
      </c>
      <c r="Q29" s="45">
        <v>34397</v>
      </c>
      <c r="R29" s="45">
        <v>0</v>
      </c>
      <c r="S29" s="46">
        <f t="shared" si="3"/>
        <v>0.52359423996103149</v>
      </c>
      <c r="T29" s="49" t="str">
        <f t="shared" si="4"/>
        <v xml:space="preserve"> -</v>
      </c>
    </row>
    <row r="30" spans="2:20" ht="46" thickBot="1">
      <c r="B30" s="278"/>
      <c r="C30" s="278"/>
      <c r="D30" s="275"/>
      <c r="E30" s="50">
        <v>43466</v>
      </c>
      <c r="F30" s="50">
        <v>43830</v>
      </c>
      <c r="G30" s="8" t="s">
        <v>44</v>
      </c>
      <c r="H30" s="51">
        <v>8</v>
      </c>
      <c r="I30" s="51">
        <f>+J30+('2018'!I30-'2018'!K30)</f>
        <v>2</v>
      </c>
      <c r="J30" s="51">
        <v>2</v>
      </c>
      <c r="K30" s="56">
        <v>1</v>
      </c>
      <c r="L30" s="61">
        <f t="shared" si="0"/>
        <v>0.5</v>
      </c>
      <c r="M30" s="63">
        <f t="shared" si="1"/>
        <v>0.49722222222222223</v>
      </c>
      <c r="N30" s="53">
        <f t="shared" si="2"/>
        <v>0.5</v>
      </c>
      <c r="O30" s="59" t="s">
        <v>118</v>
      </c>
      <c r="P30" s="51">
        <v>98803</v>
      </c>
      <c r="Q30" s="51">
        <v>98803</v>
      </c>
      <c r="R30" s="51">
        <v>0</v>
      </c>
      <c r="S30" s="52">
        <f t="shared" si="3"/>
        <v>1</v>
      </c>
      <c r="T30" s="53" t="str">
        <f t="shared" si="4"/>
        <v xml:space="preserve"> -</v>
      </c>
    </row>
    <row r="31" spans="2:20" ht="46" thickBot="1">
      <c r="B31" s="278"/>
      <c r="C31" s="278"/>
      <c r="D31" s="115" t="s">
        <v>60</v>
      </c>
      <c r="E31" s="96">
        <v>43466</v>
      </c>
      <c r="F31" s="96">
        <v>43830</v>
      </c>
      <c r="G31" s="97" t="s">
        <v>45</v>
      </c>
      <c r="H31" s="98">
        <v>600</v>
      </c>
      <c r="I31" s="51">
        <f>+J31+('2018'!I31-'2018'!K31)</f>
        <v>-550</v>
      </c>
      <c r="J31" s="98">
        <v>150</v>
      </c>
      <c r="K31" s="99">
        <v>138</v>
      </c>
      <c r="L31" s="100">
        <f t="shared" si="0"/>
        <v>0.92</v>
      </c>
      <c r="M31" s="101">
        <f t="shared" si="1"/>
        <v>0.49722222222222223</v>
      </c>
      <c r="N31" s="102">
        <f t="shared" si="2"/>
        <v>0.92</v>
      </c>
      <c r="O31" s="103" t="s">
        <v>119</v>
      </c>
      <c r="P31" s="98">
        <v>30100</v>
      </c>
      <c r="Q31" s="98">
        <v>0</v>
      </c>
      <c r="R31" s="98">
        <v>0</v>
      </c>
      <c r="S31" s="104">
        <f t="shared" si="3"/>
        <v>0</v>
      </c>
      <c r="T31" s="102" t="str">
        <f t="shared" si="4"/>
        <v xml:space="preserve"> -</v>
      </c>
    </row>
    <row r="32" spans="2:20" ht="46" thickBot="1">
      <c r="B32" s="278"/>
      <c r="C32" s="278"/>
      <c r="D32" s="116" t="s">
        <v>61</v>
      </c>
      <c r="E32" s="106">
        <v>43466</v>
      </c>
      <c r="F32" s="106">
        <v>43830</v>
      </c>
      <c r="G32" s="107" t="s">
        <v>46</v>
      </c>
      <c r="H32" s="108">
        <v>120</v>
      </c>
      <c r="I32" s="51">
        <f>+J32+('2018'!I32-'2018'!K32)</f>
        <v>30</v>
      </c>
      <c r="J32" s="108">
        <v>35</v>
      </c>
      <c r="K32" s="109">
        <v>29</v>
      </c>
      <c r="L32" s="110">
        <f t="shared" si="0"/>
        <v>0.82857142857142863</v>
      </c>
      <c r="M32" s="111">
        <f t="shared" si="1"/>
        <v>0.49722222222222223</v>
      </c>
      <c r="N32" s="112">
        <f t="shared" si="2"/>
        <v>0.82857142857142863</v>
      </c>
      <c r="O32" s="113" t="s">
        <v>120</v>
      </c>
      <c r="P32" s="108">
        <v>2359082</v>
      </c>
      <c r="Q32" s="108">
        <v>1770697</v>
      </c>
      <c r="R32" s="108">
        <v>65000</v>
      </c>
      <c r="S32" s="114">
        <f t="shared" si="3"/>
        <v>0.75058730472276924</v>
      </c>
      <c r="T32" s="112">
        <f t="shared" si="4"/>
        <v>3.670870849162787E-2</v>
      </c>
    </row>
    <row r="33" spans="2:20" ht="30">
      <c r="B33" s="278"/>
      <c r="C33" s="278"/>
      <c r="D33" s="273" t="s">
        <v>62</v>
      </c>
      <c r="E33" s="84">
        <v>43466</v>
      </c>
      <c r="F33" s="84">
        <v>43830</v>
      </c>
      <c r="G33" s="14" t="s">
        <v>47</v>
      </c>
      <c r="H33" s="85">
        <v>80</v>
      </c>
      <c r="I33" s="85">
        <f>+J33+('2018'!I33-'2018'!K33)</f>
        <v>20</v>
      </c>
      <c r="J33" s="85">
        <v>20</v>
      </c>
      <c r="K33" s="86">
        <v>12</v>
      </c>
      <c r="L33" s="21">
        <f t="shared" si="0"/>
        <v>0.6</v>
      </c>
      <c r="M33" s="25">
        <f t="shared" si="1"/>
        <v>0.49722222222222223</v>
      </c>
      <c r="N33" s="26">
        <f t="shared" si="2"/>
        <v>0.6</v>
      </c>
      <c r="O33" s="87" t="s">
        <v>121</v>
      </c>
      <c r="P33" s="85">
        <v>49587</v>
      </c>
      <c r="Q33" s="85">
        <v>29900</v>
      </c>
      <c r="R33" s="85">
        <v>0</v>
      </c>
      <c r="S33" s="27">
        <f t="shared" si="3"/>
        <v>0.60298061992054364</v>
      </c>
      <c r="T33" s="26" t="str">
        <f t="shared" si="4"/>
        <v xml:space="preserve"> -</v>
      </c>
    </row>
    <row r="34" spans="2:20" ht="45">
      <c r="B34" s="278"/>
      <c r="C34" s="278"/>
      <c r="D34" s="274"/>
      <c r="E34" s="44">
        <v>43466</v>
      </c>
      <c r="F34" s="44">
        <v>43830</v>
      </c>
      <c r="G34" s="15" t="s">
        <v>48</v>
      </c>
      <c r="H34" s="45">
        <v>8</v>
      </c>
      <c r="I34" s="45">
        <f>+J34+('2018'!I34-'2018'!K34)</f>
        <v>3</v>
      </c>
      <c r="J34" s="45">
        <v>3</v>
      </c>
      <c r="K34" s="55">
        <v>2</v>
      </c>
      <c r="L34" s="60">
        <f t="shared" si="0"/>
        <v>0.66666666666666663</v>
      </c>
      <c r="M34" s="62">
        <f t="shared" si="1"/>
        <v>0.49722222222222223</v>
      </c>
      <c r="N34" s="49">
        <f t="shared" si="2"/>
        <v>0.66666666666666663</v>
      </c>
      <c r="O34" s="58" t="s">
        <v>122</v>
      </c>
      <c r="P34" s="45">
        <v>0</v>
      </c>
      <c r="Q34" s="45">
        <v>0</v>
      </c>
      <c r="R34" s="45">
        <v>0</v>
      </c>
      <c r="S34" s="46" t="str">
        <f t="shared" si="3"/>
        <v xml:space="preserve"> -</v>
      </c>
      <c r="T34" s="49" t="str">
        <f t="shared" si="4"/>
        <v xml:space="preserve"> -</v>
      </c>
    </row>
    <row r="35" spans="2:20" ht="31" thickBot="1">
      <c r="B35" s="279"/>
      <c r="C35" s="279"/>
      <c r="D35" s="275"/>
      <c r="E35" s="50">
        <v>43466</v>
      </c>
      <c r="F35" s="50">
        <v>43830</v>
      </c>
      <c r="G35" s="16" t="s">
        <v>49</v>
      </c>
      <c r="H35" s="51">
        <v>8</v>
      </c>
      <c r="I35" s="51">
        <f>+J35+('2018'!I35-'2018'!K35)</f>
        <v>1</v>
      </c>
      <c r="J35" s="51">
        <v>2</v>
      </c>
      <c r="K35" s="56">
        <v>2</v>
      </c>
      <c r="L35" s="61">
        <f t="shared" si="0"/>
        <v>1</v>
      </c>
      <c r="M35" s="63">
        <f t="shared" si="1"/>
        <v>0.49722222222222223</v>
      </c>
      <c r="N35" s="53">
        <f t="shared" si="2"/>
        <v>1</v>
      </c>
      <c r="O35" s="59" t="s">
        <v>123</v>
      </c>
      <c r="P35" s="51">
        <v>150834</v>
      </c>
      <c r="Q35" s="51">
        <v>150333</v>
      </c>
      <c r="R35" s="51">
        <v>0</v>
      </c>
      <c r="S35" s="52">
        <f t="shared" si="3"/>
        <v>0.99667846771947965</v>
      </c>
      <c r="T35" s="53" t="str">
        <f t="shared" si="4"/>
        <v xml:space="preserve"> -</v>
      </c>
    </row>
    <row r="36" spans="2:20" ht="21" customHeight="1" thickBot="1">
      <c r="M36" s="119">
        <f>+AVERAGE(M12:M14,M16:M21,M23:M35)</f>
        <v>0.49722222222222195</v>
      </c>
      <c r="N36" s="31">
        <f>+AVERAGE(N12:N14,N16:N21,N23:N35)</f>
        <v>0.70321663059163064</v>
      </c>
      <c r="P36" s="28">
        <f>+SUM(P12:P14,P16:P21,P23:P35)</f>
        <v>6466245</v>
      </c>
      <c r="Q36" s="29">
        <f t="shared" ref="Q36:R36" si="5">+SUM(Q12:Q14,Q16:Q21,Q23:Q35)</f>
        <v>4945443</v>
      </c>
      <c r="R36" s="29">
        <f t="shared" si="5"/>
        <v>1124480</v>
      </c>
      <c r="S36" s="30">
        <f t="shared" si="3"/>
        <v>0.7648090970880318</v>
      </c>
      <c r="T36" s="31">
        <f t="shared" si="4"/>
        <v>0.2273770014132202</v>
      </c>
    </row>
  </sheetData>
  <mergeCells count="28">
    <mergeCell ref="B23:B35"/>
    <mergeCell ref="C23:C35"/>
    <mergeCell ref="D23:D24"/>
    <mergeCell ref="D25:D27"/>
    <mergeCell ref="D28:D30"/>
    <mergeCell ref="D33:D35"/>
    <mergeCell ref="M10:M11"/>
    <mergeCell ref="N10:N11"/>
    <mergeCell ref="B12:B21"/>
    <mergeCell ref="C12:C14"/>
    <mergeCell ref="C16:C21"/>
    <mergeCell ref="D16:D2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36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36.28515625" style="1" customWidth="1"/>
    <col min="6" max="6" width="13.7109375" style="1" customWidth="1"/>
    <col min="7" max="18" width="9.5703125" style="1" customWidth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291" t="s">
        <v>16</v>
      </c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</row>
    <row r="3" spans="2:25" ht="20" customHeight="1">
      <c r="B3" s="291" t="s">
        <v>19</v>
      </c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291"/>
    </row>
    <row r="4" spans="2:25" ht="20" customHeight="1">
      <c r="B4" s="291" t="s">
        <v>27</v>
      </c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1"/>
      <c r="W4" s="291"/>
      <c r="X4" s="291"/>
      <c r="Y4" s="291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7" t="s">
        <v>65</v>
      </c>
      <c r="C8" s="18">
        <f>+'2019'!C8</f>
        <v>43646</v>
      </c>
      <c r="D8" s="292" t="s">
        <v>3</v>
      </c>
      <c r="E8" s="293"/>
      <c r="F8" s="293"/>
      <c r="G8" s="293"/>
      <c r="H8" s="310"/>
      <c r="I8" s="310"/>
      <c r="J8" s="310"/>
      <c r="K8" s="310"/>
      <c r="L8" s="310"/>
      <c r="M8" s="310"/>
      <c r="N8" s="29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>
      <c r="B9" s="295" t="s">
        <v>17</v>
      </c>
      <c r="C9" s="298" t="s">
        <v>18</v>
      </c>
      <c r="D9" s="301" t="s">
        <v>0</v>
      </c>
      <c r="E9" s="304" t="s">
        <v>5</v>
      </c>
      <c r="F9" s="304"/>
      <c r="G9" s="304"/>
      <c r="H9" s="311"/>
      <c r="I9" s="311"/>
      <c r="J9" s="311"/>
      <c r="K9" s="311"/>
      <c r="L9" s="311"/>
      <c r="M9" s="311"/>
      <c r="N9" s="306"/>
      <c r="O9" s="312" t="s">
        <v>67</v>
      </c>
      <c r="P9" s="313"/>
      <c r="Q9" s="313"/>
      <c r="R9" s="313"/>
      <c r="S9" s="314"/>
      <c r="T9" s="283" t="s">
        <v>66</v>
      </c>
      <c r="U9" s="284"/>
      <c r="V9" s="284"/>
      <c r="W9" s="284"/>
      <c r="X9" s="284"/>
      <c r="Y9" s="285"/>
    </row>
    <row r="10" spans="2:25" ht="17" customHeight="1">
      <c r="B10" s="296"/>
      <c r="C10" s="299"/>
      <c r="D10" s="302"/>
      <c r="E10" s="305" t="s">
        <v>7</v>
      </c>
      <c r="F10" s="289" t="s">
        <v>25</v>
      </c>
      <c r="G10" s="140" t="s">
        <v>1</v>
      </c>
      <c r="H10" s="142" t="s">
        <v>1</v>
      </c>
      <c r="I10" s="145" t="s">
        <v>1</v>
      </c>
      <c r="J10" s="145" t="s">
        <v>1</v>
      </c>
      <c r="K10" s="176" t="s">
        <v>8</v>
      </c>
      <c r="L10" s="145" t="s">
        <v>8</v>
      </c>
      <c r="M10" s="145" t="s">
        <v>8</v>
      </c>
      <c r="N10" s="141" t="s">
        <v>8</v>
      </c>
      <c r="O10" s="315">
        <v>2016</v>
      </c>
      <c r="P10" s="317">
        <v>2017</v>
      </c>
      <c r="Q10" s="319">
        <v>2018</v>
      </c>
      <c r="R10" s="321">
        <v>2019</v>
      </c>
      <c r="S10" s="323" t="s">
        <v>65</v>
      </c>
      <c r="T10" s="286"/>
      <c r="U10" s="287"/>
      <c r="V10" s="287"/>
      <c r="W10" s="287"/>
      <c r="X10" s="287"/>
      <c r="Y10" s="288"/>
    </row>
    <row r="11" spans="2:25" ht="37.5" customHeight="1" thickBot="1">
      <c r="B11" s="297"/>
      <c r="C11" s="300"/>
      <c r="D11" s="303"/>
      <c r="E11" s="289"/>
      <c r="F11" s="290"/>
      <c r="G11" s="144">
        <v>2016</v>
      </c>
      <c r="H11" s="177">
        <v>2017</v>
      </c>
      <c r="I11" s="146">
        <v>2018</v>
      </c>
      <c r="J11" s="146">
        <v>2019</v>
      </c>
      <c r="K11" s="178">
        <v>2016</v>
      </c>
      <c r="L11" s="177">
        <v>2017</v>
      </c>
      <c r="M11" s="146">
        <v>2018</v>
      </c>
      <c r="N11" s="179">
        <v>2019</v>
      </c>
      <c r="O11" s="316"/>
      <c r="P11" s="318"/>
      <c r="Q11" s="320"/>
      <c r="R11" s="322"/>
      <c r="S11" s="324"/>
      <c r="T11" s="143" t="s">
        <v>23</v>
      </c>
      <c r="U11" s="197" t="s">
        <v>20</v>
      </c>
      <c r="V11" s="198" t="s">
        <v>21</v>
      </c>
      <c r="W11" s="199" t="s">
        <v>22</v>
      </c>
      <c r="X11" s="37" t="s">
        <v>14</v>
      </c>
      <c r="Y11" s="38" t="s">
        <v>15</v>
      </c>
    </row>
    <row r="12" spans="2:25" ht="46" thickBot="1">
      <c r="B12" s="277" t="s">
        <v>55</v>
      </c>
      <c r="C12" s="277" t="s">
        <v>54</v>
      </c>
      <c r="D12" s="120" t="s">
        <v>50</v>
      </c>
      <c r="E12" s="39" t="s">
        <v>28</v>
      </c>
      <c r="F12" s="122">
        <v>4</v>
      </c>
      <c r="G12" s="122">
        <f>'2016'!J12</f>
        <v>1</v>
      </c>
      <c r="H12" s="123">
        <f>'2017'!J12</f>
        <v>1</v>
      </c>
      <c r="I12" s="123">
        <f>'2018'!J12</f>
        <v>1</v>
      </c>
      <c r="J12" s="123">
        <f>'2019'!J12</f>
        <v>1</v>
      </c>
      <c r="K12" s="180">
        <f>'2016'!K12</f>
        <v>1</v>
      </c>
      <c r="L12" s="123">
        <f>'2017'!K12</f>
        <v>1</v>
      </c>
      <c r="M12" s="123">
        <f>'2018'!K12</f>
        <v>1</v>
      </c>
      <c r="N12" s="181">
        <f>'2019'!K12</f>
        <v>0</v>
      </c>
      <c r="O12" s="170">
        <f>'2016'!N12</f>
        <v>1</v>
      </c>
      <c r="P12" s="171">
        <f>'2017'!N12</f>
        <v>1</v>
      </c>
      <c r="Q12" s="172">
        <f>'2018'!N12</f>
        <v>1</v>
      </c>
      <c r="R12" s="171">
        <f>'2019'!N12</f>
        <v>0</v>
      </c>
      <c r="S12" s="255">
        <v>0.75</v>
      </c>
      <c r="T12" s="127" t="s">
        <v>102</v>
      </c>
      <c r="U12" s="51">
        <f>+'2016'!P12+'2017'!P12+'2018'!P12+'2019'!P12</f>
        <v>323701</v>
      </c>
      <c r="V12" s="51">
        <f>+'2016'!Q12+'2017'!Q12+'2018'!Q12+'2019'!Q12</f>
        <v>231297</v>
      </c>
      <c r="W12" s="51">
        <f>+'2016'!R12+'2017'!R12+'2018'!R12+'2019'!R12</f>
        <v>0</v>
      </c>
      <c r="X12" s="128">
        <f>IF(U12=0," -",V12/U12)</f>
        <v>0.71453903447934974</v>
      </c>
      <c r="Y12" s="126" t="str">
        <f>IF(W12=0," -",IF(V12=0,100%,W12/V12))</f>
        <v xml:space="preserve"> -</v>
      </c>
    </row>
    <row r="13" spans="2:25" ht="46" thickBot="1">
      <c r="B13" s="278"/>
      <c r="C13" s="278"/>
      <c r="D13" s="105" t="s">
        <v>51</v>
      </c>
      <c r="E13" s="135" t="s">
        <v>29</v>
      </c>
      <c r="F13" s="108">
        <v>4</v>
      </c>
      <c r="G13" s="108">
        <f>'2016'!J13</f>
        <v>1</v>
      </c>
      <c r="H13" s="109">
        <f>'2017'!J13</f>
        <v>1</v>
      </c>
      <c r="I13" s="109">
        <f>'2018'!J13</f>
        <v>1</v>
      </c>
      <c r="J13" s="109">
        <f>'2019'!J13</f>
        <v>1</v>
      </c>
      <c r="K13" s="182">
        <f>'2016'!K13</f>
        <v>1</v>
      </c>
      <c r="L13" s="109">
        <f>'2017'!K13</f>
        <v>1</v>
      </c>
      <c r="M13" s="109">
        <f>'2018'!K13</f>
        <v>1</v>
      </c>
      <c r="N13" s="183">
        <f>'2019'!K13</f>
        <v>1</v>
      </c>
      <c r="O13" s="164">
        <f>'2016'!N13</f>
        <v>1</v>
      </c>
      <c r="P13" s="165">
        <f>'2017'!N13</f>
        <v>1</v>
      </c>
      <c r="Q13" s="166">
        <f>'2018'!N13</f>
        <v>1</v>
      </c>
      <c r="R13" s="165">
        <f>'2019'!N13</f>
        <v>1</v>
      </c>
      <c r="S13" s="256">
        <v>1</v>
      </c>
      <c r="T13" s="113" t="s">
        <v>103</v>
      </c>
      <c r="U13" s="51">
        <f>+'2016'!P13+'2017'!P13+'2018'!P13+'2019'!P13</f>
        <v>109110</v>
      </c>
      <c r="V13" s="51">
        <f>+'2016'!Q13+'2017'!Q13+'2018'!Q13+'2019'!Q13</f>
        <v>102703</v>
      </c>
      <c r="W13" s="51">
        <f>+'2016'!R13+'2017'!R13+'2018'!R13+'2019'!R13</f>
        <v>0</v>
      </c>
      <c r="X13" s="114">
        <f t="shared" ref="X13:X36" si="0">IF(U13=0," -",V13/U13)</f>
        <v>0.94127944276418296</v>
      </c>
      <c r="Y13" s="112" t="str">
        <f t="shared" ref="Y13:Y36" si="1">IF(W13=0," -",IF(V13=0,100%,W13/V13))</f>
        <v xml:space="preserve"> -</v>
      </c>
    </row>
    <row r="14" spans="2:25" ht="46" thickBot="1">
      <c r="B14" s="278"/>
      <c r="C14" s="279"/>
      <c r="D14" s="129" t="s">
        <v>52</v>
      </c>
      <c r="E14" s="131" t="s">
        <v>30</v>
      </c>
      <c r="F14" s="132">
        <v>8</v>
      </c>
      <c r="G14" s="132">
        <f>'2016'!J14</f>
        <v>2</v>
      </c>
      <c r="H14" s="133">
        <f>'2017'!J14</f>
        <v>2</v>
      </c>
      <c r="I14" s="133">
        <f>'2018'!J14</f>
        <v>2</v>
      </c>
      <c r="J14" s="133">
        <f>'2019'!J14</f>
        <v>2</v>
      </c>
      <c r="K14" s="184">
        <f>'2016'!K14</f>
        <v>2</v>
      </c>
      <c r="L14" s="133">
        <f>'2017'!K14</f>
        <v>2</v>
      </c>
      <c r="M14" s="133">
        <f>'2018'!K14</f>
        <v>2</v>
      </c>
      <c r="N14" s="185">
        <f>'2019'!K14</f>
        <v>0</v>
      </c>
      <c r="O14" s="173">
        <f>'2016'!N14</f>
        <v>1</v>
      </c>
      <c r="P14" s="174">
        <f>'2017'!N14</f>
        <v>1</v>
      </c>
      <c r="Q14" s="175">
        <f>'2018'!N14</f>
        <v>1</v>
      </c>
      <c r="R14" s="174">
        <f>'2019'!N14</f>
        <v>0</v>
      </c>
      <c r="S14" s="257">
        <v>0.75</v>
      </c>
      <c r="T14" s="134" t="s">
        <v>104</v>
      </c>
      <c r="U14" s="51">
        <f>+'2016'!P14+'2017'!P14+'2018'!P14+'2019'!P14</f>
        <v>137754</v>
      </c>
      <c r="V14" s="51">
        <f>+'2016'!Q14+'2017'!Q14+'2018'!Q14+'2019'!Q14</f>
        <v>115225</v>
      </c>
      <c r="W14" s="51">
        <f>+'2016'!R14+'2017'!R14+'2018'!R14+'2019'!R14</f>
        <v>0</v>
      </c>
      <c r="X14" s="43">
        <f t="shared" si="0"/>
        <v>0.83645483978686641</v>
      </c>
      <c r="Y14" s="42" t="str">
        <f t="shared" si="1"/>
        <v xml:space="preserve"> -</v>
      </c>
    </row>
    <row r="15" spans="2:25" ht="13" customHeight="1" thickBot="1">
      <c r="B15" s="278"/>
      <c r="C15" s="118"/>
      <c r="D15" s="64"/>
      <c r="E15" s="66"/>
      <c r="F15" s="67"/>
      <c r="G15" s="67"/>
      <c r="H15" s="67"/>
      <c r="I15" s="67"/>
      <c r="J15" s="67"/>
      <c r="K15" s="67"/>
      <c r="L15" s="67"/>
      <c r="M15" s="67"/>
      <c r="N15" s="67"/>
      <c r="O15" s="68"/>
      <c r="P15" s="68"/>
      <c r="Q15" s="68"/>
      <c r="R15" s="68"/>
      <c r="S15" s="258"/>
      <c r="T15" s="66"/>
      <c r="U15" s="196"/>
      <c r="V15" s="196"/>
      <c r="W15" s="196"/>
      <c r="X15" s="68"/>
      <c r="Y15" s="17"/>
    </row>
    <row r="16" spans="2:25" ht="45">
      <c r="B16" s="278"/>
      <c r="C16" s="277" t="s">
        <v>56</v>
      </c>
      <c r="D16" s="276" t="s">
        <v>53</v>
      </c>
      <c r="E16" s="11" t="s">
        <v>31</v>
      </c>
      <c r="F16" s="48">
        <v>6</v>
      </c>
      <c r="G16" s="48">
        <f>'2016'!J16</f>
        <v>6</v>
      </c>
      <c r="H16" s="54">
        <f>'2017'!J16</f>
        <v>6</v>
      </c>
      <c r="I16" s="54">
        <f>'2018'!J16</f>
        <v>6</v>
      </c>
      <c r="J16" s="54">
        <f>'2019'!J16</f>
        <v>6</v>
      </c>
      <c r="K16" s="186">
        <f>'2016'!K16</f>
        <v>6</v>
      </c>
      <c r="L16" s="54">
        <f>'2017'!K16</f>
        <v>6</v>
      </c>
      <c r="M16" s="54">
        <f>'2018'!K16</f>
        <v>6</v>
      </c>
      <c r="N16" s="76">
        <f>'2019'!K16</f>
        <v>6</v>
      </c>
      <c r="O16" s="149">
        <f>'2016'!N16</f>
        <v>1</v>
      </c>
      <c r="P16" s="150">
        <f>'2017'!N16</f>
        <v>1</v>
      </c>
      <c r="Q16" s="151">
        <f>'2018'!N16</f>
        <v>1</v>
      </c>
      <c r="R16" s="150">
        <f>'2019'!N16</f>
        <v>1</v>
      </c>
      <c r="S16" s="259">
        <v>1</v>
      </c>
      <c r="T16" s="57" t="s">
        <v>105</v>
      </c>
      <c r="U16" s="85">
        <f>+'2016'!P16+'2017'!P16+'2018'!P16+'2019'!P16</f>
        <v>457399</v>
      </c>
      <c r="V16" s="85">
        <f>+'2016'!Q16+'2017'!Q16+'2018'!Q16+'2019'!Q16</f>
        <v>355708</v>
      </c>
      <c r="W16" s="85">
        <f>+'2016'!R16+'2017'!R16+'2018'!R16+'2019'!R16</f>
        <v>0</v>
      </c>
      <c r="X16" s="24">
        <f t="shared" si="0"/>
        <v>0.77767550869153623</v>
      </c>
      <c r="Y16" s="23" t="str">
        <f t="shared" si="1"/>
        <v xml:space="preserve"> -</v>
      </c>
    </row>
    <row r="17" spans="2:25" ht="45">
      <c r="B17" s="278"/>
      <c r="C17" s="278"/>
      <c r="D17" s="274"/>
      <c r="E17" s="10" t="s">
        <v>32</v>
      </c>
      <c r="F17" s="45">
        <v>3000</v>
      </c>
      <c r="G17" s="45">
        <f>'2016'!J17</f>
        <v>500</v>
      </c>
      <c r="H17" s="55">
        <f>'2017'!J17</f>
        <v>1000</v>
      </c>
      <c r="I17" s="55">
        <f>'2018'!J17</f>
        <v>1000</v>
      </c>
      <c r="J17" s="55">
        <f>'2019'!J17</f>
        <v>500</v>
      </c>
      <c r="K17" s="187">
        <f>'2016'!K17</f>
        <v>377</v>
      </c>
      <c r="L17" s="55">
        <f>'2017'!K17</f>
        <v>1394</v>
      </c>
      <c r="M17" s="55">
        <f>'2018'!K17</f>
        <v>1331</v>
      </c>
      <c r="N17" s="77">
        <f>'2019'!K17</f>
        <v>702</v>
      </c>
      <c r="O17" s="155">
        <f>'2016'!N17</f>
        <v>0.754</v>
      </c>
      <c r="P17" s="156">
        <f>'2017'!N17</f>
        <v>1</v>
      </c>
      <c r="Q17" s="157">
        <f>'2018'!N17</f>
        <v>1</v>
      </c>
      <c r="R17" s="156">
        <f>'2019'!N17</f>
        <v>1</v>
      </c>
      <c r="S17" s="260">
        <v>1</v>
      </c>
      <c r="T17" s="58" t="s">
        <v>106</v>
      </c>
      <c r="U17" s="45">
        <f>+'2016'!P17+'2017'!P17+'2018'!P17+'2019'!P17</f>
        <v>208317</v>
      </c>
      <c r="V17" s="45">
        <f>+'2016'!Q17+'2017'!Q17+'2018'!Q17+'2019'!Q17</f>
        <v>161611</v>
      </c>
      <c r="W17" s="45">
        <f>+'2016'!R17+'2017'!R17+'2018'!R17+'2019'!R17</f>
        <v>0</v>
      </c>
      <c r="X17" s="46">
        <f t="shared" si="0"/>
        <v>0.77579362221998205</v>
      </c>
      <c r="Y17" s="49" t="str">
        <f t="shared" si="1"/>
        <v xml:space="preserve"> -</v>
      </c>
    </row>
    <row r="18" spans="2:25" ht="60">
      <c r="B18" s="278"/>
      <c r="C18" s="278"/>
      <c r="D18" s="274"/>
      <c r="E18" s="10" t="s">
        <v>33</v>
      </c>
      <c r="F18" s="45">
        <v>5000</v>
      </c>
      <c r="G18" s="45">
        <f>'2016'!J18</f>
        <v>400</v>
      </c>
      <c r="H18" s="55">
        <f>'2017'!J18</f>
        <v>2000</v>
      </c>
      <c r="I18" s="55">
        <f>'2018'!J18</f>
        <v>2000</v>
      </c>
      <c r="J18" s="55">
        <f>'2019'!J18</f>
        <v>600</v>
      </c>
      <c r="K18" s="187">
        <f>'2016'!K18</f>
        <v>405</v>
      </c>
      <c r="L18" s="55">
        <f>'2017'!K18</f>
        <v>2155</v>
      </c>
      <c r="M18" s="55">
        <f>'2018'!K18</f>
        <v>2015</v>
      </c>
      <c r="N18" s="77">
        <f>'2019'!K18</f>
        <v>730</v>
      </c>
      <c r="O18" s="155">
        <f>'2016'!N18</f>
        <v>1</v>
      </c>
      <c r="P18" s="156">
        <f>'2017'!N18</f>
        <v>1</v>
      </c>
      <c r="Q18" s="157">
        <f>'2018'!N18</f>
        <v>1</v>
      </c>
      <c r="R18" s="156">
        <f>'2019'!N18</f>
        <v>1</v>
      </c>
      <c r="S18" s="260">
        <v>1</v>
      </c>
      <c r="T18" s="58" t="s">
        <v>107</v>
      </c>
      <c r="U18" s="45">
        <f>+'2016'!P18+'2017'!P18+'2018'!P18+'2019'!P18</f>
        <v>627280</v>
      </c>
      <c r="V18" s="45">
        <f>+'2016'!Q18+'2017'!Q18+'2018'!Q18+'2019'!Q18</f>
        <v>483286</v>
      </c>
      <c r="W18" s="45">
        <f>+'2016'!R18+'2017'!R18+'2018'!R18+'2019'!R18</f>
        <v>0</v>
      </c>
      <c r="X18" s="46">
        <f t="shared" si="0"/>
        <v>0.77044700931003696</v>
      </c>
      <c r="Y18" s="49" t="str">
        <f t="shared" si="1"/>
        <v xml:space="preserve"> -</v>
      </c>
    </row>
    <row r="19" spans="2:25" ht="60">
      <c r="B19" s="278"/>
      <c r="C19" s="278"/>
      <c r="D19" s="274"/>
      <c r="E19" s="10" t="s">
        <v>34</v>
      </c>
      <c r="F19" s="45">
        <v>10</v>
      </c>
      <c r="G19" s="45">
        <f>'2016'!J19</f>
        <v>2</v>
      </c>
      <c r="H19" s="55">
        <f>'2017'!J19</f>
        <v>3</v>
      </c>
      <c r="I19" s="55">
        <f>'2018'!J19</f>
        <v>3</v>
      </c>
      <c r="J19" s="55">
        <f>'2019'!J19</f>
        <v>2</v>
      </c>
      <c r="K19" s="187">
        <f>'2016'!K19</f>
        <v>2</v>
      </c>
      <c r="L19" s="55">
        <f>'2017'!K19</f>
        <v>3</v>
      </c>
      <c r="M19" s="55">
        <f>'2018'!K19</f>
        <v>3</v>
      </c>
      <c r="N19" s="77">
        <f>'2019'!K19</f>
        <v>1</v>
      </c>
      <c r="O19" s="155">
        <f>'2016'!N19</f>
        <v>1</v>
      </c>
      <c r="P19" s="156">
        <f>'2017'!N19</f>
        <v>1</v>
      </c>
      <c r="Q19" s="157">
        <f>'2018'!N19</f>
        <v>1</v>
      </c>
      <c r="R19" s="156">
        <f>'2019'!N19</f>
        <v>0.5</v>
      </c>
      <c r="S19" s="260">
        <v>0.9</v>
      </c>
      <c r="T19" s="58" t="s">
        <v>108</v>
      </c>
      <c r="U19" s="45">
        <f>+'2016'!P19+'2017'!P19+'2018'!P19+'2019'!P19</f>
        <v>487677</v>
      </c>
      <c r="V19" s="45">
        <f>+'2016'!Q19+'2017'!Q19+'2018'!Q19+'2019'!Q19</f>
        <v>391009</v>
      </c>
      <c r="W19" s="45">
        <f>+'2016'!R19+'2017'!R19+'2018'!R19+'2019'!R19</f>
        <v>0</v>
      </c>
      <c r="X19" s="46">
        <f t="shared" si="0"/>
        <v>0.80177863626949808</v>
      </c>
      <c r="Y19" s="49" t="str">
        <f t="shared" si="1"/>
        <v xml:space="preserve"> -</v>
      </c>
    </row>
    <row r="20" spans="2:25" ht="30">
      <c r="B20" s="278"/>
      <c r="C20" s="278"/>
      <c r="D20" s="274"/>
      <c r="E20" s="9" t="s">
        <v>35</v>
      </c>
      <c r="F20" s="45">
        <v>1</v>
      </c>
      <c r="G20" s="45">
        <f>'2016'!J20</f>
        <v>0</v>
      </c>
      <c r="H20" s="55">
        <f>'2017'!J20</f>
        <v>1</v>
      </c>
      <c r="I20" s="55">
        <f>'2018'!J20</f>
        <v>1</v>
      </c>
      <c r="J20" s="55">
        <f>'2019'!J20</f>
        <v>1</v>
      </c>
      <c r="K20" s="187">
        <f>'2016'!K20</f>
        <v>0</v>
      </c>
      <c r="L20" s="55">
        <f>'2017'!K20</f>
        <v>0</v>
      </c>
      <c r="M20" s="55">
        <f>'2018'!K20</f>
        <v>0.6</v>
      </c>
      <c r="N20" s="77">
        <f>'2019'!K20</f>
        <v>0.1</v>
      </c>
      <c r="O20" s="155" t="str">
        <f>'2016'!N20</f>
        <v xml:space="preserve"> -</v>
      </c>
      <c r="P20" s="156">
        <f>'2017'!N20</f>
        <v>0</v>
      </c>
      <c r="Q20" s="157">
        <f>'2018'!N20</f>
        <v>0.6</v>
      </c>
      <c r="R20" s="156">
        <f>'2019'!N20</f>
        <v>0.1</v>
      </c>
      <c r="S20" s="260">
        <v>0.23333333333333331</v>
      </c>
      <c r="T20" s="58" t="s">
        <v>109</v>
      </c>
      <c r="U20" s="45">
        <f>+'2016'!P20+'2017'!P20+'2018'!P20+'2019'!P20</f>
        <v>1000</v>
      </c>
      <c r="V20" s="45">
        <f>+'2016'!Q20+'2017'!Q20+'2018'!Q20+'2019'!Q20</f>
        <v>0</v>
      </c>
      <c r="W20" s="45">
        <f>+'2016'!R20+'2017'!R20+'2018'!R20+'2019'!R20</f>
        <v>0</v>
      </c>
      <c r="X20" s="46">
        <f t="shared" si="0"/>
        <v>0</v>
      </c>
      <c r="Y20" s="49" t="str">
        <f t="shared" si="1"/>
        <v xml:space="preserve"> -</v>
      </c>
    </row>
    <row r="21" spans="2:25" ht="31" thickBot="1">
      <c r="B21" s="279"/>
      <c r="C21" s="279"/>
      <c r="D21" s="275"/>
      <c r="E21" s="138" t="s">
        <v>36</v>
      </c>
      <c r="F21" s="51">
        <v>1</v>
      </c>
      <c r="G21" s="51">
        <f>'2016'!J21</f>
        <v>1</v>
      </c>
      <c r="H21" s="56">
        <f>'2017'!J21</f>
        <v>1</v>
      </c>
      <c r="I21" s="56">
        <f>'2018'!J21</f>
        <v>1</v>
      </c>
      <c r="J21" s="56">
        <f>'2019'!J21</f>
        <v>1</v>
      </c>
      <c r="K21" s="188">
        <f>'2016'!K21</f>
        <v>0.33</v>
      </c>
      <c r="L21" s="56">
        <f>'2017'!K21</f>
        <v>0.5</v>
      </c>
      <c r="M21" s="56">
        <f>'2018'!K21</f>
        <v>0.75</v>
      </c>
      <c r="N21" s="78">
        <f>'2019'!K21</f>
        <v>0.2</v>
      </c>
      <c r="O21" s="152">
        <f>'2016'!N21</f>
        <v>0.33</v>
      </c>
      <c r="P21" s="153">
        <f>'2017'!N21</f>
        <v>0.5</v>
      </c>
      <c r="Q21" s="154">
        <f>'2018'!N21</f>
        <v>0.75</v>
      </c>
      <c r="R21" s="153">
        <f>'2019'!N21</f>
        <v>0.2</v>
      </c>
      <c r="S21" s="261">
        <v>0.44500000000000001</v>
      </c>
      <c r="T21" s="59" t="s">
        <v>110</v>
      </c>
      <c r="U21" s="51">
        <f>+'2016'!P21+'2017'!P21+'2018'!P21+'2019'!P21</f>
        <v>183150</v>
      </c>
      <c r="V21" s="51">
        <f>+'2016'!Q21+'2017'!Q21+'2018'!Q21+'2019'!Q21</f>
        <v>168150</v>
      </c>
      <c r="W21" s="51">
        <f>+'2016'!R21+'2017'!R21+'2018'!R21+'2019'!R21</f>
        <v>0</v>
      </c>
      <c r="X21" s="52">
        <f t="shared" si="0"/>
        <v>0.91809991809991809</v>
      </c>
      <c r="Y21" s="53" t="str">
        <f t="shared" si="1"/>
        <v xml:space="preserve"> -</v>
      </c>
    </row>
    <row r="22" spans="2:25" ht="13" customHeight="1" thickBot="1">
      <c r="B22" s="117"/>
      <c r="C22" s="70"/>
      <c r="D22" s="79"/>
      <c r="E22" s="81"/>
      <c r="F22" s="72"/>
      <c r="G22" s="72"/>
      <c r="H22" s="72"/>
      <c r="I22" s="72"/>
      <c r="J22" s="72"/>
      <c r="K22" s="72"/>
      <c r="L22" s="72"/>
      <c r="M22" s="72"/>
      <c r="N22" s="72"/>
      <c r="O22" s="82"/>
      <c r="P22" s="82"/>
      <c r="Q22" s="82"/>
      <c r="R22" s="82"/>
      <c r="S22" s="262"/>
      <c r="T22" s="71"/>
      <c r="U22" s="195"/>
      <c r="V22" s="195"/>
      <c r="W22" s="195"/>
      <c r="X22" s="82"/>
      <c r="Y22" s="19"/>
    </row>
    <row r="23" spans="2:25" ht="45">
      <c r="B23" s="277" t="s">
        <v>64</v>
      </c>
      <c r="C23" s="277" t="s">
        <v>63</v>
      </c>
      <c r="D23" s="276" t="s">
        <v>57</v>
      </c>
      <c r="E23" s="11" t="s">
        <v>37</v>
      </c>
      <c r="F23" s="48">
        <v>170</v>
      </c>
      <c r="G23" s="48">
        <f>'2016'!J23</f>
        <v>40</v>
      </c>
      <c r="H23" s="54">
        <f>'2017'!J23</f>
        <v>42</v>
      </c>
      <c r="I23" s="54">
        <f>'2018'!J23</f>
        <v>43</v>
      </c>
      <c r="J23" s="54">
        <f>'2019'!J23</f>
        <v>45</v>
      </c>
      <c r="K23" s="186">
        <f>'2016'!K23</f>
        <v>46</v>
      </c>
      <c r="L23" s="54">
        <f>'2017'!K23</f>
        <v>58</v>
      </c>
      <c r="M23" s="54">
        <f>'2018'!K23</f>
        <v>70</v>
      </c>
      <c r="N23" s="76">
        <f>'2019'!K23</f>
        <v>38</v>
      </c>
      <c r="O23" s="149">
        <f>'2016'!N23</f>
        <v>1</v>
      </c>
      <c r="P23" s="150">
        <f>'2017'!N23</f>
        <v>1</v>
      </c>
      <c r="Q23" s="151">
        <f>'2018'!N23</f>
        <v>1</v>
      </c>
      <c r="R23" s="150">
        <f>'2019'!N23</f>
        <v>0.84444444444444444</v>
      </c>
      <c r="S23" s="259">
        <v>1</v>
      </c>
      <c r="T23" s="57" t="s">
        <v>111</v>
      </c>
      <c r="U23" s="85">
        <f>+'2016'!P23+'2017'!P23+'2018'!P23+'2019'!P23</f>
        <v>1532169</v>
      </c>
      <c r="V23" s="85">
        <f>+'2016'!Q23+'2017'!Q23+'2018'!Q23+'2019'!Q23</f>
        <v>1409645</v>
      </c>
      <c r="W23" s="85">
        <f>+'2016'!R23+'2017'!R23+'2018'!R23+'2019'!R23</f>
        <v>81188</v>
      </c>
      <c r="X23" s="24">
        <f t="shared" si="0"/>
        <v>0.92003232019444325</v>
      </c>
      <c r="Y23" s="23">
        <f t="shared" si="1"/>
        <v>5.759464262278801E-2</v>
      </c>
    </row>
    <row r="24" spans="2:25" ht="31" thickBot="1">
      <c r="B24" s="278"/>
      <c r="C24" s="278"/>
      <c r="D24" s="275"/>
      <c r="E24" s="8" t="s">
        <v>38</v>
      </c>
      <c r="F24" s="51">
        <v>90</v>
      </c>
      <c r="G24" s="51">
        <f>'2016'!J24</f>
        <v>20</v>
      </c>
      <c r="H24" s="56">
        <f>'2017'!J24</f>
        <v>22</v>
      </c>
      <c r="I24" s="56">
        <f>'2018'!J24</f>
        <v>23</v>
      </c>
      <c r="J24" s="56">
        <f>'2019'!J24</f>
        <v>25</v>
      </c>
      <c r="K24" s="188">
        <f>'2016'!K24</f>
        <v>20</v>
      </c>
      <c r="L24" s="56">
        <f>'2017'!K24</f>
        <v>58</v>
      </c>
      <c r="M24" s="56">
        <f>'2018'!K24</f>
        <v>132</v>
      </c>
      <c r="N24" s="78">
        <f>'2019'!K24</f>
        <v>104</v>
      </c>
      <c r="O24" s="152">
        <f>'2016'!N24</f>
        <v>1</v>
      </c>
      <c r="P24" s="153">
        <f>'2017'!N24</f>
        <v>1</v>
      </c>
      <c r="Q24" s="154">
        <f>'2018'!N24</f>
        <v>1</v>
      </c>
      <c r="R24" s="153">
        <f>'2019'!N24</f>
        <v>1</v>
      </c>
      <c r="S24" s="261">
        <v>1</v>
      </c>
      <c r="T24" s="59" t="s">
        <v>112</v>
      </c>
      <c r="U24" s="51">
        <f>+'2016'!P24+'2017'!P24+'2018'!P24+'2019'!P24</f>
        <v>2139391</v>
      </c>
      <c r="V24" s="51">
        <f>+'2016'!Q24+'2017'!Q24+'2018'!Q24+'2019'!Q24</f>
        <v>2011172</v>
      </c>
      <c r="W24" s="51">
        <f>+'2016'!R24+'2017'!R24+'2018'!R24+'2019'!R24</f>
        <v>422763</v>
      </c>
      <c r="X24" s="52">
        <f t="shared" si="0"/>
        <v>0.94006752388880765</v>
      </c>
      <c r="Y24" s="53">
        <f t="shared" si="1"/>
        <v>0.21020728212206613</v>
      </c>
    </row>
    <row r="25" spans="2:25" ht="45">
      <c r="B25" s="278"/>
      <c r="C25" s="278"/>
      <c r="D25" s="273" t="s">
        <v>58</v>
      </c>
      <c r="E25" s="13" t="s">
        <v>39</v>
      </c>
      <c r="F25" s="85">
        <v>30300</v>
      </c>
      <c r="G25" s="85">
        <f>'2016'!J25</f>
        <v>7000</v>
      </c>
      <c r="H25" s="86">
        <f>'2017'!J25</f>
        <v>7500</v>
      </c>
      <c r="I25" s="86">
        <f>'2018'!J25</f>
        <v>7800</v>
      </c>
      <c r="J25" s="86">
        <f>'2019'!J25</f>
        <v>8000</v>
      </c>
      <c r="K25" s="189">
        <f>'2016'!K25</f>
        <v>9116</v>
      </c>
      <c r="L25" s="86">
        <f>'2017'!K25</f>
        <v>10930</v>
      </c>
      <c r="M25" s="86">
        <f>'2018'!K25</f>
        <v>9483</v>
      </c>
      <c r="N25" s="190">
        <f>'2019'!K25</f>
        <v>7822</v>
      </c>
      <c r="O25" s="155">
        <f>'2016'!N25</f>
        <v>1</v>
      </c>
      <c r="P25" s="156">
        <f>'2017'!N25</f>
        <v>1</v>
      </c>
      <c r="Q25" s="157">
        <f>'2018'!N25</f>
        <v>1</v>
      </c>
      <c r="R25" s="156">
        <f>'2019'!N25</f>
        <v>0.97775000000000001</v>
      </c>
      <c r="S25" s="260">
        <v>1</v>
      </c>
      <c r="T25" s="87" t="s">
        <v>113</v>
      </c>
      <c r="U25" s="85">
        <f>+'2016'!P25+'2017'!P25+'2018'!P25+'2019'!P25</f>
        <v>1794565</v>
      </c>
      <c r="V25" s="85">
        <f>+'2016'!Q25+'2017'!Q25+'2018'!Q25+'2019'!Q25</f>
        <v>1283630</v>
      </c>
      <c r="W25" s="85">
        <f>+'2016'!R25+'2017'!R25+'2018'!R25+'2019'!R25</f>
        <v>117105</v>
      </c>
      <c r="X25" s="27">
        <f t="shared" si="0"/>
        <v>0.71528754879316159</v>
      </c>
      <c r="Y25" s="26">
        <f t="shared" si="1"/>
        <v>9.1229559919914618E-2</v>
      </c>
    </row>
    <row r="26" spans="2:25" ht="45">
      <c r="B26" s="278"/>
      <c r="C26" s="278"/>
      <c r="D26" s="274"/>
      <c r="E26" s="10" t="s">
        <v>40</v>
      </c>
      <c r="F26" s="45">
        <v>4300</v>
      </c>
      <c r="G26" s="45">
        <f>'2016'!J26</f>
        <v>1000</v>
      </c>
      <c r="H26" s="55">
        <f>'2017'!J26</f>
        <v>1100</v>
      </c>
      <c r="I26" s="55">
        <f>'2018'!J26</f>
        <v>1200</v>
      </c>
      <c r="J26" s="55">
        <f>'2019'!J26</f>
        <v>1000</v>
      </c>
      <c r="K26" s="187">
        <f>'2016'!K26</f>
        <v>1485</v>
      </c>
      <c r="L26" s="55">
        <f>'2017'!K26</f>
        <v>2242</v>
      </c>
      <c r="M26" s="55">
        <f>'2018'!K26</f>
        <v>1435</v>
      </c>
      <c r="N26" s="77">
        <f>'2019'!K26</f>
        <v>2500</v>
      </c>
      <c r="O26" s="155">
        <f>'2016'!N26</f>
        <v>1</v>
      </c>
      <c r="P26" s="156">
        <f>'2017'!N26</f>
        <v>1</v>
      </c>
      <c r="Q26" s="157">
        <f>'2018'!N26</f>
        <v>1</v>
      </c>
      <c r="R26" s="156">
        <f>'2019'!N26</f>
        <v>1</v>
      </c>
      <c r="S26" s="260">
        <v>1</v>
      </c>
      <c r="T26" s="58" t="s">
        <v>114</v>
      </c>
      <c r="U26" s="45">
        <f>+'2016'!P26+'2017'!P26+'2018'!P26+'2019'!P26</f>
        <v>2617702</v>
      </c>
      <c r="V26" s="45">
        <f>+'2016'!Q26+'2017'!Q26+'2018'!Q26+'2019'!Q26</f>
        <v>2244235</v>
      </c>
      <c r="W26" s="45">
        <f>+'2016'!R26+'2017'!R26+'2018'!R26+'2019'!R26</f>
        <v>722059</v>
      </c>
      <c r="X26" s="46">
        <f t="shared" si="0"/>
        <v>0.85733020794574788</v>
      </c>
      <c r="Y26" s="49">
        <f t="shared" si="1"/>
        <v>0.32173947915436663</v>
      </c>
    </row>
    <row r="27" spans="2:25" ht="46" thickBot="1">
      <c r="B27" s="278"/>
      <c r="C27" s="278"/>
      <c r="D27" s="280"/>
      <c r="E27" s="12" t="s">
        <v>41</v>
      </c>
      <c r="F27" s="89">
        <v>3000</v>
      </c>
      <c r="G27" s="89">
        <f>'2016'!J27</f>
        <v>0</v>
      </c>
      <c r="H27" s="90">
        <f>'2017'!J27</f>
        <v>1000</v>
      </c>
      <c r="I27" s="90">
        <f>'2018'!J27</f>
        <v>1000</v>
      </c>
      <c r="J27" s="90">
        <f>'2019'!J27</f>
        <v>1000</v>
      </c>
      <c r="K27" s="191">
        <f>'2016'!K27</f>
        <v>0</v>
      </c>
      <c r="L27" s="90">
        <f>'2017'!K27</f>
        <v>8671</v>
      </c>
      <c r="M27" s="90">
        <f>'2018'!K27</f>
        <v>9245</v>
      </c>
      <c r="N27" s="192">
        <f>'2019'!K27</f>
        <v>7600</v>
      </c>
      <c r="O27" s="158" t="str">
        <f>'2016'!N27</f>
        <v xml:space="preserve"> -</v>
      </c>
      <c r="P27" s="159">
        <f>'2017'!N27</f>
        <v>1</v>
      </c>
      <c r="Q27" s="160">
        <f>'2018'!N27</f>
        <v>1</v>
      </c>
      <c r="R27" s="159">
        <f>'2019'!N27</f>
        <v>1</v>
      </c>
      <c r="S27" s="263">
        <v>1</v>
      </c>
      <c r="T27" s="94" t="s">
        <v>115</v>
      </c>
      <c r="U27" s="51">
        <f>+'2016'!P27+'2017'!P27+'2018'!P27+'2019'!P27</f>
        <v>812203</v>
      </c>
      <c r="V27" s="51">
        <f>+'2016'!Q27+'2017'!Q27+'2018'!Q27+'2019'!Q27</f>
        <v>798085</v>
      </c>
      <c r="W27" s="51">
        <f>+'2016'!R27+'2017'!R27+'2018'!R27+'2019'!R27</f>
        <v>0</v>
      </c>
      <c r="X27" s="95">
        <f t="shared" si="0"/>
        <v>0.98261764608109059</v>
      </c>
      <c r="Y27" s="93" t="str">
        <f t="shared" si="1"/>
        <v xml:space="preserve"> -</v>
      </c>
    </row>
    <row r="28" spans="2:25" ht="30">
      <c r="B28" s="278"/>
      <c r="C28" s="278"/>
      <c r="D28" s="276" t="s">
        <v>59</v>
      </c>
      <c r="E28" s="11" t="s">
        <v>42</v>
      </c>
      <c r="F28" s="48">
        <v>12</v>
      </c>
      <c r="G28" s="48">
        <f>'2016'!J28</f>
        <v>3</v>
      </c>
      <c r="H28" s="54">
        <f>'2017'!J28</f>
        <v>3</v>
      </c>
      <c r="I28" s="54">
        <f>'2018'!J28</f>
        <v>3</v>
      </c>
      <c r="J28" s="54">
        <f>'2019'!J28</f>
        <v>3</v>
      </c>
      <c r="K28" s="186">
        <f>'2016'!K28</f>
        <v>3</v>
      </c>
      <c r="L28" s="54">
        <f>'2017'!K28</f>
        <v>3</v>
      </c>
      <c r="M28" s="54">
        <f>'2018'!K28</f>
        <v>3</v>
      </c>
      <c r="N28" s="76">
        <f>'2019'!K28</f>
        <v>1</v>
      </c>
      <c r="O28" s="149">
        <f>'2016'!N28</f>
        <v>1</v>
      </c>
      <c r="P28" s="150">
        <f>'2017'!N28</f>
        <v>1</v>
      </c>
      <c r="Q28" s="151">
        <f>'2018'!N28</f>
        <v>1</v>
      </c>
      <c r="R28" s="150">
        <f>'2019'!N28</f>
        <v>0.33333333333333331</v>
      </c>
      <c r="S28" s="259">
        <v>0.83333333333333337</v>
      </c>
      <c r="T28" s="57" t="s">
        <v>116</v>
      </c>
      <c r="U28" s="85">
        <f>+'2016'!P28+'2017'!P28+'2018'!P28+'2019'!P28</f>
        <v>1006948</v>
      </c>
      <c r="V28" s="85">
        <f>+'2016'!Q28+'2017'!Q28+'2018'!Q28+'2019'!Q28</f>
        <v>739776</v>
      </c>
      <c r="W28" s="85">
        <f>+'2016'!R28+'2017'!R28+'2018'!R28+'2019'!R28</f>
        <v>0</v>
      </c>
      <c r="X28" s="24">
        <f t="shared" si="0"/>
        <v>0.73467150240131562</v>
      </c>
      <c r="Y28" s="23" t="str">
        <f t="shared" si="1"/>
        <v xml:space="preserve"> -</v>
      </c>
    </row>
    <row r="29" spans="2:25" ht="30">
      <c r="B29" s="278"/>
      <c r="C29" s="278"/>
      <c r="D29" s="274"/>
      <c r="E29" s="10" t="s">
        <v>43</v>
      </c>
      <c r="F29" s="45">
        <v>40</v>
      </c>
      <c r="G29" s="45">
        <f>'2016'!J29</f>
        <v>10</v>
      </c>
      <c r="H29" s="55">
        <f>'2017'!J29</f>
        <v>10</v>
      </c>
      <c r="I29" s="55">
        <f>'2018'!J29</f>
        <v>10</v>
      </c>
      <c r="J29" s="55">
        <f>'2019'!J29</f>
        <v>10</v>
      </c>
      <c r="K29" s="187">
        <f>'2016'!K29</f>
        <v>10</v>
      </c>
      <c r="L29" s="55">
        <f>'2017'!K29</f>
        <v>19</v>
      </c>
      <c r="M29" s="55">
        <f>'2018'!K29</f>
        <v>15</v>
      </c>
      <c r="N29" s="77">
        <f>'2019'!K29</f>
        <v>12</v>
      </c>
      <c r="O29" s="155">
        <f>'2016'!N29</f>
        <v>1</v>
      </c>
      <c r="P29" s="156">
        <f>'2017'!N29</f>
        <v>1</v>
      </c>
      <c r="Q29" s="157">
        <f>'2018'!N29</f>
        <v>1</v>
      </c>
      <c r="R29" s="156">
        <f>'2019'!N29</f>
        <v>1</v>
      </c>
      <c r="S29" s="260">
        <v>1</v>
      </c>
      <c r="T29" s="58" t="s">
        <v>117</v>
      </c>
      <c r="U29" s="45">
        <f>+'2016'!P29+'2017'!P29+'2018'!P29+'2019'!P29</f>
        <v>238693</v>
      </c>
      <c r="V29" s="45">
        <f>+'2016'!Q29+'2017'!Q29+'2018'!Q29+'2019'!Q29</f>
        <v>180312</v>
      </c>
      <c r="W29" s="45">
        <f>+'2016'!R29+'2017'!R29+'2018'!R29+'2019'!R29</f>
        <v>0</v>
      </c>
      <c r="X29" s="46">
        <f t="shared" si="0"/>
        <v>0.75541385796818505</v>
      </c>
      <c r="Y29" s="49" t="str">
        <f t="shared" si="1"/>
        <v xml:space="preserve"> -</v>
      </c>
    </row>
    <row r="30" spans="2:25" ht="46" thickBot="1">
      <c r="B30" s="278"/>
      <c r="C30" s="278"/>
      <c r="D30" s="275"/>
      <c r="E30" s="8" t="s">
        <v>44</v>
      </c>
      <c r="F30" s="51">
        <v>8</v>
      </c>
      <c r="G30" s="51">
        <f>'2016'!J30</f>
        <v>2</v>
      </c>
      <c r="H30" s="56">
        <f>'2017'!J30</f>
        <v>2</v>
      </c>
      <c r="I30" s="56">
        <f>'2018'!J30</f>
        <v>2</v>
      </c>
      <c r="J30" s="56">
        <f>'2019'!J30</f>
        <v>2</v>
      </c>
      <c r="K30" s="188">
        <f>'2016'!K30</f>
        <v>2</v>
      </c>
      <c r="L30" s="56">
        <f>'2017'!K30</f>
        <v>2</v>
      </c>
      <c r="M30" s="56">
        <f>'2018'!K30</f>
        <v>2</v>
      </c>
      <c r="N30" s="78">
        <f>'2019'!K30</f>
        <v>1</v>
      </c>
      <c r="O30" s="152">
        <f>'2016'!N30</f>
        <v>1</v>
      </c>
      <c r="P30" s="153">
        <f>'2017'!N30</f>
        <v>1</v>
      </c>
      <c r="Q30" s="154">
        <f>'2018'!N30</f>
        <v>1</v>
      </c>
      <c r="R30" s="153">
        <f>'2019'!N30</f>
        <v>0.5</v>
      </c>
      <c r="S30" s="261">
        <v>0.875</v>
      </c>
      <c r="T30" s="59" t="s">
        <v>118</v>
      </c>
      <c r="U30" s="51">
        <f>+'2016'!P30+'2017'!P30+'2018'!P30+'2019'!P30</f>
        <v>348606</v>
      </c>
      <c r="V30" s="51">
        <f>+'2016'!Q30+'2017'!Q30+'2018'!Q30+'2019'!Q30</f>
        <v>249199</v>
      </c>
      <c r="W30" s="51">
        <f>+'2016'!R30+'2017'!R30+'2018'!R30+'2019'!R30</f>
        <v>0</v>
      </c>
      <c r="X30" s="52">
        <f t="shared" si="0"/>
        <v>0.71484426544580415</v>
      </c>
      <c r="Y30" s="53" t="str">
        <f t="shared" si="1"/>
        <v xml:space="preserve"> -</v>
      </c>
    </row>
    <row r="31" spans="2:25" ht="46" thickBot="1">
      <c r="B31" s="278"/>
      <c r="C31" s="278"/>
      <c r="D31" s="115" t="s">
        <v>60</v>
      </c>
      <c r="E31" s="97" t="s">
        <v>45</v>
      </c>
      <c r="F31" s="98">
        <v>600</v>
      </c>
      <c r="G31" s="98">
        <f>'2016'!J31</f>
        <v>100</v>
      </c>
      <c r="H31" s="99">
        <f>'2017'!J31</f>
        <v>150</v>
      </c>
      <c r="I31" s="99">
        <f>'2018'!J31</f>
        <v>200</v>
      </c>
      <c r="J31" s="99">
        <f>'2019'!J31</f>
        <v>150</v>
      </c>
      <c r="K31" s="193">
        <f>'2016'!K31</f>
        <v>242</v>
      </c>
      <c r="L31" s="99">
        <f>'2017'!K31</f>
        <v>572</v>
      </c>
      <c r="M31" s="99">
        <f>'2018'!K31</f>
        <v>336</v>
      </c>
      <c r="N31" s="194">
        <f>'2019'!K31</f>
        <v>138</v>
      </c>
      <c r="O31" s="161">
        <f>'2016'!N31</f>
        <v>1</v>
      </c>
      <c r="P31" s="162">
        <f>'2017'!N31</f>
        <v>1</v>
      </c>
      <c r="Q31" s="163">
        <f>'2018'!N31</f>
        <v>1</v>
      </c>
      <c r="R31" s="162">
        <f>'2019'!N31</f>
        <v>0.92</v>
      </c>
      <c r="S31" s="264">
        <v>1</v>
      </c>
      <c r="T31" s="103" t="s">
        <v>119</v>
      </c>
      <c r="U31" s="51">
        <f>+'2016'!P31+'2017'!P31+'2018'!P31+'2019'!P31</f>
        <v>78166</v>
      </c>
      <c r="V31" s="51">
        <f>+'2016'!Q31+'2017'!Q31+'2018'!Q31+'2019'!Q31</f>
        <v>47266</v>
      </c>
      <c r="W31" s="51">
        <f>+'2016'!R31+'2017'!R31+'2018'!R31+'2019'!R31</f>
        <v>0</v>
      </c>
      <c r="X31" s="104">
        <f t="shared" si="0"/>
        <v>0.60468746002098095</v>
      </c>
      <c r="Y31" s="102" t="str">
        <f t="shared" si="1"/>
        <v xml:space="preserve"> -</v>
      </c>
    </row>
    <row r="32" spans="2:25" ht="46" thickBot="1">
      <c r="B32" s="278"/>
      <c r="C32" s="278"/>
      <c r="D32" s="116" t="s">
        <v>61</v>
      </c>
      <c r="E32" s="107" t="s">
        <v>46</v>
      </c>
      <c r="F32" s="108">
        <v>120</v>
      </c>
      <c r="G32" s="108">
        <f>'2016'!J32</f>
        <v>20</v>
      </c>
      <c r="H32" s="109">
        <f>'2017'!J32</f>
        <v>30</v>
      </c>
      <c r="I32" s="109">
        <f>'2018'!J32</f>
        <v>35</v>
      </c>
      <c r="J32" s="109">
        <f>'2019'!J32</f>
        <v>35</v>
      </c>
      <c r="K32" s="182">
        <f>'2016'!K32</f>
        <v>22</v>
      </c>
      <c r="L32" s="109">
        <f>'2017'!K32</f>
        <v>32</v>
      </c>
      <c r="M32" s="109">
        <f>'2018'!K32</f>
        <v>36</v>
      </c>
      <c r="N32" s="183">
        <f>'2019'!K32</f>
        <v>29</v>
      </c>
      <c r="O32" s="164">
        <f>'2016'!N32</f>
        <v>1</v>
      </c>
      <c r="P32" s="165">
        <f>'2017'!N32</f>
        <v>1</v>
      </c>
      <c r="Q32" s="166">
        <f>'2018'!N32</f>
        <v>1</v>
      </c>
      <c r="R32" s="165">
        <f>'2019'!N32</f>
        <v>0.82857142857142863</v>
      </c>
      <c r="S32" s="256">
        <v>0.9916666666666667</v>
      </c>
      <c r="T32" s="113" t="s">
        <v>120</v>
      </c>
      <c r="U32" s="51">
        <f>+'2016'!P32+'2017'!P32+'2018'!P32+'2019'!P32</f>
        <v>7293877</v>
      </c>
      <c r="V32" s="51">
        <f>+'2016'!Q32+'2017'!Q32+'2018'!Q32+'2019'!Q32</f>
        <v>6069463</v>
      </c>
      <c r="W32" s="51">
        <f>+'2016'!R32+'2017'!R32+'2018'!R32+'2019'!R32</f>
        <v>114975</v>
      </c>
      <c r="X32" s="114">
        <f t="shared" si="0"/>
        <v>0.83213125200767712</v>
      </c>
      <c r="Y32" s="112">
        <f t="shared" si="1"/>
        <v>1.8943191514636467E-2</v>
      </c>
    </row>
    <row r="33" spans="2:25" ht="30">
      <c r="B33" s="278"/>
      <c r="C33" s="278"/>
      <c r="D33" s="273" t="s">
        <v>62</v>
      </c>
      <c r="E33" s="14" t="s">
        <v>47</v>
      </c>
      <c r="F33" s="85">
        <v>80</v>
      </c>
      <c r="G33" s="85">
        <f>'2016'!J33</f>
        <v>20</v>
      </c>
      <c r="H33" s="86">
        <f>'2017'!J33</f>
        <v>20</v>
      </c>
      <c r="I33" s="86">
        <f>'2018'!J33</f>
        <v>20</v>
      </c>
      <c r="J33" s="86">
        <f>'2019'!J33</f>
        <v>20</v>
      </c>
      <c r="K33" s="189">
        <f>'2016'!K33</f>
        <v>20</v>
      </c>
      <c r="L33" s="86">
        <f>'2017'!K33</f>
        <v>20</v>
      </c>
      <c r="M33" s="86">
        <f>'2018'!K33</f>
        <v>20</v>
      </c>
      <c r="N33" s="190">
        <f>'2019'!K33</f>
        <v>12</v>
      </c>
      <c r="O33" s="167">
        <f>'2016'!N33</f>
        <v>1</v>
      </c>
      <c r="P33" s="168">
        <f>'2017'!N33</f>
        <v>1</v>
      </c>
      <c r="Q33" s="169">
        <f>'2018'!N33</f>
        <v>1</v>
      </c>
      <c r="R33" s="168">
        <f>'2019'!N33</f>
        <v>0.6</v>
      </c>
      <c r="S33" s="265">
        <v>0.9</v>
      </c>
      <c r="T33" s="87" t="s">
        <v>121</v>
      </c>
      <c r="U33" s="85">
        <f>+'2016'!P33+'2017'!P33+'2018'!P33+'2019'!P33</f>
        <v>265906</v>
      </c>
      <c r="V33" s="85">
        <f>+'2016'!Q33+'2017'!Q33+'2018'!Q33+'2019'!Q33</f>
        <v>145562</v>
      </c>
      <c r="W33" s="85">
        <f>+'2016'!R33+'2017'!R33+'2018'!R33+'2019'!R33</f>
        <v>0</v>
      </c>
      <c r="X33" s="27">
        <f t="shared" si="0"/>
        <v>0.54741901273382321</v>
      </c>
      <c r="Y33" s="26" t="str">
        <f t="shared" si="1"/>
        <v xml:space="preserve"> -</v>
      </c>
    </row>
    <row r="34" spans="2:25" ht="45">
      <c r="B34" s="278"/>
      <c r="C34" s="278"/>
      <c r="D34" s="274"/>
      <c r="E34" s="15" t="s">
        <v>48</v>
      </c>
      <c r="F34" s="45">
        <v>8</v>
      </c>
      <c r="G34" s="45">
        <f>'2016'!J34</f>
        <v>2</v>
      </c>
      <c r="H34" s="55">
        <f>'2017'!J34</f>
        <v>1</v>
      </c>
      <c r="I34" s="55">
        <f>'2018'!J34</f>
        <v>2</v>
      </c>
      <c r="J34" s="55">
        <f>'2019'!J34</f>
        <v>3</v>
      </c>
      <c r="K34" s="187">
        <f>'2016'!K34</f>
        <v>2</v>
      </c>
      <c r="L34" s="55">
        <f>'2017'!K34</f>
        <v>1</v>
      </c>
      <c r="M34" s="55">
        <f>'2018'!K34</f>
        <v>2</v>
      </c>
      <c r="N34" s="77">
        <f>'2019'!K34</f>
        <v>2</v>
      </c>
      <c r="O34" s="155">
        <f>'2016'!N34</f>
        <v>1</v>
      </c>
      <c r="P34" s="156">
        <f>'2017'!N34</f>
        <v>1</v>
      </c>
      <c r="Q34" s="157">
        <f>'2018'!N34</f>
        <v>1</v>
      </c>
      <c r="R34" s="156">
        <f>'2019'!N34</f>
        <v>0.66666666666666663</v>
      </c>
      <c r="S34" s="260">
        <v>0.875</v>
      </c>
      <c r="T34" s="58" t="s">
        <v>122</v>
      </c>
      <c r="U34" s="45">
        <f>+'2016'!P34+'2017'!P34+'2018'!P34+'2019'!P34</f>
        <v>30803</v>
      </c>
      <c r="V34" s="45">
        <f>+'2016'!Q34+'2017'!Q34+'2018'!Q34+'2019'!Q34</f>
        <v>13809</v>
      </c>
      <c r="W34" s="45">
        <f>+'2016'!R34+'2017'!R34+'2018'!R34+'2019'!R34</f>
        <v>0</v>
      </c>
      <c r="X34" s="46">
        <f t="shared" si="0"/>
        <v>0.44830049021199236</v>
      </c>
      <c r="Y34" s="49" t="str">
        <f t="shared" si="1"/>
        <v xml:space="preserve"> -</v>
      </c>
    </row>
    <row r="35" spans="2:25" ht="31" thickBot="1">
      <c r="B35" s="279"/>
      <c r="C35" s="279"/>
      <c r="D35" s="275"/>
      <c r="E35" s="16" t="s">
        <v>49</v>
      </c>
      <c r="F35" s="51">
        <v>8</v>
      </c>
      <c r="G35" s="51">
        <f>'2016'!J35</f>
        <v>2</v>
      </c>
      <c r="H35" s="56">
        <f>'2017'!J35</f>
        <v>2</v>
      </c>
      <c r="I35" s="56">
        <f>'2018'!J35</f>
        <v>2</v>
      </c>
      <c r="J35" s="56">
        <f>'2019'!J35</f>
        <v>2</v>
      </c>
      <c r="K35" s="188">
        <f>'2016'!K35</f>
        <v>2</v>
      </c>
      <c r="L35" s="56">
        <f>'2017'!K35</f>
        <v>2</v>
      </c>
      <c r="M35" s="56">
        <f>'2018'!K35</f>
        <v>3</v>
      </c>
      <c r="N35" s="78">
        <f>'2019'!K35</f>
        <v>2</v>
      </c>
      <c r="O35" s="152">
        <f>'2016'!N35</f>
        <v>1</v>
      </c>
      <c r="P35" s="153">
        <f>'2017'!N35</f>
        <v>1</v>
      </c>
      <c r="Q35" s="154">
        <f>'2018'!N35</f>
        <v>1</v>
      </c>
      <c r="R35" s="153">
        <f>'2019'!N35</f>
        <v>1</v>
      </c>
      <c r="S35" s="261">
        <v>1</v>
      </c>
      <c r="T35" s="59" t="s">
        <v>123</v>
      </c>
      <c r="U35" s="45">
        <f>+'2016'!P35+'2017'!P35+'2018'!P35+'2019'!P35</f>
        <v>302978</v>
      </c>
      <c r="V35" s="45">
        <f>+'2016'!Q35+'2017'!Q35+'2018'!Q35+'2019'!Q35</f>
        <v>268133</v>
      </c>
      <c r="W35" s="45">
        <f>+'2016'!R35+'2017'!R35+'2018'!R35+'2019'!R35</f>
        <v>0</v>
      </c>
      <c r="X35" s="52">
        <f t="shared" si="0"/>
        <v>0.88499164955871379</v>
      </c>
      <c r="Y35" s="53" t="str">
        <f t="shared" si="1"/>
        <v xml:space="preserve"> -</v>
      </c>
    </row>
    <row r="36" spans="2:25" ht="21" customHeight="1" thickBot="1">
      <c r="O36" s="148">
        <f>+AVERAGE(O12:O14,O16:O21,O23:O35)</f>
        <v>0.95419999999999994</v>
      </c>
      <c r="P36" s="147">
        <f t="shared" ref="P36:R36" si="2">+AVERAGE(P12:P14,P16:P21,P23:P35)</f>
        <v>0.93181818181818177</v>
      </c>
      <c r="Q36" s="147">
        <f t="shared" si="2"/>
        <v>0.97045454545454557</v>
      </c>
      <c r="R36" s="147">
        <f t="shared" si="2"/>
        <v>0.70321663059163064</v>
      </c>
      <c r="S36" s="31">
        <f>+AVERAGE(S12:S14,S16:S21,S23:S35)</f>
        <v>0.88878787878787868</v>
      </c>
      <c r="U36" s="28">
        <f>+SUM(U12:U14,U16:U21,U23:U35)</f>
        <v>20997395</v>
      </c>
      <c r="V36" s="29">
        <f t="shared" ref="V36:W36" si="3">+SUM(V12:V14,V16:V21,V23:V35)</f>
        <v>17469276</v>
      </c>
      <c r="W36" s="29">
        <f t="shared" si="3"/>
        <v>1458090</v>
      </c>
      <c r="X36" s="30">
        <f t="shared" si="0"/>
        <v>0.83197349004483656</v>
      </c>
      <c r="Y36" s="31">
        <f t="shared" si="1"/>
        <v>8.3465966191157551E-2</v>
      </c>
    </row>
  </sheetData>
  <mergeCells count="27">
    <mergeCell ref="S10:S11"/>
    <mergeCell ref="B12:B21"/>
    <mergeCell ref="C12:C14"/>
    <mergeCell ref="C16:C21"/>
    <mergeCell ref="D16:D21"/>
    <mergeCell ref="B23:B35"/>
    <mergeCell ref="C23:C35"/>
    <mergeCell ref="D23:D24"/>
    <mergeCell ref="D25:D27"/>
    <mergeCell ref="D28:D30"/>
    <mergeCell ref="D33:D35"/>
    <mergeCell ref="B2:Y2"/>
    <mergeCell ref="B3:Y3"/>
    <mergeCell ref="B4:Y4"/>
    <mergeCell ref="D8:N8"/>
    <mergeCell ref="B9:B11"/>
    <mergeCell ref="C9:C11"/>
    <mergeCell ref="D9:D11"/>
    <mergeCell ref="E9:N9"/>
    <mergeCell ref="O9:S9"/>
    <mergeCell ref="T9:Y10"/>
    <mergeCell ref="E10:E11"/>
    <mergeCell ref="F10:F11"/>
    <mergeCell ref="O10:O11"/>
    <mergeCell ref="P10:P11"/>
    <mergeCell ref="Q10:Q11"/>
    <mergeCell ref="R10:R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6"/>
  <sheetViews>
    <sheetView showGridLines="0" workbookViewId="0"/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325" t="s">
        <v>101</v>
      </c>
      <c r="D3" s="326"/>
      <c r="E3" s="326"/>
      <c r="F3" s="326"/>
      <c r="G3" s="326"/>
      <c r="H3" s="326"/>
      <c r="I3" s="326"/>
      <c r="J3" s="326"/>
      <c r="K3" s="326"/>
      <c r="L3" s="326"/>
      <c r="M3" s="326"/>
      <c r="N3" s="326"/>
      <c r="O3" s="327"/>
    </row>
    <row r="4" spans="2:15" ht="16" thickBot="1">
      <c r="C4" s="200"/>
      <c r="D4" s="200"/>
      <c r="E4" s="200"/>
      <c r="F4" s="200"/>
      <c r="G4" s="200"/>
      <c r="H4" s="200"/>
      <c r="I4" s="200"/>
    </row>
    <row r="5" spans="2:15" ht="19" customHeight="1">
      <c r="C5" s="200"/>
      <c r="D5" s="200"/>
      <c r="E5" s="328" t="s">
        <v>68</v>
      </c>
      <c r="F5" s="329"/>
      <c r="G5" s="329"/>
      <c r="H5" s="329"/>
      <c r="I5" s="332" t="s">
        <v>67</v>
      </c>
      <c r="J5" s="333"/>
      <c r="K5" s="336" t="s">
        <v>69</v>
      </c>
      <c r="L5" s="337"/>
      <c r="M5" s="337"/>
      <c r="N5" s="337"/>
      <c r="O5" s="338"/>
    </row>
    <row r="6" spans="2:15" ht="19" customHeight="1" thickBot="1">
      <c r="E6" s="330"/>
      <c r="F6" s="331"/>
      <c r="G6" s="331"/>
      <c r="H6" s="331"/>
      <c r="I6" s="334"/>
      <c r="J6" s="335"/>
      <c r="K6" s="339" t="s">
        <v>65</v>
      </c>
      <c r="L6" s="340"/>
      <c r="M6" s="340"/>
      <c r="N6" s="340"/>
      <c r="O6" s="341"/>
    </row>
    <row r="7" spans="2:15" ht="32" customHeight="1" thickBot="1">
      <c r="C7" s="342"/>
      <c r="D7" s="343"/>
      <c r="E7" s="201">
        <v>2016</v>
      </c>
      <c r="F7" s="202">
        <v>2017</v>
      </c>
      <c r="G7" s="202">
        <v>2018</v>
      </c>
      <c r="H7" s="202">
        <v>2019</v>
      </c>
      <c r="I7" s="344" t="s">
        <v>65</v>
      </c>
      <c r="J7" s="345"/>
      <c r="K7" s="203" t="s">
        <v>70</v>
      </c>
      <c r="L7" s="204" t="s">
        <v>71</v>
      </c>
      <c r="M7" s="204" t="s">
        <v>72</v>
      </c>
      <c r="N7" s="204" t="s">
        <v>73</v>
      </c>
      <c r="O7" s="205" t="s">
        <v>74</v>
      </c>
    </row>
    <row r="8" spans="2:15" ht="22" customHeight="1" thickBot="1">
      <c r="B8" s="206">
        <v>2</v>
      </c>
      <c r="C8" s="346" t="s">
        <v>75</v>
      </c>
      <c r="D8" s="347"/>
      <c r="E8" s="226">
        <f>+IF(SUM('2016 - 2019'!G12:G21),AVERAGE('2016 - 2019'!O12:O21)," -")</f>
        <v>0.88549999999999995</v>
      </c>
      <c r="F8" s="226">
        <f>+IF(SUM('2016 - 2019'!H12:H21),AVERAGE('2016 - 2019'!P12:P21)," -")</f>
        <v>0.83333333333333337</v>
      </c>
      <c r="G8" s="226">
        <f>+IF(SUM('2016 - 2019'!I12:I21),AVERAGE('2016 - 2019'!Q12:Q21)," -")</f>
        <v>0.9277777777777777</v>
      </c>
      <c r="H8" s="226">
        <f>+IF(SUM('2016 - 2019'!J12:J21),AVERAGE('2016 - 2019'!R12:R21)," -")</f>
        <v>0.53333333333333333</v>
      </c>
      <c r="I8" s="227">
        <f>+AVERAGE('2016 - 2019'!S12:S21)</f>
        <v>0.78648148148148156</v>
      </c>
      <c r="J8" s="228">
        <f t="shared" ref="J8:J14" si="0">+I8</f>
        <v>0.78648148148148156</v>
      </c>
      <c r="K8" s="229">
        <f>+K9+K13</f>
        <v>2535388</v>
      </c>
      <c r="L8" s="230">
        <f t="shared" ref="L8:M8" si="1">+L9+L13</f>
        <v>2008989</v>
      </c>
      <c r="M8" s="230">
        <f t="shared" si="1"/>
        <v>0</v>
      </c>
      <c r="N8" s="231">
        <f t="shared" ref="N8:N14" si="2">IF(K8=0,"-",+L8/K8)</f>
        <v>0.79237931235771408</v>
      </c>
      <c r="O8" s="232" t="str">
        <f t="shared" ref="O8:O15" si="3">IF(M8=0," -",IF(L8=0,100%,M8/L8))</f>
        <v xml:space="preserve"> -</v>
      </c>
    </row>
    <row r="9" spans="2:15" ht="20" customHeight="1">
      <c r="B9" s="207" t="s">
        <v>76</v>
      </c>
      <c r="C9" s="348" t="s">
        <v>54</v>
      </c>
      <c r="D9" s="349"/>
      <c r="E9" s="233">
        <f>+IF(SUM('2016 - 2019'!G12:G14)&gt;0,AVERAGE('2016 - 2019'!O12:O14)," -")</f>
        <v>1</v>
      </c>
      <c r="F9" s="233">
        <f>+IF(SUM('2016 - 2019'!H12:H14)&gt;0,AVERAGE('2016 - 2019'!P12:P14)," -")</f>
        <v>1</v>
      </c>
      <c r="G9" s="233">
        <f>+IF(SUM('2016 - 2019'!I12:I14)&gt;0,AVERAGE('2016 - 2019'!Q12:Q14)," -")</f>
        <v>1</v>
      </c>
      <c r="H9" s="233">
        <f>+IF(SUM('2016 - 2019'!J12:J14)&gt;0,AVERAGE('2016 - 2019'!R12:R14)," -")</f>
        <v>0.33333333333333331</v>
      </c>
      <c r="I9" s="234">
        <f>+AVERAGE('2016 - 2019'!S12:S14)</f>
        <v>0.83333333333333337</v>
      </c>
      <c r="J9" s="235">
        <f t="shared" si="0"/>
        <v>0.83333333333333337</v>
      </c>
      <c r="K9" s="208">
        <f>+SUM(K10:K12)</f>
        <v>570565</v>
      </c>
      <c r="L9" s="209">
        <f t="shared" ref="L9:M9" si="4">+SUM(L10:L12)</f>
        <v>449225</v>
      </c>
      <c r="M9" s="209">
        <f t="shared" si="4"/>
        <v>0</v>
      </c>
      <c r="N9" s="210">
        <f t="shared" si="2"/>
        <v>0.78733360791496143</v>
      </c>
      <c r="O9" s="211" t="str">
        <f t="shared" si="3"/>
        <v xml:space="preserve"> -</v>
      </c>
    </row>
    <row r="10" spans="2:15" ht="18" customHeight="1">
      <c r="B10" s="212" t="s">
        <v>77</v>
      </c>
      <c r="C10" s="350" t="s">
        <v>78</v>
      </c>
      <c r="D10" s="351"/>
      <c r="E10" s="213">
        <f>+IF('2016 - 2019'!G12&gt;0,'2016 - 2019'!O12," -")</f>
        <v>1</v>
      </c>
      <c r="F10" s="213">
        <f>+IF('2016 - 2019'!H12&gt;0,'2016 - 2019'!P12," -")</f>
        <v>1</v>
      </c>
      <c r="G10" s="213">
        <f>+IF('2016 - 2019'!I12&gt;0,'2016 - 2019'!Q12," -")</f>
        <v>1</v>
      </c>
      <c r="H10" s="213">
        <f>+IF('2016 - 2019'!J12&gt;0,'2016 - 2019'!R12," -")</f>
        <v>0</v>
      </c>
      <c r="I10" s="214">
        <f>+'2016 - 2019'!S12</f>
        <v>0.75</v>
      </c>
      <c r="J10" s="215">
        <f t="shared" si="0"/>
        <v>0.75</v>
      </c>
      <c r="K10" s="216">
        <f>+'2016 - 2019'!U12</f>
        <v>323701</v>
      </c>
      <c r="L10" s="45">
        <f>+'2016 - 2019'!V12</f>
        <v>231297</v>
      </c>
      <c r="M10" s="45">
        <f>+'2016 - 2019'!W12</f>
        <v>0</v>
      </c>
      <c r="N10" s="217">
        <f t="shared" si="2"/>
        <v>0.71453903447934974</v>
      </c>
      <c r="O10" s="218" t="str">
        <f t="shared" si="3"/>
        <v xml:space="preserve"> -</v>
      </c>
    </row>
    <row r="11" spans="2:15" ht="18" customHeight="1">
      <c r="B11" s="212" t="s">
        <v>79</v>
      </c>
      <c r="C11" s="350" t="s">
        <v>80</v>
      </c>
      <c r="D11" s="351"/>
      <c r="E11" s="213">
        <f>+IF('2016 - 2019'!G13&gt;0,'2016 - 2019'!O13," -")</f>
        <v>1</v>
      </c>
      <c r="F11" s="213">
        <f>+IF('2016 - 2019'!H13&gt;0,'2016 - 2019'!P13," -")</f>
        <v>1</v>
      </c>
      <c r="G11" s="213">
        <f>+IF('2016 - 2019'!I13&gt;0,'2016 - 2019'!Q13," -")</f>
        <v>1</v>
      </c>
      <c r="H11" s="213">
        <f>+IF('2016 - 2019'!J13&gt;0,'2016 - 2019'!R13," -")</f>
        <v>1</v>
      </c>
      <c r="I11" s="214">
        <f>+'2016 - 2019'!S13</f>
        <v>1</v>
      </c>
      <c r="J11" s="215">
        <f t="shared" si="0"/>
        <v>1</v>
      </c>
      <c r="K11" s="216">
        <f>+'2016 - 2019'!U13</f>
        <v>109110</v>
      </c>
      <c r="L11" s="45">
        <f>+'2016 - 2019'!V13</f>
        <v>102703</v>
      </c>
      <c r="M11" s="45">
        <f>+'2016 - 2019'!W13</f>
        <v>0</v>
      </c>
      <c r="N11" s="217">
        <f t="shared" si="2"/>
        <v>0.94127944276418296</v>
      </c>
      <c r="O11" s="218" t="str">
        <f t="shared" si="3"/>
        <v xml:space="preserve"> -</v>
      </c>
    </row>
    <row r="12" spans="2:15" ht="18" customHeight="1">
      <c r="B12" s="212" t="s">
        <v>81</v>
      </c>
      <c r="C12" s="350" t="s">
        <v>82</v>
      </c>
      <c r="D12" s="351"/>
      <c r="E12" s="213">
        <f>+IF('2016 - 2019'!G14&gt;0,'2016 - 2019'!O14," -")</f>
        <v>1</v>
      </c>
      <c r="F12" s="213">
        <f>+IF('2016 - 2019'!H14&gt;0,'2016 - 2019'!P14," -")</f>
        <v>1</v>
      </c>
      <c r="G12" s="213">
        <f>+IF('2016 - 2019'!I14&gt;0,'2016 - 2019'!Q14," -")</f>
        <v>1</v>
      </c>
      <c r="H12" s="213">
        <f>+IF('2016 - 2019'!J14&gt;0,'2016 - 2019'!R14," -")</f>
        <v>0</v>
      </c>
      <c r="I12" s="214">
        <f>+'2016 - 2019'!S14</f>
        <v>0.75</v>
      </c>
      <c r="J12" s="215">
        <f t="shared" si="0"/>
        <v>0.75</v>
      </c>
      <c r="K12" s="216">
        <f>+'2016 - 2019'!U14</f>
        <v>137754</v>
      </c>
      <c r="L12" s="45">
        <f>+'2016 - 2019'!V14</f>
        <v>115225</v>
      </c>
      <c r="M12" s="45">
        <f>+'2016 - 2019'!W14</f>
        <v>0</v>
      </c>
      <c r="N12" s="217">
        <f t="shared" si="2"/>
        <v>0.83645483978686641</v>
      </c>
      <c r="O12" s="218" t="str">
        <f t="shared" si="3"/>
        <v xml:space="preserve"> -</v>
      </c>
    </row>
    <row r="13" spans="2:15" ht="20" customHeight="1">
      <c r="B13" s="207" t="s">
        <v>83</v>
      </c>
      <c r="C13" s="352" t="s">
        <v>56</v>
      </c>
      <c r="D13" s="353"/>
      <c r="E13" s="219">
        <f>+IF(SUM('2016 - 2019'!G16:G21)&gt;0,AVERAGE('2016 - 2019'!O16:O21)," -")</f>
        <v>0.81679999999999997</v>
      </c>
      <c r="F13" s="219">
        <f>+IF(SUM('2016 - 2019'!H16:H21)&gt;0,AVERAGE('2016 - 2019'!P16:P21)," -")</f>
        <v>0.75</v>
      </c>
      <c r="G13" s="219">
        <f>+IF(SUM('2016 - 2019'!I16:I21)&gt;0,AVERAGE('2016 - 2019'!Q16:Q21)," -")</f>
        <v>0.89166666666666661</v>
      </c>
      <c r="H13" s="219">
        <f>+IF(SUM('2016 - 2019'!J16:J21)&gt;0,AVERAGE('2016 - 2019'!R16:R21)," -")</f>
        <v>0.63333333333333341</v>
      </c>
      <c r="I13" s="220">
        <f>+AVERAGE('2016 - 2019'!S16:S21)</f>
        <v>0.76305555555555549</v>
      </c>
      <c r="J13" s="221">
        <f t="shared" si="0"/>
        <v>0.76305555555555549</v>
      </c>
      <c r="K13" s="222">
        <f>+K14</f>
        <v>1964823</v>
      </c>
      <c r="L13" s="223">
        <f t="shared" ref="L13:M13" si="5">+L14</f>
        <v>1559764</v>
      </c>
      <c r="M13" s="223">
        <f t="shared" si="5"/>
        <v>0</v>
      </c>
      <c r="N13" s="224">
        <f t="shared" si="2"/>
        <v>0.79384453459675508</v>
      </c>
      <c r="O13" s="225" t="str">
        <f t="shared" si="3"/>
        <v xml:space="preserve"> -</v>
      </c>
    </row>
    <row r="14" spans="2:15" ht="18" customHeight="1" thickBot="1">
      <c r="B14" s="212" t="s">
        <v>84</v>
      </c>
      <c r="C14" s="350" t="s">
        <v>85</v>
      </c>
      <c r="D14" s="351"/>
      <c r="E14" s="213">
        <f>+IF(SUM('2016 - 2019'!G16:G21)&gt;0,AVERAGE('2016 - 2019'!O16:O21)," -")</f>
        <v>0.81679999999999997</v>
      </c>
      <c r="F14" s="213">
        <f>+IF(SUM('2016 - 2019'!H16:H21)&gt;0,AVERAGE('2016 - 2019'!P16:P21)," -")</f>
        <v>0.75</v>
      </c>
      <c r="G14" s="213">
        <f>+IF(SUM('2016 - 2019'!I16:I21)&gt;0,AVERAGE('2016 - 2019'!Q16:Q21)," -")</f>
        <v>0.89166666666666661</v>
      </c>
      <c r="H14" s="213">
        <f>+IF(SUM('2016 - 2019'!J16:J21)&gt;0,AVERAGE('2016 - 2019'!R16:R21)," -")</f>
        <v>0.63333333333333341</v>
      </c>
      <c r="I14" s="214">
        <f>+AVERAGE('2016 - 2019'!S16:S21)</f>
        <v>0.76305555555555549</v>
      </c>
      <c r="J14" s="215">
        <f t="shared" si="0"/>
        <v>0.76305555555555549</v>
      </c>
      <c r="K14" s="216">
        <f>+SUM('2016 - 2019'!U16:U21)</f>
        <v>1964823</v>
      </c>
      <c r="L14" s="45">
        <f>+SUM('2016 - 2019'!V16:V21)</f>
        <v>1559764</v>
      </c>
      <c r="M14" s="45">
        <f>+SUM('2016 - 2019'!W16:W21)</f>
        <v>0</v>
      </c>
      <c r="N14" s="217">
        <f t="shared" si="2"/>
        <v>0.79384453459675508</v>
      </c>
      <c r="O14" s="218" t="str">
        <f t="shared" si="3"/>
        <v xml:space="preserve"> -</v>
      </c>
    </row>
    <row r="15" spans="2:15" ht="22" customHeight="1" thickBot="1">
      <c r="B15" s="206">
        <v>4</v>
      </c>
      <c r="C15" s="354" t="s">
        <v>86</v>
      </c>
      <c r="D15" s="355"/>
      <c r="E15" s="236">
        <f>+IF(SUM('2016 - 2019'!G23:G35)&gt;0,AVERAGE('2016 - 2019'!O23:O35)," -")</f>
        <v>1</v>
      </c>
      <c r="F15" s="236">
        <f>+IF(SUM('2016 - 2019'!H23:H35)&gt;0,AVERAGE('2016 - 2019'!P23:P35)," -")</f>
        <v>1</v>
      </c>
      <c r="G15" s="236">
        <f>+IF(SUM('2016 - 2019'!I23:I35)&gt;0,AVERAGE('2016 - 2019'!Q23:Q35)," -")</f>
        <v>1</v>
      </c>
      <c r="H15" s="236">
        <f>+IF(SUM('2016 - 2019'!J23:J35)&gt;0,AVERAGE('2016 - 2019'!R23:R35)," -")</f>
        <v>0.82082814407814397</v>
      </c>
      <c r="I15" s="237">
        <f>+AVERAGE('2016 - 2019'!S23:S35)</f>
        <v>0.95961538461538454</v>
      </c>
      <c r="J15" s="238">
        <f t="shared" ref="J15:J22" si="6">+I15</f>
        <v>0.95961538461538454</v>
      </c>
      <c r="K15" s="239">
        <f>+K16</f>
        <v>18462007</v>
      </c>
      <c r="L15" s="240">
        <f t="shared" ref="L15:M15" si="7">+L16</f>
        <v>15460287</v>
      </c>
      <c r="M15" s="240">
        <f t="shared" si="7"/>
        <v>1458090</v>
      </c>
      <c r="N15" s="241">
        <f t="shared" ref="N15:N22" si="8">IF(K15=0,"-",+L15/K15)</f>
        <v>0.83741095970768509</v>
      </c>
      <c r="O15" s="242">
        <f t="shared" si="3"/>
        <v>9.4311961996565788E-2</v>
      </c>
    </row>
    <row r="16" spans="2:15" ht="20" customHeight="1">
      <c r="B16" s="207" t="s">
        <v>87</v>
      </c>
      <c r="C16" s="352" t="s">
        <v>63</v>
      </c>
      <c r="D16" s="353"/>
      <c r="E16" s="219">
        <f>+IF(SUM('2016 - 2019'!G23:G35)&gt;0,AVERAGE('2016 - 2019'!O23:O35)," -")</f>
        <v>1</v>
      </c>
      <c r="F16" s="219">
        <f>+IF(SUM('2016 - 2019'!H23:H35)&gt;0,AVERAGE('2016 - 2019'!P23:P35)," -")</f>
        <v>1</v>
      </c>
      <c r="G16" s="219">
        <f>+IF(SUM('2016 - 2019'!I23:I35)&gt;0,AVERAGE('2016 - 2019'!Q23:Q35)," -")</f>
        <v>1</v>
      </c>
      <c r="H16" s="219">
        <f>+IF(SUM('2016 - 2019'!J23:J35)&gt;0,AVERAGE('2016 - 2019'!R23:R35)," -")</f>
        <v>0.82082814407814397</v>
      </c>
      <c r="I16" s="220">
        <f>+AVERAGE('2016 - 2019'!S23:S35)</f>
        <v>0.95961538461538454</v>
      </c>
      <c r="J16" s="221">
        <f t="shared" si="6"/>
        <v>0.95961538461538454</v>
      </c>
      <c r="K16" s="222">
        <f>+SUM(K17:K22)</f>
        <v>18462007</v>
      </c>
      <c r="L16" s="223">
        <f t="shared" ref="L16:M16" si="9">+SUM(L17:L22)</f>
        <v>15460287</v>
      </c>
      <c r="M16" s="223">
        <f t="shared" si="9"/>
        <v>1458090</v>
      </c>
      <c r="N16" s="224">
        <f t="shared" si="8"/>
        <v>0.83741095970768509</v>
      </c>
      <c r="O16" s="225">
        <f t="shared" ref="O16:O23" si="10">IF(M16=0," -",IF(L16=0,100%,M16/L16))</f>
        <v>9.4311961996565788E-2</v>
      </c>
    </row>
    <row r="17" spans="2:15" ht="18" customHeight="1">
      <c r="B17" s="212" t="s">
        <v>88</v>
      </c>
      <c r="C17" s="350" t="s">
        <v>89</v>
      </c>
      <c r="D17" s="351"/>
      <c r="E17" s="213">
        <f>+IF(SUM('2016 - 2019'!G23:G24)&gt;0,AVERAGE('2016 - 2019'!O23:O24)," -")</f>
        <v>1</v>
      </c>
      <c r="F17" s="213">
        <f>+IF(SUM('2016 - 2019'!H23:H24)&gt;0,AVERAGE('2016 - 2019'!P23:P24)," -")</f>
        <v>1</v>
      </c>
      <c r="G17" s="213">
        <f>+IF(SUM('2016 - 2019'!I23:I24)&gt;0,AVERAGE('2016 - 2019'!Q23:Q24)," -")</f>
        <v>1</v>
      </c>
      <c r="H17" s="213">
        <f>+IF(SUM('2016 - 2019'!J23:J24)&gt;0,AVERAGE('2016 - 2019'!R23:R24)," -")</f>
        <v>0.92222222222222228</v>
      </c>
      <c r="I17" s="214">
        <f>+AVERAGE('2016 - 2019'!S23:S24)</f>
        <v>1</v>
      </c>
      <c r="J17" s="215">
        <f t="shared" si="6"/>
        <v>1</v>
      </c>
      <c r="K17" s="216">
        <f>+SUM('2016 - 2019'!U23:U24)</f>
        <v>3671560</v>
      </c>
      <c r="L17" s="45">
        <f>+SUM('2016 - 2019'!V23:V24)</f>
        <v>3420817</v>
      </c>
      <c r="M17" s="45">
        <f>+SUM('2016 - 2019'!W23:W24)</f>
        <v>503951</v>
      </c>
      <c r="N17" s="217">
        <f t="shared" si="8"/>
        <v>0.93170668598633821</v>
      </c>
      <c r="O17" s="218">
        <f t="shared" si="10"/>
        <v>0.14731890071874643</v>
      </c>
    </row>
    <row r="18" spans="2:15" ht="18" customHeight="1">
      <c r="B18" s="212" t="s">
        <v>90</v>
      </c>
      <c r="C18" s="350" t="s">
        <v>91</v>
      </c>
      <c r="D18" s="351"/>
      <c r="E18" s="213">
        <f>+IF(SUM('2016 - 2019'!G25:G27)&gt;0,AVERAGE('2016 - 2019'!O25:O27)," -")</f>
        <v>1</v>
      </c>
      <c r="F18" s="213">
        <f>+IF(SUM('2016 - 2019'!H25:H27)&gt;0,AVERAGE('2016 - 2019'!P25:P27)," -")</f>
        <v>1</v>
      </c>
      <c r="G18" s="213">
        <f>+IF(SUM('2016 - 2019'!I25:I27)&gt;0,AVERAGE('2016 - 2019'!Q25:Q27)," -")</f>
        <v>1</v>
      </c>
      <c r="H18" s="213">
        <f>+IF(SUM('2016 - 2019'!J25:J27)&gt;0,AVERAGE('2016 - 2019'!R25:R27)," -")</f>
        <v>0.99258333333333326</v>
      </c>
      <c r="I18" s="214">
        <f>+AVERAGE('2016 - 2019'!S25:S27)</f>
        <v>1</v>
      </c>
      <c r="J18" s="215">
        <f t="shared" si="6"/>
        <v>1</v>
      </c>
      <c r="K18" s="216">
        <f>+SUM('2016 - 2019'!U25:U27)</f>
        <v>5224470</v>
      </c>
      <c r="L18" s="45">
        <f>+SUM('2016 - 2019'!V25:V27)</f>
        <v>4325950</v>
      </c>
      <c r="M18" s="45">
        <f>+SUM('2016 - 2019'!W25:W27)</f>
        <v>839164</v>
      </c>
      <c r="N18" s="217">
        <f t="shared" si="8"/>
        <v>0.82801700459568151</v>
      </c>
      <c r="O18" s="218">
        <f t="shared" si="10"/>
        <v>0.19398374923427225</v>
      </c>
    </row>
    <row r="19" spans="2:15" ht="18" customHeight="1">
      <c r="B19" s="212" t="s">
        <v>92</v>
      </c>
      <c r="C19" s="350" t="s">
        <v>93</v>
      </c>
      <c r="D19" s="351"/>
      <c r="E19" s="213">
        <f>+IF(SUM('2016 - 2019'!G28:G30)&gt;0,AVERAGE('2016 - 2019'!O28:O30)," -")</f>
        <v>1</v>
      </c>
      <c r="F19" s="213">
        <f>+IF(SUM('2016 - 2019'!H28:H30)&gt;0,AVERAGE('2016 - 2019'!P28:P30)," -")</f>
        <v>1</v>
      </c>
      <c r="G19" s="213">
        <f>+IF(SUM('2016 - 2019'!I28:I30)&gt;0,AVERAGE('2016 - 2019'!Q28:Q30)," -")</f>
        <v>1</v>
      </c>
      <c r="H19" s="213">
        <f>+IF(SUM('2016 - 2019'!J28:J30)&gt;0,AVERAGE('2016 - 2019'!R28:R30)," -")</f>
        <v>0.61111111111111105</v>
      </c>
      <c r="I19" s="214">
        <f>+AVERAGE('2016 - 2019'!S28:S30)</f>
        <v>0.90277777777777779</v>
      </c>
      <c r="J19" s="215">
        <f t="shared" si="6"/>
        <v>0.90277777777777779</v>
      </c>
      <c r="K19" s="216">
        <f>+SUM('2016 - 2019'!U28:U30)</f>
        <v>1594247</v>
      </c>
      <c r="L19" s="45">
        <f>+SUM('2016 - 2019'!V28:V30)</f>
        <v>1169287</v>
      </c>
      <c r="M19" s="45">
        <f>+SUM('2016 - 2019'!W28:W30)</f>
        <v>0</v>
      </c>
      <c r="N19" s="217">
        <f t="shared" si="8"/>
        <v>0.73344155579405201</v>
      </c>
      <c r="O19" s="218" t="str">
        <f t="shared" si="10"/>
        <v xml:space="preserve"> -</v>
      </c>
    </row>
    <row r="20" spans="2:15" ht="18" customHeight="1">
      <c r="B20" s="212" t="s">
        <v>94</v>
      </c>
      <c r="C20" s="350" t="s">
        <v>95</v>
      </c>
      <c r="D20" s="351"/>
      <c r="E20" s="213">
        <f>+IF('2016 - 2019'!G31&gt;0,'2016 - 2019'!O31," -")</f>
        <v>1</v>
      </c>
      <c r="F20" s="213">
        <f>+IF('2016 - 2019'!H31&gt;0,'2016 - 2019'!P31," -")</f>
        <v>1</v>
      </c>
      <c r="G20" s="213">
        <f>+IF('2016 - 2019'!I31&gt;0,'2016 - 2019'!Q31," -")</f>
        <v>1</v>
      </c>
      <c r="H20" s="213">
        <f>+IF('2016 - 2019'!J31&gt;0,'2016 - 2019'!R31," -")</f>
        <v>0.92</v>
      </c>
      <c r="I20" s="214">
        <f>+'2016 - 2019'!S31</f>
        <v>1</v>
      </c>
      <c r="J20" s="215">
        <f t="shared" si="6"/>
        <v>1</v>
      </c>
      <c r="K20" s="216">
        <f>+'2016 - 2019'!U31</f>
        <v>78166</v>
      </c>
      <c r="L20" s="45">
        <f>+'2016 - 2019'!V31</f>
        <v>47266</v>
      </c>
      <c r="M20" s="45">
        <f>+'2016 - 2019'!W31</f>
        <v>0</v>
      </c>
      <c r="N20" s="217">
        <f t="shared" si="8"/>
        <v>0.60468746002098095</v>
      </c>
      <c r="O20" s="218" t="str">
        <f t="shared" si="10"/>
        <v xml:space="preserve"> -</v>
      </c>
    </row>
    <row r="21" spans="2:15" ht="18" customHeight="1">
      <c r="B21" s="212" t="s">
        <v>96</v>
      </c>
      <c r="C21" s="350" t="s">
        <v>97</v>
      </c>
      <c r="D21" s="351"/>
      <c r="E21" s="213">
        <f>+IF('2016 - 2019'!G32&gt;0,'2016 - 2019'!O32," -")</f>
        <v>1</v>
      </c>
      <c r="F21" s="213">
        <f>+IF('2016 - 2019'!H32&gt;0,'2016 - 2019'!P32," -")</f>
        <v>1</v>
      </c>
      <c r="G21" s="213">
        <f>+IF('2016 - 2019'!I32&gt;0,'2016 - 2019'!Q32," -")</f>
        <v>1</v>
      </c>
      <c r="H21" s="213">
        <f>+IF('2016 - 2019'!J32&gt;0,'2016 - 2019'!R32," -")</f>
        <v>0.82857142857142863</v>
      </c>
      <c r="I21" s="214">
        <f>+'2016 - 2019'!S32</f>
        <v>0.9916666666666667</v>
      </c>
      <c r="J21" s="215">
        <f t="shared" si="6"/>
        <v>0.9916666666666667</v>
      </c>
      <c r="K21" s="216">
        <f>+'2016 - 2019'!U32</f>
        <v>7293877</v>
      </c>
      <c r="L21" s="45">
        <f>+'2016 - 2019'!V32</f>
        <v>6069463</v>
      </c>
      <c r="M21" s="45">
        <f>+'2016 - 2019'!W32</f>
        <v>114975</v>
      </c>
      <c r="N21" s="217">
        <f t="shared" si="8"/>
        <v>0.83213125200767712</v>
      </c>
      <c r="O21" s="218">
        <f t="shared" si="10"/>
        <v>1.8943191514636467E-2</v>
      </c>
    </row>
    <row r="22" spans="2:15" ht="18" customHeight="1" thickBot="1">
      <c r="B22" s="212" t="s">
        <v>98</v>
      </c>
      <c r="C22" s="350" t="s">
        <v>99</v>
      </c>
      <c r="D22" s="351"/>
      <c r="E22" s="213">
        <f>+IF(SUM('2016 - 2019'!G33:G35)&gt;0,AVERAGE('2016 - 2019'!O33:O35)," -")</f>
        <v>1</v>
      </c>
      <c r="F22" s="213">
        <f>+IF(SUM('2016 - 2019'!H33:H35)&gt;0,AVERAGE('2016 - 2019'!P33:P35)," -")</f>
        <v>1</v>
      </c>
      <c r="G22" s="213">
        <f>+IF(SUM('2016 - 2019'!I33:I35)&gt;0,AVERAGE('2016 - 2019'!Q33:Q35)," -")</f>
        <v>1</v>
      </c>
      <c r="H22" s="213">
        <f>+IF(SUM('2016 - 2019'!J33:J35)&gt;0,AVERAGE('2016 - 2019'!R33:R35)," -")</f>
        <v>0.75555555555555554</v>
      </c>
      <c r="I22" s="214">
        <f>+AVERAGE('2016 - 2019'!S33:S35)</f>
        <v>0.92499999999999993</v>
      </c>
      <c r="J22" s="215">
        <f t="shared" si="6"/>
        <v>0.92499999999999993</v>
      </c>
      <c r="K22" s="252">
        <f>+SUM('2016 - 2019'!U33:U35)</f>
        <v>599687</v>
      </c>
      <c r="L22" s="51">
        <f>+SUM('2016 - 2019'!V33:V35)</f>
        <v>427504</v>
      </c>
      <c r="M22" s="51">
        <f>+SUM('2016 - 2019'!W33:W35)</f>
        <v>0</v>
      </c>
      <c r="N22" s="253">
        <f t="shared" si="8"/>
        <v>0.71287855164444114</v>
      </c>
      <c r="O22" s="254" t="str">
        <f t="shared" si="10"/>
        <v xml:space="preserve"> -</v>
      </c>
    </row>
    <row r="23" spans="2:15" ht="24" customHeight="1" thickBot="1">
      <c r="C23" s="356" t="s">
        <v>100</v>
      </c>
      <c r="D23" s="357"/>
      <c r="E23" s="243">
        <f>+'2016 - 2019'!O36</f>
        <v>0.95419999999999994</v>
      </c>
      <c r="F23" s="243">
        <f>+'2016 - 2019'!P36</f>
        <v>0.93181818181818177</v>
      </c>
      <c r="G23" s="243">
        <f>+'2016 - 2019'!Q36</f>
        <v>0.97045454545454557</v>
      </c>
      <c r="H23" s="243">
        <f>+'2016 - 2019'!R36</f>
        <v>0.70321663059163064</v>
      </c>
      <c r="I23" s="244">
        <f>+'2016 - 2019'!S36</f>
        <v>0.88878787878787868</v>
      </c>
      <c r="J23" s="245">
        <f t="shared" ref="J23" si="11">+I23</f>
        <v>0.88878787878787868</v>
      </c>
      <c r="K23" s="28">
        <f>+K8+K15</f>
        <v>20997395</v>
      </c>
      <c r="L23" s="29">
        <f>+L8+L15</f>
        <v>17469276</v>
      </c>
      <c r="M23" s="29">
        <f>+M8+M15</f>
        <v>1458090</v>
      </c>
      <c r="N23" s="246">
        <f t="shared" ref="N23" si="12">IF(K23=0,"-",+L23/K23)</f>
        <v>0.83197349004483656</v>
      </c>
      <c r="O23" s="247">
        <f t="shared" si="10"/>
        <v>8.3465966191157551E-2</v>
      </c>
    </row>
    <row r="25" spans="2:15" ht="17">
      <c r="C25" s="248" t="str">
        <f>+'2016 - 2019'!C7</f>
        <v>FECHA CORTE</v>
      </c>
      <c r="D25" s="249"/>
      <c r="E25" s="250"/>
      <c r="F25" s="250"/>
      <c r="I25" s="267" t="s">
        <v>124</v>
      </c>
    </row>
    <row r="26" spans="2:15" ht="17">
      <c r="C26" s="251">
        <f>+'2016 - 2019'!C8</f>
        <v>43646</v>
      </c>
    </row>
  </sheetData>
  <mergeCells count="23">
    <mergeCell ref="C21:D21"/>
    <mergeCell ref="C22:D22"/>
    <mergeCell ref="C23:D23"/>
    <mergeCell ref="C16:D16"/>
    <mergeCell ref="C17:D17"/>
    <mergeCell ref="C18:D18"/>
    <mergeCell ref="C19:D19"/>
    <mergeCell ref="C20:D20"/>
    <mergeCell ref="C12:D12"/>
    <mergeCell ref="C13:D13"/>
    <mergeCell ref="C14:D14"/>
    <mergeCell ref="C11:D11"/>
    <mergeCell ref="C15:D15"/>
    <mergeCell ref="C7:D7"/>
    <mergeCell ref="I7:J7"/>
    <mergeCell ref="C8:D8"/>
    <mergeCell ref="C9:D9"/>
    <mergeCell ref="C10:D10"/>
    <mergeCell ref="C3:O3"/>
    <mergeCell ref="E5:H6"/>
    <mergeCell ref="I5:J6"/>
    <mergeCell ref="K5:O5"/>
    <mergeCell ref="K6:O6"/>
  </mergeCells>
  <conditionalFormatting sqref="J1:J1048576">
    <cfRule type="iconSet" priority="2">
      <iconSet iconSet="4Arrows" showValue="0">
        <cfvo type="percent" val="0"/>
        <cfvo type="num" val="0.7"/>
        <cfvo type="num" val="0.75"/>
        <cfvo type="num" val="0.83" gte="0"/>
      </iconSet>
    </cfRule>
  </conditionalFormatting>
  <conditionalFormatting sqref="E8:H23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{22F7D894-DF7A-DB43-A3B1-BBBF9F961648}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2F7D894-DF7A-DB43-A3B1-BBBF9F961648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E8:H23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2019-07-09T20:45:29Z</dcterms:modified>
</cp:coreProperties>
</file>