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59" i="11"/>
  <c r="L12" i="9"/>
  <c r="N12" i="9"/>
  <c r="Q12" i="11"/>
  <c r="L14" i="9"/>
  <c r="N14" i="9"/>
  <c r="Q14" i="11"/>
  <c r="L15" i="9"/>
  <c r="N15" i="9"/>
  <c r="Q15" i="11"/>
  <c r="L17" i="9"/>
  <c r="N17" i="9"/>
  <c r="Q17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3" i="9"/>
  <c r="N33" i="9"/>
  <c r="Q33" i="11"/>
  <c r="L34" i="9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4" i="12"/>
  <c r="L12" i="12"/>
  <c r="L11" i="12"/>
  <c r="M13" i="12"/>
  <c r="M14" i="12"/>
  <c r="M12" i="12"/>
  <c r="M11" i="12"/>
  <c r="L17" i="12"/>
  <c r="L16" i="12"/>
  <c r="L15" i="12"/>
  <c r="M17" i="12"/>
  <c r="M16" i="12"/>
  <c r="M15" i="12"/>
  <c r="V19" i="11"/>
  <c r="V20" i="11"/>
  <c r="V21" i="11"/>
  <c r="V22" i="11"/>
  <c r="V23" i="11"/>
  <c r="L20" i="12"/>
  <c r="V24" i="11"/>
  <c r="V25" i="11"/>
  <c r="V26" i="11"/>
  <c r="V27" i="11"/>
  <c r="V28" i="11"/>
  <c r="L21" i="12"/>
  <c r="V29" i="11"/>
  <c r="V30" i="11"/>
  <c r="V31" i="11"/>
  <c r="L22" i="12"/>
  <c r="L19" i="12"/>
  <c r="V33" i="11"/>
  <c r="L24" i="12"/>
  <c r="V34" i="11"/>
  <c r="V35" i="11"/>
  <c r="L25" i="12"/>
  <c r="V36" i="11"/>
  <c r="L26" i="12"/>
  <c r="V37" i="11"/>
  <c r="V38" i="11"/>
  <c r="V39" i="11"/>
  <c r="V40" i="11"/>
  <c r="V41" i="11"/>
  <c r="V42" i="11"/>
  <c r="L27" i="12"/>
  <c r="V43" i="11"/>
  <c r="L28" i="12"/>
  <c r="L23" i="12"/>
  <c r="V45" i="11"/>
  <c r="V46" i="11"/>
  <c r="V47" i="11"/>
  <c r="V48" i="11"/>
  <c r="V49" i="11"/>
  <c r="L30" i="12"/>
  <c r="V50" i="11"/>
  <c r="V51" i="11"/>
  <c r="V52" i="11"/>
  <c r="V53" i="11"/>
  <c r="V54" i="11"/>
  <c r="V55" i="11"/>
  <c r="V56" i="11"/>
  <c r="L31" i="12"/>
  <c r="V57" i="11"/>
  <c r="V58" i="11"/>
  <c r="L32" i="12"/>
  <c r="L29" i="12"/>
  <c r="L18" i="12"/>
  <c r="W19" i="11"/>
  <c r="W20" i="11"/>
  <c r="W21" i="11"/>
  <c r="W22" i="11"/>
  <c r="W23" i="11"/>
  <c r="M20" i="12"/>
  <c r="W24" i="11"/>
  <c r="W25" i="11"/>
  <c r="W26" i="11"/>
  <c r="W27" i="11"/>
  <c r="W28" i="11"/>
  <c r="M21" i="12"/>
  <c r="W29" i="11"/>
  <c r="W30" i="11"/>
  <c r="W31" i="11"/>
  <c r="M22" i="12"/>
  <c r="M19" i="12"/>
  <c r="W33" i="11"/>
  <c r="M24" i="12"/>
  <c r="W34" i="11"/>
  <c r="W35" i="11"/>
  <c r="M25" i="12"/>
  <c r="W36" i="11"/>
  <c r="M26" i="12"/>
  <c r="W37" i="11"/>
  <c r="W38" i="11"/>
  <c r="W39" i="11"/>
  <c r="W40" i="11"/>
  <c r="W41" i="11"/>
  <c r="W42" i="11"/>
  <c r="M27" i="12"/>
  <c r="W43" i="11"/>
  <c r="M28" i="12"/>
  <c r="M23" i="12"/>
  <c r="W45" i="11"/>
  <c r="W46" i="11"/>
  <c r="W47" i="11"/>
  <c r="W48" i="11"/>
  <c r="W49" i="11"/>
  <c r="M30" i="12"/>
  <c r="W50" i="11"/>
  <c r="W51" i="11"/>
  <c r="W52" i="11"/>
  <c r="W53" i="11"/>
  <c r="W54" i="11"/>
  <c r="W55" i="11"/>
  <c r="W56" i="11"/>
  <c r="M31" i="12"/>
  <c r="W57" i="11"/>
  <c r="W58" i="11"/>
  <c r="M32" i="12"/>
  <c r="M29" i="12"/>
  <c r="M18" i="12"/>
  <c r="U57" i="11"/>
  <c r="U58" i="11"/>
  <c r="K32" i="12"/>
  <c r="U50" i="11"/>
  <c r="U51" i="11"/>
  <c r="U52" i="11"/>
  <c r="U53" i="11"/>
  <c r="U54" i="11"/>
  <c r="U55" i="11"/>
  <c r="U56" i="11"/>
  <c r="K31" i="12"/>
  <c r="U45" i="11"/>
  <c r="U46" i="11"/>
  <c r="U47" i="11"/>
  <c r="U48" i="11"/>
  <c r="U49" i="11"/>
  <c r="K30" i="12"/>
  <c r="U43" i="11"/>
  <c r="K28" i="12"/>
  <c r="U37" i="11"/>
  <c r="U38" i="11"/>
  <c r="U39" i="11"/>
  <c r="U40" i="11"/>
  <c r="U41" i="11"/>
  <c r="U42" i="11"/>
  <c r="K27" i="12"/>
  <c r="U36" i="11"/>
  <c r="K26" i="12"/>
  <c r="U34" i="11"/>
  <c r="U35" i="11"/>
  <c r="K25" i="12"/>
  <c r="U33" i="11"/>
  <c r="K24" i="12"/>
  <c r="U29" i="11"/>
  <c r="U30" i="11"/>
  <c r="U31" i="11"/>
  <c r="K22" i="12"/>
  <c r="U24" i="11"/>
  <c r="U25" i="11"/>
  <c r="U26" i="11"/>
  <c r="U27" i="11"/>
  <c r="U28" i="11"/>
  <c r="K21" i="12"/>
  <c r="U19" i="11"/>
  <c r="U20" i="11"/>
  <c r="U21" i="11"/>
  <c r="U22" i="11"/>
  <c r="U23" i="11"/>
  <c r="K20" i="12"/>
  <c r="K17" i="12"/>
  <c r="K14" i="12"/>
  <c r="K13" i="12"/>
  <c r="K10" i="12"/>
  <c r="K29" i="12"/>
  <c r="K23" i="12"/>
  <c r="K19" i="12"/>
  <c r="K18" i="12"/>
  <c r="K16" i="12"/>
  <c r="K15" i="12"/>
  <c r="K12" i="12"/>
  <c r="K11" i="12"/>
  <c r="K9" i="12"/>
  <c r="K8" i="12"/>
  <c r="M33" i="12"/>
  <c r="L33" i="12"/>
  <c r="K33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F14" i="12"/>
  <c r="G14" i="12"/>
  <c r="H14" i="12"/>
  <c r="H17" i="11"/>
  <c r="F15" i="12"/>
  <c r="I17" i="11"/>
  <c r="G15" i="12"/>
  <c r="J17" i="11"/>
  <c r="H15" i="12"/>
  <c r="F16" i="12"/>
  <c r="G16" i="12"/>
  <c r="H16" i="12"/>
  <c r="F17" i="12"/>
  <c r="G17" i="12"/>
  <c r="H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I33" i="12"/>
  <c r="F33" i="12"/>
  <c r="G33" i="12"/>
  <c r="H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C36" i="12"/>
  <c r="C35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59" i="10"/>
  <c r="N59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V17" i="11"/>
  <c r="W17" i="11"/>
  <c r="U17" i="11"/>
  <c r="K17" i="11"/>
  <c r="V14" i="11"/>
  <c r="W14" i="11"/>
  <c r="V15" i="11"/>
  <c r="W15" i="11"/>
  <c r="U14" i="11"/>
  <c r="U15" i="11"/>
  <c r="K14" i="11"/>
  <c r="K15" i="11"/>
  <c r="V12" i="11"/>
  <c r="W12" i="11"/>
  <c r="U12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40" i="9"/>
  <c r="I39" i="9"/>
  <c r="I40" i="8"/>
  <c r="I39" i="8"/>
  <c r="I52" i="10"/>
  <c r="I49" i="10"/>
  <c r="I48" i="10"/>
  <c r="I47" i="10"/>
  <c r="I43" i="10"/>
  <c r="I52" i="9"/>
  <c r="I49" i="9"/>
  <c r="I48" i="9"/>
  <c r="I47" i="9"/>
  <c r="I43" i="9"/>
  <c r="I52" i="8"/>
  <c r="I49" i="8"/>
  <c r="I48" i="8"/>
  <c r="I47" i="8"/>
  <c r="I43" i="8"/>
  <c r="I15" i="9"/>
  <c r="I12" i="9"/>
  <c r="I15" i="10"/>
  <c r="I12" i="10"/>
  <c r="I14" i="8"/>
  <c r="I14" i="9"/>
  <c r="I14" i="10"/>
  <c r="I17" i="8"/>
  <c r="I17" i="9"/>
  <c r="I17" i="10"/>
  <c r="I19" i="8"/>
  <c r="I19" i="9"/>
  <c r="I19" i="10"/>
  <c r="I20" i="8"/>
  <c r="I20" i="9"/>
  <c r="I20" i="10"/>
  <c r="I21" i="8"/>
  <c r="I21" i="9"/>
  <c r="I21" i="10"/>
  <c r="I22" i="8"/>
  <c r="I22" i="9"/>
  <c r="I22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3" i="8"/>
  <c r="I33" i="9"/>
  <c r="I33" i="10"/>
  <c r="I34" i="8"/>
  <c r="I34" i="9"/>
  <c r="I34" i="10"/>
  <c r="I35" i="8"/>
  <c r="I35" i="9"/>
  <c r="I35" i="10"/>
  <c r="I36" i="8"/>
  <c r="I36" i="9"/>
  <c r="I36" i="10"/>
  <c r="I37" i="8"/>
  <c r="I37" i="9"/>
  <c r="I37" i="10"/>
  <c r="I38" i="8"/>
  <c r="I38" i="9"/>
  <c r="I38" i="10"/>
  <c r="I41" i="8"/>
  <c r="I41" i="9"/>
  <c r="I41" i="10"/>
  <c r="I42" i="8"/>
  <c r="I42" i="9"/>
  <c r="I42" i="10"/>
  <c r="I45" i="8"/>
  <c r="I45" i="9"/>
  <c r="I45" i="10"/>
  <c r="I46" i="8"/>
  <c r="I46" i="9"/>
  <c r="I46" i="10"/>
  <c r="I50" i="8"/>
  <c r="I50" i="9"/>
  <c r="I50" i="10"/>
  <c r="I51" i="8"/>
  <c r="I51" i="9"/>
  <c r="I51" i="10"/>
  <c r="I53" i="8"/>
  <c r="I53" i="9"/>
  <c r="I53" i="10"/>
  <c r="I54" i="8"/>
  <c r="I54" i="9"/>
  <c r="I54" i="10"/>
  <c r="I55" i="8"/>
  <c r="I55" i="9"/>
  <c r="I55" i="10"/>
  <c r="I56" i="8"/>
  <c r="I56" i="9"/>
  <c r="I56" i="10"/>
  <c r="I57" i="8"/>
  <c r="I57" i="9"/>
  <c r="I57" i="10"/>
  <c r="I58" i="8"/>
  <c r="I58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<sst xmlns="http://schemas.openxmlformats.org/spreadsheetml/2006/main" count="681" uniqueCount="169">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</sst>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9" fontId="16" fillId="7" borderId="51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3" fontId="14" fillId="7" borderId="42" xfId="0" applyNumberFormat="1" applyFont="1" applyFill="1" applyBorder="1" applyAlignment="1">
      <alignment horizontal="center" vertical="center"/>
    </xf>
    <xf numFmtId="9" fontId="17" fillId="7" borderId="52" xfId="0" applyNumberFormat="1" applyFont="1" applyFill="1" applyBorder="1" applyAlignment="1" applyProtection="1">
      <alignment horizontal="center" vertical="center"/>
    </xf>
    <xf numFmtId="9" fontId="17" fillId="7" borderId="43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8" borderId="61" xfId="0" applyNumberFormat="1" applyFont="1" applyFill="1" applyBorder="1" applyAlignment="1">
      <alignment horizontal="center" vertical="center"/>
    </xf>
    <xf numFmtId="3" fontId="6" fillId="8" borderId="58" xfId="0" applyNumberFormat="1" applyFont="1" applyFill="1" applyBorder="1" applyAlignment="1">
      <alignment horizontal="center" vertical="center"/>
    </xf>
    <xf numFmtId="9" fontId="5" fillId="8" borderId="68" xfId="0" applyNumberFormat="1" applyFont="1" applyFill="1" applyBorder="1" applyAlignment="1" applyProtection="1">
      <alignment horizontal="center" vertical="center"/>
    </xf>
    <xf numFmtId="9" fontId="5" fillId="8" borderId="6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57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6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36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6" fillId="9" borderId="51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9" fontId="17" fillId="9" borderId="52" xfId="0" applyNumberFormat="1" applyFont="1" applyFill="1" applyBorder="1" applyAlignment="1" applyProtection="1">
      <alignment horizontal="center" vertical="center"/>
    </xf>
    <xf numFmtId="9" fontId="17" fillId="9" borderId="43" xfId="0" applyNumberFormat="1" applyFont="1" applyFill="1" applyBorder="1" applyAlignment="1" applyProtection="1">
      <alignment horizontal="center" vertical="center"/>
    </xf>
    <xf numFmtId="9" fontId="18" fillId="8" borderId="58" xfId="0" applyNumberFormat="1" applyFont="1" applyFill="1" applyBorder="1" applyAlignment="1">
      <alignment horizontal="center" vertical="center" wrapText="1"/>
    </xf>
    <xf numFmtId="9" fontId="19" fillId="8" borderId="71" xfId="0" applyNumberFormat="1" applyFont="1" applyFill="1" applyBorder="1" applyAlignment="1">
      <alignment horizontal="center" vertical="center" wrapText="1"/>
    </xf>
    <xf numFmtId="9" fontId="20" fillId="8" borderId="20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6" fillId="10" borderId="51" xfId="0" applyNumberFormat="1" applyFont="1" applyFill="1" applyBorder="1" applyAlignment="1">
      <alignment horizontal="center" vertical="center" wrapText="1"/>
    </xf>
    <xf numFmtId="3" fontId="14" fillId="10" borderId="41" xfId="0" applyNumberFormat="1" applyFont="1" applyFill="1" applyBorder="1" applyAlignment="1">
      <alignment horizontal="center" vertical="center"/>
    </xf>
    <xf numFmtId="3" fontId="14" fillId="10" borderId="42" xfId="0" applyNumberFormat="1" applyFont="1" applyFill="1" applyBorder="1" applyAlignment="1">
      <alignment horizontal="center" vertical="center"/>
    </xf>
    <xf numFmtId="9" fontId="14" fillId="11" borderId="52" xfId="0" applyNumberFormat="1" applyFont="1" applyFill="1" applyBorder="1" applyAlignment="1" applyProtection="1">
      <alignment horizontal="center" vertical="center"/>
    </xf>
    <xf numFmtId="9" fontId="14" fillId="11" borderId="43" xfId="0" applyNumberFormat="1" applyFont="1" applyFill="1" applyBorder="1" applyAlignment="1" applyProtection="1">
      <alignment horizontal="center" vertical="center"/>
    </xf>
    <xf numFmtId="9" fontId="14" fillId="12" borderId="42" xfId="0" applyNumberFormat="1" applyFont="1" applyFill="1" applyBorder="1" applyAlignment="1">
      <alignment horizontal="center" vertical="center" wrapText="1"/>
    </xf>
    <xf numFmtId="9" fontId="15" fillId="12" borderId="54" xfId="0" applyNumberFormat="1" applyFont="1" applyFill="1" applyBorder="1" applyAlignment="1">
      <alignment horizontal="center" vertical="center" wrapText="1"/>
    </xf>
    <xf numFmtId="9" fontId="16" fillId="12" borderId="51" xfId="0" applyNumberFormat="1" applyFont="1" applyFill="1" applyBorder="1" applyAlignment="1">
      <alignment horizontal="center" vertical="center" wrapText="1"/>
    </xf>
    <xf numFmtId="3" fontId="14" fillId="12" borderId="41" xfId="0" applyNumberFormat="1" applyFont="1" applyFill="1" applyBorder="1" applyAlignment="1">
      <alignment horizontal="center" vertical="center"/>
    </xf>
    <xf numFmtId="3" fontId="14" fillId="12" borderId="42" xfId="0" applyNumberFormat="1" applyFont="1" applyFill="1" applyBorder="1" applyAlignment="1">
      <alignment horizontal="center" vertical="center"/>
    </xf>
    <xf numFmtId="9" fontId="14" fillId="12" borderId="52" xfId="0" applyNumberFormat="1" applyFont="1" applyFill="1" applyBorder="1" applyAlignment="1" applyProtection="1">
      <alignment horizontal="center" vertical="center"/>
    </xf>
    <xf numFmtId="9" fontId="14" fillId="12" borderId="43" xfId="0" applyNumberFormat="1" applyFont="1" applyFill="1" applyBorder="1" applyAlignment="1" applyProtection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9" fontId="22" fillId="2" borderId="51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9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4" fillId="12" borderId="54" xfId="0" applyFont="1" applyFill="1" applyBorder="1" applyAlignment="1">
      <alignment horizontal="justify" vertical="center"/>
    </xf>
    <xf numFmtId="0" fontId="14" fillId="12" borderId="48" xfId="0" applyFont="1" applyFill="1" applyBorder="1" applyAlignment="1">
      <alignment horizontal="justify" vertical="center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4">
        <v>42735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15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289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90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60">
      <c r="B19" s="290"/>
      <c r="C19" s="292" t="s">
        <v>44</v>
      </c>
      <c r="D19" s="285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154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>
      <c r="B20" s="290"/>
      <c r="C20" s="293"/>
      <c r="D20" s="286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155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46" thickBot="1">
      <c r="B21" s="291"/>
      <c r="C21" s="294"/>
      <c r="D21" s="287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156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45">
      <c r="B23" s="289" t="s">
        <v>98</v>
      </c>
      <c r="C23" s="292" t="s">
        <v>95</v>
      </c>
      <c r="D23" s="285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157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75">
      <c r="B24" s="290"/>
      <c r="C24" s="293"/>
      <c r="D24" s="286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">
      <c r="B25" s="290"/>
      <c r="C25" s="293"/>
      <c r="D25" s="286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>
      <c r="B26" s="290"/>
      <c r="C26" s="293"/>
      <c r="D26" s="286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156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6" thickBot="1">
      <c r="B27" s="290"/>
      <c r="C27" s="293"/>
      <c r="D27" s="287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158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>
      <c r="B28" s="290"/>
      <c r="C28" s="293"/>
      <c r="D28" s="285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159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>
      <c r="B29" s="290"/>
      <c r="C29" s="293"/>
      <c r="D29" s="286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159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45">
      <c r="B30" s="290"/>
      <c r="C30" s="293"/>
      <c r="D30" s="286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160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60">
      <c r="B31" s="290"/>
      <c r="C31" s="293"/>
      <c r="D31" s="286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161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46" thickBot="1">
      <c r="B32" s="290"/>
      <c r="C32" s="293"/>
      <c r="D32" s="287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161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>
      <c r="B33" s="290"/>
      <c r="C33" s="293"/>
      <c r="D33" s="285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162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60">
      <c r="B34" s="290"/>
      <c r="C34" s="293"/>
      <c r="D34" s="286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162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61" thickBot="1">
      <c r="B35" s="290"/>
      <c r="C35" s="294"/>
      <c r="D35" s="287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156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3" customHeight="1" thickBot="1">
      <c r="B36" s="290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1" thickBot="1">
      <c r="B37" s="290"/>
      <c r="C37" s="292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163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>
      <c r="B38" s="290"/>
      <c r="C38" s="293"/>
      <c r="D38" s="285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164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1" thickBot="1">
      <c r="B39" s="290"/>
      <c r="C39" s="293"/>
      <c r="D39" s="287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164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6" thickBot="1">
      <c r="B40" s="290"/>
      <c r="C40" s="293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154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>
      <c r="B41" s="290"/>
      <c r="C41" s="293"/>
      <c r="D41" s="285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75">
      <c r="B42" s="290"/>
      <c r="C42" s="293"/>
      <c r="D42" s="286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>
      <c r="B43" s="290"/>
      <c r="C43" s="293"/>
      <c r="D43" s="286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>
      <c r="B44" s="290"/>
      <c r="C44" s="293"/>
      <c r="D44" s="286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156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60">
      <c r="B45" s="290"/>
      <c r="C45" s="293"/>
      <c r="D45" s="286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156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60">
      <c r="B46" s="290"/>
      <c r="C46" s="293"/>
      <c r="D46" s="286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6" thickBot="1">
      <c r="B47" s="290"/>
      <c r="C47" s="293"/>
      <c r="D47" s="287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156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1" thickBot="1">
      <c r="B48" s="290"/>
      <c r="C48" s="294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165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3" customHeight="1" thickBot="1">
      <c r="B49" s="290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>
      <c r="B50" s="293"/>
      <c r="C50" s="289" t="s">
        <v>97</v>
      </c>
      <c r="D50" s="285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166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30">
      <c r="B51" s="293"/>
      <c r="C51" s="290"/>
      <c r="D51" s="286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45">
      <c r="B52" s="293"/>
      <c r="C52" s="290"/>
      <c r="D52" s="286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45">
      <c r="B53" s="293"/>
      <c r="C53" s="290"/>
      <c r="D53" s="286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156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6" thickBot="1">
      <c r="B54" s="293"/>
      <c r="C54" s="290"/>
      <c r="D54" s="287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156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>
      <c r="B55" s="293"/>
      <c r="C55" s="290"/>
      <c r="D55" s="285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>
      <c r="B56" s="293"/>
      <c r="C56" s="290"/>
      <c r="D56" s="286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>
      <c r="B57" s="293"/>
      <c r="C57" s="290"/>
      <c r="D57" s="286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156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60">
      <c r="B58" s="293"/>
      <c r="C58" s="290"/>
      <c r="D58" s="286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60">
      <c r="B59" s="293"/>
      <c r="C59" s="290"/>
      <c r="D59" s="286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60">
      <c r="B60" s="293"/>
      <c r="C60" s="290"/>
      <c r="D60" s="286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61" thickBot="1">
      <c r="B61" s="293"/>
      <c r="C61" s="290"/>
      <c r="D61" s="287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>
      <c r="B62" s="293"/>
      <c r="C62" s="290"/>
      <c r="D62" s="288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167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6" thickBot="1">
      <c r="B63" s="294"/>
      <c r="C63" s="291"/>
      <c r="D63" s="287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167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J10:J11"/>
    <mergeCell ref="M10:M11"/>
    <mergeCell ref="N10:N11"/>
    <mergeCell ref="O9:T10"/>
    <mergeCell ref="B14:B15"/>
    <mergeCell ref="I10:I11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C50:C63"/>
    <mergeCell ref="C37:C48"/>
    <mergeCell ref="C23:C35"/>
    <mergeCell ref="C14:C15"/>
    <mergeCell ref="B23:B63"/>
    <mergeCell ref="D23:D27"/>
    <mergeCell ref="D38:D39"/>
    <mergeCell ref="D41:D47"/>
    <mergeCell ref="D55:D61"/>
    <mergeCell ref="D62:D63"/>
    <mergeCell ref="D28:D32"/>
    <mergeCell ref="D33:D35"/>
    <mergeCell ref="D50:D5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4">
        <v>43100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6" thickBot="1">
      <c r="B15" s="291"/>
      <c r="C15" s="296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75">
      <c r="B20" s="290"/>
      <c r="C20" s="293"/>
      <c r="D20" s="286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158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60">
      <c r="B27" s="290"/>
      <c r="C27" s="293"/>
      <c r="D27" s="286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>
      <c r="B34" s="290"/>
      <c r="C34" s="293"/>
      <c r="D34" s="285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1" thickBot="1">
      <c r="B35" s="290"/>
      <c r="C35" s="293"/>
      <c r="D35" s="287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154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>
      <c r="B37" s="290"/>
      <c r="C37" s="293"/>
      <c r="D37" s="285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290"/>
      <c r="C39" s="293"/>
      <c r="D39" s="286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>
      <c r="B40" s="290"/>
      <c r="C40" s="293"/>
      <c r="D40" s="286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165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6" thickBot="1">
      <c r="B58" s="294"/>
      <c r="C58" s="291"/>
      <c r="D58" s="287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4">
        <v>43434</v>
      </c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0.91388888888888886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>
        <f>+J14+('2017'!I14-'2017'!K14)</f>
        <v>0</v>
      </c>
      <c r="J14" s="45">
        <v>0</v>
      </c>
      <c r="K14" s="80">
        <v>47</v>
      </c>
      <c r="L14" s="124" t="e">
        <f t="shared" ref="L14:L58" si="0">+K14/J14</f>
        <v>#DIV/0!</v>
      </c>
      <c r="M14" s="81">
        <f t="shared" ref="M14:M58" si="1">DAYS360(E14,$C$8)/DAYS360(E14,F14)</f>
        <v>0.91388888888888886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0.91388888888888886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43101</v>
      </c>
      <c r="F17" s="44">
        <v>43465</v>
      </c>
      <c r="G17" s="54" t="s">
        <v>38</v>
      </c>
      <c r="H17" s="45">
        <v>10</v>
      </c>
      <c r="I17" s="78">
        <f>+J17+('2017'!I17-'2017'!K17)</f>
        <v>-22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0.91388888888888886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43101</v>
      </c>
      <c r="F19" s="48">
        <v>43465</v>
      </c>
      <c r="G19" s="9" t="s">
        <v>46</v>
      </c>
      <c r="H19" s="56">
        <v>1</v>
      </c>
      <c r="I19" s="111">
        <f>+J19+('2017'!I19-'2017'!K19)</f>
        <v>0.35000000000000003</v>
      </c>
      <c r="J19" s="56">
        <v>0.4</v>
      </c>
      <c r="K19" s="89">
        <v>0.33</v>
      </c>
      <c r="L19" s="66">
        <f t="shared" si="0"/>
        <v>0.82499999999999996</v>
      </c>
      <c r="M19" s="83">
        <f t="shared" si="1"/>
        <v>0.91388888888888886</v>
      </c>
      <c r="N19" s="15">
        <f t="shared" si="2"/>
        <v>0.82499999999999996</v>
      </c>
      <c r="O19" s="118" t="s">
        <v>157</v>
      </c>
      <c r="P19" s="49">
        <v>121696</v>
      </c>
      <c r="Q19" s="49">
        <v>121696</v>
      </c>
      <c r="R19" s="49">
        <v>40845.5</v>
      </c>
      <c r="S19" s="16">
        <f t="shared" si="3"/>
        <v>1</v>
      </c>
      <c r="T19" s="15">
        <f t="shared" si="4"/>
        <v>0.33563551801209573</v>
      </c>
    </row>
    <row r="20" spans="2:20" ht="75">
      <c r="B20" s="290"/>
      <c r="C20" s="293"/>
      <c r="D20" s="286"/>
      <c r="E20" s="39">
        <v>43101</v>
      </c>
      <c r="F20" s="39">
        <v>43465</v>
      </c>
      <c r="G20" s="10" t="s">
        <v>47</v>
      </c>
      <c r="H20" s="43">
        <v>4</v>
      </c>
      <c r="I20" s="77">
        <f>+J20+('2017'!I20-'2017'!K20)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0.91388888888888886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43101</v>
      </c>
      <c r="F21" s="39">
        <v>43465</v>
      </c>
      <c r="G21" s="10" t="s">
        <v>48</v>
      </c>
      <c r="H21" s="43">
        <v>4</v>
      </c>
      <c r="I21" s="77">
        <f>+J21+('2017'!I21-'2017'!K21)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0.91388888888888886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43101</v>
      </c>
      <c r="F22" s="39">
        <v>43465</v>
      </c>
      <c r="G22" s="8" t="s">
        <v>49</v>
      </c>
      <c r="H22" s="43">
        <v>171</v>
      </c>
      <c r="I22" s="77">
        <f>+J22+('2017'!I22-'2017'!K22)</f>
        <v>65</v>
      </c>
      <c r="J22" s="43">
        <v>60</v>
      </c>
      <c r="K22" s="90">
        <v>27</v>
      </c>
      <c r="L22" s="71">
        <f t="shared" si="0"/>
        <v>0.45</v>
      </c>
      <c r="M22" s="85">
        <f t="shared" si="1"/>
        <v>0.91388888888888886</v>
      </c>
      <c r="N22" s="55">
        <f t="shared" si="2"/>
        <v>0.45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43101</v>
      </c>
      <c r="F23" s="50">
        <v>43465</v>
      </c>
      <c r="G23" s="140" t="s">
        <v>100</v>
      </c>
      <c r="H23" s="57">
        <v>700</v>
      </c>
      <c r="I23" s="74">
        <f>+J23+('2017'!I23-'2017'!K23)</f>
        <v>-225</v>
      </c>
      <c r="J23" s="57">
        <v>0</v>
      </c>
      <c r="K23" s="91">
        <v>71</v>
      </c>
      <c r="L23" s="105" t="e">
        <f t="shared" si="0"/>
        <v>#DIV/0!</v>
      </c>
      <c r="M23" s="106">
        <f t="shared" si="1"/>
        <v>0.91388888888888886</v>
      </c>
      <c r="N23" s="99" t="str">
        <f t="shared" si="2"/>
        <v xml:space="preserve"> -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43101</v>
      </c>
      <c r="F24" s="48">
        <v>43465</v>
      </c>
      <c r="G24" s="11" t="s">
        <v>50</v>
      </c>
      <c r="H24" s="92">
        <v>5</v>
      </c>
      <c r="I24" s="77">
        <f>+J24+('2017'!I24-'2017'!K24)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0.91388888888888886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43101</v>
      </c>
      <c r="F25" s="39">
        <v>43465</v>
      </c>
      <c r="G25" s="8" t="s">
        <v>51</v>
      </c>
      <c r="H25" s="42">
        <v>1</v>
      </c>
      <c r="I25" s="111">
        <f>+J25+('2017'!I25-'2017'!K25)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0.91388888888888886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43101</v>
      </c>
      <c r="F26" s="39">
        <v>43465</v>
      </c>
      <c r="G26" s="8" t="s">
        <v>52</v>
      </c>
      <c r="H26" s="43">
        <v>7</v>
      </c>
      <c r="I26" s="77">
        <f>+J26+('2017'!I26-'2017'!K26)</f>
        <v>-2</v>
      </c>
      <c r="J26" s="43">
        <v>0</v>
      </c>
      <c r="K26" s="90">
        <v>3</v>
      </c>
      <c r="L26" s="123" t="e">
        <f t="shared" si="0"/>
        <v>#DIV/0!</v>
      </c>
      <c r="M26" s="85">
        <f t="shared" si="1"/>
        <v>0.91388888888888886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290"/>
      <c r="C27" s="293"/>
      <c r="D27" s="286"/>
      <c r="E27" s="39">
        <v>43101</v>
      </c>
      <c r="F27" s="39">
        <v>43465</v>
      </c>
      <c r="G27" s="10" t="s">
        <v>53</v>
      </c>
      <c r="H27" s="42">
        <v>1</v>
      </c>
      <c r="I27" s="111">
        <f>+J27+('2017'!I27-'2017'!K27)</f>
        <v>0.2</v>
      </c>
      <c r="J27" s="42">
        <v>0.2</v>
      </c>
      <c r="K27" s="94">
        <v>0.2</v>
      </c>
      <c r="L27" s="123">
        <f t="shared" si="0"/>
        <v>1</v>
      </c>
      <c r="M27" s="85">
        <f t="shared" si="1"/>
        <v>0.91388888888888886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43101</v>
      </c>
      <c r="F28" s="50">
        <v>43465</v>
      </c>
      <c r="G28" s="12" t="s">
        <v>54</v>
      </c>
      <c r="H28" s="58">
        <v>1</v>
      </c>
      <c r="I28" s="108">
        <f>+J28+('2017'!I28-'2017'!K28)</f>
        <v>0.2</v>
      </c>
      <c r="J28" s="58">
        <v>0.2</v>
      </c>
      <c r="K28" s="95">
        <v>0.2</v>
      </c>
      <c r="L28" s="122">
        <f t="shared" si="0"/>
        <v>1</v>
      </c>
      <c r="M28" s="84">
        <f t="shared" si="1"/>
        <v>0.91388888888888886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43101</v>
      </c>
      <c r="F29" s="48">
        <v>43465</v>
      </c>
      <c r="G29" s="9" t="s">
        <v>55</v>
      </c>
      <c r="H29" s="56">
        <v>1</v>
      </c>
      <c r="I29" s="111">
        <f>+J29+('2017'!I29-'2017'!K29)</f>
        <v>0.3</v>
      </c>
      <c r="J29" s="56">
        <v>0.5</v>
      </c>
      <c r="K29" s="89">
        <v>0.4</v>
      </c>
      <c r="L29" s="121">
        <f t="shared" si="0"/>
        <v>0.8</v>
      </c>
      <c r="M29" s="83">
        <f t="shared" si="1"/>
        <v>0.91388888888888886</v>
      </c>
      <c r="N29" s="15">
        <f t="shared" si="2"/>
        <v>0.8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43101</v>
      </c>
      <c r="F30" s="39">
        <v>43465</v>
      </c>
      <c r="G30" s="8" t="s">
        <v>56</v>
      </c>
      <c r="H30" s="43">
        <v>15</v>
      </c>
      <c r="I30" s="77">
        <f>+J30+('2017'!I30-'2017'!K30)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0.91388888888888886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43101</v>
      </c>
      <c r="F31" s="50">
        <v>43465</v>
      </c>
      <c r="G31" s="13" t="s">
        <v>57</v>
      </c>
      <c r="H31" s="57">
        <v>1</v>
      </c>
      <c r="I31" s="77">
        <f>+J31+('2017'!I31-'2017'!K31)</f>
        <v>1</v>
      </c>
      <c r="J31" s="57">
        <v>1</v>
      </c>
      <c r="K31" s="91">
        <v>0</v>
      </c>
      <c r="L31" s="122">
        <f t="shared" si="0"/>
        <v>0</v>
      </c>
      <c r="M31" s="84">
        <f t="shared" si="1"/>
        <v>0.91388888888888886</v>
      </c>
      <c r="N31" s="53">
        <f t="shared" si="2"/>
        <v>0</v>
      </c>
      <c r="O31" s="120" t="s">
        <v>156</v>
      </c>
      <c r="P31" s="51">
        <v>5000</v>
      </c>
      <c r="Q31" s="51">
        <v>0</v>
      </c>
      <c r="R31" s="51">
        <v>0</v>
      </c>
      <c r="S31" s="52">
        <f t="shared" si="3"/>
        <v>0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43101</v>
      </c>
      <c r="F33" s="44">
        <v>43465</v>
      </c>
      <c r="G33" s="54" t="s">
        <v>58</v>
      </c>
      <c r="H33" s="45">
        <v>1000</v>
      </c>
      <c r="I33" s="74">
        <f>+J33+('2017'!I33-'2017'!K33)</f>
        <v>296</v>
      </c>
      <c r="J33" s="45">
        <v>300</v>
      </c>
      <c r="K33" s="80">
        <v>299</v>
      </c>
      <c r="L33" s="103">
        <f t="shared" si="0"/>
        <v>0.9966666666666667</v>
      </c>
      <c r="M33" s="104">
        <f t="shared" si="1"/>
        <v>0.91388888888888886</v>
      </c>
      <c r="N33" s="102">
        <f t="shared" si="2"/>
        <v>0.9966666666666667</v>
      </c>
      <c r="O33" s="100" t="s">
        <v>163</v>
      </c>
      <c r="P33" s="72">
        <v>170000</v>
      </c>
      <c r="Q33" s="72">
        <v>170000</v>
      </c>
      <c r="R33" s="72">
        <v>194930</v>
      </c>
      <c r="S33" s="101">
        <f t="shared" si="3"/>
        <v>1</v>
      </c>
      <c r="T33" s="102">
        <f t="shared" si="4"/>
        <v>1.1466470588235294</v>
      </c>
    </row>
    <row r="34" spans="2:20" ht="45">
      <c r="B34" s="290"/>
      <c r="C34" s="293"/>
      <c r="D34" s="285" t="s">
        <v>88</v>
      </c>
      <c r="E34" s="48">
        <v>43101</v>
      </c>
      <c r="F34" s="48">
        <v>43465</v>
      </c>
      <c r="G34" s="9" t="s">
        <v>59</v>
      </c>
      <c r="H34" s="49">
        <v>10</v>
      </c>
      <c r="I34" s="77">
        <f>+J34+('2017'!I34-'2017'!K34)</f>
        <v>4</v>
      </c>
      <c r="J34" s="49">
        <v>4</v>
      </c>
      <c r="K34" s="86">
        <v>18</v>
      </c>
      <c r="L34" s="121">
        <f t="shared" si="0"/>
        <v>4.5</v>
      </c>
      <c r="M34" s="83">
        <f t="shared" si="1"/>
        <v>0.91388888888888886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290"/>
      <c r="C35" s="293"/>
      <c r="D35" s="287"/>
      <c r="E35" s="50">
        <v>43101</v>
      </c>
      <c r="F35" s="50">
        <v>43465</v>
      </c>
      <c r="G35" s="12" t="s">
        <v>60</v>
      </c>
      <c r="H35" s="51">
        <v>250</v>
      </c>
      <c r="I35" s="74">
        <f>+J35+('2017'!I35-'2017'!K35)</f>
        <v>150</v>
      </c>
      <c r="J35" s="51">
        <v>150</v>
      </c>
      <c r="K35" s="88">
        <v>247</v>
      </c>
      <c r="L35" s="128">
        <f t="shared" si="0"/>
        <v>1.6466666666666667</v>
      </c>
      <c r="M35" s="106">
        <f t="shared" si="1"/>
        <v>0.91388888888888886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43101</v>
      </c>
      <c r="F36" s="44">
        <v>43465</v>
      </c>
      <c r="G36" s="54" t="s">
        <v>61</v>
      </c>
      <c r="H36" s="45">
        <v>6202</v>
      </c>
      <c r="I36" s="74">
        <f>+J36+('2017'!I36-'2017'!K36)</f>
        <v>2348</v>
      </c>
      <c r="J36" s="45">
        <v>1902</v>
      </c>
      <c r="K36" s="127">
        <v>904</v>
      </c>
      <c r="L36" s="124">
        <f t="shared" si="0"/>
        <v>0.47528916929547843</v>
      </c>
      <c r="M36" s="81">
        <f t="shared" si="1"/>
        <v>0.91388888888888886</v>
      </c>
      <c r="N36" s="47">
        <f t="shared" si="2"/>
        <v>0.47528916929547843</v>
      </c>
      <c r="O36" s="65" t="s">
        <v>154</v>
      </c>
      <c r="P36" s="45">
        <v>3151364</v>
      </c>
      <c r="Q36" s="45">
        <v>3151364</v>
      </c>
      <c r="R36" s="45">
        <v>1673803.58</v>
      </c>
      <c r="S36" s="46">
        <f t="shared" si="3"/>
        <v>1</v>
      </c>
      <c r="T36" s="47">
        <f t="shared" si="4"/>
        <v>0.53113622545665939</v>
      </c>
    </row>
    <row r="37" spans="2:20" ht="30">
      <c r="B37" s="290"/>
      <c r="C37" s="293"/>
      <c r="D37" s="285" t="s">
        <v>90</v>
      </c>
      <c r="E37" s="48">
        <v>43101</v>
      </c>
      <c r="F37" s="48">
        <v>43465</v>
      </c>
      <c r="G37" s="9" t="s">
        <v>62</v>
      </c>
      <c r="H37" s="49">
        <v>50</v>
      </c>
      <c r="I37" s="77">
        <f>+J37+('2017'!I37-'2017'!K37)</f>
        <v>12</v>
      </c>
      <c r="J37" s="49">
        <v>12</v>
      </c>
      <c r="K37" s="86">
        <v>12</v>
      </c>
      <c r="L37" s="113">
        <f t="shared" si="0"/>
        <v>1</v>
      </c>
      <c r="M37" s="114">
        <f t="shared" si="1"/>
        <v>0.91388888888888886</v>
      </c>
      <c r="N37" s="112">
        <f t="shared" si="2"/>
        <v>1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43101</v>
      </c>
      <c r="F38" s="39">
        <v>43465</v>
      </c>
      <c r="G38" s="10" t="s">
        <v>63</v>
      </c>
      <c r="H38" s="42">
        <v>1</v>
      </c>
      <c r="I38" s="111">
        <f>+J38+('2017'!I38-'2017'!K38)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0.91388888888888886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0</v>
      </c>
      <c r="S38" s="41" t="str">
        <f t="shared" si="3"/>
        <v xml:space="preserve"> -</v>
      </c>
      <c r="T38" s="55" t="str">
        <f t="shared" si="4"/>
        <v xml:space="preserve"> -</v>
      </c>
    </row>
    <row r="39" spans="2:20" ht="60">
      <c r="B39" s="290"/>
      <c r="C39" s="293"/>
      <c r="D39" s="286"/>
      <c r="E39" s="39">
        <v>43101</v>
      </c>
      <c r="F39" s="39">
        <v>43465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0.91388888888888886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290"/>
      <c r="C40" s="293"/>
      <c r="D40" s="286"/>
      <c r="E40" s="39">
        <v>43101</v>
      </c>
      <c r="F40" s="39">
        <v>43465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0.91388888888888886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43101</v>
      </c>
      <c r="F41" s="39">
        <v>43465</v>
      </c>
      <c r="G41" s="8" t="s">
        <v>67</v>
      </c>
      <c r="H41" s="40">
        <v>20</v>
      </c>
      <c r="I41" s="77">
        <f>+J41+('2017'!I41-'2017'!K41)</f>
        <v>0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0.91388888888888886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43101</v>
      </c>
      <c r="F42" s="50">
        <v>43465</v>
      </c>
      <c r="G42" s="13" t="s">
        <v>68</v>
      </c>
      <c r="H42" s="51">
        <v>500</v>
      </c>
      <c r="I42" s="51">
        <f>+J42+('2017'!I42-'2017'!K42)</f>
        <v>150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0.91388888888888886</v>
      </c>
      <c r="N42" s="99" t="str">
        <f t="shared" si="2"/>
        <v xml:space="preserve"> -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43101</v>
      </c>
      <c r="F43" s="44">
        <v>43465</v>
      </c>
      <c r="G43" s="82" t="s">
        <v>69</v>
      </c>
      <c r="H43" s="96">
        <v>1</v>
      </c>
      <c r="I43" s="111">
        <f>+J43</f>
        <v>1</v>
      </c>
      <c r="J43" s="96">
        <v>1</v>
      </c>
      <c r="K43" s="126">
        <v>0.9</v>
      </c>
      <c r="L43" s="124">
        <f t="shared" si="0"/>
        <v>0.9</v>
      </c>
      <c r="M43" s="81">
        <f t="shared" si="1"/>
        <v>0.91388888888888886</v>
      </c>
      <c r="N43" s="47">
        <f t="shared" si="2"/>
        <v>0.9</v>
      </c>
      <c r="O43" s="65" t="s">
        <v>165</v>
      </c>
      <c r="P43" s="45">
        <v>2395953.09</v>
      </c>
      <c r="Q43" s="45">
        <v>1610032</v>
      </c>
      <c r="R43" s="45">
        <v>0</v>
      </c>
      <c r="S43" s="46">
        <f t="shared" si="3"/>
        <v>0.67197976735011955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43101</v>
      </c>
      <c r="F45" s="48">
        <v>43465</v>
      </c>
      <c r="G45" s="9" t="s">
        <v>70</v>
      </c>
      <c r="H45" s="49">
        <v>1500</v>
      </c>
      <c r="I45" s="77">
        <f>+J45+('2017'!I45-'2017'!K45)</f>
        <v>276</v>
      </c>
      <c r="J45" s="49">
        <v>350</v>
      </c>
      <c r="K45" s="86">
        <v>504</v>
      </c>
      <c r="L45" s="66">
        <f t="shared" si="0"/>
        <v>1.44</v>
      </c>
      <c r="M45" s="83">
        <f t="shared" si="1"/>
        <v>0.91388888888888886</v>
      </c>
      <c r="N45" s="15">
        <f t="shared" si="2"/>
        <v>1</v>
      </c>
      <c r="O45" s="68" t="s">
        <v>166</v>
      </c>
      <c r="P45" s="49">
        <v>118100</v>
      </c>
      <c r="Q45" s="49">
        <v>122350</v>
      </c>
      <c r="R45" s="49">
        <v>0</v>
      </c>
      <c r="S45" s="16">
        <f t="shared" si="3"/>
        <v>1.0359864521591871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43101</v>
      </c>
      <c r="F46" s="39">
        <v>43465</v>
      </c>
      <c r="G46" s="10" t="s">
        <v>71</v>
      </c>
      <c r="H46" s="40">
        <v>1000</v>
      </c>
      <c r="I46" s="77">
        <f>+J46+('2017'!I46-'2017'!K46)</f>
        <v>273</v>
      </c>
      <c r="J46" s="40">
        <v>360</v>
      </c>
      <c r="K46" s="87">
        <v>348</v>
      </c>
      <c r="L46" s="71">
        <f t="shared" si="0"/>
        <v>0.96666666666666667</v>
      </c>
      <c r="M46" s="85">
        <f t="shared" si="1"/>
        <v>0.91388888888888886</v>
      </c>
      <c r="N46" s="55">
        <f t="shared" si="2"/>
        <v>0.96666666666666667</v>
      </c>
      <c r="O46" s="70">
        <v>0</v>
      </c>
      <c r="P46" s="40">
        <v>31900</v>
      </c>
      <c r="Q46" s="40">
        <v>27550</v>
      </c>
      <c r="R46" s="40">
        <v>0</v>
      </c>
      <c r="S46" s="41">
        <f t="shared" si="3"/>
        <v>0.86363636363636365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43101</v>
      </c>
      <c r="F47" s="39">
        <v>43465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0.91388888888888886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43101</v>
      </c>
      <c r="F48" s="39">
        <v>43465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0.91388888888888886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43101</v>
      </c>
      <c r="F49" s="50">
        <v>43465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0.91388888888888886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43101</v>
      </c>
      <c r="F50" s="48">
        <v>43465</v>
      </c>
      <c r="G50" s="11" t="s">
        <v>75</v>
      </c>
      <c r="H50" s="49">
        <v>1700</v>
      </c>
      <c r="I50" s="77">
        <f>+J50+('2017'!I50-'2017'!K50)</f>
        <v>56</v>
      </c>
      <c r="J50" s="49">
        <v>200</v>
      </c>
      <c r="K50" s="86">
        <v>1509</v>
      </c>
      <c r="L50" s="66">
        <f t="shared" si="0"/>
        <v>7.5449999999999999</v>
      </c>
      <c r="M50" s="83">
        <f t="shared" si="1"/>
        <v>0.91388888888888886</v>
      </c>
      <c r="N50" s="15">
        <f t="shared" si="2"/>
        <v>1</v>
      </c>
      <c r="O50" s="68">
        <v>0</v>
      </c>
      <c r="P50" s="49">
        <v>64724</v>
      </c>
      <c r="Q50" s="49">
        <v>58528</v>
      </c>
      <c r="R50" s="49">
        <v>0</v>
      </c>
      <c r="S50" s="16">
        <f t="shared" si="3"/>
        <v>0.90427044064025708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43101</v>
      </c>
      <c r="F51" s="39">
        <v>43465</v>
      </c>
      <c r="G51" s="8" t="s">
        <v>76</v>
      </c>
      <c r="H51" s="40">
        <v>200</v>
      </c>
      <c r="I51" s="77">
        <f>+J51+('2017'!I51-'2017'!K51)</f>
        <v>67</v>
      </c>
      <c r="J51" s="40">
        <v>100</v>
      </c>
      <c r="K51" s="87">
        <v>257</v>
      </c>
      <c r="L51" s="71">
        <f t="shared" si="0"/>
        <v>2.57</v>
      </c>
      <c r="M51" s="85">
        <f t="shared" si="1"/>
        <v>0.91388888888888886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43101</v>
      </c>
      <c r="F52" s="39">
        <v>43465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0.91388888888888886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43101</v>
      </c>
      <c r="F53" s="39">
        <v>43465</v>
      </c>
      <c r="G53" s="8" t="s">
        <v>78</v>
      </c>
      <c r="H53" s="40">
        <v>100</v>
      </c>
      <c r="I53" s="77">
        <f>+J53+('2017'!I53-'2017'!K53)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0.91388888888888886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43101</v>
      </c>
      <c r="F54" s="39">
        <v>43465</v>
      </c>
      <c r="G54" s="8" t="s">
        <v>79</v>
      </c>
      <c r="H54" s="40">
        <v>1000</v>
      </c>
      <c r="I54" s="77">
        <f>+J54+('2017'!I54-'2017'!K54)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0.91388888888888886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43101</v>
      </c>
      <c r="F55" s="39">
        <v>43465</v>
      </c>
      <c r="G55" s="8" t="s">
        <v>80</v>
      </c>
      <c r="H55" s="40">
        <v>400</v>
      </c>
      <c r="I55" s="77">
        <f>+J55+('2017'!I55-'2017'!K55)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0.91388888888888886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43101</v>
      </c>
      <c r="F56" s="50">
        <v>43465</v>
      </c>
      <c r="G56" s="13" t="s">
        <v>81</v>
      </c>
      <c r="H56" s="51">
        <v>1500</v>
      </c>
      <c r="I56" s="51">
        <f>+J56+('2017'!I56-'2017'!K56)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0.91388888888888886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43101</v>
      </c>
      <c r="F57" s="75">
        <v>43465</v>
      </c>
      <c r="G57" s="76" t="s">
        <v>82</v>
      </c>
      <c r="H57" s="77">
        <v>4</v>
      </c>
      <c r="I57" s="77">
        <f>+J57+('2017'!I57-'2017'!K57)</f>
        <v>-2</v>
      </c>
      <c r="J57" s="77">
        <v>0</v>
      </c>
      <c r="K57" s="130">
        <v>0</v>
      </c>
      <c r="L57" s="113" t="e">
        <f t="shared" si="0"/>
        <v>#DIV/0!</v>
      </c>
      <c r="M57" s="114">
        <f t="shared" si="1"/>
        <v>0.91388888888888886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294"/>
      <c r="C58" s="291"/>
      <c r="D58" s="287"/>
      <c r="E58" s="50">
        <v>43101</v>
      </c>
      <c r="F58" s="50">
        <v>43465</v>
      </c>
      <c r="G58" s="12" t="s">
        <v>83</v>
      </c>
      <c r="H58" s="51">
        <v>8</v>
      </c>
      <c r="I58" s="51">
        <f>+J58+('2017'!I58-'2017'!K58)</f>
        <v>2</v>
      </c>
      <c r="J58" s="51">
        <v>2</v>
      </c>
      <c r="K58" s="88">
        <v>2</v>
      </c>
      <c r="L58" s="67">
        <f t="shared" si="0"/>
        <v>1</v>
      </c>
      <c r="M58" s="84">
        <f t="shared" si="1"/>
        <v>0.91388888888888886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0.91388888888888908</v>
      </c>
      <c r="N59" s="59">
        <f>+AVERAGE(N12,N14:N15,N17,N19:N31,N33:N43,N45:N58)</f>
        <v>0.9005239424088004</v>
      </c>
      <c r="P59" s="132">
        <f>+SUM(P12,P14:P15,P17,P19:P31,P33:P43,P45:P58)</f>
        <v>6058737.0899999999</v>
      </c>
      <c r="Q59" s="131">
        <f>+SUM(Q12,Q14:Q15,Q17,Q19:Q31,Q33:Q43,Q45:Q58)</f>
        <v>5261520</v>
      </c>
      <c r="R59" s="131">
        <f>+SUM(R12,R14:R15,R17,R19:R31,R33:R43,R45:R58)</f>
        <v>1909579.08</v>
      </c>
      <c r="S59" s="133">
        <f t="shared" si="3"/>
        <v>0.86841860305907415</v>
      </c>
      <c r="T59" s="134">
        <f t="shared" si="4"/>
        <v>0.36293296994024543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</row>
    <row r="3" spans="2:20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4"/>
      <c r="D8" s="298" t="s">
        <v>3</v>
      </c>
      <c r="E8" s="299"/>
      <c r="F8" s="299"/>
      <c r="G8" s="299"/>
      <c r="H8" s="299"/>
      <c r="I8" s="299"/>
      <c r="J8" s="299"/>
      <c r="K8" s="30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01" t="s">
        <v>17</v>
      </c>
      <c r="C9" s="304" t="s">
        <v>18</v>
      </c>
      <c r="D9" s="306" t="s">
        <v>0</v>
      </c>
      <c r="E9" s="309" t="s">
        <v>4</v>
      </c>
      <c r="F9" s="309"/>
      <c r="G9" s="309" t="s">
        <v>5</v>
      </c>
      <c r="H9" s="309"/>
      <c r="I9" s="309"/>
      <c r="J9" s="309"/>
      <c r="K9" s="311"/>
      <c r="L9" s="5"/>
      <c r="M9" s="306" t="s">
        <v>6</v>
      </c>
      <c r="N9" s="311"/>
      <c r="O9" s="322" t="s">
        <v>24</v>
      </c>
      <c r="P9" s="323"/>
      <c r="Q9" s="323"/>
      <c r="R9" s="323"/>
      <c r="S9" s="323"/>
      <c r="T9" s="324"/>
    </row>
    <row r="10" spans="2:20" ht="17" customHeight="1">
      <c r="B10" s="302"/>
      <c r="C10" s="305"/>
      <c r="D10" s="307"/>
      <c r="E10" s="310"/>
      <c r="F10" s="310"/>
      <c r="G10" s="310" t="s">
        <v>7</v>
      </c>
      <c r="H10" s="314" t="s">
        <v>25</v>
      </c>
      <c r="I10" s="314" t="s">
        <v>26</v>
      </c>
      <c r="J10" s="316" t="s">
        <v>1</v>
      </c>
      <c r="K10" s="312" t="s">
        <v>8</v>
      </c>
      <c r="L10" s="6"/>
      <c r="M10" s="318" t="s">
        <v>9</v>
      </c>
      <c r="N10" s="320" t="s">
        <v>10</v>
      </c>
      <c r="O10" s="325"/>
      <c r="P10" s="326"/>
      <c r="Q10" s="326"/>
      <c r="R10" s="326"/>
      <c r="S10" s="326"/>
      <c r="T10" s="327"/>
    </row>
    <row r="11" spans="2:20" ht="37.5" customHeight="1" thickBot="1">
      <c r="B11" s="303"/>
      <c r="C11" s="305"/>
      <c r="D11" s="308"/>
      <c r="E11" s="17" t="s">
        <v>11</v>
      </c>
      <c r="F11" s="17" t="s">
        <v>12</v>
      </c>
      <c r="G11" s="314"/>
      <c r="H11" s="315"/>
      <c r="I11" s="328"/>
      <c r="J11" s="317"/>
      <c r="K11" s="313"/>
      <c r="L11" s="18"/>
      <c r="M11" s="319"/>
      <c r="N11" s="32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/>
      <c r="L12" s="64">
        <f>+K12/J12</f>
        <v>0</v>
      </c>
      <c r="M12" s="81">
        <f>DAYS360(E12,$C$8)/DAYS360(E12,F12)</f>
        <v>-119.00277777777778</v>
      </c>
      <c r="N12" s="47">
        <f>IF(J12=0," -",IF(L12&gt;100%,100%,L12))</f>
        <v>0</v>
      </c>
      <c r="O12" s="65" t="s">
        <v>153</v>
      </c>
      <c r="P12" s="45">
        <v>0</v>
      </c>
      <c r="Q12" s="45"/>
      <c r="R12" s="45"/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89" t="s">
        <v>34</v>
      </c>
      <c r="C14" s="295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+J14+('2018'!I14-'2018'!K14)</f>
        <v>-41</v>
      </c>
      <c r="J14" s="45">
        <v>6</v>
      </c>
      <c r="K14" s="80"/>
      <c r="L14" s="124">
        <f t="shared" ref="L14:L58" si="0">+K14/J14</f>
        <v>0</v>
      </c>
      <c r="M14" s="81">
        <f t="shared" ref="M14:M58" si="1">DAYS360(E14,$C$8)/DAYS360(E14,F14)</f>
        <v>-119.00277777777778</v>
      </c>
      <c r="N14" s="47">
        <f t="shared" ref="N14:N58" si="2">IF(J14=0," -",IF(L14&gt;100%,100%,L14))</f>
        <v>0</v>
      </c>
      <c r="O14" s="117">
        <v>0</v>
      </c>
      <c r="P14" s="45">
        <v>400000</v>
      </c>
      <c r="Q14" s="45"/>
      <c r="R14" s="45"/>
      <c r="S14" s="46">
        <f t="shared" ref="S14:S59" si="3">IF(P14=0," -",Q14/P14)</f>
        <v>0</v>
      </c>
      <c r="T14" s="47" t="str">
        <f t="shared" ref="T14:T59" si="4">IF(R14=0," -",IF(Q14=0,100%,R14/Q14))</f>
        <v xml:space="preserve"> -</v>
      </c>
    </row>
    <row r="15" spans="2:20" ht="46" thickBot="1">
      <c r="B15" s="291"/>
      <c r="C15" s="296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/>
      <c r="L15" s="115">
        <f t="shared" si="0"/>
        <v>0</v>
      </c>
      <c r="M15" s="116">
        <f t="shared" si="1"/>
        <v>-119.00277777777778</v>
      </c>
      <c r="N15" s="109">
        <f t="shared" si="2"/>
        <v>0</v>
      </c>
      <c r="O15" s="107" t="s">
        <v>154</v>
      </c>
      <c r="P15" s="74">
        <v>0</v>
      </c>
      <c r="Q15" s="74"/>
      <c r="R15" s="74"/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+J17+('2018'!I17-'2018'!K17)</f>
        <v>-15</v>
      </c>
      <c r="J17" s="45">
        <v>7</v>
      </c>
      <c r="K17" s="80"/>
      <c r="L17" s="64">
        <f t="shared" si="0"/>
        <v>0</v>
      </c>
      <c r="M17" s="81">
        <f t="shared" si="1"/>
        <v>-119.00277777777778</v>
      </c>
      <c r="N17" s="47">
        <f t="shared" si="2"/>
        <v>0</v>
      </c>
      <c r="O17" s="65">
        <v>0</v>
      </c>
      <c r="P17" s="45">
        <v>30000</v>
      </c>
      <c r="Q17" s="45"/>
      <c r="R17" s="45"/>
      <c r="S17" s="46">
        <f t="shared" si="3"/>
        <v>0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89" t="s">
        <v>98</v>
      </c>
      <c r="C19" s="292" t="s">
        <v>95</v>
      </c>
      <c r="D19" s="285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+J19+('2018'!I19-'2018'!K19)</f>
        <v>0.37</v>
      </c>
      <c r="J19" s="56">
        <v>0.35</v>
      </c>
      <c r="K19" s="89"/>
      <c r="L19" s="66">
        <f t="shared" si="0"/>
        <v>0</v>
      </c>
      <c r="M19" s="83">
        <f t="shared" si="1"/>
        <v>-119.00277777777778</v>
      </c>
      <c r="N19" s="15">
        <f t="shared" si="2"/>
        <v>0</v>
      </c>
      <c r="O19" s="118" t="s">
        <v>157</v>
      </c>
      <c r="P19" s="49">
        <v>200000</v>
      </c>
      <c r="Q19" s="49"/>
      <c r="R19" s="49"/>
      <c r="S19" s="16">
        <f t="shared" si="3"/>
        <v>0</v>
      </c>
      <c r="T19" s="15" t="str">
        <f t="shared" si="4"/>
        <v xml:space="preserve"> -</v>
      </c>
    </row>
    <row r="20" spans="2:20" ht="75">
      <c r="B20" s="290"/>
      <c r="C20" s="293"/>
      <c r="D20" s="286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+J20+('2018'!I20-'2018'!K20)</f>
        <v>4</v>
      </c>
      <c r="J20" s="43">
        <v>4</v>
      </c>
      <c r="K20" s="90"/>
      <c r="L20" s="71">
        <f t="shared" si="0"/>
        <v>0</v>
      </c>
      <c r="M20" s="85">
        <f t="shared" si="1"/>
        <v>-119.00277777777778</v>
      </c>
      <c r="N20" s="55">
        <f t="shared" si="2"/>
        <v>0</v>
      </c>
      <c r="O20" s="119">
        <v>0</v>
      </c>
      <c r="P20" s="40">
        <v>500000</v>
      </c>
      <c r="Q20" s="40"/>
      <c r="R20" s="40"/>
      <c r="S20" s="41">
        <f t="shared" si="3"/>
        <v>0</v>
      </c>
      <c r="T20" s="55" t="str">
        <f t="shared" si="4"/>
        <v xml:space="preserve"> -</v>
      </c>
    </row>
    <row r="21" spans="2:20" ht="60">
      <c r="B21" s="290"/>
      <c r="C21" s="293"/>
      <c r="D21" s="286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+J21+('2018'!I21-'2018'!K21)</f>
        <v>4</v>
      </c>
      <c r="J21" s="43">
        <v>4</v>
      </c>
      <c r="K21" s="90"/>
      <c r="L21" s="71">
        <f t="shared" si="0"/>
        <v>0</v>
      </c>
      <c r="M21" s="85">
        <f t="shared" si="1"/>
        <v>-119.00277777777778</v>
      </c>
      <c r="N21" s="55">
        <f t="shared" si="2"/>
        <v>0</v>
      </c>
      <c r="O21" s="119">
        <v>0</v>
      </c>
      <c r="P21" s="40">
        <v>800000</v>
      </c>
      <c r="Q21" s="40"/>
      <c r="R21" s="40"/>
      <c r="S21" s="41">
        <f t="shared" si="3"/>
        <v>0</v>
      </c>
      <c r="T21" s="55" t="str">
        <f t="shared" si="4"/>
        <v xml:space="preserve"> -</v>
      </c>
    </row>
    <row r="22" spans="2:20" ht="30">
      <c r="B22" s="290"/>
      <c r="C22" s="293"/>
      <c r="D22" s="286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+J22+('2018'!I22-'2018'!K22)</f>
        <v>89</v>
      </c>
      <c r="J22" s="43">
        <v>51</v>
      </c>
      <c r="K22" s="90"/>
      <c r="L22" s="71">
        <f t="shared" si="0"/>
        <v>0</v>
      </c>
      <c r="M22" s="85">
        <f t="shared" si="1"/>
        <v>-119.00277777777778</v>
      </c>
      <c r="N22" s="55">
        <f t="shared" si="2"/>
        <v>0</v>
      </c>
      <c r="O22" s="119" t="s">
        <v>156</v>
      </c>
      <c r="P22" s="40">
        <v>0</v>
      </c>
      <c r="Q22" s="40"/>
      <c r="R22" s="40"/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290"/>
      <c r="C23" s="293"/>
      <c r="D23" s="287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+J23+('2018'!I23-'2018'!K23)</f>
        <v>354</v>
      </c>
      <c r="J23" s="57">
        <v>650</v>
      </c>
      <c r="K23" s="91"/>
      <c r="L23" s="105">
        <f t="shared" si="0"/>
        <v>0</v>
      </c>
      <c r="M23" s="106">
        <f t="shared" si="1"/>
        <v>-119.00277777777778</v>
      </c>
      <c r="N23" s="99">
        <f t="shared" si="2"/>
        <v>0</v>
      </c>
      <c r="O23" s="120" t="s">
        <v>158</v>
      </c>
      <c r="P23" s="51">
        <v>400000</v>
      </c>
      <c r="Q23" s="51"/>
      <c r="R23" s="51"/>
      <c r="S23" s="52">
        <f t="shared" si="3"/>
        <v>0</v>
      </c>
      <c r="T23" s="53" t="str">
        <f t="shared" si="4"/>
        <v xml:space="preserve"> -</v>
      </c>
    </row>
    <row r="24" spans="2:20" ht="45">
      <c r="B24" s="290"/>
      <c r="C24" s="293"/>
      <c r="D24" s="285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+J24+('2018'!I24-'2018'!K24)</f>
        <v>5</v>
      </c>
      <c r="J24" s="92">
        <v>5</v>
      </c>
      <c r="K24" s="93"/>
      <c r="L24" s="121">
        <f t="shared" si="0"/>
        <v>0</v>
      </c>
      <c r="M24" s="83">
        <f t="shared" si="1"/>
        <v>-119.00277777777778</v>
      </c>
      <c r="N24" s="15">
        <f t="shared" si="2"/>
        <v>0</v>
      </c>
      <c r="O24" s="110" t="s">
        <v>159</v>
      </c>
      <c r="P24" s="77">
        <v>100000</v>
      </c>
      <c r="Q24" s="77"/>
      <c r="R24" s="77"/>
      <c r="S24" s="111">
        <f t="shared" si="3"/>
        <v>0</v>
      </c>
      <c r="T24" s="112" t="str">
        <f t="shared" si="4"/>
        <v xml:space="preserve"> -</v>
      </c>
    </row>
    <row r="25" spans="2:20" ht="45">
      <c r="B25" s="290"/>
      <c r="C25" s="293"/>
      <c r="D25" s="286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+J25+('2018'!I25-'2018'!K25)</f>
        <v>1</v>
      </c>
      <c r="J25" s="42">
        <v>1</v>
      </c>
      <c r="K25" s="94"/>
      <c r="L25" s="123">
        <f t="shared" si="0"/>
        <v>0</v>
      </c>
      <c r="M25" s="85">
        <f t="shared" si="1"/>
        <v>-119.00277777777778</v>
      </c>
      <c r="N25" s="55">
        <f t="shared" si="2"/>
        <v>0</v>
      </c>
      <c r="O25" s="70" t="s">
        <v>159</v>
      </c>
      <c r="P25" s="40">
        <v>10000</v>
      </c>
      <c r="Q25" s="40"/>
      <c r="R25" s="40"/>
      <c r="S25" s="41">
        <f t="shared" si="3"/>
        <v>0</v>
      </c>
      <c r="T25" s="55" t="str">
        <f t="shared" si="4"/>
        <v xml:space="preserve"> -</v>
      </c>
    </row>
    <row r="26" spans="2:20" ht="45">
      <c r="B26" s="290"/>
      <c r="C26" s="293"/>
      <c r="D26" s="286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+J26+('2018'!I26-'2018'!K26)</f>
        <v>1</v>
      </c>
      <c r="J26" s="43">
        <v>6</v>
      </c>
      <c r="K26" s="90"/>
      <c r="L26" s="123">
        <f t="shared" si="0"/>
        <v>0</v>
      </c>
      <c r="M26" s="85">
        <f t="shared" si="1"/>
        <v>-119.00277777777778</v>
      </c>
      <c r="N26" s="55">
        <f t="shared" si="2"/>
        <v>0</v>
      </c>
      <c r="O26" s="70" t="s">
        <v>160</v>
      </c>
      <c r="P26" s="40">
        <v>300000</v>
      </c>
      <c r="Q26" s="40"/>
      <c r="R26" s="40"/>
      <c r="S26" s="41">
        <f t="shared" si="3"/>
        <v>0</v>
      </c>
      <c r="T26" s="55" t="str">
        <f t="shared" si="4"/>
        <v xml:space="preserve"> -</v>
      </c>
    </row>
    <row r="27" spans="2:20" ht="60">
      <c r="B27" s="290"/>
      <c r="C27" s="293"/>
      <c r="D27" s="286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+J27+('2018'!I27-'2018'!K27)</f>
        <v>0.8</v>
      </c>
      <c r="J27" s="42">
        <v>0.8</v>
      </c>
      <c r="K27" s="94"/>
      <c r="L27" s="123">
        <f t="shared" si="0"/>
        <v>0</v>
      </c>
      <c r="M27" s="85">
        <f t="shared" si="1"/>
        <v>-119.00277777777778</v>
      </c>
      <c r="N27" s="55">
        <f t="shared" si="2"/>
        <v>0</v>
      </c>
      <c r="O27" s="70" t="s">
        <v>161</v>
      </c>
      <c r="P27" s="40">
        <v>10000</v>
      </c>
      <c r="Q27" s="40"/>
      <c r="R27" s="40"/>
      <c r="S27" s="41">
        <f t="shared" si="3"/>
        <v>0</v>
      </c>
      <c r="T27" s="55" t="str">
        <f t="shared" si="4"/>
        <v xml:space="preserve"> -</v>
      </c>
    </row>
    <row r="28" spans="2:20" ht="46" thickBot="1">
      <c r="B28" s="290"/>
      <c r="C28" s="293"/>
      <c r="D28" s="287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+J28+('2018'!I28-'2018'!K28)</f>
        <v>0.8</v>
      </c>
      <c r="J28" s="58">
        <v>0.8</v>
      </c>
      <c r="K28" s="95"/>
      <c r="L28" s="122">
        <f t="shared" si="0"/>
        <v>0</v>
      </c>
      <c r="M28" s="84">
        <f t="shared" si="1"/>
        <v>-119.00277777777778</v>
      </c>
      <c r="N28" s="53">
        <f t="shared" si="2"/>
        <v>0</v>
      </c>
      <c r="O28" s="97" t="s">
        <v>161</v>
      </c>
      <c r="P28" s="73">
        <v>10000</v>
      </c>
      <c r="Q28" s="73"/>
      <c r="R28" s="73"/>
      <c r="S28" s="98">
        <f t="shared" si="3"/>
        <v>0</v>
      </c>
      <c r="T28" s="99" t="str">
        <f t="shared" si="4"/>
        <v xml:space="preserve"> -</v>
      </c>
    </row>
    <row r="29" spans="2:20" ht="45">
      <c r="B29" s="290"/>
      <c r="C29" s="293"/>
      <c r="D29" s="285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+J29+('2018'!I29-'2018'!K29)</f>
        <v>0.39999999999999997</v>
      </c>
      <c r="J29" s="56">
        <v>0.5</v>
      </c>
      <c r="K29" s="89"/>
      <c r="L29" s="121">
        <f t="shared" si="0"/>
        <v>0</v>
      </c>
      <c r="M29" s="83">
        <f t="shared" si="1"/>
        <v>-119.00277777777778</v>
      </c>
      <c r="N29" s="15">
        <f t="shared" si="2"/>
        <v>0</v>
      </c>
      <c r="O29" s="118" t="s">
        <v>162</v>
      </c>
      <c r="P29" s="49">
        <v>50000</v>
      </c>
      <c r="Q29" s="49"/>
      <c r="R29" s="49"/>
      <c r="S29" s="16">
        <f t="shared" si="3"/>
        <v>0</v>
      </c>
      <c r="T29" s="15" t="str">
        <f t="shared" si="4"/>
        <v xml:space="preserve"> -</v>
      </c>
    </row>
    <row r="30" spans="2:20" ht="60">
      <c r="B30" s="290"/>
      <c r="C30" s="293"/>
      <c r="D30" s="286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+J30+('2018'!I30-'2018'!K30)</f>
        <v>14</v>
      </c>
      <c r="J30" s="43">
        <v>15</v>
      </c>
      <c r="K30" s="90"/>
      <c r="L30" s="123">
        <f t="shared" si="0"/>
        <v>0</v>
      </c>
      <c r="M30" s="85">
        <f t="shared" si="1"/>
        <v>-119.00277777777778</v>
      </c>
      <c r="N30" s="55">
        <f t="shared" si="2"/>
        <v>0</v>
      </c>
      <c r="O30" s="119" t="s">
        <v>162</v>
      </c>
      <c r="P30" s="40">
        <v>100000</v>
      </c>
      <c r="Q30" s="40"/>
      <c r="R30" s="40"/>
      <c r="S30" s="41">
        <f t="shared" si="3"/>
        <v>0</v>
      </c>
      <c r="T30" s="55" t="str">
        <f t="shared" si="4"/>
        <v xml:space="preserve"> -</v>
      </c>
    </row>
    <row r="31" spans="2:20" ht="61" thickBot="1">
      <c r="B31" s="290"/>
      <c r="C31" s="294"/>
      <c r="D31" s="287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+J31+('2018'!I31-'2018'!K31)</f>
        <v>1</v>
      </c>
      <c r="J31" s="57">
        <v>0</v>
      </c>
      <c r="K31" s="91"/>
      <c r="L31" s="122" t="e">
        <f t="shared" si="0"/>
        <v>#DIV/0!</v>
      </c>
      <c r="M31" s="84">
        <f t="shared" si="1"/>
        <v>-119.00277777777778</v>
      </c>
      <c r="N31" s="53" t="str">
        <f t="shared" si="2"/>
        <v xml:space="preserve"> -</v>
      </c>
      <c r="O31" s="120" t="s">
        <v>156</v>
      </c>
      <c r="P31" s="51">
        <v>0</v>
      </c>
      <c r="Q31" s="51"/>
      <c r="R31" s="51"/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290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290"/>
      <c r="C33" s="292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+J33+('2018'!I33-'2018'!K33)</f>
        <v>597</v>
      </c>
      <c r="J33" s="45">
        <v>600</v>
      </c>
      <c r="K33" s="80"/>
      <c r="L33" s="103">
        <f t="shared" si="0"/>
        <v>0</v>
      </c>
      <c r="M33" s="104">
        <f t="shared" si="1"/>
        <v>-119.00277777777778</v>
      </c>
      <c r="N33" s="102">
        <f t="shared" si="2"/>
        <v>0</v>
      </c>
      <c r="O33" s="100" t="s">
        <v>163</v>
      </c>
      <c r="P33" s="72">
        <v>120000</v>
      </c>
      <c r="Q33" s="72"/>
      <c r="R33" s="72"/>
      <c r="S33" s="101">
        <f t="shared" si="3"/>
        <v>0</v>
      </c>
      <c r="T33" s="102" t="str">
        <f t="shared" si="4"/>
        <v xml:space="preserve"> -</v>
      </c>
    </row>
    <row r="34" spans="2:20" ht="45">
      <c r="B34" s="290"/>
      <c r="C34" s="293"/>
      <c r="D34" s="285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+J34+('2018'!I34-'2018'!K34)</f>
        <v>-9</v>
      </c>
      <c r="J34" s="49">
        <v>5</v>
      </c>
      <c r="K34" s="86"/>
      <c r="L34" s="121">
        <f t="shared" si="0"/>
        <v>0</v>
      </c>
      <c r="M34" s="83">
        <f t="shared" si="1"/>
        <v>-119.00277777777778</v>
      </c>
      <c r="N34" s="15">
        <f t="shared" si="2"/>
        <v>0</v>
      </c>
      <c r="O34" s="118" t="s">
        <v>164</v>
      </c>
      <c r="P34" s="49">
        <v>60000</v>
      </c>
      <c r="Q34" s="49"/>
      <c r="R34" s="49"/>
      <c r="S34" s="16">
        <f t="shared" si="3"/>
        <v>0</v>
      </c>
      <c r="T34" s="15" t="str">
        <f t="shared" si="4"/>
        <v xml:space="preserve"> -</v>
      </c>
    </row>
    <row r="35" spans="2:20" ht="61" thickBot="1">
      <c r="B35" s="290"/>
      <c r="C35" s="293"/>
      <c r="D35" s="287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+J35+('2018'!I35-'2018'!K35)</f>
        <v>3</v>
      </c>
      <c r="J35" s="51">
        <v>100</v>
      </c>
      <c r="K35" s="88"/>
      <c r="L35" s="128">
        <f t="shared" si="0"/>
        <v>0</v>
      </c>
      <c r="M35" s="106">
        <f t="shared" si="1"/>
        <v>-119.00277777777778</v>
      </c>
      <c r="N35" s="99">
        <f t="shared" si="2"/>
        <v>0</v>
      </c>
      <c r="O35" s="129" t="s">
        <v>164</v>
      </c>
      <c r="P35" s="73">
        <v>125000</v>
      </c>
      <c r="Q35" s="73"/>
      <c r="R35" s="73"/>
      <c r="S35" s="98">
        <f t="shared" si="3"/>
        <v>0</v>
      </c>
      <c r="T35" s="99" t="str">
        <f t="shared" si="4"/>
        <v xml:space="preserve"> -</v>
      </c>
    </row>
    <row r="36" spans="2:20" ht="46" thickBot="1">
      <c r="B36" s="290"/>
      <c r="C36" s="293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+J36+('2018'!I36-'2018'!K36)</f>
        <v>3244</v>
      </c>
      <c r="J36" s="45">
        <v>1800</v>
      </c>
      <c r="K36" s="127"/>
      <c r="L36" s="124">
        <f t="shared" si="0"/>
        <v>0</v>
      </c>
      <c r="M36" s="81">
        <f t="shared" si="1"/>
        <v>-119.00277777777778</v>
      </c>
      <c r="N36" s="47">
        <f t="shared" si="2"/>
        <v>0</v>
      </c>
      <c r="O36" s="65" t="s">
        <v>154</v>
      </c>
      <c r="P36" s="45">
        <v>0</v>
      </c>
      <c r="Q36" s="45"/>
      <c r="R36" s="45"/>
      <c r="S36" s="46" t="str">
        <f t="shared" si="3"/>
        <v xml:space="preserve"> -</v>
      </c>
      <c r="T36" s="47" t="str">
        <f t="shared" si="4"/>
        <v xml:space="preserve"> -</v>
      </c>
    </row>
    <row r="37" spans="2:20" ht="30">
      <c r="B37" s="290"/>
      <c r="C37" s="293"/>
      <c r="D37" s="285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+J37+('2018'!I37-'2018'!K37)</f>
        <v>38</v>
      </c>
      <c r="J37" s="49">
        <v>38</v>
      </c>
      <c r="K37" s="86"/>
      <c r="L37" s="113">
        <f t="shared" si="0"/>
        <v>0</v>
      </c>
      <c r="M37" s="114">
        <f t="shared" si="1"/>
        <v>-119.00277777777778</v>
      </c>
      <c r="N37" s="112">
        <f t="shared" si="2"/>
        <v>0</v>
      </c>
      <c r="O37" s="110">
        <v>0</v>
      </c>
      <c r="P37" s="77">
        <v>65000</v>
      </c>
      <c r="Q37" s="77"/>
      <c r="R37" s="77"/>
      <c r="S37" s="111">
        <f t="shared" si="3"/>
        <v>0</v>
      </c>
      <c r="T37" s="112" t="str">
        <f t="shared" si="4"/>
        <v xml:space="preserve"> -</v>
      </c>
    </row>
    <row r="38" spans="2:20" ht="75">
      <c r="B38" s="290"/>
      <c r="C38" s="293"/>
      <c r="D38" s="286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+J38+('2018'!I38-'2018'!K38)</f>
        <v>0.4</v>
      </c>
      <c r="J38" s="42">
        <v>0.4</v>
      </c>
      <c r="K38" s="94"/>
      <c r="L38" s="71">
        <f t="shared" si="0"/>
        <v>0</v>
      </c>
      <c r="M38" s="85">
        <f t="shared" si="1"/>
        <v>-119.00277777777778</v>
      </c>
      <c r="N38" s="55">
        <f t="shared" si="2"/>
        <v>0</v>
      </c>
      <c r="O38" s="70">
        <v>0</v>
      </c>
      <c r="P38" s="40">
        <v>35000</v>
      </c>
      <c r="Q38" s="40"/>
      <c r="R38" s="40"/>
      <c r="S38" s="41">
        <f t="shared" si="3"/>
        <v>0</v>
      </c>
      <c r="T38" s="55" t="str">
        <f t="shared" si="4"/>
        <v xml:space="preserve"> -</v>
      </c>
    </row>
    <row r="39" spans="2:20" ht="60">
      <c r="B39" s="290"/>
      <c r="C39" s="293"/>
      <c r="D39" s="286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/>
      <c r="L39" s="71">
        <f t="shared" si="0"/>
        <v>0</v>
      </c>
      <c r="M39" s="85">
        <f t="shared" si="1"/>
        <v>-119.00277777777778</v>
      </c>
      <c r="N39" s="55">
        <f t="shared" si="2"/>
        <v>0</v>
      </c>
      <c r="O39" s="70">
        <v>0</v>
      </c>
      <c r="P39" s="40">
        <v>40000</v>
      </c>
      <c r="Q39" s="40"/>
      <c r="R39" s="40"/>
      <c r="S39" s="41">
        <f t="shared" si="3"/>
        <v>0</v>
      </c>
      <c r="T39" s="55" t="str">
        <f t="shared" si="4"/>
        <v xml:space="preserve"> -</v>
      </c>
    </row>
    <row r="40" spans="2:20" ht="45">
      <c r="B40" s="290"/>
      <c r="C40" s="293"/>
      <c r="D40" s="286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/>
      <c r="L40" s="71">
        <f t="shared" si="0"/>
        <v>0</v>
      </c>
      <c r="M40" s="85">
        <f t="shared" si="1"/>
        <v>-119.00277777777778</v>
      </c>
      <c r="N40" s="55">
        <f t="shared" si="2"/>
        <v>0</v>
      </c>
      <c r="O40" s="70" t="s">
        <v>156</v>
      </c>
      <c r="P40" s="40">
        <v>0</v>
      </c>
      <c r="Q40" s="40"/>
      <c r="R40" s="40"/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290"/>
      <c r="C41" s="293"/>
      <c r="D41" s="286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+J41+('2018'!I41-'2018'!K41)</f>
        <v>10</v>
      </c>
      <c r="J41" s="40">
        <v>20</v>
      </c>
      <c r="K41" s="87"/>
      <c r="L41" s="71">
        <f t="shared" si="0"/>
        <v>0</v>
      </c>
      <c r="M41" s="85">
        <f t="shared" si="1"/>
        <v>-119.00277777777778</v>
      </c>
      <c r="N41" s="55">
        <f t="shared" si="2"/>
        <v>0</v>
      </c>
      <c r="O41" s="70">
        <v>0</v>
      </c>
      <c r="P41" s="40">
        <v>150000</v>
      </c>
      <c r="Q41" s="40"/>
      <c r="R41" s="40"/>
      <c r="S41" s="41">
        <f t="shared" si="3"/>
        <v>0</v>
      </c>
      <c r="T41" s="55" t="str">
        <f t="shared" si="4"/>
        <v xml:space="preserve"> -</v>
      </c>
    </row>
    <row r="42" spans="2:20" ht="46" thickBot="1">
      <c r="B42" s="290"/>
      <c r="C42" s="293"/>
      <c r="D42" s="287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+J42+('2018'!I42-'2018'!K42)</f>
        <v>500</v>
      </c>
      <c r="J42" s="51">
        <v>350</v>
      </c>
      <c r="K42" s="88"/>
      <c r="L42" s="105">
        <f t="shared" si="0"/>
        <v>0</v>
      </c>
      <c r="M42" s="106">
        <f t="shared" si="1"/>
        <v>-119.00277777777778</v>
      </c>
      <c r="N42" s="99">
        <f t="shared" si="2"/>
        <v>0</v>
      </c>
      <c r="O42" s="97" t="s">
        <v>156</v>
      </c>
      <c r="P42" s="73">
        <v>0</v>
      </c>
      <c r="Q42" s="73"/>
      <c r="R42" s="73"/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290"/>
      <c r="C43" s="294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/>
      <c r="L43" s="124">
        <f t="shared" si="0"/>
        <v>0</v>
      </c>
      <c r="M43" s="81">
        <f t="shared" si="1"/>
        <v>-119.00277777777778</v>
      </c>
      <c r="N43" s="47">
        <f t="shared" si="2"/>
        <v>0</v>
      </c>
      <c r="O43" s="65" t="s">
        <v>165</v>
      </c>
      <c r="P43" s="45">
        <v>1036179</v>
      </c>
      <c r="Q43" s="45"/>
      <c r="R43" s="45"/>
      <c r="S43" s="46">
        <f t="shared" si="3"/>
        <v>0</v>
      </c>
      <c r="T43" s="47" t="str">
        <f t="shared" si="4"/>
        <v xml:space="preserve"> -</v>
      </c>
    </row>
    <row r="44" spans="2:20" ht="13" customHeight="1" thickBot="1">
      <c r="B44" s="290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293"/>
      <c r="C45" s="289" t="s">
        <v>97</v>
      </c>
      <c r="D45" s="285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+J45+('2018'!I45-'2018'!K45)</f>
        <v>572</v>
      </c>
      <c r="J45" s="49">
        <v>800</v>
      </c>
      <c r="K45" s="86"/>
      <c r="L45" s="66">
        <f t="shared" si="0"/>
        <v>0</v>
      </c>
      <c r="M45" s="83">
        <f t="shared" si="1"/>
        <v>-119.00277777777778</v>
      </c>
      <c r="N45" s="15">
        <f t="shared" si="2"/>
        <v>0</v>
      </c>
      <c r="O45" s="68" t="s">
        <v>166</v>
      </c>
      <c r="P45" s="49">
        <v>175000</v>
      </c>
      <c r="Q45" s="49"/>
      <c r="R45" s="49"/>
      <c r="S45" s="16">
        <f t="shared" si="3"/>
        <v>0</v>
      </c>
      <c r="T45" s="15" t="str">
        <f t="shared" si="4"/>
        <v xml:space="preserve"> -</v>
      </c>
    </row>
    <row r="46" spans="2:20" ht="30">
      <c r="B46" s="293"/>
      <c r="C46" s="290"/>
      <c r="D46" s="286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+J46+('2018'!I46-'2018'!K46)</f>
        <v>285</v>
      </c>
      <c r="J46" s="40">
        <v>360</v>
      </c>
      <c r="K46" s="87"/>
      <c r="L46" s="71">
        <f t="shared" si="0"/>
        <v>0</v>
      </c>
      <c r="M46" s="85">
        <f t="shared" si="1"/>
        <v>-119.00277777777778</v>
      </c>
      <c r="N46" s="55">
        <f t="shared" si="2"/>
        <v>0</v>
      </c>
      <c r="O46" s="70">
        <v>0</v>
      </c>
      <c r="P46" s="40">
        <v>60000</v>
      </c>
      <c r="Q46" s="40"/>
      <c r="R46" s="40"/>
      <c r="S46" s="41">
        <f t="shared" si="3"/>
        <v>0</v>
      </c>
      <c r="T46" s="55" t="str">
        <f t="shared" si="4"/>
        <v xml:space="preserve"> -</v>
      </c>
    </row>
    <row r="47" spans="2:20" ht="45">
      <c r="B47" s="293"/>
      <c r="C47" s="290"/>
      <c r="D47" s="286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/>
      <c r="L47" s="71">
        <f t="shared" si="0"/>
        <v>0</v>
      </c>
      <c r="M47" s="85">
        <f t="shared" si="1"/>
        <v>-119.00277777777778</v>
      </c>
      <c r="N47" s="55">
        <f t="shared" si="2"/>
        <v>0</v>
      </c>
      <c r="O47" s="70" t="s">
        <v>156</v>
      </c>
      <c r="P47" s="40">
        <v>0</v>
      </c>
      <c r="Q47" s="40"/>
      <c r="R47" s="40"/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293"/>
      <c r="C48" s="290"/>
      <c r="D48" s="286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/>
      <c r="L48" s="71">
        <f t="shared" si="0"/>
        <v>0</v>
      </c>
      <c r="M48" s="85">
        <f t="shared" si="1"/>
        <v>-119.00277777777778</v>
      </c>
      <c r="N48" s="55">
        <f t="shared" si="2"/>
        <v>0</v>
      </c>
      <c r="O48" s="70" t="s">
        <v>156</v>
      </c>
      <c r="P48" s="40">
        <v>0</v>
      </c>
      <c r="Q48" s="40"/>
      <c r="R48" s="40"/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293"/>
      <c r="C49" s="290"/>
      <c r="D49" s="287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/>
      <c r="L49" s="67">
        <f t="shared" si="0"/>
        <v>0</v>
      </c>
      <c r="M49" s="84">
        <f t="shared" si="1"/>
        <v>-119.00277777777778</v>
      </c>
      <c r="N49" s="53">
        <f t="shared" si="2"/>
        <v>0</v>
      </c>
      <c r="O49" s="97" t="s">
        <v>156</v>
      </c>
      <c r="P49" s="73">
        <v>0</v>
      </c>
      <c r="Q49" s="73"/>
      <c r="R49" s="73"/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293"/>
      <c r="C50" s="290"/>
      <c r="D50" s="285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+J50+('2018'!I50-'2018'!K50)</f>
        <v>-403</v>
      </c>
      <c r="J50" s="49">
        <v>1050</v>
      </c>
      <c r="K50" s="86"/>
      <c r="L50" s="66">
        <f t="shared" si="0"/>
        <v>0</v>
      </c>
      <c r="M50" s="83">
        <f t="shared" si="1"/>
        <v>-119.00277777777778</v>
      </c>
      <c r="N50" s="15">
        <f t="shared" si="2"/>
        <v>0</v>
      </c>
      <c r="O50" s="68">
        <v>0</v>
      </c>
      <c r="P50" s="49">
        <v>150000</v>
      </c>
      <c r="Q50" s="49"/>
      <c r="R50" s="49"/>
      <c r="S50" s="16">
        <f t="shared" si="3"/>
        <v>0</v>
      </c>
      <c r="T50" s="15" t="str">
        <f t="shared" si="4"/>
        <v xml:space="preserve"> -</v>
      </c>
    </row>
    <row r="51" spans="2:20" ht="45">
      <c r="B51" s="293"/>
      <c r="C51" s="290"/>
      <c r="D51" s="286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+J51+('2018'!I51-'2018'!K51)</f>
        <v>-90</v>
      </c>
      <c r="J51" s="40">
        <v>100</v>
      </c>
      <c r="K51" s="87"/>
      <c r="L51" s="71">
        <f t="shared" si="0"/>
        <v>0</v>
      </c>
      <c r="M51" s="85">
        <f t="shared" si="1"/>
        <v>-119.00277777777778</v>
      </c>
      <c r="N51" s="55">
        <f t="shared" si="2"/>
        <v>0</v>
      </c>
      <c r="O51" s="70">
        <v>0</v>
      </c>
      <c r="P51" s="40">
        <v>26000</v>
      </c>
      <c r="Q51" s="40"/>
      <c r="R51" s="40"/>
      <c r="S51" s="41">
        <f t="shared" si="3"/>
        <v>0</v>
      </c>
      <c r="T51" s="55" t="str">
        <f t="shared" si="4"/>
        <v xml:space="preserve"> -</v>
      </c>
    </row>
    <row r="52" spans="2:20" ht="30">
      <c r="B52" s="293"/>
      <c r="C52" s="290"/>
      <c r="D52" s="286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/>
      <c r="L52" s="71">
        <f t="shared" si="0"/>
        <v>0</v>
      </c>
      <c r="M52" s="85">
        <f t="shared" si="1"/>
        <v>-119.00277777777778</v>
      </c>
      <c r="N52" s="55">
        <f t="shared" si="2"/>
        <v>0</v>
      </c>
      <c r="O52" s="70" t="s">
        <v>156</v>
      </c>
      <c r="P52" s="40">
        <v>0</v>
      </c>
      <c r="Q52" s="40"/>
      <c r="R52" s="40"/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293"/>
      <c r="C53" s="290"/>
      <c r="D53" s="286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+J53+('2018'!I53-'2018'!K53)</f>
        <v>100</v>
      </c>
      <c r="J53" s="40">
        <v>100</v>
      </c>
      <c r="K53" s="87"/>
      <c r="L53" s="71">
        <f t="shared" si="0"/>
        <v>0</v>
      </c>
      <c r="M53" s="85">
        <f t="shared" si="1"/>
        <v>-119.00277777777778</v>
      </c>
      <c r="N53" s="55">
        <f t="shared" si="2"/>
        <v>0</v>
      </c>
      <c r="O53" s="70">
        <v>0</v>
      </c>
      <c r="P53" s="40">
        <v>843000</v>
      </c>
      <c r="Q53" s="40"/>
      <c r="R53" s="40"/>
      <c r="S53" s="41">
        <f t="shared" si="3"/>
        <v>0</v>
      </c>
      <c r="T53" s="55" t="str">
        <f t="shared" si="4"/>
        <v xml:space="preserve"> -</v>
      </c>
    </row>
    <row r="54" spans="2:20" ht="60">
      <c r="B54" s="293"/>
      <c r="C54" s="290"/>
      <c r="D54" s="286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+J54+('2018'!I54-'2018'!K54)</f>
        <v>1000</v>
      </c>
      <c r="J54" s="40">
        <v>1000</v>
      </c>
      <c r="K54" s="87"/>
      <c r="L54" s="71">
        <f t="shared" si="0"/>
        <v>0</v>
      </c>
      <c r="M54" s="85">
        <f t="shared" si="1"/>
        <v>-119.00277777777778</v>
      </c>
      <c r="N54" s="55">
        <f t="shared" si="2"/>
        <v>0</v>
      </c>
      <c r="O54" s="70">
        <v>0</v>
      </c>
      <c r="P54" s="40">
        <v>1668999</v>
      </c>
      <c r="Q54" s="40"/>
      <c r="R54" s="40"/>
      <c r="S54" s="41">
        <f t="shared" si="3"/>
        <v>0</v>
      </c>
      <c r="T54" s="55" t="str">
        <f t="shared" si="4"/>
        <v xml:space="preserve"> -</v>
      </c>
    </row>
    <row r="55" spans="2:20" ht="60">
      <c r="B55" s="293"/>
      <c r="C55" s="290"/>
      <c r="D55" s="286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+J55+('2018'!I55-'2018'!K55)</f>
        <v>400</v>
      </c>
      <c r="J55" s="40">
        <v>400</v>
      </c>
      <c r="K55" s="87"/>
      <c r="L55" s="71">
        <f t="shared" si="0"/>
        <v>0</v>
      </c>
      <c r="M55" s="85">
        <f t="shared" si="1"/>
        <v>-119.00277777777778</v>
      </c>
      <c r="N55" s="55">
        <f t="shared" si="2"/>
        <v>0</v>
      </c>
      <c r="O55" s="70">
        <v>0</v>
      </c>
      <c r="P55" s="40">
        <v>1435524</v>
      </c>
      <c r="Q55" s="40"/>
      <c r="R55" s="40"/>
      <c r="S55" s="41">
        <f t="shared" si="3"/>
        <v>0</v>
      </c>
      <c r="T55" s="55" t="str">
        <f t="shared" si="4"/>
        <v xml:space="preserve"> -</v>
      </c>
    </row>
    <row r="56" spans="2:20" ht="61" thickBot="1">
      <c r="B56" s="293"/>
      <c r="C56" s="290"/>
      <c r="D56" s="287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+J56+('2018'!I56-'2018'!K56)</f>
        <v>1500</v>
      </c>
      <c r="J56" s="51">
        <v>1500</v>
      </c>
      <c r="K56" s="88"/>
      <c r="L56" s="67">
        <f t="shared" si="0"/>
        <v>0</v>
      </c>
      <c r="M56" s="84">
        <f t="shared" si="1"/>
        <v>-119.00277777777778</v>
      </c>
      <c r="N56" s="53">
        <f t="shared" si="2"/>
        <v>0</v>
      </c>
      <c r="O56" s="69">
        <v>0</v>
      </c>
      <c r="P56" s="51">
        <v>972889</v>
      </c>
      <c r="Q56" s="51"/>
      <c r="R56" s="51"/>
      <c r="S56" s="52">
        <f t="shared" si="3"/>
        <v>0</v>
      </c>
      <c r="T56" s="53" t="str">
        <f t="shared" si="4"/>
        <v xml:space="preserve"> -</v>
      </c>
    </row>
    <row r="57" spans="2:20" ht="30">
      <c r="B57" s="293"/>
      <c r="C57" s="290"/>
      <c r="D57" s="288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+J57+('2018'!I57-'2018'!K57)</f>
        <v>1</v>
      </c>
      <c r="J57" s="77">
        <v>3</v>
      </c>
      <c r="K57" s="130"/>
      <c r="L57" s="113">
        <f t="shared" si="0"/>
        <v>0</v>
      </c>
      <c r="M57" s="114">
        <f t="shared" si="1"/>
        <v>-119.00277777777778</v>
      </c>
      <c r="N57" s="112">
        <f t="shared" si="2"/>
        <v>0</v>
      </c>
      <c r="O57" s="110" t="s">
        <v>167</v>
      </c>
      <c r="P57" s="77">
        <v>80000</v>
      </c>
      <c r="Q57" s="77"/>
      <c r="R57" s="77"/>
      <c r="S57" s="111">
        <f t="shared" si="3"/>
        <v>0</v>
      </c>
      <c r="T57" s="112" t="str">
        <f t="shared" si="4"/>
        <v xml:space="preserve"> -</v>
      </c>
    </row>
    <row r="58" spans="2:20" ht="46" thickBot="1">
      <c r="B58" s="294"/>
      <c r="C58" s="291"/>
      <c r="D58" s="287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+J58+('2018'!I58-'2018'!K58)</f>
        <v>3</v>
      </c>
      <c r="J58" s="51">
        <v>3</v>
      </c>
      <c r="K58" s="88"/>
      <c r="L58" s="67">
        <f t="shared" si="0"/>
        <v>0</v>
      </c>
      <c r="M58" s="84">
        <f t="shared" si="1"/>
        <v>-119.00277777777778</v>
      </c>
      <c r="N58" s="53">
        <f t="shared" si="2"/>
        <v>0</v>
      </c>
      <c r="O58" s="69" t="s">
        <v>167</v>
      </c>
      <c r="P58" s="51">
        <v>26000</v>
      </c>
      <c r="Q58" s="51"/>
      <c r="R58" s="51"/>
      <c r="S58" s="52">
        <f t="shared" si="3"/>
        <v>0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-119.00277777777777</v>
      </c>
      <c r="N59" s="59">
        <f>+AVERAGE(N12,N14:N15,N17,N19:N31,N33:N43,N45:N58)</f>
        <v>0</v>
      </c>
      <c r="P59" s="132">
        <f>+SUM(P12,P14:P15,P17,P19:P31,P33:P43,P45:P58)</f>
        <v>9978591</v>
      </c>
      <c r="Q59" s="131">
        <f>+SUM(Q12,Q14:Q15,Q17,Q19:Q31,Q33:Q43,Q45:Q58)</f>
        <v>0</v>
      </c>
      <c r="R59" s="131">
        <f>+SUM(R12,R14:R15,R17,R19:R31,R33:R43,R45:R58)</f>
        <v>0</v>
      </c>
      <c r="S59" s="133">
        <f t="shared" si="3"/>
        <v>0</v>
      </c>
      <c r="T59" s="134" t="str">
        <f t="shared" si="4"/>
        <v xml:space="preserve"> -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7" t="s">
        <v>16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2:25" ht="20" customHeight="1">
      <c r="B3" s="297" t="s">
        <v>19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</row>
    <row r="4" spans="2:25" ht="20" customHeight="1">
      <c r="B4" s="297" t="s">
        <v>27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14">
        <f>+'2018'!C8</f>
        <v>43434</v>
      </c>
      <c r="D8" s="298" t="s">
        <v>3</v>
      </c>
      <c r="E8" s="299"/>
      <c r="F8" s="299"/>
      <c r="G8" s="299"/>
      <c r="H8" s="329"/>
      <c r="I8" s="329"/>
      <c r="J8" s="329"/>
      <c r="K8" s="329"/>
      <c r="L8" s="329"/>
      <c r="M8" s="329"/>
      <c r="N8" s="30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01" t="s">
        <v>17</v>
      </c>
      <c r="C9" s="304" t="s">
        <v>18</v>
      </c>
      <c r="D9" s="306" t="s">
        <v>0</v>
      </c>
      <c r="E9" s="309" t="s">
        <v>5</v>
      </c>
      <c r="F9" s="309"/>
      <c r="G9" s="309"/>
      <c r="H9" s="330"/>
      <c r="I9" s="330"/>
      <c r="J9" s="330"/>
      <c r="K9" s="330"/>
      <c r="L9" s="330"/>
      <c r="M9" s="330"/>
      <c r="N9" s="311"/>
      <c r="O9" s="331" t="s">
        <v>103</v>
      </c>
      <c r="P9" s="332"/>
      <c r="Q9" s="332"/>
      <c r="R9" s="332"/>
      <c r="S9" s="333"/>
      <c r="T9" s="322" t="s">
        <v>102</v>
      </c>
      <c r="U9" s="323"/>
      <c r="V9" s="323"/>
      <c r="W9" s="323"/>
      <c r="X9" s="323"/>
      <c r="Y9" s="324"/>
    </row>
    <row r="10" spans="2:25" ht="17" customHeight="1">
      <c r="B10" s="302"/>
      <c r="C10" s="305"/>
      <c r="D10" s="307"/>
      <c r="E10" s="334" t="s">
        <v>7</v>
      </c>
      <c r="F10" s="315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335">
        <v>2016</v>
      </c>
      <c r="P10" s="343">
        <v>2017</v>
      </c>
      <c r="Q10" s="341">
        <v>2018</v>
      </c>
      <c r="R10" s="339">
        <v>2019</v>
      </c>
      <c r="S10" s="337" t="s">
        <v>101</v>
      </c>
      <c r="T10" s="325"/>
      <c r="U10" s="326"/>
      <c r="V10" s="326"/>
      <c r="W10" s="326"/>
      <c r="X10" s="326"/>
      <c r="Y10" s="327"/>
    </row>
    <row r="11" spans="2:25" ht="37.5" customHeight="1" thickBot="1">
      <c r="B11" s="303"/>
      <c r="C11" s="305"/>
      <c r="D11" s="308"/>
      <c r="E11" s="314"/>
      <c r="F11" s="315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336"/>
      <c r="P11" s="344"/>
      <c r="Q11" s="342"/>
      <c r="R11" s="340"/>
      <c r="S11" s="338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61" thickBot="1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0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0</v>
      </c>
      <c r="S12" s="203">
        <v>0.75</v>
      </c>
      <c r="T12" s="65" t="s">
        <v>153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3" customHeight="1" thickBot="1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46" thickBot="1">
      <c r="B14" s="289" t="s">
        <v>34</v>
      </c>
      <c r="C14" s="295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'2018'!J14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'2018'!K14</f>
        <v>47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'2018'!N14</f>
        <v xml:space="preserve"> -</v>
      </c>
      <c r="R14" s="178">
        <f>'2019'!N14</f>
        <v>0</v>
      </c>
      <c r="S14" s="203">
        <v>1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6" thickBot="1">
      <c r="B15" s="291"/>
      <c r="C15" s="296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'2018'!J15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'2018'!K15</f>
        <v>1</v>
      </c>
      <c r="N15" s="80">
        <f>'2019'!K15</f>
        <v>0</v>
      </c>
      <c r="O15" s="180" t="str">
        <f>'2016'!N15</f>
        <v xml:space="preserve"> -</v>
      </c>
      <c r="P15" s="181">
        <f>'2017'!N15</f>
        <v>1</v>
      </c>
      <c r="Q15" s="182">
        <f>'2018'!N15</f>
        <v>1</v>
      </c>
      <c r="R15" s="181">
        <f>'2019'!N15</f>
        <v>0</v>
      </c>
      <c r="S15" s="205">
        <v>0.66666666666666663</v>
      </c>
      <c r="T15" s="107" t="s">
        <v>154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3" customHeight="1" thickBot="1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1" thickBot="1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'2018'!J17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'2018'!K17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'2018'!N17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3" customHeight="1" thickBot="1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45">
      <c r="B19" s="289" t="s">
        <v>98</v>
      </c>
      <c r="C19" s="292" t="s">
        <v>95</v>
      </c>
      <c r="D19" s="285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'2018'!J19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'2018'!K19</f>
        <v>0.33</v>
      </c>
      <c r="N19" s="89">
        <f>'2019'!K19</f>
        <v>0</v>
      </c>
      <c r="O19" s="183" t="str">
        <f>'2016'!N23</f>
        <v xml:space="preserve"> -</v>
      </c>
      <c r="P19" s="184">
        <f>'2017'!N19</f>
        <v>1</v>
      </c>
      <c r="Q19" s="185">
        <f>'2018'!N19</f>
        <v>0.82499999999999996</v>
      </c>
      <c r="R19" s="184">
        <f>'2019'!N19</f>
        <v>0</v>
      </c>
      <c r="S19" s="206">
        <v>0.63</v>
      </c>
      <c r="T19" s="118" t="s">
        <v>157</v>
      </c>
      <c r="U19" s="77">
        <f>+'2016'!P23+'2017'!P19</f>
        <v>70833</v>
      </c>
      <c r="V19" s="77">
        <f>+'2016'!Q23+'2017'!Q19</f>
        <v>60353</v>
      </c>
      <c r="W19" s="77">
        <f>+'2016'!R23+'2017'!R19</f>
        <v>0</v>
      </c>
      <c r="X19" s="16">
        <f t="shared" si="0"/>
        <v>0.85204636257111799</v>
      </c>
      <c r="Y19" s="15" t="str">
        <f t="shared" si="1"/>
        <v xml:space="preserve"> -</v>
      </c>
    </row>
    <row r="20" spans="2:25" ht="75">
      <c r="B20" s="290"/>
      <c r="C20" s="293"/>
      <c r="D20" s="286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'2018'!J20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'2018'!K20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'2018'!N20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</f>
        <v>0</v>
      </c>
      <c r="V20" s="40">
        <f>+'2016'!Q24+'2017'!Q20</f>
        <v>0</v>
      </c>
      <c r="W20" s="40">
        <f>+'2016'!R24+'2017'!R20</f>
        <v>0</v>
      </c>
      <c r="X20" s="41" t="str">
        <f t="shared" si="0"/>
        <v xml:space="preserve"> -</v>
      </c>
      <c r="Y20" s="55" t="str">
        <f t="shared" si="1"/>
        <v xml:space="preserve"> -</v>
      </c>
    </row>
    <row r="21" spans="2:25" ht="60">
      <c r="B21" s="290"/>
      <c r="C21" s="293"/>
      <c r="D21" s="286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'2018'!J21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'2018'!K21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'2018'!N21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</f>
        <v>0</v>
      </c>
      <c r="V21" s="40">
        <f>+'2016'!Q25+'2017'!Q21</f>
        <v>0</v>
      </c>
      <c r="W21" s="40">
        <f>+'2016'!R25+'2017'!R21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>
      <c r="B22" s="290"/>
      <c r="C22" s="293"/>
      <c r="D22" s="286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'2018'!J22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'2018'!K22</f>
        <v>27</v>
      </c>
      <c r="N22" s="90">
        <f>'2019'!K22</f>
        <v>0</v>
      </c>
      <c r="O22" s="186">
        <f>'2016'!N26</f>
        <v>1</v>
      </c>
      <c r="P22" s="187">
        <f>'2017'!N22</f>
        <v>0.71111111111111114</v>
      </c>
      <c r="Q22" s="188">
        <f>'2018'!N22</f>
        <v>0.45</v>
      </c>
      <c r="R22" s="187">
        <f>'2019'!N22</f>
        <v>0</v>
      </c>
      <c r="S22" s="207">
        <v>0.47953216374269003</v>
      </c>
      <c r="T22" s="119" t="s">
        <v>156</v>
      </c>
      <c r="U22" s="40">
        <f>+'2016'!P26+'2017'!P22</f>
        <v>0</v>
      </c>
      <c r="V22" s="40">
        <f>+'2016'!Q26+'2017'!Q22</f>
        <v>0</v>
      </c>
      <c r="W22" s="40">
        <f>+'2016'!R26+'2017'!R22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6" thickBot="1">
      <c r="B23" s="290"/>
      <c r="C23" s="293"/>
      <c r="D23" s="287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'2018'!J23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'2018'!K23</f>
        <v>71</v>
      </c>
      <c r="N23" s="91">
        <f>'2019'!K23</f>
        <v>0</v>
      </c>
      <c r="O23" s="189" t="str">
        <f>'2016'!N27</f>
        <v xml:space="preserve"> -</v>
      </c>
      <c r="P23" s="190">
        <f>'2017'!N23</f>
        <v>1</v>
      </c>
      <c r="Q23" s="191" t="str">
        <f>'2018'!N23</f>
        <v xml:space="preserve"> -</v>
      </c>
      <c r="R23" s="190">
        <f>'2019'!N23</f>
        <v>0</v>
      </c>
      <c r="S23" s="208">
        <v>0.49428571428571427</v>
      </c>
      <c r="T23" s="120" t="s">
        <v>158</v>
      </c>
      <c r="U23" s="51">
        <f>+'2016'!P27+'2017'!P23</f>
        <v>49900</v>
      </c>
      <c r="V23" s="51">
        <f>+'2016'!Q27+'2017'!Q23</f>
        <v>49900</v>
      </c>
      <c r="W23" s="51">
        <f>+'2016'!R27+'2017'!R23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>
      <c r="B24" s="290"/>
      <c r="C24" s="293"/>
      <c r="D24" s="285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'2018'!J24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'2018'!K24</f>
        <v>0</v>
      </c>
      <c r="N24" s="93">
        <f>'2019'!K24</f>
        <v>0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'2018'!N24</f>
        <v xml:space="preserve"> -</v>
      </c>
      <c r="R24" s="184">
        <f>'2019'!N24</f>
        <v>0</v>
      </c>
      <c r="S24" s="206">
        <v>0</v>
      </c>
      <c r="T24" s="110" t="s">
        <v>159</v>
      </c>
      <c r="U24" s="77">
        <f>+'2016'!P28+'2017'!P24</f>
        <v>0</v>
      </c>
      <c r="V24" s="77">
        <f>+'2016'!Q28+'2017'!Q24</f>
        <v>0</v>
      </c>
      <c r="W24" s="77">
        <f>+'2016'!R28+'2017'!R24</f>
        <v>0</v>
      </c>
      <c r="X24" s="111" t="str">
        <f t="shared" si="0"/>
        <v xml:space="preserve"> -</v>
      </c>
      <c r="Y24" s="112" t="str">
        <f t="shared" si="1"/>
        <v xml:space="preserve"> -</v>
      </c>
    </row>
    <row r="25" spans="2:25" ht="45">
      <c r="B25" s="290"/>
      <c r="C25" s="293"/>
      <c r="D25" s="286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'2018'!J25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'2018'!K25</f>
        <v>0</v>
      </c>
      <c r="N25" s="94">
        <f>'2019'!K25</f>
        <v>0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'2018'!N25</f>
        <v xml:space="preserve"> -</v>
      </c>
      <c r="R25" s="187">
        <f>'2019'!N25</f>
        <v>0</v>
      </c>
      <c r="S25" s="207">
        <v>0</v>
      </c>
      <c r="T25" s="70" t="s">
        <v>159</v>
      </c>
      <c r="U25" s="40">
        <f>+'2016'!P29+'2017'!P25</f>
        <v>0</v>
      </c>
      <c r="V25" s="40">
        <f>+'2016'!Q29+'2017'!Q25</f>
        <v>0</v>
      </c>
      <c r="W25" s="40">
        <f>+'2016'!R29+'2017'!R25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45">
      <c r="B26" s="290"/>
      <c r="C26" s="293"/>
      <c r="D26" s="286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'2018'!J26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'2018'!K26</f>
        <v>3</v>
      </c>
      <c r="N26" s="90">
        <f>'2019'!K26</f>
        <v>0</v>
      </c>
      <c r="O26" s="186">
        <f>'2016'!N30</f>
        <v>1</v>
      </c>
      <c r="P26" s="187" t="str">
        <f>'2017'!N26</f>
        <v xml:space="preserve"> -</v>
      </c>
      <c r="Q26" s="188" t="str">
        <f>'2018'!N26</f>
        <v xml:space="preserve"> -</v>
      </c>
      <c r="R26" s="187">
        <f>'2019'!N26</f>
        <v>0</v>
      </c>
      <c r="S26" s="207">
        <v>0.8571428571428571</v>
      </c>
      <c r="T26" s="70" t="s">
        <v>160</v>
      </c>
      <c r="U26" s="40">
        <f>+'2016'!P30+'2017'!P26</f>
        <v>150000</v>
      </c>
      <c r="V26" s="40">
        <f>+'2016'!Q30+'2017'!Q26</f>
        <v>150000</v>
      </c>
      <c r="W26" s="40">
        <f>+'2016'!R30+'2017'!R26</f>
        <v>335000</v>
      </c>
      <c r="X26" s="41">
        <f t="shared" si="0"/>
        <v>1</v>
      </c>
      <c r="Y26" s="55">
        <f t="shared" si="1"/>
        <v>2.2333333333333334</v>
      </c>
    </row>
    <row r="27" spans="2:25" ht="60">
      <c r="B27" s="290"/>
      <c r="C27" s="293"/>
      <c r="D27" s="286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'2018'!J27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'2018'!K27</f>
        <v>0.2</v>
      </c>
      <c r="N27" s="94">
        <f>'2019'!K27</f>
        <v>0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'2018'!N27</f>
        <v>1</v>
      </c>
      <c r="R27" s="187">
        <f>'2019'!N27</f>
        <v>0</v>
      </c>
      <c r="S27" s="207">
        <v>0.2</v>
      </c>
      <c r="T27" s="70" t="s">
        <v>161</v>
      </c>
      <c r="U27" s="40">
        <f>+'2016'!P31+'2017'!P27</f>
        <v>0</v>
      </c>
      <c r="V27" s="40">
        <f>+'2016'!Q31+'2017'!Q27</f>
        <v>0</v>
      </c>
      <c r="W27" s="40">
        <f>+'2016'!R31+'2017'!R27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46" thickBot="1">
      <c r="B28" s="290"/>
      <c r="C28" s="293"/>
      <c r="D28" s="287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'2018'!J28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'2018'!K28</f>
        <v>0.2</v>
      </c>
      <c r="N28" s="95">
        <f>'2019'!K28</f>
        <v>0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'2018'!N28</f>
        <v>1</v>
      </c>
      <c r="R28" s="193">
        <f>'2019'!N28</f>
        <v>0</v>
      </c>
      <c r="S28" s="209">
        <v>0.2</v>
      </c>
      <c r="T28" s="97" t="s">
        <v>161</v>
      </c>
      <c r="U28" s="51">
        <f>+'2016'!P32+'2017'!P28</f>
        <v>0</v>
      </c>
      <c r="V28" s="51">
        <f>+'2016'!Q32+'2017'!Q28</f>
        <v>0</v>
      </c>
      <c r="W28" s="51">
        <f>+'2016'!R32+'2017'!R28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>
      <c r="B29" s="290"/>
      <c r="C29" s="293"/>
      <c r="D29" s="285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'2018'!J29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'2018'!K29</f>
        <v>0.4</v>
      </c>
      <c r="N29" s="89">
        <f>'2019'!K29</f>
        <v>0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'2018'!N29</f>
        <v>0.8</v>
      </c>
      <c r="R29" s="184">
        <f>'2019'!N29</f>
        <v>0</v>
      </c>
      <c r="S29" s="206">
        <v>0.60000000000000009</v>
      </c>
      <c r="T29" s="118" t="s">
        <v>162</v>
      </c>
      <c r="U29" s="77">
        <f>+'2016'!P33+'2017'!P29</f>
        <v>0</v>
      </c>
      <c r="V29" s="77">
        <f>+'2016'!Q33+'2017'!Q29</f>
        <v>0</v>
      </c>
      <c r="W29" s="77">
        <f>+'2016'!R33+'2017'!R29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60">
      <c r="B30" s="290"/>
      <c r="C30" s="293"/>
      <c r="D30" s="286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'2018'!J30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'2018'!K30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'2018'!N30</f>
        <v xml:space="preserve"> -</v>
      </c>
      <c r="R30" s="187">
        <f>'2019'!N30</f>
        <v>0</v>
      </c>
      <c r="S30" s="207">
        <v>6.6666666666666666E-2</v>
      </c>
      <c r="T30" s="119" t="s">
        <v>162</v>
      </c>
      <c r="U30" s="40">
        <f>+'2016'!P34+'2017'!P30</f>
        <v>0</v>
      </c>
      <c r="V30" s="40">
        <f>+'2016'!Q34+'2017'!Q30</f>
        <v>0</v>
      </c>
      <c r="W30" s="40">
        <f>+'2016'!R34+'2017'!R30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61" thickBot="1">
      <c r="B31" s="290"/>
      <c r="C31" s="294"/>
      <c r="D31" s="287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'2018'!J31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'2018'!K31</f>
        <v>0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'2018'!N31</f>
        <v>0</v>
      </c>
      <c r="R31" s="193" t="str">
        <f>'2019'!N31</f>
        <v xml:space="preserve"> -</v>
      </c>
      <c r="S31" s="209">
        <v>0</v>
      </c>
      <c r="T31" s="120" t="s">
        <v>156</v>
      </c>
      <c r="U31" s="51">
        <f>+'2016'!P35+'2017'!P31</f>
        <v>0</v>
      </c>
      <c r="V31" s="51">
        <f>+'2016'!Q35+'2017'!Q31</f>
        <v>0</v>
      </c>
      <c r="W31" s="51">
        <f>+'2016'!R35+'2017'!R31</f>
        <v>0</v>
      </c>
      <c r="X31" s="52" t="str">
        <f t="shared" si="0"/>
        <v xml:space="preserve"> -</v>
      </c>
      <c r="Y31" s="53" t="str">
        <f t="shared" si="1"/>
        <v xml:space="preserve"> -</v>
      </c>
    </row>
    <row r="32" spans="2:25" ht="13" customHeight="1" thickBot="1">
      <c r="B32" s="290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1" thickBot="1">
      <c r="B33" s="290"/>
      <c r="C33" s="292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'2018'!J33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'2018'!K33</f>
        <v>299</v>
      </c>
      <c r="N33" s="80">
        <f>'2019'!K33</f>
        <v>0</v>
      </c>
      <c r="O33" s="195" t="str">
        <f>'2016'!N37</f>
        <v xml:space="preserve"> -</v>
      </c>
      <c r="P33" s="196">
        <f>'2017'!N33</f>
        <v>1</v>
      </c>
      <c r="Q33" s="197">
        <f>'2018'!N33</f>
        <v>0.9966666666666667</v>
      </c>
      <c r="R33" s="196">
        <f>'2019'!N33</f>
        <v>0</v>
      </c>
      <c r="S33" s="211">
        <v>0.40300000000000002</v>
      </c>
      <c r="T33" s="100" t="s">
        <v>163</v>
      </c>
      <c r="U33" s="74">
        <f>+'2016'!P37+'2017'!P33</f>
        <v>67500</v>
      </c>
      <c r="V33" s="74">
        <f>+'2016'!Q37+'2017'!Q33</f>
        <v>66130</v>
      </c>
      <c r="W33" s="74">
        <f>+'2016'!R37+'2017'!R33</f>
        <v>0</v>
      </c>
      <c r="X33" s="101">
        <f t="shared" si="0"/>
        <v>0.97970370370370374</v>
      </c>
      <c r="Y33" s="102" t="str">
        <f t="shared" si="1"/>
        <v xml:space="preserve"> -</v>
      </c>
    </row>
    <row r="34" spans="2:25" ht="45">
      <c r="B34" s="290"/>
      <c r="C34" s="293"/>
      <c r="D34" s="285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'2018'!J34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'2018'!K34</f>
        <v>18</v>
      </c>
      <c r="N34" s="86">
        <f>'2019'!K34</f>
        <v>0</v>
      </c>
      <c r="O34" s="183" t="str">
        <f>'2016'!N38</f>
        <v xml:space="preserve"> -</v>
      </c>
      <c r="P34" s="184">
        <f>'2017'!N34</f>
        <v>1</v>
      </c>
      <c r="Q34" s="185">
        <f>'2018'!N34</f>
        <v>1</v>
      </c>
      <c r="R34" s="184">
        <f>'2019'!N34</f>
        <v>0</v>
      </c>
      <c r="S34" s="206">
        <v>1</v>
      </c>
      <c r="T34" s="118" t="s">
        <v>164</v>
      </c>
      <c r="U34" s="77">
        <f>+'2016'!P38+'2017'!P34</f>
        <v>100000</v>
      </c>
      <c r="V34" s="77">
        <f>+'2016'!Q38+'2017'!Q34</f>
        <v>30000</v>
      </c>
      <c r="W34" s="77">
        <f>+'2016'!R38+'2017'!R34</f>
        <v>12800</v>
      </c>
      <c r="X34" s="16">
        <f t="shared" si="0"/>
        <v>0.3</v>
      </c>
      <c r="Y34" s="15">
        <f t="shared" si="1"/>
        <v>0.42666666666666669</v>
      </c>
    </row>
    <row r="35" spans="2:25" ht="61" thickBot="1">
      <c r="B35" s="290"/>
      <c r="C35" s="293"/>
      <c r="D35" s="287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'2018'!J35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'2018'!K35</f>
        <v>247</v>
      </c>
      <c r="N35" s="88">
        <f>'2019'!K35</f>
        <v>0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'2018'!N35</f>
        <v>1</v>
      </c>
      <c r="R35" s="190">
        <f>'2019'!N35</f>
        <v>0</v>
      </c>
      <c r="S35" s="208">
        <v>0.98799999999999999</v>
      </c>
      <c r="T35" s="129" t="s">
        <v>164</v>
      </c>
      <c r="U35" s="51">
        <f>+'2016'!P39+'2017'!P35</f>
        <v>0</v>
      </c>
      <c r="V35" s="51">
        <f>+'2016'!Q39+'2017'!Q35</f>
        <v>0</v>
      </c>
      <c r="W35" s="51">
        <f>+'2016'!R39+'2017'!R35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6" thickBot="1">
      <c r="B36" s="290"/>
      <c r="C36" s="293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'2018'!J36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'2018'!K36</f>
        <v>904</v>
      </c>
      <c r="N36" s="80">
        <f>'2019'!K36</f>
        <v>0</v>
      </c>
      <c r="O36" s="177">
        <f>'2016'!N40</f>
        <v>1</v>
      </c>
      <c r="P36" s="178">
        <f>'2017'!N36</f>
        <v>0.57333333333333336</v>
      </c>
      <c r="Q36" s="179">
        <f>'2018'!N36</f>
        <v>0.47528916929547843</v>
      </c>
      <c r="R36" s="178">
        <f>'2019'!N36</f>
        <v>0</v>
      </c>
      <c r="S36" s="203">
        <v>0.47694292163818125</v>
      </c>
      <c r="T36" s="65" t="s">
        <v>154</v>
      </c>
      <c r="U36" s="74">
        <f>+'2016'!P40+'2017'!P36</f>
        <v>424000</v>
      </c>
      <c r="V36" s="74">
        <f>+'2016'!Q40+'2017'!Q36</f>
        <v>0</v>
      </c>
      <c r="W36" s="74">
        <f>+'2016'!R40+'2017'!R36</f>
        <v>0</v>
      </c>
      <c r="X36" s="46">
        <f t="shared" si="0"/>
        <v>0</v>
      </c>
      <c r="Y36" s="47" t="str">
        <f t="shared" si="1"/>
        <v xml:space="preserve"> -</v>
      </c>
    </row>
    <row r="37" spans="2:25" ht="30">
      <c r="B37" s="290"/>
      <c r="C37" s="293"/>
      <c r="D37" s="285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'2018'!J37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'2018'!K37</f>
        <v>12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'2018'!N37</f>
        <v>1</v>
      </c>
      <c r="R37" s="199">
        <f>'2019'!N37</f>
        <v>0</v>
      </c>
      <c r="S37" s="212">
        <v>0.24</v>
      </c>
      <c r="T37" s="110">
        <v>0</v>
      </c>
      <c r="U37" s="77">
        <f>+'2016'!P41+'2017'!P37</f>
        <v>0</v>
      </c>
      <c r="V37" s="77">
        <f>+'2016'!Q41+'2017'!Q37</f>
        <v>0</v>
      </c>
      <c r="W37" s="77">
        <f>+'2016'!R41+'2017'!R37</f>
        <v>0</v>
      </c>
      <c r="X37" s="111" t="str">
        <f t="shared" si="0"/>
        <v xml:space="preserve"> -</v>
      </c>
      <c r="Y37" s="112" t="str">
        <f t="shared" si="1"/>
        <v xml:space="preserve"> -</v>
      </c>
    </row>
    <row r="38" spans="2:25" ht="75">
      <c r="B38" s="290"/>
      <c r="C38" s="293"/>
      <c r="D38" s="286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'2018'!J38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'2018'!K38</f>
        <v>0.4</v>
      </c>
      <c r="N38" s="94">
        <f>'2019'!K38</f>
        <v>0</v>
      </c>
      <c r="O38" s="186" t="str">
        <f>'2016'!N42</f>
        <v xml:space="preserve"> -</v>
      </c>
      <c r="P38" s="187">
        <f>'2017'!N38</f>
        <v>1</v>
      </c>
      <c r="Q38" s="188">
        <f>'2018'!N38</f>
        <v>1</v>
      </c>
      <c r="R38" s="187">
        <f>'2019'!N38</f>
        <v>0</v>
      </c>
      <c r="S38" s="207">
        <v>0.60000000000000009</v>
      </c>
      <c r="T38" s="70">
        <v>0</v>
      </c>
      <c r="U38" s="77">
        <f>+'2016'!P42+'2017'!P38</f>
        <v>0</v>
      </c>
      <c r="V38" s="77">
        <f>+'2016'!Q42+'2017'!Q38</f>
        <v>0</v>
      </c>
      <c r="W38" s="77">
        <f>+'2016'!R42+'2017'!R38</f>
        <v>174000</v>
      </c>
      <c r="X38" s="41" t="str">
        <f t="shared" si="0"/>
        <v xml:space="preserve"> -</v>
      </c>
      <c r="Y38" s="55">
        <f t="shared" si="1"/>
        <v>1</v>
      </c>
    </row>
    <row r="39" spans="2:25" ht="60">
      <c r="B39" s="290"/>
      <c r="C39" s="293"/>
      <c r="D39" s="286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'2018'!J39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'2018'!K39</f>
        <v>1</v>
      </c>
      <c r="N39" s="87">
        <f>'2019'!K39</f>
        <v>0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'2018'!N39</f>
        <v>1</v>
      </c>
      <c r="R39" s="187">
        <f>'2019'!N39</f>
        <v>0</v>
      </c>
      <c r="S39" s="207">
        <v>0.66666666666666663</v>
      </c>
      <c r="T39" s="70">
        <v>0</v>
      </c>
      <c r="U39" s="77">
        <f>+'2016'!P43+'2017'!P39</f>
        <v>0</v>
      </c>
      <c r="V39" s="77">
        <f>+'2016'!Q43+'2017'!Q39</f>
        <v>0</v>
      </c>
      <c r="W39" s="77">
        <f>+'2016'!R43+'2017'!R39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>
      <c r="B40" s="290"/>
      <c r="C40" s="293"/>
      <c r="D40" s="286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'2018'!J40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'2018'!K40</f>
        <v>1</v>
      </c>
      <c r="N40" s="87">
        <f>'2019'!K40</f>
        <v>0</v>
      </c>
      <c r="O40" s="186" t="str">
        <f>'2016'!N44</f>
        <v xml:space="preserve"> -</v>
      </c>
      <c r="P40" s="187">
        <f>'2017'!N40</f>
        <v>1</v>
      </c>
      <c r="Q40" s="188">
        <f>'2018'!N40</f>
        <v>1</v>
      </c>
      <c r="R40" s="187">
        <f>'2019'!N40</f>
        <v>0</v>
      </c>
      <c r="S40" s="207">
        <v>0.66666666666666663</v>
      </c>
      <c r="T40" s="70" t="s">
        <v>156</v>
      </c>
      <c r="U40" s="77">
        <f>+'2016'!P44+'2017'!P40</f>
        <v>0</v>
      </c>
      <c r="V40" s="77">
        <f>+'2016'!Q44+'2017'!Q40</f>
        <v>0</v>
      </c>
      <c r="W40" s="77">
        <f>+'2016'!R44+'2017'!R40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60">
      <c r="B41" s="290"/>
      <c r="C41" s="293"/>
      <c r="D41" s="286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'2018'!J41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'2018'!K41</f>
        <v>10</v>
      </c>
      <c r="N41" s="87">
        <f>'2019'!K41</f>
        <v>0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'2018'!N41</f>
        <v xml:space="preserve"> -</v>
      </c>
      <c r="R41" s="187">
        <f>'2019'!N41</f>
        <v>0</v>
      </c>
      <c r="S41" s="207">
        <v>0.5</v>
      </c>
      <c r="T41" s="70">
        <v>0</v>
      </c>
      <c r="U41" s="40">
        <f>+'2016'!P46+'2017'!P41</f>
        <v>0</v>
      </c>
      <c r="V41" s="40">
        <f>+'2016'!Q46+'2017'!Q41</f>
        <v>0</v>
      </c>
      <c r="W41" s="40">
        <f>+'2016'!R46+'2017'!R41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6" thickBot="1">
      <c r="B42" s="290"/>
      <c r="C42" s="293"/>
      <c r="D42" s="287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'2018'!J42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'2018'!K42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'2018'!N42</f>
        <v xml:space="preserve"> -</v>
      </c>
      <c r="R42" s="190">
        <f>'2019'!N42</f>
        <v>0</v>
      </c>
      <c r="S42" s="208">
        <v>0</v>
      </c>
      <c r="T42" s="97" t="s">
        <v>156</v>
      </c>
      <c r="U42" s="51">
        <f>+'2016'!P47+'2017'!P42</f>
        <v>0</v>
      </c>
      <c r="V42" s="51">
        <f>+'2016'!Q47+'2017'!Q42</f>
        <v>0</v>
      </c>
      <c r="W42" s="51">
        <f>+'2016'!R47+'2017'!R42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1" thickBot="1">
      <c r="B43" s="290"/>
      <c r="C43" s="294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'2018'!J43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'2018'!K43</f>
        <v>0.9</v>
      </c>
      <c r="N43" s="174">
        <f>'2019'!K43</f>
        <v>0</v>
      </c>
      <c r="O43" s="177">
        <f>'2016'!N48</f>
        <v>0.92</v>
      </c>
      <c r="P43" s="178">
        <f>'2017'!N43</f>
        <v>0.91</v>
      </c>
      <c r="Q43" s="179">
        <f>'2018'!N43</f>
        <v>0.9</v>
      </c>
      <c r="R43" s="178">
        <f>'2019'!N43</f>
        <v>0</v>
      </c>
      <c r="S43" s="203">
        <v>0.6825</v>
      </c>
      <c r="T43" s="65" t="s">
        <v>165</v>
      </c>
      <c r="U43" s="51">
        <f>+'2016'!P48+'2017'!P43</f>
        <v>4603801</v>
      </c>
      <c r="V43" s="51">
        <f>+'2016'!Q48+'2017'!Q43</f>
        <v>3588924</v>
      </c>
      <c r="W43" s="51">
        <f>+'2016'!R48+'2017'!R43</f>
        <v>0</v>
      </c>
      <c r="X43" s="46">
        <f t="shared" si="0"/>
        <v>0.77955671845937735</v>
      </c>
      <c r="Y43" s="47" t="str">
        <f t="shared" si="1"/>
        <v xml:space="preserve"> -</v>
      </c>
    </row>
    <row r="44" spans="2:25" ht="13" customHeight="1" thickBot="1">
      <c r="B44" s="290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>
      <c r="B45" s="293"/>
      <c r="C45" s="289" t="s">
        <v>97</v>
      </c>
      <c r="D45" s="285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'2018'!J45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'2018'!K45</f>
        <v>504</v>
      </c>
      <c r="N45" s="86">
        <f>'2019'!K45</f>
        <v>0</v>
      </c>
      <c r="O45" s="183">
        <f>'2016'!N50</f>
        <v>1</v>
      </c>
      <c r="P45" s="184">
        <f>'2017'!N45</f>
        <v>1</v>
      </c>
      <c r="Q45" s="185">
        <f>'2018'!N45</f>
        <v>1</v>
      </c>
      <c r="R45" s="184">
        <f>'2019'!N45</f>
        <v>0</v>
      </c>
      <c r="S45" s="206">
        <v>0.6186666666666667</v>
      </c>
      <c r="T45" s="68" t="s">
        <v>166</v>
      </c>
      <c r="U45" s="77">
        <f>+'2016'!P50+'2017'!P45</f>
        <v>65100</v>
      </c>
      <c r="V45" s="77">
        <f>+'2016'!Q50+'2017'!Q45</f>
        <v>65100</v>
      </c>
      <c r="W45" s="77">
        <f>+'2016'!R50+'2017'!R45</f>
        <v>0</v>
      </c>
      <c r="X45" s="16">
        <f t="shared" si="0"/>
        <v>1</v>
      </c>
      <c r="Y45" s="15" t="str">
        <f t="shared" si="1"/>
        <v xml:space="preserve"> -</v>
      </c>
    </row>
    <row r="46" spans="2:25" ht="30">
      <c r="B46" s="293"/>
      <c r="C46" s="290"/>
      <c r="D46" s="286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'2018'!J46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'2018'!K46</f>
        <v>348</v>
      </c>
      <c r="N46" s="87">
        <f>'2019'!K46</f>
        <v>0</v>
      </c>
      <c r="O46" s="186">
        <f>'2016'!N51</f>
        <v>1</v>
      </c>
      <c r="P46" s="187">
        <f>'2017'!N46</f>
        <v>1</v>
      </c>
      <c r="Q46" s="188">
        <f>'2018'!N46</f>
        <v>0.96666666666666667</v>
      </c>
      <c r="R46" s="187">
        <f>'2019'!N46</f>
        <v>0</v>
      </c>
      <c r="S46" s="207">
        <v>0.71499999999999997</v>
      </c>
      <c r="T46" s="70">
        <v>0</v>
      </c>
      <c r="U46" s="40">
        <f>+'2016'!P51+'2017'!P46</f>
        <v>29400</v>
      </c>
      <c r="V46" s="40">
        <f>+'2016'!Q51+'2017'!Q46</f>
        <v>29400</v>
      </c>
      <c r="W46" s="40">
        <f>+'2016'!R51+'2017'!R46</f>
        <v>0</v>
      </c>
      <c r="X46" s="41">
        <f t="shared" si="0"/>
        <v>1</v>
      </c>
      <c r="Y46" s="55" t="str">
        <f t="shared" si="1"/>
        <v xml:space="preserve"> -</v>
      </c>
    </row>
    <row r="47" spans="2:25" ht="45">
      <c r="B47" s="293"/>
      <c r="C47" s="290"/>
      <c r="D47" s="286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'2018'!J47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'2018'!K47</f>
        <v>1</v>
      </c>
      <c r="N47" s="87">
        <f>'2019'!K47</f>
        <v>0</v>
      </c>
      <c r="O47" s="186" t="str">
        <f>'2016'!N52</f>
        <v xml:space="preserve"> -</v>
      </c>
      <c r="P47" s="187">
        <f>'2017'!N47</f>
        <v>1</v>
      </c>
      <c r="Q47" s="188">
        <f>'2018'!N47</f>
        <v>1</v>
      </c>
      <c r="R47" s="187">
        <f>'2019'!N47</f>
        <v>0</v>
      </c>
      <c r="S47" s="207">
        <v>0.66666666666666663</v>
      </c>
      <c r="T47" s="70" t="s">
        <v>156</v>
      </c>
      <c r="U47" s="40">
        <f>+'2016'!P52+'2017'!P47</f>
        <v>0</v>
      </c>
      <c r="V47" s="40">
        <f>+'2016'!Q52+'2017'!Q47</f>
        <v>0</v>
      </c>
      <c r="W47" s="40">
        <f>+'2016'!R52+'2017'!R47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45">
      <c r="B48" s="293"/>
      <c r="C48" s="290"/>
      <c r="D48" s="286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'2018'!J48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'2018'!K48</f>
        <v>1</v>
      </c>
      <c r="N48" s="87">
        <f>'2019'!K48</f>
        <v>0</v>
      </c>
      <c r="O48" s="186">
        <f>'2016'!N53</f>
        <v>1</v>
      </c>
      <c r="P48" s="187">
        <f>'2017'!N48</f>
        <v>1</v>
      </c>
      <c r="Q48" s="188">
        <f>'2018'!N48</f>
        <v>1</v>
      </c>
      <c r="R48" s="187">
        <f>'2019'!N48</f>
        <v>0</v>
      </c>
      <c r="S48" s="207">
        <v>0.75</v>
      </c>
      <c r="T48" s="70" t="s">
        <v>156</v>
      </c>
      <c r="U48" s="40">
        <f>+'2016'!P53+'2017'!P48</f>
        <v>0</v>
      </c>
      <c r="V48" s="40">
        <f>+'2016'!Q53+'2017'!Q48</f>
        <v>0</v>
      </c>
      <c r="W48" s="40">
        <f>+'2016'!R53+'2017'!R48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6" thickBot="1">
      <c r="B49" s="293"/>
      <c r="C49" s="290"/>
      <c r="D49" s="287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'2018'!J49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'2018'!K49</f>
        <v>1</v>
      </c>
      <c r="N49" s="88">
        <f>'2019'!K49</f>
        <v>0</v>
      </c>
      <c r="O49" s="192">
        <f>'2016'!N54</f>
        <v>1</v>
      </c>
      <c r="P49" s="193">
        <f>'2017'!N49</f>
        <v>1</v>
      </c>
      <c r="Q49" s="194">
        <f>'2018'!N49</f>
        <v>1</v>
      </c>
      <c r="R49" s="193">
        <f>'2019'!N49</f>
        <v>0</v>
      </c>
      <c r="S49" s="209">
        <v>0.75</v>
      </c>
      <c r="T49" s="97" t="s">
        <v>156</v>
      </c>
      <c r="U49" s="51">
        <f>+'2016'!P54+'2017'!P49</f>
        <v>0</v>
      </c>
      <c r="V49" s="51">
        <f>+'2016'!Q54+'2017'!Q49</f>
        <v>0</v>
      </c>
      <c r="W49" s="51">
        <f>+'2016'!R54+'2017'!R49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>
      <c r="B50" s="293"/>
      <c r="C50" s="290"/>
      <c r="D50" s="285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'2018'!J50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'2018'!K50</f>
        <v>1509</v>
      </c>
      <c r="N50" s="86">
        <f>'2019'!K50</f>
        <v>0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'2018'!N50</f>
        <v>1</v>
      </c>
      <c r="R50" s="184">
        <f>'2019'!N50</f>
        <v>0</v>
      </c>
      <c r="S50" s="206">
        <v>0.97235294117647064</v>
      </c>
      <c r="T50" s="68">
        <v>0</v>
      </c>
      <c r="U50" s="77">
        <f>+'2016'!P55+'2017'!P50</f>
        <v>68567</v>
      </c>
      <c r="V50" s="77">
        <f>+'2016'!Q55+'2017'!Q50</f>
        <v>35667</v>
      </c>
      <c r="W50" s="77">
        <f>+'2016'!R55+'2017'!R50</f>
        <v>0</v>
      </c>
      <c r="X50" s="16">
        <f t="shared" si="0"/>
        <v>0.52017734478685085</v>
      </c>
      <c r="Y50" s="15" t="str">
        <f t="shared" si="1"/>
        <v xml:space="preserve"> -</v>
      </c>
    </row>
    <row r="51" spans="2:25" ht="45">
      <c r="B51" s="293"/>
      <c r="C51" s="290"/>
      <c r="D51" s="286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'2018'!J51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'2018'!K51</f>
        <v>257</v>
      </c>
      <c r="N51" s="87">
        <f>'2019'!K51</f>
        <v>0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'2018'!N51</f>
        <v>1</v>
      </c>
      <c r="R51" s="187">
        <f>'2019'!N51</f>
        <v>0</v>
      </c>
      <c r="S51" s="207">
        <v>1</v>
      </c>
      <c r="T51" s="70">
        <v>0</v>
      </c>
      <c r="U51" s="40">
        <f>+'2016'!P56+'2017'!P51</f>
        <v>0</v>
      </c>
      <c r="V51" s="40">
        <f>+'2016'!Q56+'2017'!Q51</f>
        <v>0</v>
      </c>
      <c r="W51" s="40">
        <f>+'2016'!R56+'2017'!R51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>
      <c r="B52" s="293"/>
      <c r="C52" s="290"/>
      <c r="D52" s="286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'2018'!J52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'2018'!K52</f>
        <v>1</v>
      </c>
      <c r="N52" s="87">
        <f>'2019'!K52</f>
        <v>0</v>
      </c>
      <c r="O52" s="186">
        <f>'2016'!N57</f>
        <v>1</v>
      </c>
      <c r="P52" s="187">
        <f>'2017'!N52</f>
        <v>1</v>
      </c>
      <c r="Q52" s="188">
        <f>'2018'!N52</f>
        <v>1</v>
      </c>
      <c r="R52" s="187">
        <f>'2019'!N52</f>
        <v>0</v>
      </c>
      <c r="S52" s="207">
        <v>0.75</v>
      </c>
      <c r="T52" s="70" t="s">
        <v>156</v>
      </c>
      <c r="U52" s="40">
        <f>+'2016'!P57+'2017'!P52</f>
        <v>0</v>
      </c>
      <c r="V52" s="40">
        <f>+'2016'!Q57+'2017'!Q52</f>
        <v>0</v>
      </c>
      <c r="W52" s="40">
        <f>+'2016'!R57+'2017'!R52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60">
      <c r="B53" s="293"/>
      <c r="C53" s="290"/>
      <c r="D53" s="286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'2018'!J53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'2018'!K53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'2018'!N53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</f>
        <v>0</v>
      </c>
      <c r="V53" s="40">
        <f>+'2016'!Q58+'2017'!Q53</f>
        <v>0</v>
      </c>
      <c r="W53" s="40">
        <f>+'2016'!R58+'2017'!R53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60">
      <c r="B54" s="293"/>
      <c r="C54" s="290"/>
      <c r="D54" s="286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'2018'!J54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'2018'!K54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'2018'!N54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</f>
        <v>0</v>
      </c>
      <c r="V54" s="40">
        <f>+'2016'!Q59+'2017'!Q54</f>
        <v>0</v>
      </c>
      <c r="W54" s="40">
        <f>+'2016'!R59+'2017'!R54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60">
      <c r="B55" s="293"/>
      <c r="C55" s="290"/>
      <c r="D55" s="286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'2018'!J55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'2018'!K55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'2018'!N55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</f>
        <v>0</v>
      </c>
      <c r="V55" s="40">
        <f>+'2016'!Q60+'2017'!Q55</f>
        <v>0</v>
      </c>
      <c r="W55" s="40">
        <f>+'2016'!R60+'2017'!R55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61" thickBot="1">
      <c r="B56" s="293"/>
      <c r="C56" s="290"/>
      <c r="D56" s="287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'2018'!J56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'2018'!K56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'2018'!N56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</f>
        <v>0</v>
      </c>
      <c r="V56" s="51">
        <f>+'2016'!Q61+'2017'!Q56</f>
        <v>0</v>
      </c>
      <c r="W56" s="51">
        <f>+'2016'!R61+'2017'!R56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>
      <c r="B57" s="293"/>
      <c r="C57" s="290"/>
      <c r="D57" s="288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'2018'!J57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'2018'!K57</f>
        <v>0</v>
      </c>
      <c r="N57" s="130">
        <f>'2019'!K57</f>
        <v>0</v>
      </c>
      <c r="O57" s="198">
        <f>'2016'!N62</f>
        <v>1</v>
      </c>
      <c r="P57" s="199" t="str">
        <f>'2017'!N57</f>
        <v xml:space="preserve"> -</v>
      </c>
      <c r="Q57" s="200" t="str">
        <f>'2018'!N57</f>
        <v xml:space="preserve"> -</v>
      </c>
      <c r="R57" s="199">
        <f>'2019'!N57</f>
        <v>0</v>
      </c>
      <c r="S57" s="212">
        <v>0.75</v>
      </c>
      <c r="T57" s="110" t="s">
        <v>167</v>
      </c>
      <c r="U57" s="77">
        <f>+'2016'!P62+'2017'!P57</f>
        <v>0</v>
      </c>
      <c r="V57" s="77">
        <f>+'2016'!Q62+'2017'!Q57</f>
        <v>0</v>
      </c>
      <c r="W57" s="77">
        <f>+'2016'!R62+'2017'!R57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6" thickBot="1">
      <c r="B58" s="294"/>
      <c r="C58" s="291"/>
      <c r="D58" s="287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'2018'!J58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'2018'!K58</f>
        <v>2</v>
      </c>
      <c r="N58" s="88">
        <f>'2019'!K58</f>
        <v>0</v>
      </c>
      <c r="O58" s="192">
        <f>'2016'!N63</f>
        <v>1</v>
      </c>
      <c r="P58" s="193">
        <f>'2017'!N58</f>
        <v>1</v>
      </c>
      <c r="Q58" s="194">
        <f>'2018'!N58</f>
        <v>1</v>
      </c>
      <c r="R58" s="193">
        <f>'2019'!N58</f>
        <v>0</v>
      </c>
      <c r="S58" s="209">
        <v>0.625</v>
      </c>
      <c r="T58" s="69" t="s">
        <v>167</v>
      </c>
      <c r="U58" s="40">
        <f>+'2016'!P63+'2017'!P58</f>
        <v>0</v>
      </c>
      <c r="V58" s="40">
        <f>+'2016'!Q63+'2017'!Q58</f>
        <v>0</v>
      </c>
      <c r="W58" s="40">
        <f>+'2016'!R63+'2017'!R58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0.9005239424088004</v>
      </c>
      <c r="R59" s="159">
        <f t="shared" si="2"/>
        <v>0</v>
      </c>
      <c r="S59" s="134">
        <f t="shared" si="2"/>
        <v>0.49442277614252167</v>
      </c>
      <c r="U59" s="132">
        <f>+SUM(U12,U14:U15,U17,U19:U31,U33:U43,U45:U58)</f>
        <v>5629101</v>
      </c>
      <c r="V59" s="131">
        <f>+SUM(V12,V14:V15,V17,V19:V31,V33:V43,V45:V58)</f>
        <v>4075474</v>
      </c>
      <c r="W59" s="131">
        <f>+SUM(W12,W14:W15,W17,W19:W31,W33:W43,W45:W58)</f>
        <v>735314</v>
      </c>
      <c r="X59" s="133">
        <f t="shared" si="0"/>
        <v>0.72400086621291748</v>
      </c>
      <c r="Y59" s="134">
        <f t="shared" si="1"/>
        <v>0.18042416661227625</v>
      </c>
    </row>
  </sheetData>
  <mergeCells count="31"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45" t="s">
        <v>152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</row>
    <row r="4" spans="2:15" ht="16" thickBot="1">
      <c r="C4" s="213"/>
      <c r="D4" s="213"/>
      <c r="E4" s="213"/>
      <c r="F4" s="213"/>
      <c r="G4" s="213"/>
      <c r="H4" s="213"/>
      <c r="I4" s="213"/>
    </row>
    <row r="5" spans="2:15" ht="19" customHeight="1">
      <c r="C5" s="213"/>
      <c r="D5" s="213"/>
      <c r="E5" s="348" t="s">
        <v>104</v>
      </c>
      <c r="F5" s="349"/>
      <c r="G5" s="349"/>
      <c r="H5" s="349"/>
      <c r="I5" s="352" t="s">
        <v>103</v>
      </c>
      <c r="J5" s="353"/>
      <c r="K5" s="356" t="s">
        <v>105</v>
      </c>
      <c r="L5" s="357"/>
      <c r="M5" s="357"/>
      <c r="N5" s="357"/>
      <c r="O5" s="358"/>
    </row>
    <row r="6" spans="2:15" ht="19" customHeight="1" thickBot="1">
      <c r="E6" s="350"/>
      <c r="F6" s="351"/>
      <c r="G6" s="351"/>
      <c r="H6" s="351"/>
      <c r="I6" s="354"/>
      <c r="J6" s="355"/>
      <c r="K6" s="359" t="s">
        <v>101</v>
      </c>
      <c r="L6" s="360"/>
      <c r="M6" s="360"/>
      <c r="N6" s="360"/>
      <c r="O6" s="361"/>
    </row>
    <row r="7" spans="2:15" ht="32" customHeight="1" thickBot="1">
      <c r="C7" s="362"/>
      <c r="D7" s="363"/>
      <c r="E7" s="214">
        <v>2016</v>
      </c>
      <c r="F7" s="215">
        <v>2017</v>
      </c>
      <c r="G7" s="215">
        <v>2018</v>
      </c>
      <c r="H7" s="215">
        <v>2019</v>
      </c>
      <c r="I7" s="364" t="s">
        <v>101</v>
      </c>
      <c r="J7" s="365"/>
      <c r="K7" s="216" t="s">
        <v>106</v>
      </c>
      <c r="L7" s="217" t="s">
        <v>107</v>
      </c>
      <c r="M7" s="217" t="s">
        <v>108</v>
      </c>
      <c r="N7" s="217" t="s">
        <v>109</v>
      </c>
      <c r="O7" s="218" t="s">
        <v>110</v>
      </c>
    </row>
    <row r="8" spans="2:15" ht="22" customHeight="1" thickBot="1">
      <c r="B8" s="219">
        <v>1</v>
      </c>
      <c r="C8" s="366" t="s">
        <v>111</v>
      </c>
      <c r="D8" s="367"/>
      <c r="E8" s="220">
        <f>+IF(' 2016 - 2019'!G12&gt;0,' 2016 - 2019'!O12," -")</f>
        <v>1</v>
      </c>
      <c r="F8" s="220">
        <f>+IF(' 2016 - 2019'!H12&gt;0,' 2016 - 2019'!P12," -")</f>
        <v>1</v>
      </c>
      <c r="G8" s="220">
        <f>+IF(' 2016 - 2019'!I12&gt;0,' 2016 - 2019'!Q12," -")</f>
        <v>1</v>
      </c>
      <c r="H8" s="220">
        <f>+IF(' 2016 - 2019'!J12&gt;0,' 2016 - 2019'!R12," -")</f>
        <v>0</v>
      </c>
      <c r="I8" s="221">
        <f>+' 2016 - 2019'!S12</f>
        <v>0.75</v>
      </c>
      <c r="J8" s="222">
        <f t="shared" ref="J8:J14" si="0">+I8</f>
        <v>0.75</v>
      </c>
      <c r="K8" s="223">
        <f>+K9</f>
        <v>0</v>
      </c>
      <c r="L8" s="224">
        <f t="shared" ref="L8:M9" si="1">+L9</f>
        <v>0</v>
      </c>
      <c r="M8" s="224">
        <f t="shared" si="1"/>
        <v>0</v>
      </c>
      <c r="N8" s="225" t="str">
        <f t="shared" ref="N8:N14" si="2">IF(K8=0,"-",+L8/K8)</f>
        <v>-</v>
      </c>
      <c r="O8" s="226" t="str">
        <f>IF(M8=0," -",IF(L8=0,100%,M8/L8))</f>
        <v xml:space="preserve"> -</v>
      </c>
    </row>
    <row r="9" spans="2:15" ht="20" customHeight="1">
      <c r="B9" s="227" t="s">
        <v>112</v>
      </c>
      <c r="C9" s="372" t="s">
        <v>36</v>
      </c>
      <c r="D9" s="373"/>
      <c r="E9" s="239">
        <f>+IF(' 2016 - 2019'!G12&gt;0,' 2016 - 2019'!O12," -")</f>
        <v>1</v>
      </c>
      <c r="F9" s="239">
        <f>+IF(' 2016 - 2019'!H12&gt;0,' 2016 - 2019'!P12," -")</f>
        <v>1</v>
      </c>
      <c r="G9" s="239">
        <f>+IF(' 2016 - 2019'!I12&gt;0,' 2016 - 2019'!Q12," -")</f>
        <v>1</v>
      </c>
      <c r="H9" s="239">
        <f>+IF(' 2016 - 2019'!J12&gt;0,' 2016 - 2019'!R12," -")</f>
        <v>0</v>
      </c>
      <c r="I9" s="240">
        <f>+' 2016 - 2019'!S12</f>
        <v>0.75</v>
      </c>
      <c r="J9" s="241">
        <f t="shared" si="0"/>
        <v>0.75</v>
      </c>
      <c r="K9" s="242">
        <f>+K10</f>
        <v>0</v>
      </c>
      <c r="L9" s="243">
        <f t="shared" si="1"/>
        <v>0</v>
      </c>
      <c r="M9" s="243">
        <f t="shared" si="1"/>
        <v>0</v>
      </c>
      <c r="N9" s="244" t="str">
        <f t="shared" si="2"/>
        <v>-</v>
      </c>
      <c r="O9" s="245" t="str">
        <f t="shared" ref="O9:O17" si="3">IF(M9=0," -",IF(L9=0,100%,M9/L9))</f>
        <v xml:space="preserve"> -</v>
      </c>
    </row>
    <row r="10" spans="2:15" ht="18" customHeight="1" thickBot="1">
      <c r="B10" s="232" t="s">
        <v>113</v>
      </c>
      <c r="C10" s="374" t="s">
        <v>114</v>
      </c>
      <c r="D10" s="375"/>
      <c r="E10" s="233">
        <f>+IF(' 2016 - 2019'!G12&gt;0,' 2016 - 2019'!O12," -")</f>
        <v>1</v>
      </c>
      <c r="F10" s="233">
        <f>+IF(' 2016 - 2019'!H12&gt;0,' 2016 - 2019'!P12," -")</f>
        <v>1</v>
      </c>
      <c r="G10" s="233">
        <f>+IF(' 2016 - 2019'!I12&gt;0,' 2016 - 2019'!Q12," -")</f>
        <v>1</v>
      </c>
      <c r="H10" s="233">
        <f>+IF(' 2016 - 2019'!J12&gt;0,' 2016 - 2019'!R12," -")</f>
        <v>0</v>
      </c>
      <c r="I10" s="234">
        <f>+' 2016 - 2019'!S12</f>
        <v>0.75</v>
      </c>
      <c r="J10" s="235">
        <f t="shared" si="0"/>
        <v>0.75</v>
      </c>
      <c r="K10" s="236">
        <f>+' 2016 - 2019'!U12</f>
        <v>0</v>
      </c>
      <c r="L10" s="40">
        <f>+' 2016 - 2019'!V12</f>
        <v>0</v>
      </c>
      <c r="M10" s="40">
        <f>+' 2016 - 2019'!W12</f>
        <v>0</v>
      </c>
      <c r="N10" s="237" t="str">
        <f t="shared" si="2"/>
        <v>-</v>
      </c>
      <c r="O10" s="238" t="str">
        <f t="shared" si="3"/>
        <v xml:space="preserve"> -</v>
      </c>
    </row>
    <row r="11" spans="2:15" ht="22" customHeight="1" thickBot="1">
      <c r="B11" s="219">
        <v>2</v>
      </c>
      <c r="C11" s="368" t="s">
        <v>115</v>
      </c>
      <c r="D11" s="369"/>
      <c r="E11" s="249" t="str">
        <f>+IF(SUM(' 2016 - 2019'!G14:G15)&gt;0,AVERAGE(' 2016 - 2019'!O14:O15)," -")</f>
        <v xml:space="preserve"> -</v>
      </c>
      <c r="F11" s="249">
        <f>+IF(SUM(' 2016 - 2019'!H14:H15)&gt;0,AVERAGE(' 2016 - 2019'!P14:P15)," -")</f>
        <v>1</v>
      </c>
      <c r="G11" s="249">
        <f>+IF(SUM(' 2016 - 2019'!I14:I15)&gt;0,AVERAGE(' 2016 - 2019'!Q14:Q15)," -")</f>
        <v>1</v>
      </c>
      <c r="H11" s="249">
        <f>+IF(SUM(' 2016 - 2019'!J14:J15)&gt;0,AVERAGE(' 2016 - 2019'!R14:R15)," -")</f>
        <v>0</v>
      </c>
      <c r="I11" s="250">
        <f>+AVERAGE(' 2016 - 2019'!S14:S15)</f>
        <v>0.83333333333333326</v>
      </c>
      <c r="J11" s="251">
        <f t="shared" si="0"/>
        <v>0.83333333333333326</v>
      </c>
      <c r="K11" s="252">
        <f>+K12</f>
        <v>0</v>
      </c>
      <c r="L11" s="253">
        <f t="shared" ref="L11:M11" si="4">+L12</f>
        <v>0</v>
      </c>
      <c r="M11" s="253">
        <f t="shared" si="4"/>
        <v>0</v>
      </c>
      <c r="N11" s="254" t="str">
        <f t="shared" si="2"/>
        <v>-</v>
      </c>
      <c r="O11" s="255" t="str">
        <f t="shared" si="3"/>
        <v xml:space="preserve"> -</v>
      </c>
    </row>
    <row r="12" spans="2:15" ht="20" customHeight="1">
      <c r="B12" s="227" t="s">
        <v>116</v>
      </c>
      <c r="C12" s="370" t="s">
        <v>33</v>
      </c>
      <c r="D12" s="371"/>
      <c r="E12" s="256" t="str">
        <f>+IF(SUM(' 2016 - 2019'!G14:G15)&gt;0,AVERAGE(' 2016 - 2019'!O14:O15)," -")</f>
        <v xml:space="preserve"> -</v>
      </c>
      <c r="F12" s="256">
        <f>+IF(SUM(' 2016 - 2019'!H14:H15)&gt;0,AVERAGE(' 2016 - 2019'!P14:P15)," -")</f>
        <v>1</v>
      </c>
      <c r="G12" s="256">
        <f>+IF(SUM(' 2016 - 2019'!I14:I15)&gt;0,AVERAGE(' 2016 - 2019'!Q14:Q15)," -")</f>
        <v>1</v>
      </c>
      <c r="H12" s="256">
        <f>+IF(SUM(' 2016 - 2019'!J14:J15)&gt;0,AVERAGE(' 2016 - 2019'!R14:R15)," -")</f>
        <v>0</v>
      </c>
      <c r="I12" s="257">
        <f>+AVERAGE(' 2016 - 2019'!S14:S15)</f>
        <v>0.83333333333333326</v>
      </c>
      <c r="J12" s="258">
        <f t="shared" si="0"/>
        <v>0.83333333333333326</v>
      </c>
      <c r="K12" s="228">
        <f>+SUM(K13:K14)</f>
        <v>0</v>
      </c>
      <c r="L12" s="229">
        <f t="shared" ref="L12:M12" si="5">+SUM(L13:L14)</f>
        <v>0</v>
      </c>
      <c r="M12" s="229">
        <f t="shared" si="5"/>
        <v>0</v>
      </c>
      <c r="N12" s="230" t="str">
        <f t="shared" si="2"/>
        <v>-</v>
      </c>
      <c r="O12" s="231" t="str">
        <f t="shared" si="3"/>
        <v xml:space="preserve"> -</v>
      </c>
    </row>
    <row r="13" spans="2:15" ht="18" customHeight="1">
      <c r="B13" s="232" t="s">
        <v>117</v>
      </c>
      <c r="C13" s="374" t="s">
        <v>118</v>
      </c>
      <c r="D13" s="375"/>
      <c r="E13" s="233" t="str">
        <f>+IF(' 2016 - 2019'!G14&gt;0,' 2016 - 2019'!O14," -")</f>
        <v xml:space="preserve"> -</v>
      </c>
      <c r="F13" s="233">
        <f>+IF(' 2016 - 2019'!H14&gt;0,' 2016 - 2019'!P14," -")</f>
        <v>1</v>
      </c>
      <c r="G13" s="233" t="str">
        <f>+IF(' 2016 - 2019'!I14&gt;0,' 2016 - 2019'!Q14," -")</f>
        <v xml:space="preserve"> -</v>
      </c>
      <c r="H13" s="233">
        <f>+IF(' 2016 - 2019'!J14&gt;0,' 2016 - 2019'!R14," -")</f>
        <v>0</v>
      </c>
      <c r="I13" s="234">
        <f>+' 2016 - 2019'!S14</f>
        <v>1</v>
      </c>
      <c r="J13" s="235">
        <f t="shared" si="0"/>
        <v>1</v>
      </c>
      <c r="K13" s="236">
        <f>+' 2016 - 2019'!U14</f>
        <v>0</v>
      </c>
      <c r="L13" s="40">
        <f>+' 2016 - 2019'!V14</f>
        <v>0</v>
      </c>
      <c r="M13" s="40">
        <f>+' 2016 - 2019'!W14</f>
        <v>0</v>
      </c>
      <c r="N13" s="237" t="str">
        <f t="shared" si="2"/>
        <v>-</v>
      </c>
      <c r="O13" s="238" t="str">
        <f t="shared" si="3"/>
        <v xml:space="preserve"> -</v>
      </c>
    </row>
    <row r="14" spans="2:15" ht="18" customHeight="1" thickBot="1">
      <c r="B14" s="232" t="s">
        <v>119</v>
      </c>
      <c r="C14" s="374" t="s">
        <v>120</v>
      </c>
      <c r="D14" s="375"/>
      <c r="E14" s="233" t="str">
        <f>+IF(' 2016 - 2019'!G15&gt;0,' 2016 - 2019'!O15," -")</f>
        <v xml:space="preserve"> -</v>
      </c>
      <c r="F14" s="233">
        <f>+IF(' 2016 - 2019'!H15&gt;0,' 2016 - 2019'!P15," -")</f>
        <v>1</v>
      </c>
      <c r="G14" s="233">
        <f>+IF(' 2016 - 2019'!I15&gt;0,' 2016 - 2019'!Q15," -")</f>
        <v>1</v>
      </c>
      <c r="H14" s="233">
        <f>+IF(' 2016 - 2019'!J15&gt;0,' 2016 - 2019'!R15," -")</f>
        <v>0</v>
      </c>
      <c r="I14" s="234">
        <f>+' 2016 - 2019'!S15</f>
        <v>0.66666666666666663</v>
      </c>
      <c r="J14" s="235">
        <f t="shared" si="0"/>
        <v>0.66666666666666663</v>
      </c>
      <c r="K14" s="236">
        <f>+' 2016 - 2019'!U15</f>
        <v>0</v>
      </c>
      <c r="L14" s="40">
        <f>+' 2016 - 2019'!V15</f>
        <v>0</v>
      </c>
      <c r="M14" s="40">
        <f>+' 2016 - 2019'!W15</f>
        <v>0</v>
      </c>
      <c r="N14" s="237" t="str">
        <f t="shared" si="2"/>
        <v>-</v>
      </c>
      <c r="O14" s="238" t="str">
        <f t="shared" si="3"/>
        <v xml:space="preserve"> -</v>
      </c>
    </row>
    <row r="15" spans="2:15" ht="22" customHeight="1" thickBot="1">
      <c r="B15" s="219">
        <v>4</v>
      </c>
      <c r="C15" s="376" t="s">
        <v>121</v>
      </c>
      <c r="D15" s="377"/>
      <c r="E15" s="259" t="str">
        <f>+IF(' 2016 - 2019'!G17&gt;0,' 2016 - 2019'!O17," -")</f>
        <v xml:space="preserve"> -</v>
      </c>
      <c r="F15" s="259">
        <f>+IF(' 2016 - 2019'!H17&gt;0,' 2016 - 2019'!P17," -")</f>
        <v>1</v>
      </c>
      <c r="G15" s="259" t="str">
        <f>+IF(' 2016 - 2019'!I17&gt;0,' 2016 - 2019'!Q17," -")</f>
        <v xml:space="preserve"> -</v>
      </c>
      <c r="H15" s="259">
        <f>+IF(' 2016 - 2019'!J17&gt;0,' 2016 - 2019'!R17," -")</f>
        <v>0</v>
      </c>
      <c r="I15" s="260">
        <f>+' 2016 - 2019'!S17</f>
        <v>1</v>
      </c>
      <c r="J15" s="261">
        <f t="shared" ref="J15:J32" si="6">+I15</f>
        <v>1</v>
      </c>
      <c r="K15" s="262">
        <f>+K16</f>
        <v>0</v>
      </c>
      <c r="L15" s="263">
        <f t="shared" ref="L15:M16" si="7">+L16</f>
        <v>0</v>
      </c>
      <c r="M15" s="263">
        <f t="shared" si="7"/>
        <v>0</v>
      </c>
      <c r="N15" s="264" t="str">
        <f t="shared" ref="N15:N32" si="8">IF(K15=0,"-",+L15/K15)</f>
        <v>-</v>
      </c>
      <c r="O15" s="265" t="str">
        <f t="shared" si="3"/>
        <v xml:space="preserve"> -</v>
      </c>
    </row>
    <row r="16" spans="2:15" ht="20" customHeight="1">
      <c r="B16" s="227" t="s">
        <v>122</v>
      </c>
      <c r="C16" s="370" t="s">
        <v>43</v>
      </c>
      <c r="D16" s="371"/>
      <c r="E16" s="256" t="str">
        <f>+IF(' 2016 - 2019'!G17&gt;0,' 2016 - 2019'!O17," -")</f>
        <v xml:space="preserve"> -</v>
      </c>
      <c r="F16" s="256">
        <f>+IF(' 2016 - 2019'!H17&gt;0,' 2016 - 2019'!P17," -")</f>
        <v>1</v>
      </c>
      <c r="G16" s="256" t="str">
        <f>+IF(' 2016 - 2019'!I17&gt;0,' 2016 - 2019'!Q17," -")</f>
        <v xml:space="preserve"> -</v>
      </c>
      <c r="H16" s="256">
        <f>+IF(' 2016 - 2019'!J17&gt;0,' 2016 - 2019'!R17," -")</f>
        <v>0</v>
      </c>
      <c r="I16" s="257">
        <f>+' 2016 - 2019'!S17</f>
        <v>1</v>
      </c>
      <c r="J16" s="258">
        <f t="shared" si="6"/>
        <v>1</v>
      </c>
      <c r="K16" s="228">
        <f>+K17</f>
        <v>0</v>
      </c>
      <c r="L16" s="229">
        <f t="shared" si="7"/>
        <v>0</v>
      </c>
      <c r="M16" s="229">
        <f t="shared" si="7"/>
        <v>0</v>
      </c>
      <c r="N16" s="230" t="str">
        <f t="shared" si="8"/>
        <v>-</v>
      </c>
      <c r="O16" s="231" t="str">
        <f t="shared" si="3"/>
        <v xml:space="preserve"> -</v>
      </c>
    </row>
    <row r="17" spans="2:15" ht="18" customHeight="1" thickBot="1">
      <c r="B17" s="232" t="s">
        <v>123</v>
      </c>
      <c r="C17" s="374" t="s">
        <v>124</v>
      </c>
      <c r="D17" s="375"/>
      <c r="E17" s="233" t="str">
        <f>+IF(' 2016 - 2019'!G17&gt;0,' 2016 - 2019'!O17," -")</f>
        <v xml:space="preserve"> -</v>
      </c>
      <c r="F17" s="233">
        <f>+IF(' 2016 - 2019'!H17&gt;0,' 2016 - 2019'!P17," -")</f>
        <v>1</v>
      </c>
      <c r="G17" s="233" t="str">
        <f>+IF(' 2016 - 2019'!I17&gt;0,' 2016 - 2019'!Q17," -")</f>
        <v xml:space="preserve"> -</v>
      </c>
      <c r="H17" s="233">
        <f>+IF(' 2016 - 2019'!J17&gt;0,' 2016 - 2019'!R17," -")</f>
        <v>0</v>
      </c>
      <c r="I17" s="234">
        <f>+' 2016 - 2019'!S17</f>
        <v>1</v>
      </c>
      <c r="J17" s="235">
        <f t="shared" si="6"/>
        <v>1</v>
      </c>
      <c r="K17" s="236">
        <f>+' 2016 - 2019'!U17</f>
        <v>0</v>
      </c>
      <c r="L17" s="40">
        <f>+' 2016 - 2019'!V17</f>
        <v>0</v>
      </c>
      <c r="M17" s="40">
        <f>+' 2016 - 2019'!W17</f>
        <v>0</v>
      </c>
      <c r="N17" s="237" t="str">
        <f t="shared" si="8"/>
        <v>-</v>
      </c>
      <c r="O17" s="238" t="str">
        <f t="shared" si="3"/>
        <v xml:space="preserve"> -</v>
      </c>
    </row>
    <row r="18" spans="2:15" ht="22" customHeight="1" thickBot="1">
      <c r="B18" s="219">
        <v>5</v>
      </c>
      <c r="C18" s="378" t="s">
        <v>125</v>
      </c>
      <c r="D18" s="379"/>
      <c r="E18" s="266">
        <f>+IF(SUM(' 2016 - 2019'!G19:G58)&gt;0,AVERAGE(' 2016 - 2019'!O19:O58)," -")</f>
        <v>0.99272727272727268</v>
      </c>
      <c r="F18" s="266">
        <f>+IF(SUM(' 2016 - 2019'!H19:H58)&gt;0,AVERAGE(' 2016 - 2019'!P19:P58)," -")</f>
        <v>0.89379084967320266</v>
      </c>
      <c r="G18" s="266">
        <f>+IF(SUM(' 2016 - 2019'!I19:I58)&gt;0,AVERAGE(' 2016 - 2019'!Q19:Q58)," -")</f>
        <v>0.89223427094286711</v>
      </c>
      <c r="H18" s="266">
        <f>+IF(SUM(' 2016 - 2019'!J19:J58)&gt;0,AVERAGE(' 2016 - 2019'!R19:R58)," -")</f>
        <v>0</v>
      </c>
      <c r="I18" s="267">
        <f>+AVERAGE(' 2016 - 2019'!S19:S58)</f>
        <v>0.45655499819261181</v>
      </c>
      <c r="J18" s="268">
        <f t="shared" si="6"/>
        <v>0.45655499819261181</v>
      </c>
      <c r="K18" s="269">
        <f>+K19+K23+K29</f>
        <v>5629101</v>
      </c>
      <c r="L18" s="270">
        <f t="shared" ref="L18:M18" si="9">+L19+L23+L29</f>
        <v>4075474</v>
      </c>
      <c r="M18" s="270">
        <f t="shared" si="9"/>
        <v>735314</v>
      </c>
      <c r="N18" s="271">
        <f t="shared" si="8"/>
        <v>0.72400086621291748</v>
      </c>
      <c r="O18" s="272">
        <f t="shared" ref="O18:O33" si="10">IF(M18=0," -",IF(L18=0,100%,M18/L18))</f>
        <v>0.18042416661227625</v>
      </c>
    </row>
    <row r="19" spans="2:15" ht="20" customHeight="1">
      <c r="B19" s="227" t="s">
        <v>126</v>
      </c>
      <c r="C19" s="370" t="s">
        <v>95</v>
      </c>
      <c r="D19" s="371"/>
      <c r="E19" s="256">
        <f>+IF(SUM(' 2016 - 2019'!G19:G31)&gt;0,AVERAGE(' 2016 - 2019'!O19:O31)," -")</f>
        <v>1</v>
      </c>
      <c r="F19" s="256">
        <f>+IF(SUM(' 2016 - 2019'!H19:H31)&gt;0,AVERAGE(' 2016 - 2019'!P19:P31)," -")</f>
        <v>0.90370370370370379</v>
      </c>
      <c r="G19" s="256">
        <f>+IF(SUM(' 2016 - 2019'!I19:I31)&gt;0,AVERAGE(' 2016 - 2019'!Q19:Q31)," -")</f>
        <v>0.6791666666666667</v>
      </c>
      <c r="H19" s="256">
        <f>+IF(SUM(' 2016 - 2019'!J19:J31)&gt;0,AVERAGE(' 2016 - 2019'!R19:R31)," -")</f>
        <v>0</v>
      </c>
      <c r="I19" s="257">
        <f>+AVERAGE(' 2016 - 2019'!S19:S31)</f>
        <v>0.27135595398753298</v>
      </c>
      <c r="J19" s="258">
        <f t="shared" si="6"/>
        <v>0.27135595398753298</v>
      </c>
      <c r="K19" s="228">
        <f>+SUM(K20:K22)</f>
        <v>270733</v>
      </c>
      <c r="L19" s="229">
        <f t="shared" ref="L19:M19" si="11">+SUM(L20:L22)</f>
        <v>260253</v>
      </c>
      <c r="M19" s="229">
        <f t="shared" si="11"/>
        <v>335000</v>
      </c>
      <c r="N19" s="230">
        <f t="shared" si="8"/>
        <v>0.96129027492030894</v>
      </c>
      <c r="O19" s="231">
        <f t="shared" si="10"/>
        <v>1.2872089851029576</v>
      </c>
    </row>
    <row r="20" spans="2:15" ht="18" customHeight="1">
      <c r="B20" s="232" t="s">
        <v>127</v>
      </c>
      <c r="C20" s="374" t="s">
        <v>128</v>
      </c>
      <c r="D20" s="375"/>
      <c r="E20" s="233">
        <f>+IF(SUM(' 2016 - 2019'!G19:G23)&gt;0,AVERAGE(' 2016 - 2019'!O19:O23)," -")</f>
        <v>1</v>
      </c>
      <c r="F20" s="233">
        <f>+IF(SUM(' 2016 - 2019'!H19:H23)&gt;0,AVERAGE(' 2016 - 2019'!P19:P23)," -")</f>
        <v>0.90370370370370379</v>
      </c>
      <c r="G20" s="233">
        <f>+IF(SUM(' 2016 - 2019'!I19:I23)&gt;0,AVERAGE(' 2016 - 2019'!Q19:Q23)," -")</f>
        <v>0.63749999999999996</v>
      </c>
      <c r="H20" s="233">
        <f>+IF(SUM(' 2016 - 2019'!J19:J23)&gt;0,AVERAGE(' 2016 - 2019'!R19:R23)," -")</f>
        <v>0</v>
      </c>
      <c r="I20" s="234">
        <f>+AVERAGE(' 2016 - 2019'!S19:S23)</f>
        <v>0.32076357560568086</v>
      </c>
      <c r="J20" s="235">
        <f t="shared" si="6"/>
        <v>0.32076357560568086</v>
      </c>
      <c r="K20" s="236">
        <f>+SUM(' 2016 - 2019'!U19:U23)</f>
        <v>120733</v>
      </c>
      <c r="L20" s="40">
        <f>+SUM(' 2016 - 2019'!V19:V23)</f>
        <v>110253</v>
      </c>
      <c r="M20" s="40">
        <f>+SUM(' 2016 - 2019'!W19:W23)</f>
        <v>0</v>
      </c>
      <c r="N20" s="237">
        <f t="shared" si="8"/>
        <v>0.91319688900300666</v>
      </c>
      <c r="O20" s="238" t="str">
        <f t="shared" si="10"/>
        <v xml:space="preserve"> -</v>
      </c>
    </row>
    <row r="21" spans="2:15" ht="18" customHeight="1">
      <c r="B21" s="232" t="s">
        <v>129</v>
      </c>
      <c r="C21" s="374" t="s">
        <v>130</v>
      </c>
      <c r="D21" s="375"/>
      <c r="E21" s="233">
        <f>+IF(SUM(' 2016 - 2019'!G24:G28)&gt;0,AVERAGE(' 2016 - 2019'!O24:O28)," -")</f>
        <v>1</v>
      </c>
      <c r="F21" s="233" t="str">
        <f>+IF(SUM(' 2016 - 2019'!H24:H28)&gt;0,AVERAGE(' 2016 - 2019'!P24:P28)," -")</f>
        <v xml:space="preserve"> -</v>
      </c>
      <c r="G21" s="233">
        <f>+IF(SUM(' 2016 - 2019'!I24:I28)&gt;0,AVERAGE(' 2016 - 2019'!Q24:Q28)," -")</f>
        <v>1</v>
      </c>
      <c r="H21" s="233">
        <f>+IF(SUM(' 2016 - 2019'!J24:J28)&gt;0,AVERAGE(' 2016 - 2019'!R24:R28)," -")</f>
        <v>0</v>
      </c>
      <c r="I21" s="234">
        <f>+AVERAGE(' 2016 - 2019'!S24:S28)</f>
        <v>0.25142857142857145</v>
      </c>
      <c r="J21" s="235">
        <f t="shared" si="6"/>
        <v>0.25142857142857145</v>
      </c>
      <c r="K21" s="236">
        <f>+SUM(' 2016 - 2019'!U24:U28)</f>
        <v>150000</v>
      </c>
      <c r="L21" s="40">
        <f>+SUM(' 2016 - 2019'!V24:V28)</f>
        <v>150000</v>
      </c>
      <c r="M21" s="40">
        <f>+SUM(' 2016 - 2019'!W24:W28)</f>
        <v>335000</v>
      </c>
      <c r="N21" s="237">
        <f t="shared" si="8"/>
        <v>1</v>
      </c>
      <c r="O21" s="238">
        <f t="shared" si="10"/>
        <v>2.2333333333333334</v>
      </c>
    </row>
    <row r="22" spans="2:15" ht="18" customHeight="1">
      <c r="B22" s="232" t="s">
        <v>131</v>
      </c>
      <c r="C22" s="374" t="s">
        <v>132</v>
      </c>
      <c r="D22" s="375"/>
      <c r="E22" s="233" t="str">
        <f>+IF(SUM(' 2016 - 2019'!G29:G31)&gt;0,AVERAGE(' 2016 - 2019'!O29:O31)," -")</f>
        <v xml:space="preserve"> -</v>
      </c>
      <c r="F22" s="233" t="str">
        <f>+IF(SUM(' 2016 - 2019'!H29:H31)&gt;0,AVERAGE(' 2016 - 2019'!P29:P31)," -")</f>
        <v xml:space="preserve"> -</v>
      </c>
      <c r="G22" s="233">
        <f>+IF(SUM(' 2016 - 2019'!I29:I31)&gt;0,AVERAGE(' 2016 - 2019'!Q29:Q31)," -")</f>
        <v>0.4</v>
      </c>
      <c r="H22" s="233">
        <f>+IF(SUM(' 2016 - 2019'!J29:J31)&gt;0,AVERAGE(' 2016 - 2019'!R29:R31)," -")</f>
        <v>0</v>
      </c>
      <c r="I22" s="234">
        <f>+AVERAGE(' 2016 - 2019'!S29:S31)</f>
        <v>0.22222222222222224</v>
      </c>
      <c r="J22" s="235">
        <f t="shared" si="6"/>
        <v>0.22222222222222224</v>
      </c>
      <c r="K22" s="236">
        <f>+SUM(' 2016 - 2019'!U29:U31)</f>
        <v>0</v>
      </c>
      <c r="L22" s="40">
        <f>+SUM(' 2016 - 2019'!V29:V31)</f>
        <v>0</v>
      </c>
      <c r="M22" s="40">
        <f>+SUM(' 2016 - 2019'!W29:W31)</f>
        <v>0</v>
      </c>
      <c r="N22" s="237" t="str">
        <f t="shared" si="8"/>
        <v>-</v>
      </c>
      <c r="O22" s="238" t="str">
        <f t="shared" si="10"/>
        <v xml:space="preserve"> -</v>
      </c>
    </row>
    <row r="23" spans="2:15" ht="20" customHeight="1">
      <c r="B23" s="227" t="s">
        <v>133</v>
      </c>
      <c r="C23" s="372" t="s">
        <v>96</v>
      </c>
      <c r="D23" s="373"/>
      <c r="E23" s="239">
        <f>+IF(SUM(' 2016 - 2019'!G33:G43)&gt;0,AVERAGE(' 2016 - 2019'!O33:O43)," -")</f>
        <v>0.96</v>
      </c>
      <c r="F23" s="239">
        <f>+IF(SUM(' 2016 - 2019'!H33:H43)&gt;0,AVERAGE(' 2016 - 2019'!P33:P43)," -")</f>
        <v>0.78333333333333333</v>
      </c>
      <c r="G23" s="239">
        <f>+IF(SUM(' 2016 - 2019'!I33:I43)&gt;0,AVERAGE(' 2016 - 2019'!Q33:Q43)," -")</f>
        <v>0.93021731510690508</v>
      </c>
      <c r="H23" s="239">
        <f>+IF(SUM(' 2016 - 2019'!J33:J43)&gt;0,AVERAGE(' 2016 - 2019'!R33:R43)," -")</f>
        <v>0</v>
      </c>
      <c r="I23" s="240">
        <f>+AVERAGE(' 2016 - 2019'!S33:S43)</f>
        <v>0.56579784136104683</v>
      </c>
      <c r="J23" s="241">
        <f t="shared" si="6"/>
        <v>0.56579784136104683</v>
      </c>
      <c r="K23" s="242">
        <f>+SUM(K24:K28)</f>
        <v>5195301</v>
      </c>
      <c r="L23" s="243">
        <f t="shared" ref="L23:M23" si="12">+SUM(L24:L28)</f>
        <v>3685054</v>
      </c>
      <c r="M23" s="243">
        <f t="shared" si="12"/>
        <v>250314</v>
      </c>
      <c r="N23" s="244">
        <f t="shared" si="8"/>
        <v>0.70930519713872209</v>
      </c>
      <c r="O23" s="245">
        <f t="shared" si="10"/>
        <v>6.7926820068308358E-2</v>
      </c>
    </row>
    <row r="24" spans="2:15" ht="18" customHeight="1">
      <c r="B24" s="232" t="s">
        <v>134</v>
      </c>
      <c r="C24" s="374" t="s">
        <v>135</v>
      </c>
      <c r="D24" s="375"/>
      <c r="E24" s="233" t="str">
        <f>+IF(' 2016 - 2019'!G33&gt;0,' 2016 - 2019'!O33," -")</f>
        <v xml:space="preserve"> -</v>
      </c>
      <c r="F24" s="233">
        <f>+IF(' 2016 - 2019'!H33&gt;0,' 2016 - 2019'!P33," -")</f>
        <v>1</v>
      </c>
      <c r="G24" s="233">
        <f>+IF(' 2016 - 2019'!I33&gt;0,' 2016 - 2019'!Q33," -")</f>
        <v>0.9966666666666667</v>
      </c>
      <c r="H24" s="233">
        <f>+IF(' 2016 - 2019'!J33&gt;0,' 2016 - 2019'!R33," -")</f>
        <v>0</v>
      </c>
      <c r="I24" s="234">
        <f>+' 2016 - 2019'!S33</f>
        <v>0.40300000000000002</v>
      </c>
      <c r="J24" s="235">
        <f t="shared" si="6"/>
        <v>0.40300000000000002</v>
      </c>
      <c r="K24" s="236">
        <f>+' 2016 - 2019'!U33</f>
        <v>67500</v>
      </c>
      <c r="L24" s="40">
        <f>+' 2016 - 2019'!V33</f>
        <v>66130</v>
      </c>
      <c r="M24" s="40">
        <f>+' 2016 - 2019'!W33</f>
        <v>0</v>
      </c>
      <c r="N24" s="237">
        <f t="shared" si="8"/>
        <v>0.97970370370370374</v>
      </c>
      <c r="O24" s="238" t="str">
        <f t="shared" si="10"/>
        <v xml:space="preserve"> -</v>
      </c>
    </row>
    <row r="25" spans="2:15" ht="18" customHeight="1">
      <c r="B25" s="232" t="s">
        <v>136</v>
      </c>
      <c r="C25" s="374" t="s">
        <v>137</v>
      </c>
      <c r="D25" s="375"/>
      <c r="E25" s="233" t="str">
        <f>+IF(SUM(' 2016 - 2019'!G34:G35)&gt;0,AVERAGE(' 2016 - 2019'!O34:O35)," -")</f>
        <v xml:space="preserve"> -</v>
      </c>
      <c r="F25" s="233">
        <f>+IF(SUM(' 2016 - 2019'!H34:H35)&gt;0,AVERAGE(' 2016 - 2019'!P34:P35)," -")</f>
        <v>1</v>
      </c>
      <c r="G25" s="233">
        <f>+IF(SUM(' 2016 - 2019'!I34:I35)&gt;0,AVERAGE(' 2016 - 2019'!Q34:Q35)," -")</f>
        <v>1</v>
      </c>
      <c r="H25" s="233">
        <f>+IF(SUM(' 2016 - 2019'!J34:J35)&gt;0,AVERAGE(' 2016 - 2019'!R34:R35)," -")</f>
        <v>0</v>
      </c>
      <c r="I25" s="234">
        <f>+AVERAGE(' 2016 - 2019'!S34:S35)</f>
        <v>0.99399999999999999</v>
      </c>
      <c r="J25" s="235">
        <f t="shared" si="6"/>
        <v>0.99399999999999999</v>
      </c>
      <c r="K25" s="236">
        <f>+SUM(' 2016 - 2019'!U34:U35)</f>
        <v>100000</v>
      </c>
      <c r="L25" s="40">
        <f>+SUM(' 2016 - 2019'!V34:V35)</f>
        <v>30000</v>
      </c>
      <c r="M25" s="40">
        <f>+SUM(' 2016 - 2019'!W34:W35)</f>
        <v>12800</v>
      </c>
      <c r="N25" s="237">
        <f t="shared" si="8"/>
        <v>0.3</v>
      </c>
      <c r="O25" s="238">
        <f t="shared" si="10"/>
        <v>0.42666666666666669</v>
      </c>
    </row>
    <row r="26" spans="2:15" ht="18" customHeight="1">
      <c r="B26" s="232" t="s">
        <v>138</v>
      </c>
      <c r="C26" s="374" t="s">
        <v>139</v>
      </c>
      <c r="D26" s="375"/>
      <c r="E26" s="233">
        <f>+IF(' 2016 - 2019'!G36&gt;0,' 2016 - 2019'!O36," -")</f>
        <v>1</v>
      </c>
      <c r="F26" s="233">
        <f>+IF(' 2016 - 2019'!H36&gt;0,' 2016 - 2019'!P36," -")</f>
        <v>0.57333333333333336</v>
      </c>
      <c r="G26" s="233">
        <f>+IF(' 2016 - 2019'!I36&gt;0,' 2016 - 2019'!Q36," -")</f>
        <v>0.47528916929547843</v>
      </c>
      <c r="H26" s="233">
        <f>+IF(' 2016 - 2019'!J36&gt;0,' 2016 - 2019'!R36," -")</f>
        <v>0</v>
      </c>
      <c r="I26" s="234">
        <f>+' 2016 - 2019'!S36</f>
        <v>0.47694292163818125</v>
      </c>
      <c r="J26" s="235">
        <f t="shared" si="6"/>
        <v>0.47694292163818125</v>
      </c>
      <c r="K26" s="236">
        <f>+' 2016 - 2019'!U36</f>
        <v>424000</v>
      </c>
      <c r="L26" s="40">
        <f>+' 2016 - 2019'!V36</f>
        <v>0</v>
      </c>
      <c r="M26" s="40">
        <f>+' 2016 - 2019'!W36</f>
        <v>0</v>
      </c>
      <c r="N26" s="237">
        <f t="shared" si="8"/>
        <v>0</v>
      </c>
      <c r="O26" s="238" t="str">
        <f t="shared" si="10"/>
        <v xml:space="preserve"> -</v>
      </c>
    </row>
    <row r="27" spans="2:15" ht="18" customHeight="1">
      <c r="B27" s="232" t="s">
        <v>140</v>
      </c>
      <c r="C27" s="374" t="s">
        <v>141</v>
      </c>
      <c r="D27" s="375"/>
      <c r="E27" s="233" t="str">
        <f>+IF(SUM(' 2016 - 2019'!G37:G42)&gt;0,AVERAGE(' 2016 - 2019'!O37:O42)," -")</f>
        <v xml:space="preserve"> -</v>
      </c>
      <c r="F27" s="233">
        <f>+IF(SUM(' 2016 - 2019'!H37:H42)&gt;0,AVERAGE(' 2016 - 2019'!P37:P42)," -")</f>
        <v>0.66666666666666663</v>
      </c>
      <c r="G27" s="233">
        <f>+IF(SUM(' 2016 - 2019'!I37:I42)&gt;0,AVERAGE(' 2016 - 2019'!Q37:Q42)," -")</f>
        <v>1</v>
      </c>
      <c r="H27" s="233">
        <f>+IF(SUM(' 2016 - 2019'!J37:J42)&gt;0,AVERAGE(' 2016 - 2019'!R37:R42)," -")</f>
        <v>0</v>
      </c>
      <c r="I27" s="234">
        <f>+AVERAGE(' 2016 - 2019'!S37:S42)</f>
        <v>0.44555555555555554</v>
      </c>
      <c r="J27" s="235">
        <f t="shared" si="6"/>
        <v>0.44555555555555554</v>
      </c>
      <c r="K27" s="236">
        <f>+SUM(' 2016 - 2019'!U37:U42)</f>
        <v>0</v>
      </c>
      <c r="L27" s="40">
        <f>+SUM(' 2016 - 2019'!V37:V42)</f>
        <v>0</v>
      </c>
      <c r="M27" s="40">
        <f>+SUM(' 2016 - 2019'!W37:W42)</f>
        <v>237514</v>
      </c>
      <c r="N27" s="237" t="str">
        <f t="shared" si="8"/>
        <v>-</v>
      </c>
      <c r="O27" s="238">
        <f t="shared" si="10"/>
        <v>1</v>
      </c>
    </row>
    <row r="28" spans="2:15" ht="18" customHeight="1">
      <c r="B28" s="232" t="s">
        <v>142</v>
      </c>
      <c r="C28" s="374" t="s">
        <v>143</v>
      </c>
      <c r="D28" s="375"/>
      <c r="E28" s="233">
        <f>+IF(' 2016 - 2019'!G43&gt;0,' 2016 - 2019'!O43," -")</f>
        <v>0.92</v>
      </c>
      <c r="F28" s="233">
        <f>+IF(' 2016 - 2019'!H43&gt;0,' 2016 - 2019'!P43," -")</f>
        <v>0.91</v>
      </c>
      <c r="G28" s="233">
        <f>+IF(' 2016 - 2019'!I43&gt;0,' 2016 - 2019'!Q43," -")</f>
        <v>0.9</v>
      </c>
      <c r="H28" s="233">
        <f>+IF(' 2016 - 2019'!J43&gt;0,' 2016 - 2019'!R43," -")</f>
        <v>0</v>
      </c>
      <c r="I28" s="234">
        <f>+' 2016 - 2019'!S43</f>
        <v>0.6825</v>
      </c>
      <c r="J28" s="235">
        <f t="shared" si="6"/>
        <v>0.6825</v>
      </c>
      <c r="K28" s="236">
        <f>+' 2016 - 2019'!U43</f>
        <v>4603801</v>
      </c>
      <c r="L28" s="40">
        <f>+' 2016 - 2019'!V43</f>
        <v>3588924</v>
      </c>
      <c r="M28" s="40">
        <f>+' 2016 - 2019'!W43</f>
        <v>0</v>
      </c>
      <c r="N28" s="237">
        <f t="shared" si="8"/>
        <v>0.77955671845937735</v>
      </c>
      <c r="O28" s="238" t="str">
        <f t="shared" si="10"/>
        <v xml:space="preserve"> -</v>
      </c>
    </row>
    <row r="29" spans="2:15" ht="20" customHeight="1">
      <c r="B29" s="227" t="s">
        <v>144</v>
      </c>
      <c r="C29" s="372" t="s">
        <v>97</v>
      </c>
      <c r="D29" s="373"/>
      <c r="E29" s="239">
        <f>+IF(SUM(' 2016 - 2019'!G45:G58)&gt;0,AVERAGE(' 2016 - 2019'!O45:O58)," -")</f>
        <v>1</v>
      </c>
      <c r="F29" s="239">
        <f>+IF(SUM(' 2016 - 2019'!H45:H58)&gt;0,AVERAGE(' 2016 - 2019'!P45:P58)," -")</f>
        <v>1</v>
      </c>
      <c r="G29" s="239">
        <f>+IF(SUM(' 2016 - 2019'!I45:I58)&gt;0,AVERAGE(' 2016 - 2019'!Q45:Q58)," -")</f>
        <v>0.99629629629629635</v>
      </c>
      <c r="H29" s="239">
        <f>+IF(SUM(' 2016 - 2019'!J45:J58)&gt;0,AVERAGE(' 2016 - 2019'!R45:R58)," -")</f>
        <v>0</v>
      </c>
      <c r="I29" s="240">
        <f>+AVERAGE(' 2016 - 2019'!S45:S58)</f>
        <v>0.5426918767507003</v>
      </c>
      <c r="J29" s="241">
        <f t="shared" si="6"/>
        <v>0.5426918767507003</v>
      </c>
      <c r="K29" s="242">
        <f>+SUM(K30:K32)</f>
        <v>163067</v>
      </c>
      <c r="L29" s="243">
        <f t="shared" ref="L29:M29" si="13">+SUM(L30:L32)</f>
        <v>130167</v>
      </c>
      <c r="M29" s="243">
        <f t="shared" si="13"/>
        <v>150000</v>
      </c>
      <c r="N29" s="244">
        <f t="shared" si="8"/>
        <v>0.79824244022395707</v>
      </c>
      <c r="O29" s="245">
        <f t="shared" si="10"/>
        <v>1.1523658070017746</v>
      </c>
    </row>
    <row r="30" spans="2:15" ht="18" customHeight="1">
      <c r="B30" s="232" t="s">
        <v>145</v>
      </c>
      <c r="C30" s="374" t="s">
        <v>146</v>
      </c>
      <c r="D30" s="375"/>
      <c r="E30" s="233">
        <f>+IF(SUM(' 2016 - 2019'!G45:G49)&gt;0,AVERAGE(' 2016 - 2019'!O45:O49)," -")</f>
        <v>1</v>
      </c>
      <c r="F30" s="233">
        <f>+IF(SUM(' 2016 - 2019'!H45:H49)&gt;0,AVERAGE(' 2016 - 2019'!P45:P49)," -")</f>
        <v>1</v>
      </c>
      <c r="G30" s="233">
        <f>+IF(SUM(' 2016 - 2019'!I45:I49)&gt;0,AVERAGE(' 2016 - 2019'!Q45:Q49)," -")</f>
        <v>0.9933333333333334</v>
      </c>
      <c r="H30" s="233">
        <f>+IF(SUM(' 2016 - 2019'!J45:J49)&gt;0,AVERAGE(' 2016 - 2019'!R45:R49)," -")</f>
        <v>0</v>
      </c>
      <c r="I30" s="234">
        <f>+AVERAGE(' 2016 - 2019'!S45:S49)</f>
        <v>0.70006666666666661</v>
      </c>
      <c r="J30" s="235">
        <f t="shared" si="6"/>
        <v>0.70006666666666661</v>
      </c>
      <c r="K30" s="236">
        <f>+SUM(' 2016 - 2019'!U45:U49)</f>
        <v>94500</v>
      </c>
      <c r="L30" s="40">
        <f>+SUM(' 2016 - 2019'!V45:V49)</f>
        <v>94500</v>
      </c>
      <c r="M30" s="40">
        <f>+SUM(' 2016 - 2019'!W45:W49)</f>
        <v>0</v>
      </c>
      <c r="N30" s="237">
        <f t="shared" si="8"/>
        <v>1</v>
      </c>
      <c r="O30" s="238" t="str">
        <f t="shared" si="10"/>
        <v xml:space="preserve"> -</v>
      </c>
    </row>
    <row r="31" spans="2:15" ht="18" customHeight="1">
      <c r="B31" s="232" t="s">
        <v>147</v>
      </c>
      <c r="C31" s="374" t="s">
        <v>148</v>
      </c>
      <c r="D31" s="375"/>
      <c r="E31" s="233">
        <f>+IF(SUM(' 2016 - 2019'!G50:G56)&gt;0,AVERAGE(' 2016 - 2019'!O50:O56)," -")</f>
        <v>1</v>
      </c>
      <c r="F31" s="233">
        <f>+IF(SUM(' 2016 - 2019'!H50:H56)&gt;0,AVERAGE(' 2016 - 2019'!P50:P56)," -")</f>
        <v>1</v>
      </c>
      <c r="G31" s="233">
        <f>+IF(SUM(' 2016 - 2019'!I50:I56)&gt;0,AVERAGE(' 2016 - 2019'!Q50:Q56)," -")</f>
        <v>1</v>
      </c>
      <c r="H31" s="233">
        <f>+IF(SUM(' 2016 - 2019'!J50:J56)&gt;0,AVERAGE(' 2016 - 2019'!R50:R56)," -")</f>
        <v>0</v>
      </c>
      <c r="I31" s="234">
        <f>+AVERAGE(' 2016 - 2019'!S50:S56)</f>
        <v>0.38890756302521012</v>
      </c>
      <c r="J31" s="235">
        <f t="shared" si="6"/>
        <v>0.38890756302521012</v>
      </c>
      <c r="K31" s="236">
        <f>+SUM(' 2016 - 2019'!U50:U56)</f>
        <v>68567</v>
      </c>
      <c r="L31" s="40">
        <f>+SUM(' 2016 - 2019'!V50:V56)</f>
        <v>35667</v>
      </c>
      <c r="M31" s="40">
        <f>+SUM(' 2016 - 2019'!W50:W56)</f>
        <v>0</v>
      </c>
      <c r="N31" s="237">
        <f t="shared" si="8"/>
        <v>0.52017734478685085</v>
      </c>
      <c r="O31" s="238" t="str">
        <f t="shared" si="10"/>
        <v xml:space="preserve"> -</v>
      </c>
    </row>
    <row r="32" spans="2:15" ht="18" customHeight="1" thickBot="1">
      <c r="B32" s="232" t="s">
        <v>149</v>
      </c>
      <c r="C32" s="382" t="s">
        <v>150</v>
      </c>
      <c r="D32" s="383"/>
      <c r="E32" s="246">
        <f>+IF(SUM(' 2016 - 2019'!G57:G58)&gt;0,AVERAGE(' 2016 - 2019'!O57:O58)," -")</f>
        <v>1</v>
      </c>
      <c r="F32" s="246">
        <f>+IF(SUM(' 2016 - 2019'!H57:H58)&gt;0,AVERAGE(' 2016 - 2019'!P57:P58)," -")</f>
        <v>1</v>
      </c>
      <c r="G32" s="246">
        <f>+IF(SUM(' 2016 - 2019'!I57:I58)&gt;0,AVERAGE(' 2016 - 2019'!Q57:Q58)," -")</f>
        <v>1</v>
      </c>
      <c r="H32" s="246">
        <f>+IF(SUM(' 2016 - 2019'!J57:J58)&gt;0,AVERAGE(' 2016 - 2019'!R57:R58)," -")</f>
        <v>0</v>
      </c>
      <c r="I32" s="247">
        <f>+AVERAGE(' 2016 - 2019'!S57:S58)</f>
        <v>0.6875</v>
      </c>
      <c r="J32" s="248">
        <f t="shared" si="6"/>
        <v>0.6875</v>
      </c>
      <c r="K32" s="282">
        <f>+SUM(' 2016 - 2019'!U57:U58)</f>
        <v>0</v>
      </c>
      <c r="L32" s="51">
        <f>+SUM(' 2016 - 2019'!V57:V58)</f>
        <v>0</v>
      </c>
      <c r="M32" s="51">
        <f>+SUM(' 2016 - 2019'!W57:W58)</f>
        <v>150000</v>
      </c>
      <c r="N32" s="283" t="str">
        <f t="shared" si="8"/>
        <v>-</v>
      </c>
      <c r="O32" s="284">
        <f t="shared" si="10"/>
        <v>1</v>
      </c>
    </row>
    <row r="33" spans="3:15" ht="24" customHeight="1" thickBot="1">
      <c r="C33" s="380" t="s">
        <v>151</v>
      </c>
      <c r="D33" s="381"/>
      <c r="E33" s="273">
        <f>+' 2016 - 2019'!O59</f>
        <v>0.99333333333333329</v>
      </c>
      <c r="F33" s="273">
        <f>+' 2016 - 2019'!P59</f>
        <v>0.91402116402116407</v>
      </c>
      <c r="G33" s="273">
        <f>+' 2016 - 2019'!Q59</f>
        <v>0.9005239424088004</v>
      </c>
      <c r="H33" s="273">
        <f>+' 2016 - 2019'!R59</f>
        <v>0</v>
      </c>
      <c r="I33" s="274">
        <f>+' 2016 - 2019'!S59</f>
        <v>0.49442277614252167</v>
      </c>
      <c r="J33" s="275">
        <f t="shared" ref="J33" si="14">+I33</f>
        <v>0.49442277614252167</v>
      </c>
      <c r="K33" s="132">
        <f>+K8+K11+K15+K18</f>
        <v>5629101</v>
      </c>
      <c r="L33" s="131">
        <f>+L8+L11+L15+L18</f>
        <v>4075474</v>
      </c>
      <c r="M33" s="131">
        <f>+M8+M11+M15+M18</f>
        <v>735314</v>
      </c>
      <c r="N33" s="276">
        <f t="shared" ref="N33" si="15">IF(K33=0,"-",+L33/K33)</f>
        <v>0.72400086621291748</v>
      </c>
      <c r="O33" s="277">
        <f t="shared" si="10"/>
        <v>0.18042416661227625</v>
      </c>
    </row>
    <row r="35" spans="3:15" ht="17">
      <c r="C35" s="278" t="str">
        <f>+' 2016 - 2019'!C7</f>
        <v>FECHA CORTE</v>
      </c>
      <c r="D35" s="279"/>
      <c r="E35" s="280"/>
      <c r="F35" s="280"/>
      <c r="I35" s="278" t="s">
        <v>168</v>
      </c>
    </row>
    <row r="36" spans="3:15" ht="17">
      <c r="C36" s="281">
        <f>+' 2016 - 2019'!C8</f>
        <v>43434</v>
      </c>
    </row>
  </sheetData>
  <mergeCells count="33">
    <mergeCell ref="C33:D33"/>
    <mergeCell ref="C29:D29"/>
    <mergeCell ref="C30:D30"/>
    <mergeCell ref="C31:D31"/>
    <mergeCell ref="C32:D32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3:D13"/>
    <mergeCell ref="C14:D14"/>
    <mergeCell ref="C15:D15"/>
    <mergeCell ref="C16:D16"/>
    <mergeCell ref="C17:D17"/>
    <mergeCell ref="C7:D7"/>
    <mergeCell ref="I7:J7"/>
    <mergeCell ref="C8:D8"/>
    <mergeCell ref="C11:D11"/>
    <mergeCell ref="C12:D12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2018-12-13T20:16:39Z</dcterms:modified>
</cp:coreProperties>
</file>