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workbookProtection workbookAlgorithmName="SHA-512" workbookHashValue="7p+ZK7tXuzyj/1VQwmjDyxHHoT9YYJ4WNJ77hQK+ch07SuXKeJLwPXdSmYaZBbaXfDcarEvfBwF0jCQQ7ccNYg==" workbookSaltValue="GBeSsFyi3+hTeqyQ8OvAVg==" workbookSpinCount="100000" lockStructure="1"/>
  <bookViews>
    <workbookView xWindow="0" yWindow="0" windowWidth="20490" windowHeight="7155" firstSheet="3" activeTab="3"/>
  </bookViews>
  <sheets>
    <sheet name="EJE_X_01 (2)" sheetId="13" state="hidden" r:id="rId1"/>
    <sheet name="Seguimiento contratos proyectos" sheetId="12" state="hidden" r:id="rId2"/>
    <sheet name="Plan de acción Deisy" sheetId="11" state="hidden" r:id="rId3"/>
    <sheet name="2020" sheetId="7" r:id="rId4"/>
    <sheet name="Resu Gastos" sheetId="10" state="hidden" r:id="rId5"/>
    <sheet name="EJE_X_01" sheetId="9" state="hidden" r:id="rId6"/>
  </sheets>
  <externalReferences>
    <externalReference r:id="rId7"/>
  </externalReferences>
  <definedNames>
    <definedName name="_xlnm._FilterDatabase" localSheetId="2" hidden="1">'Plan de acción Deisy'!$A$12:$AV$12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G8" i="10"/>
  <c r="H8" i="10" s="1"/>
  <c r="Q13" i="7"/>
  <c r="P24" i="7"/>
  <c r="C5" i="10"/>
  <c r="G5" i="10" s="1"/>
  <c r="G4" i="10"/>
  <c r="G3" i="10"/>
  <c r="F4" i="10"/>
  <c r="J22" i="7"/>
  <c r="J21" i="7"/>
  <c r="J20" i="7"/>
  <c r="Q18" i="7" l="1"/>
  <c r="L13" i="7" l="1"/>
  <c r="P15" i="7" l="1"/>
  <c r="P16" i="7"/>
  <c r="Q64" i="12"/>
  <c r="Q57" i="12"/>
  <c r="AD57" i="12" s="1"/>
  <c r="Q56" i="12"/>
  <c r="AD56" i="12" s="1"/>
  <c r="AC55" i="12"/>
  <c r="AB55" i="12"/>
  <c r="Q54" i="12"/>
  <c r="AD54" i="12" s="1"/>
  <c r="Q53" i="12"/>
  <c r="Q52" i="12"/>
  <c r="Q51" i="12"/>
  <c r="AD51" i="12" s="1"/>
  <c r="J51" i="12"/>
  <c r="AD50" i="12"/>
  <c r="AD49" i="12"/>
  <c r="Q48" i="12"/>
  <c r="AD48" i="12" s="1"/>
  <c r="J48" i="12"/>
  <c r="J47" i="12"/>
  <c r="AB47" i="12" s="1"/>
  <c r="AD47" i="12" s="1"/>
  <c r="H47" i="12"/>
  <c r="H58" i="12" s="1"/>
  <c r="AD46" i="12"/>
  <c r="X45" i="12"/>
  <c r="AC45" i="12" s="1"/>
  <c r="AC44" i="12"/>
  <c r="X44" i="12"/>
  <c r="AB44" i="12" s="1"/>
  <c r="AC43" i="12"/>
  <c r="AA43" i="12"/>
  <c r="AD43" i="12" s="1"/>
  <c r="Q41" i="12"/>
  <c r="AC40" i="12"/>
  <c r="AD40" i="12" s="1"/>
  <c r="AA40" i="12"/>
  <c r="Q40" i="12"/>
  <c r="AC39" i="12"/>
  <c r="AA39" i="12"/>
  <c r="Q39" i="12"/>
  <c r="AD39" i="12" s="1"/>
  <c r="AD38" i="12"/>
  <c r="AC38" i="12"/>
  <c r="AA38" i="12"/>
  <c r="Q38" i="12"/>
  <c r="AC37" i="12"/>
  <c r="AA37" i="12"/>
  <c r="Q37" i="12"/>
  <c r="AD37" i="12" s="1"/>
  <c r="AC36" i="12"/>
  <c r="Q36" i="12"/>
  <c r="AD36" i="12" s="1"/>
  <c r="AC35" i="12"/>
  <c r="AA35" i="12"/>
  <c r="Q35" i="12"/>
  <c r="AD35" i="12" s="1"/>
  <c r="AD34" i="12"/>
  <c r="AA33" i="12"/>
  <c r="AA32" i="12"/>
  <c r="AD32" i="12" s="1"/>
  <c r="AC31" i="12"/>
  <c r="AA31" i="12"/>
  <c r="Q31" i="12"/>
  <c r="AC30" i="12"/>
  <c r="AA30" i="12"/>
  <c r="Q30" i="12"/>
  <c r="AC29" i="12"/>
  <c r="AD29" i="12" s="1"/>
  <c r="AA29" i="12"/>
  <c r="Q29" i="12"/>
  <c r="AC28" i="12"/>
  <c r="AA28" i="12"/>
  <c r="Q28" i="12"/>
  <c r="AD27" i="12"/>
  <c r="AC26" i="12"/>
  <c r="AB26" i="12"/>
  <c r="AD26" i="12" s="1"/>
  <c r="AC25" i="12"/>
  <c r="AA25" i="12"/>
  <c r="Q25" i="12"/>
  <c r="AD24" i="12"/>
  <c r="AC24" i="12"/>
  <c r="AA24" i="12"/>
  <c r="Q24" i="12"/>
  <c r="AC23" i="12"/>
  <c r="AA23" i="12"/>
  <c r="Q23" i="12"/>
  <c r="AC22" i="12"/>
  <c r="AD22" i="12" s="1"/>
  <c r="AA22" i="12"/>
  <c r="Q22" i="12"/>
  <c r="Q21" i="12"/>
  <c r="X17" i="12" s="1"/>
  <c r="AD20" i="12"/>
  <c r="AC20" i="12"/>
  <c r="AA20" i="12"/>
  <c r="Q20" i="12"/>
  <c r="Q19" i="12"/>
  <c r="AD18" i="12"/>
  <c r="AC17" i="12"/>
  <c r="Q17" i="12"/>
  <c r="J17" i="12"/>
  <c r="AD16" i="12"/>
  <c r="X15" i="12"/>
  <c r="AC14" i="12"/>
  <c r="AA14" i="12"/>
  <c r="X14" i="12"/>
  <c r="Q14" i="12"/>
  <c r="AB13" i="12"/>
  <c r="AD13" i="12" s="1"/>
  <c r="AA13" i="12"/>
  <c r="Q13" i="12"/>
  <c r="AC12" i="12"/>
  <c r="AA12" i="12"/>
  <c r="Q12" i="12"/>
  <c r="AD11" i="12"/>
  <c r="Q11" i="12"/>
  <c r="AC10" i="12"/>
  <c r="Z10" i="12"/>
  <c r="Q10" i="12"/>
  <c r="AD10" i="12" s="1"/>
  <c r="AC9" i="12"/>
  <c r="AD9" i="12" s="1"/>
  <c r="Z9" i="12"/>
  <c r="Q9" i="12"/>
  <c r="AC8" i="12"/>
  <c r="Z8" i="12"/>
  <c r="Q8" i="12"/>
  <c r="AD8" i="12" s="1"/>
  <c r="AD7" i="12"/>
  <c r="AC7" i="12"/>
  <c r="Z7" i="12"/>
  <c r="Q7" i="12"/>
  <c r="J7" i="12"/>
  <c r="AD12" i="12" l="1"/>
  <c r="AD25" i="12"/>
  <c r="AD17" i="12"/>
  <c r="W17" i="12"/>
  <c r="AD31" i="12"/>
  <c r="W47" i="12"/>
  <c r="X47" i="12" s="1"/>
  <c r="X7" i="12"/>
  <c r="AD14" i="12"/>
  <c r="AD28" i="12"/>
  <c r="Q65" i="12"/>
  <c r="Q67" i="12" s="1"/>
  <c r="Q69" i="12" s="1"/>
  <c r="S69" i="12" s="1"/>
  <c r="AD23" i="12"/>
  <c r="X51" i="12"/>
  <c r="Q66" i="12"/>
  <c r="AD44" i="12"/>
  <c r="J55" i="12"/>
  <c r="Q58" i="12"/>
  <c r="X35" i="12"/>
  <c r="X58" i="12" s="1"/>
  <c r="AB45" i="12"/>
  <c r="AD45" i="12" s="1"/>
  <c r="W7" i="12"/>
  <c r="W58" i="12" s="1"/>
  <c r="AE32" i="11" l="1"/>
  <c r="X32" i="11"/>
  <c r="AE31" i="11"/>
  <c r="X31" i="11"/>
  <c r="AR24" i="11"/>
  <c r="AN24" i="11"/>
  <c r="AH24" i="11"/>
  <c r="AC24" i="11"/>
  <c r="AB24" i="11"/>
  <c r="AA24" i="11"/>
  <c r="T24" i="11"/>
  <c r="Q24" i="11"/>
  <c r="AR23" i="11"/>
  <c r="AN23" i="11"/>
  <c r="AH23" i="11"/>
  <c r="AC23" i="11"/>
  <c r="AB23" i="11"/>
  <c r="AA23" i="11"/>
  <c r="T23" i="11"/>
  <c r="P23" i="11"/>
  <c r="Q23" i="11" s="1"/>
  <c r="AR22" i="11"/>
  <c r="AN22" i="11"/>
  <c r="AH22" i="11"/>
  <c r="AC22" i="11"/>
  <c r="AB22" i="11"/>
  <c r="AA22" i="11"/>
  <c r="AS22" i="11" s="1"/>
  <c r="T22" i="11"/>
  <c r="P22" i="11"/>
  <c r="Q22" i="11" s="1"/>
  <c r="AR21" i="11"/>
  <c r="AN21" i="11"/>
  <c r="AH21" i="11"/>
  <c r="AC21" i="11"/>
  <c r="AD21" i="11" s="1"/>
  <c r="AB21" i="11"/>
  <c r="AA21" i="11"/>
  <c r="P21" i="11"/>
  <c r="Q21" i="11" s="1"/>
  <c r="AR20" i="11"/>
  <c r="AN20" i="11"/>
  <c r="AH20" i="11"/>
  <c r="AC20" i="11"/>
  <c r="AB20" i="11"/>
  <c r="AA20" i="11"/>
  <c r="P20" i="11"/>
  <c r="Q20" i="11" s="1"/>
  <c r="AS19" i="11"/>
  <c r="AR19" i="11"/>
  <c r="AN19" i="11"/>
  <c r="AH19" i="11"/>
  <c r="AA19" i="11"/>
  <c r="T19" i="11"/>
  <c r="Q19" i="11"/>
  <c r="P19" i="11"/>
  <c r="AR18" i="11"/>
  <c r="AN18" i="11"/>
  <c r="AH18" i="11"/>
  <c r="AD18" i="11"/>
  <c r="AA18" i="11"/>
  <c r="AS18" i="11" s="1"/>
  <c r="T18" i="11"/>
  <c r="P18" i="11"/>
  <c r="Q18" i="11" s="1"/>
  <c r="AR17" i="11"/>
  <c r="AN17" i="11"/>
  <c r="AH17" i="11"/>
  <c r="AA17" i="11"/>
  <c r="AS17" i="11" s="1"/>
  <c r="T17" i="11"/>
  <c r="P17" i="11"/>
  <c r="Q17" i="11" s="1"/>
  <c r="AR16" i="11"/>
  <c r="AN16" i="11"/>
  <c r="AH16" i="11"/>
  <c r="AD16" i="11"/>
  <c r="AA16" i="11"/>
  <c r="T16" i="11"/>
  <c r="P16" i="11"/>
  <c r="Q16" i="11" s="1"/>
  <c r="AR15" i="11"/>
  <c r="AN15" i="11"/>
  <c r="AS15" i="11" s="1"/>
  <c r="AH15" i="11"/>
  <c r="AC15" i="11"/>
  <c r="AD15" i="11" s="1"/>
  <c r="AB15" i="11"/>
  <c r="AB17" i="11" s="1"/>
  <c r="AA15" i="11"/>
  <c r="P15" i="11"/>
  <c r="AR14" i="11"/>
  <c r="AN14" i="11"/>
  <c r="AH14" i="11"/>
  <c r="AD14" i="11"/>
  <c r="AA14" i="11"/>
  <c r="T14" i="11"/>
  <c r="Q14" i="11"/>
  <c r="P14" i="11"/>
  <c r="AR13" i="11"/>
  <c r="AN13" i="11"/>
  <c r="AH13" i="11"/>
  <c r="AJ13" i="11" s="1"/>
  <c r="AC13" i="11"/>
  <c r="AB13" i="11"/>
  <c r="AA13" i="11"/>
  <c r="T13" i="11"/>
  <c r="P13" i="11"/>
  <c r="Q13" i="11" s="1"/>
  <c r="P21" i="7"/>
  <c r="P20" i="7"/>
  <c r="C11" i="10"/>
  <c r="G9" i="10"/>
  <c r="P22" i="7" s="1"/>
  <c r="B11" i="10"/>
  <c r="F11" i="10" s="1"/>
  <c r="O18" i="7" s="1"/>
  <c r="B10" i="10"/>
  <c r="F10" i="10" s="1"/>
  <c r="B9" i="10"/>
  <c r="F9" i="10" s="1"/>
  <c r="B8" i="10"/>
  <c r="F8" i="10" s="1"/>
  <c r="B3" i="10"/>
  <c r="F3" i="10" s="1"/>
  <c r="B2" i="10"/>
  <c r="G10" i="10"/>
  <c r="B5" i="10" l="1"/>
  <c r="T25" i="11"/>
  <c r="AS14" i="11"/>
  <c r="D3" i="10"/>
  <c r="AS13" i="11"/>
  <c r="AS23" i="11"/>
  <c r="G11" i="10"/>
  <c r="P18" i="7" s="1"/>
  <c r="C12" i="10"/>
  <c r="C14" i="10" s="1"/>
  <c r="AS16" i="11"/>
  <c r="AS20" i="11"/>
  <c r="AS21" i="11"/>
  <c r="AS24" i="11"/>
  <c r="X33" i="11"/>
  <c r="X35" i="11" s="1"/>
  <c r="AE33" i="11"/>
  <c r="AE35" i="11" s="1"/>
  <c r="O20" i="7"/>
  <c r="O22" i="7"/>
  <c r="O21" i="7"/>
  <c r="D2" i="10"/>
  <c r="AD24" i="11"/>
  <c r="AD22" i="11"/>
  <c r="AD20" i="11"/>
  <c r="AD13" i="11"/>
  <c r="AD23" i="11"/>
  <c r="AB25" i="11"/>
  <c r="Q25" i="11"/>
  <c r="AC17" i="11"/>
  <c r="D11" i="10"/>
  <c r="D10" i="10"/>
  <c r="B12" i="10"/>
  <c r="D9" i="10"/>
  <c r="D8" i="10"/>
  <c r="G2" i="10"/>
  <c r="F2" i="10"/>
  <c r="F5" i="10" l="1"/>
  <c r="O24" i="7"/>
  <c r="B14" i="10"/>
  <c r="D14" i="10" s="1"/>
  <c r="D5" i="10"/>
  <c r="AC25" i="11"/>
  <c r="AD25" i="11" s="1"/>
  <c r="AD17" i="11"/>
  <c r="D12" i="10"/>
  <c r="Q25" i="7" l="1"/>
  <c r="K12" i="7"/>
  <c r="M12" i="7" s="1"/>
  <c r="K13" i="7"/>
  <c r="M13" i="7" s="1"/>
  <c r="K14" i="7"/>
  <c r="M14" i="7" s="1"/>
  <c r="K15" i="7"/>
  <c r="M15" i="7" s="1"/>
  <c r="K16" i="7"/>
  <c r="M16" i="7" s="1"/>
  <c r="K17" i="7"/>
  <c r="M17" i="7" s="1"/>
  <c r="K18" i="7"/>
  <c r="M18" i="7" s="1"/>
  <c r="K20" i="7"/>
  <c r="M20" i="7" s="1"/>
  <c r="K21" i="7"/>
  <c r="M21" i="7" s="1"/>
  <c r="K22" i="7"/>
  <c r="M22" i="7" s="1"/>
  <c r="K24" i="7"/>
  <c r="M24" i="7" s="1"/>
  <c r="P25" i="7"/>
  <c r="O25" i="7"/>
  <c r="L12" i="7"/>
  <c r="L14" i="7"/>
  <c r="L15" i="7"/>
  <c r="L16" i="7"/>
  <c r="L17" i="7"/>
  <c r="L18" i="7"/>
  <c r="L20" i="7"/>
  <c r="L21" i="7"/>
  <c r="L22" i="7"/>
  <c r="L24" i="7"/>
  <c r="R13" i="7"/>
  <c r="S13" i="7"/>
  <c r="R14" i="7"/>
  <c r="S14" i="7"/>
  <c r="R15" i="7"/>
  <c r="S15" i="7"/>
  <c r="R16" i="7"/>
  <c r="S16" i="7"/>
  <c r="R17" i="7"/>
  <c r="S17" i="7"/>
  <c r="R18" i="7"/>
  <c r="R20" i="7"/>
  <c r="S20" i="7"/>
  <c r="R21" i="7"/>
  <c r="S21" i="7"/>
  <c r="R22" i="7"/>
  <c r="S22" i="7"/>
  <c r="R24" i="7"/>
  <c r="S24" i="7"/>
  <c r="S12" i="7"/>
  <c r="R12" i="7"/>
  <c r="M25" i="7" l="1"/>
  <c r="R25" i="7"/>
  <c r="S25" i="7"/>
  <c r="L25" i="7"/>
  <c r="S18" i="7"/>
</calcChain>
</file>

<file path=xl/comments1.xml><?xml version="1.0" encoding="utf-8"?>
<comments xmlns="http://schemas.openxmlformats.org/spreadsheetml/2006/main">
  <authors>
    <author>SUBTECNICA</author>
  </authors>
  <commentList>
    <comment ref="R48" authorId="0" shapeId="0">
      <text>
        <r>
          <rPr>
            <b/>
            <sz val="9"/>
            <color indexed="81"/>
            <rFont val="Tahoma"/>
            <family val="2"/>
          </rPr>
          <t>SUBTECNICA:</t>
        </r>
        <r>
          <rPr>
            <sz val="9"/>
            <color indexed="81"/>
            <rFont val="Tahoma"/>
            <family val="2"/>
          </rPr>
          <t xml:space="preserve">
Andrea tiene contrato hasta dic
</t>
        </r>
      </text>
    </comment>
  </commentList>
</comments>
</file>

<file path=xl/comments2.xml><?xml version="1.0" encoding="utf-8"?>
<comments xmlns="http://schemas.openxmlformats.org/spreadsheetml/2006/main">
  <authors>
    <author>Deicy Mayerly Hernandez Gama</author>
  </authors>
  <commentList>
    <comment ref="R13" authorId="0" shapeId="0">
      <text>
        <r>
          <rPr>
            <b/>
            <sz val="9"/>
            <color indexed="81"/>
            <rFont val="Tahoma"/>
            <family val="2"/>
          </rPr>
          <t>Deicy Mayerly Hernandez Gama:</t>
        </r>
        <r>
          <rPr>
            <sz val="9"/>
            <color indexed="81"/>
            <rFont val="Tahoma"/>
            <family val="2"/>
          </rPr>
          <t xml:space="preserve">
Cambio 300/800 por 100/1000</t>
        </r>
      </text>
    </comment>
    <comment ref="AE24" authorId="0" shapeId="0">
      <text>
        <r>
          <rPr>
            <b/>
            <sz val="9"/>
            <color indexed="81"/>
            <rFont val="Tahoma"/>
            <family val="2"/>
          </rPr>
          <t>Cambio 2.711.100 por $2.559.000</t>
        </r>
      </text>
    </comment>
  </commentList>
</comments>
</file>

<file path=xl/sharedStrings.xml><?xml version="1.0" encoding="utf-8"?>
<sst xmlns="http://schemas.openxmlformats.org/spreadsheetml/2006/main" count="1280" uniqueCount="494">
  <si>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</si>
  <si>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</si>
  <si>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</si>
  <si>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</si>
  <si>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</si>
  <si>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</si>
  <si>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</si>
  <si>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</si>
  <si>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</si>
  <si>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</si>
  <si>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</si>
  <si>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</si>
  <si>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</si>
  <si>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</si>
  <si>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</si>
  <si>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</si>
  <si>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</si>
  <si>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</si>
  <si>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</si>
  <si>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</si>
  <si>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</si>
  <si>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</si>
  <si>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</si>
  <si>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</si>
  <si>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</si>
  <si>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</si>
  <si>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MUNICIPAL DE EMPLEO Y FOMENTO EMPRESARIAL DE BUCARAMANGA (IMEBU)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</si>
  <si>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</si>
  <si>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Porcentaje de avance en el desarrollo del modelo CDE virtual para que amplíen la cobertura en la ciudad.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</si>
  <si>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</si>
  <si>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</si>
  <si>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Número de empresas y/o emprendimientos intervenidos mediante apalancamiento financiero orientado a realizar inversión en innovación y/o tecnología  en la zona rural y urbana con enfoque diferencial.</t>
  </si>
  <si>
    <t>Número de créditos otorgados a emprendimientos y mipymes de orientados a capital de trabajo o destinos de inversión diferente a innovación y/o tecnología en zonas urbanas y rurales.</t>
  </si>
  <si>
    <t>Número de hojas de vida registradas para facilitar el proceso de inserción en el mercado laboral identificando habilidades, destrezas  y que competencias  para el trabajo.</t>
  </si>
  <si>
    <t>Número de jóvenes y adultos formados en competencias  personales y/o técnicas para el trabajo con el fin de facilitar su inserción en el mercado laboral.</t>
  </si>
  <si>
    <t>Número de empresas acompañadas en el fomento de una cultura del empleo y trabajo decente para capturar  vacantes que permitan realizar la intermediación laboral.</t>
  </si>
  <si>
    <t>Porcentaje de los programas de Instituto Municipal del Empleo mantenidos en funcionamiento.</t>
  </si>
  <si>
    <t>GOBIERNO FORTALECIDO PARA SER Y HACER</t>
  </si>
  <si>
    <t>ADMINISTRACIÓN PÚBLICA MODERNA E INNOVADORA</t>
  </si>
  <si>
    <t>5. BUCARAMANGA TERRITORIO LIBRE DE CORRUPCIÓN: INSTITUCIONES SÓLIDAS Y CONFIABLES</t>
  </si>
  <si>
    <t>EMPRENDIMIENTO E INNOVACIÓN</t>
  </si>
  <si>
    <t>CENTROS DE DESARROLLO EMPRESARIAL</t>
  </si>
  <si>
    <t>BANCA CIUDADANA</t>
  </si>
  <si>
    <t>EMPLEO Y EMPLEABILIDAD</t>
  </si>
  <si>
    <t>EMPLEABILIDAD, EMPLEO Y TRABAJO DECENTE</t>
  </si>
  <si>
    <t>EMPRENDIMIENTO, INNOVACIÓN, FORMALIZACIÓN Y DINAMIZACIÓN EMPRESARIAL</t>
  </si>
  <si>
    <t>3. BUCARAMANGA PRODUCTIVA Y COMPETITIVA: EMPRESAS INNOVADORAS, RESPONSABLES Y CONSCIENTES</t>
  </si>
  <si>
    <t>0542900207 </t>
  </si>
  <si>
    <t>0542900206 </t>
  </si>
  <si>
    <t>0542900205 </t>
  </si>
  <si>
    <t>0542900301 </t>
  </si>
  <si>
    <t>Número de programas de desarrollo empresariales y de empleabilidad implementados para las micro y pequeñas empresas (incluyendo unidades productivas).</t>
  </si>
  <si>
    <t>03</t>
  </si>
  <si>
    <t>INSTITUTO MUNICIPAL DE EMPLEO Y FOMENTO EMPRESARIAL - IMEBU</t>
  </si>
  <si>
    <t>NIT: 00804014968 - 1</t>
  </si>
  <si>
    <t>EJECUCION PRESUPUESTAL DE GASTOS</t>
  </si>
  <si>
    <t>Periodo comprendido entre 01-01-2020 y 31-10-2020</t>
  </si>
  <si>
    <t>Fecha de Impresión: 05.11.2020 Hora: 09:17:am</t>
  </si>
  <si>
    <t>Impreso por: MVRR - MARIA VICTORIA RAMIREZ RANGEL</t>
  </si>
  <si>
    <t>Codigo de Control</t>
  </si>
  <si>
    <t>Rubro Presupuestal</t>
  </si>
  <si>
    <t>Unidad Ejecutora</t>
  </si>
  <si>
    <t>Descripción</t>
  </si>
  <si>
    <t>Fuente</t>
  </si>
  <si>
    <t>Presupuesto Inicial</t>
  </si>
  <si>
    <t>Adiciones</t>
  </si>
  <si>
    <t>Aplazamientos</t>
  </si>
  <si>
    <t>Desaplazamiento</t>
  </si>
  <si>
    <t>Reducciones</t>
  </si>
  <si>
    <t>Créditos</t>
  </si>
  <si>
    <t>Contracréditos</t>
  </si>
  <si>
    <t>Presupuesto Definitivo</t>
  </si>
  <si>
    <t>Cdps Mes Anterior</t>
  </si>
  <si>
    <t>Cdps Mes Actual</t>
  </si>
  <si>
    <t>Total Ejecutado Segun Cdps</t>
  </si>
  <si>
    <t>Saldo por Ejecutar</t>
  </si>
  <si>
    <t>Compromisos Mes Anterior</t>
  </si>
  <si>
    <t>Total Compromisos mes Actual</t>
  </si>
  <si>
    <t>Total Compromisos</t>
  </si>
  <si>
    <t>Saldo por Comprometer</t>
  </si>
  <si>
    <t>Total Obligaciones</t>
  </si>
  <si>
    <t>Pagos Mes Anterior</t>
  </si>
  <si>
    <t>Total Pagos Periodo</t>
  </si>
  <si>
    <t>Total Pagos</t>
  </si>
  <si>
    <t>Saldo por Pagar</t>
  </si>
  <si>
    <t>  </t>
  </si>
  <si>
    <t>0 </t>
  </si>
  <si>
    <t>IMEB </t>
  </si>
  <si>
    <t>TOTAL PRESUPUESTO DE GASTOS </t>
  </si>
  <si>
    <t>03 </t>
  </si>
  <si>
    <t>GASTOS DE FUNCIONAMIENTO </t>
  </si>
  <si>
    <t>0320 </t>
  </si>
  <si>
    <t>GASTOS DE PERSONAL APROBADOS </t>
  </si>
  <si>
    <t>200006 </t>
  </si>
  <si>
    <t>032001 </t>
  </si>
  <si>
    <t>SPAN- Sueldo Personal de Nomina </t>
  </si>
  <si>
    <t>APM </t>
  </si>
  <si>
    <t>032003 </t>
  </si>
  <si>
    <t>SPAN-OTROS </t>
  </si>
  <si>
    <t>200010 </t>
  </si>
  <si>
    <t>03200303 </t>
  </si>
  <si>
    <t>Bonificicacion por servicios prestados </t>
  </si>
  <si>
    <t>200011 </t>
  </si>
  <si>
    <t>03200304 </t>
  </si>
  <si>
    <t>Bonificacion de Recreacion </t>
  </si>
  <si>
    <t>200012 </t>
  </si>
  <si>
    <t>03200305 </t>
  </si>
  <si>
    <t>Prima de Servicios </t>
  </si>
  <si>
    <t>200013 </t>
  </si>
  <si>
    <t>03200306 </t>
  </si>
  <si>
    <t>Prima de Navidad </t>
  </si>
  <si>
    <t>200014 </t>
  </si>
  <si>
    <t>03200307 </t>
  </si>
  <si>
    <t>Prima de Vacaciones </t>
  </si>
  <si>
    <t>200015 </t>
  </si>
  <si>
    <t>03200308 </t>
  </si>
  <si>
    <t>Vacaciones </t>
  </si>
  <si>
    <t>200095 </t>
  </si>
  <si>
    <t>03200309 </t>
  </si>
  <si>
    <t>Intereses a las cesantías </t>
  </si>
  <si>
    <t>TRM </t>
  </si>
  <si>
    <t>032005 </t>
  </si>
  <si>
    <t>SPAN- HORAS EXTRAS, DIAS FESTIVOS E INDEM. POR VACACIONES </t>
  </si>
  <si>
    <t>200016 </t>
  </si>
  <si>
    <t>03200501 </t>
  </si>
  <si>
    <t>Span-Horas Extras, Dias Festivos e Indemnizaciones por Vacaciones </t>
  </si>
  <si>
    <t>032013 </t>
  </si>
  <si>
    <t>SPI - OTROS </t>
  </si>
  <si>
    <t>200018 </t>
  </si>
  <si>
    <t>03201301 </t>
  </si>
  <si>
    <t>SPI - Otros </t>
  </si>
  <si>
    <t>032014 </t>
  </si>
  <si>
    <t>CIN-ADMIN POR SECTOR PRIVADO </t>
  </si>
  <si>
    <t>200019 </t>
  </si>
  <si>
    <t>03201401 </t>
  </si>
  <si>
    <t>Contribucion a Salud Privadas </t>
  </si>
  <si>
    <t>200020 </t>
  </si>
  <si>
    <t>03201402 </t>
  </si>
  <si>
    <t>Contribucion a Pensión Privadas </t>
  </si>
  <si>
    <t>200021 </t>
  </si>
  <si>
    <t>03201403 </t>
  </si>
  <si>
    <t>Contribucion Caja de Compensacion Familiar </t>
  </si>
  <si>
    <t>200022 </t>
  </si>
  <si>
    <t>03201404 </t>
  </si>
  <si>
    <t>A Fondos de Cesantías Privados </t>
  </si>
  <si>
    <t>032016 </t>
  </si>
  <si>
    <t>CIN - APORTES AL ICBF </t>
  </si>
  <si>
    <t>200024 </t>
  </si>
  <si>
    <t>03201601 </t>
  </si>
  <si>
    <t>CIN - Aportes al ICBF </t>
  </si>
  <si>
    <t>032017 </t>
  </si>
  <si>
    <t>CIN - APORTES AL SENA </t>
  </si>
  <si>
    <t>200025 </t>
  </si>
  <si>
    <t>03201701 </t>
  </si>
  <si>
    <t>CIN - Aportes al Sena </t>
  </si>
  <si>
    <t>032023 </t>
  </si>
  <si>
    <t>CIN- Otros aportes inherentes a entidades del sector publico </t>
  </si>
  <si>
    <t>200509 </t>
  </si>
  <si>
    <t>03202301 </t>
  </si>
  <si>
    <t>CIN- Contribuciones de Salud Públicas </t>
  </si>
  <si>
    <t>200510 </t>
  </si>
  <si>
    <t>03202302 </t>
  </si>
  <si>
    <t>CIN- Contribuciones a Pensión Públicas </t>
  </si>
  <si>
    <t>200511 </t>
  </si>
  <si>
    <t>03202304 </t>
  </si>
  <si>
    <t>CIN- Contribuciones a Fondos de Cesantías Públicas </t>
  </si>
  <si>
    <t>200512 </t>
  </si>
  <si>
    <t>03202305 </t>
  </si>
  <si>
    <t>CIN- Contribuciones a Riesgos Profesionales. </t>
  </si>
  <si>
    <t>032025 </t>
  </si>
  <si>
    <t>SISTEMA GENERAL - SEGURIDAD Y SALUD EN EL TRABAJO </t>
  </si>
  <si>
    <t>200122 </t>
  </si>
  <si>
    <t>03202501 </t>
  </si>
  <si>
    <t>Sistema General -Seguridad y Salud en el trabajo-SST </t>
  </si>
  <si>
    <t>0321 </t>
  </si>
  <si>
    <t>GASTOS GENERALES APROBADOS </t>
  </si>
  <si>
    <t>200030 </t>
  </si>
  <si>
    <t>032109 </t>
  </si>
  <si>
    <t>ABS - Impresos y Publicaciones </t>
  </si>
  <si>
    <t>200026 </t>
  </si>
  <si>
    <t>032103 </t>
  </si>
  <si>
    <t>ABS - Compra de Equipo </t>
  </si>
  <si>
    <t>200027 </t>
  </si>
  <si>
    <t>032104 </t>
  </si>
  <si>
    <t>ABS - Enseres y Equipos de Oficina </t>
  </si>
  <si>
    <t>200028 </t>
  </si>
  <si>
    <t>032106 </t>
  </si>
  <si>
    <t>ABS - Materiales y Suministros </t>
  </si>
  <si>
    <t>200029 </t>
  </si>
  <si>
    <t>032107 </t>
  </si>
  <si>
    <t>ABS - Mantenimiento </t>
  </si>
  <si>
    <t>200109 </t>
  </si>
  <si>
    <t>032108 </t>
  </si>
  <si>
    <t>ABS - Comunicaciónes y Transportes </t>
  </si>
  <si>
    <t>200031 </t>
  </si>
  <si>
    <t>032110 </t>
  </si>
  <si>
    <t>ABS - Servicios Publicos </t>
  </si>
  <si>
    <t>200032 </t>
  </si>
  <si>
    <t>032111 </t>
  </si>
  <si>
    <t>ABS - Seguros </t>
  </si>
  <si>
    <t>200033 </t>
  </si>
  <si>
    <t>032112 </t>
  </si>
  <si>
    <t>ABS - Arrendamientos </t>
  </si>
  <si>
    <t>200036 </t>
  </si>
  <si>
    <t>032123 </t>
  </si>
  <si>
    <t>ABS - Capacitacion, Bienestar Social y Estimulos </t>
  </si>
  <si>
    <t>200596 </t>
  </si>
  <si>
    <t>032127 </t>
  </si>
  <si>
    <t>Adquisicion de bienes y servicios - gastos ambientales </t>
  </si>
  <si>
    <t>032190 </t>
  </si>
  <si>
    <t>ABS - Modernización Herramientas TIC </t>
  </si>
  <si>
    <t>200009 </t>
  </si>
  <si>
    <t>03219001 </t>
  </si>
  <si>
    <t>032191 </t>
  </si>
  <si>
    <t>ABS - OTROS GASTOS POR ADQUISICION DE SERVICIOS </t>
  </si>
  <si>
    <t>200039 </t>
  </si>
  <si>
    <t>03219103 </t>
  </si>
  <si>
    <t>Cuota de Fiscalizacion y auditaje </t>
  </si>
  <si>
    <t>0326 </t>
  </si>
  <si>
    <t>OTROS GASTOS DE FUNCIONAMIENTO APROBADOS </t>
  </si>
  <si>
    <t>200486 </t>
  </si>
  <si>
    <t>032605 </t>
  </si>
  <si>
    <t>Reservas presupuestales </t>
  </si>
  <si>
    <t>200485 </t>
  </si>
  <si>
    <t>032603 </t>
  </si>
  <si>
    <t>Sentencias y conciliaciones </t>
  </si>
  <si>
    <t>05 </t>
  </si>
  <si>
    <t>GASTOS DE INVERSION </t>
  </si>
  <si>
    <t>0542 </t>
  </si>
  <si>
    <t>SECTOR TRABAJO Y SEGURIDAD SOCIAL </t>
  </si>
  <si>
    <t>054290 </t>
  </si>
  <si>
    <t>OTROS PROGRAMAS DE INVERSION </t>
  </si>
  <si>
    <t>05429002 </t>
  </si>
  <si>
    <t>EMPRENDIMIENTO Y DINAMIZACION EMPRESARIAL. </t>
  </si>
  <si>
    <t>200008 </t>
  </si>
  <si>
    <t>Coworking </t>
  </si>
  <si>
    <t>200593 </t>
  </si>
  <si>
    <t>Banca Ciudadana. </t>
  </si>
  <si>
    <t>200003 </t>
  </si>
  <si>
    <t>Centros de Desarrollo Empresarial </t>
  </si>
  <si>
    <t>05429003 </t>
  </si>
  <si>
    <t>EMPLEABILIDAD, EMPLEO Y TRABAJO DECENTE </t>
  </si>
  <si>
    <t>200503 </t>
  </si>
  <si>
    <t>Empleo y Empleabilidad </t>
  </si>
  <si>
    <t>200595 </t>
  </si>
  <si>
    <t>0542900302 </t>
  </si>
  <si>
    <t>Insercion Laboral </t>
  </si>
  <si>
    <t>200594 </t>
  </si>
  <si>
    <t>03200301 </t>
  </si>
  <si>
    <t>Indemnizacion de Vacaciones. </t>
  </si>
  <si>
    <t>DESCRIPCIÓN</t>
  </si>
  <si>
    <t>PRESUPUESTO</t>
  </si>
  <si>
    <t xml:space="preserve">VALOR EJECUTADO/CDP </t>
  </si>
  <si>
    <t>% EJECUCIÓN</t>
  </si>
  <si>
    <t>Gastos de Personal</t>
  </si>
  <si>
    <t>Gastos Generales</t>
  </si>
  <si>
    <t>TOTAL GASTOS DE FUNCIONAMIENTO </t>
  </si>
  <si>
    <t>PPTO PRORATIADO</t>
  </si>
  <si>
    <t>PPTO EJECUTADO</t>
  </si>
  <si>
    <t>Centro de Desarrollo Empresarial Progresa</t>
  </si>
  <si>
    <t>Banca Ciudadana</t>
  </si>
  <si>
    <t>TOTAL GASTOS DE INVERSIÓN</t>
  </si>
  <si>
    <t>META DE BIENESTAR</t>
  </si>
  <si>
    <t>LÍNEA BASE</t>
  </si>
  <si>
    <t>RESULTADO CUATRIENIO</t>
  </si>
  <si>
    <t>METAS POR VIGENCIA</t>
  </si>
  <si>
    <t>RUBRO PPTAL</t>
  </si>
  <si>
    <t>INDICADOR DE PRODUCTO</t>
  </si>
  <si>
    <t>RECURSOS POR FUENTE DE FINANCIACIÓN PARA CADA VIGENCIA</t>
  </si>
  <si>
    <t>ODS</t>
  </si>
  <si>
    <t>SECTOR</t>
  </si>
  <si>
    <t xml:space="preserve">TOTAL </t>
  </si>
  <si>
    <t>META DE PRODUCTO</t>
  </si>
  <si>
    <t>NOMBRE INDICADOR</t>
  </si>
  <si>
    <t>AVANCE CUATRIENIO</t>
  </si>
  <si>
    <t>INFORME DE METAS</t>
  </si>
  <si>
    <t>INFORME DE RECURSOS</t>
  </si>
  <si>
    <t>AVANCE AÑO 2020</t>
  </si>
  <si>
    <t>% EJE</t>
  </si>
  <si>
    <t>ICLD</t>
  </si>
  <si>
    <t>SGP</t>
  </si>
  <si>
    <t>OTROS</t>
  </si>
  <si>
    <t>RECURSOS PROGRAMADOS INICIALES</t>
  </si>
  <si>
    <t>RECURSOS PROGRAMADOS</t>
  </si>
  <si>
    <t>RECURSOS EJECUTADOS</t>
  </si>
  <si>
    <t>% EJECUTADO DE RECURSOS</t>
  </si>
  <si>
    <t>TOTAL</t>
  </si>
  <si>
    <t>RESPONSABLE</t>
  </si>
  <si>
    <t>Intermediar y gestionar 5.000 empleos a través de proyectos empresariales, financieros y de empleabilidad en los sectores priorizados.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</si>
  <si>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</si>
  <si>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8, 9, 10, 12</t>
  </si>
  <si>
    <t>Comercio, Industria y Turismo</t>
  </si>
  <si>
    <t>IMEBU</t>
  </si>
  <si>
    <t>programado</t>
  </si>
  <si>
    <t>ejecutado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</si>
  <si>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</si>
  <si>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</si>
  <si>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1, 8</t>
  </si>
  <si>
    <t>Implementar 1 programa de desarrollo empresarial y de empleabilidad para las micro y pequeñas empresas (incluyendo unidades productivas).</t>
  </si>
  <si>
    <t>Número de de desarrollo empresariales y de empleabilidad implementados para las micro y pequeñas empresas (incluyendo unidades productivas).</t>
  </si>
  <si>
    <t>8, 10, 11, 12</t>
  </si>
  <si>
    <t>Camara mas confenalco (efectivo imebu 2080000 + 200000 servicios + 8 asesores  + contrato de arrendamiento)tanto para recursos programados como gestionados mas la camioneta</t>
  </si>
  <si>
    <t>Camara mas confenalco (efectivo imebu 2080000 + 200000 servicios + 8 asesores  + contrato de arrendamiento)tanto para recursos programados como gestionados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</si>
  <si>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</si>
  <si>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</si>
  <si>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8, 10</t>
  </si>
  <si>
    <t>el resto del valor del proyecto</t>
  </si>
  <si>
    <t>Mejorar en 2.000 empresas sus capacidades competitivas y su nivel de productividad.</t>
  </si>
  <si>
    <t>Implementar en 4.000 mipymes planes estratégicos orientados a innovar y/o incorporación tecnológica en áreas empresariales estratégicas con apoyo de Universidades y actores económicos clave.</t>
  </si>
  <si>
    <t>8, 10, 12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</si>
  <si>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</si>
  <si>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</si>
  <si>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Registrar 5.000 hojas de vida para facilitar el proceso de inserción en el mercado laboral identificando habilidades, destrezas  y que competencias  para el trabajo.</t>
  </si>
  <si>
    <t>Trabajo</t>
  </si>
  <si>
    <t>Disminuir a 4 el número de alumnos por computador.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</si>
  <si>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</si>
  <si>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</si>
  <si>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 xml:space="preserve">8, 10 </t>
  </si>
  <si>
    <t>Lograr 98 puntos en el Índice de Transparencia y Acceso a la Información - ITA.</t>
  </si>
  <si>
    <t>Mantener en funcionamiento el 100% de los programas del Instituto Municipal del Empleo.</t>
  </si>
  <si>
    <t>Interior</t>
  </si>
  <si>
    <t>CUMPLIMIENTO ACUMULADO</t>
  </si>
  <si>
    <t>Cemprende</t>
  </si>
  <si>
    <t>CDE</t>
  </si>
  <si>
    <t xml:space="preserve">Banca </t>
  </si>
  <si>
    <t>Empleo</t>
  </si>
  <si>
    <t>Funcionamiento</t>
  </si>
  <si>
    <t>Total IMEBU</t>
  </si>
  <si>
    <t>BGA</t>
  </si>
  <si>
    <t>36 PROCESOS CONTRATACIÓN - 3 PROYECTOS CON SEPPI - PENDIENTE 1 PROYECTO</t>
  </si>
  <si>
    <t>Plan Operativo Anual de Inversiones - POAI y Programa Anualizado de Caja - PAC</t>
  </si>
  <si>
    <t>26 cps-1 contrArri-2 ConvAsoc-2 Mínimas-1 conv coop</t>
  </si>
  <si>
    <t>Programa Anualizado de Caja -PAC</t>
  </si>
  <si>
    <t>Item</t>
  </si>
  <si>
    <t>Codigo de Registro del BPPI</t>
  </si>
  <si>
    <t>Nombre del Proyecto</t>
  </si>
  <si>
    <t>Objetivo General del Proyecto (Resultado)</t>
  </si>
  <si>
    <t>Valor total del proyecto</t>
  </si>
  <si>
    <t>Fuente de Financiación</t>
  </si>
  <si>
    <t>Valor SSEPI  Proyecto II Sem 2020</t>
  </si>
  <si>
    <t>Estrategia del proyecto</t>
  </si>
  <si>
    <t>Valor de la estrategia</t>
  </si>
  <si>
    <t xml:space="preserve">Estado del proceso de contratación </t>
  </si>
  <si>
    <t xml:space="preserve">Contratos derivados del proyecto </t>
  </si>
  <si>
    <t xml:space="preserve">Numero del Contrato </t>
  </si>
  <si>
    <t>Valor del Contrato</t>
  </si>
  <si>
    <t xml:space="preserve">Nombre del Ejecutor </t>
  </si>
  <si>
    <t xml:space="preserve">Plazo en meses </t>
  </si>
  <si>
    <t>Fecha de Inicio</t>
  </si>
  <si>
    <t>Fecha de Terminación</t>
  </si>
  <si>
    <t xml:space="preserve">Disponible total del proyecto  </t>
  </si>
  <si>
    <t>Vr. Disponible por estrategia</t>
  </si>
  <si>
    <t>Control programación</t>
  </si>
  <si>
    <t>Solicitud de Nececidad</t>
  </si>
  <si>
    <t>Radicación de necesidad</t>
  </si>
  <si>
    <t>Contrato</t>
  </si>
  <si>
    <t>Acta de inicio</t>
  </si>
  <si>
    <t>2020-068001-0061</t>
  </si>
  <si>
    <t>Fortalecimiento de la oficina de formento a la empleabilidd, el empleo y el trabajo decente en el municipio de Bucaramanga.</t>
  </si>
  <si>
    <t>Fortalecer la oficina de fomento a la empleabilidad, el empleo y el trabajo decente en el municipio de Bucaramanga.</t>
  </si>
  <si>
    <t>Recursos propios $668.480.000</t>
  </si>
  <si>
    <t xml:space="preserve">Oficina de Empleo </t>
  </si>
  <si>
    <t>OK</t>
  </si>
  <si>
    <t>Prestar sus servicios profesionales para apoyar a la subdireccion tecnica en la coordinacion de los procesos y actividades tecnicsa de la agencia de empleo del intituto, realacionadas con la prestacion de los servicios autorizados por la unidad publica de empleo.</t>
  </si>
  <si>
    <t>CPS 043 de 2020</t>
  </si>
  <si>
    <t>Silvia Rocio Perez</t>
  </si>
  <si>
    <t>4 Meses</t>
  </si>
  <si>
    <t>20 de agosto de 2020</t>
  </si>
  <si>
    <t>19 de diciembre de 2020</t>
  </si>
  <si>
    <t>Prestar sus sertvicios para apoyar la caracterizacion de habilidades y destrezas de los buscadores de empleo que son atendidos a través de la Agencia de Gestión y Colocación de Empleo del IMEBU.</t>
  </si>
  <si>
    <t>CPS 045 de 2020</t>
  </si>
  <si>
    <t>Sandra Milena Castellanos</t>
  </si>
  <si>
    <t>Prestar sus servicios para apoyar el registro de hojas de vida de los buscadores de empleo que son atendidos a través de la agencia de gestión y colocación de empleo de la institución.</t>
  </si>
  <si>
    <t>CPS 046 de 2020</t>
  </si>
  <si>
    <t>Maria Susana Marquez</t>
  </si>
  <si>
    <t>Prestar sus servicios profesionales para apoyar la gestión empresarial que contribuya al desarrollo de los procesos institucionales de la Agencia de Gestión y Colocación de Emplo del Instituto.</t>
  </si>
  <si>
    <t>CPS 047 de 2020</t>
  </si>
  <si>
    <t>Beatriz Ravelo Perez</t>
  </si>
  <si>
    <t>PTE</t>
  </si>
  <si>
    <t>Prestar sus servicios profesionales para apoyar la intermediacion laboral entre oferentes y demandantes que se realiza desde la Agencia de Gestión y Colocación de Empleo del Instituto.</t>
  </si>
  <si>
    <t>CPS</t>
  </si>
  <si>
    <t>Ingrid Katherine Lopez</t>
  </si>
  <si>
    <t>31 de agos</t>
  </si>
  <si>
    <t xml:space="preserve">30 Dic </t>
  </si>
  <si>
    <t>Andrea Garzón</t>
  </si>
  <si>
    <t>2,5 Meses</t>
  </si>
  <si>
    <t>REALIZAR ACTIVIDADES DE APOYO ADMINISTRATIVO Y
LOGÍSTICO A LOS DIFERENTES PROCESOS EMANADOS DEL
PROGRAMA DE EMPLEO Y EMPLEABILIDAD, EN LO REFERENTE
AL PROCESO DE CONVOCATORIAS Y TALLERES REQUERIDOS
EN LA AGENCIA DE EMPLEO Y LAS QUE SEAN NECESARIAS EN
LA FASE INICIAL DE CONSTRUCCIÓN DE LOS LINEAMIENTOS
DE POLÍTICA PÚBLICA.</t>
  </si>
  <si>
    <t>Mauricio  Practicante</t>
  </si>
  <si>
    <t>2 Meses</t>
  </si>
  <si>
    <t>Politica de Empleo</t>
  </si>
  <si>
    <t>PRESTAR SUS SERVICIOS PROFESIONALES PARA APOYAR LA
REALIZACIÓN DE ACCIONES INICIALES QUE PERMITAN AVANZAR EN
LA FASE ESTRATÉGICA PARA LA CONSTRUCCIÓN PARTICIPATIVA DE
LA POLÍTICA PÚBLICA DE EMPLEO, EMPLEABILIDAD Y TRABAJO
DECENTE.</t>
  </si>
  <si>
    <t>Dr. Córdova</t>
  </si>
  <si>
    <t xml:space="preserve">3 meses y 15 días  </t>
  </si>
  <si>
    <t>Observatorio de empleo</t>
  </si>
  <si>
    <t>Eureka - Se va por proceso abierto</t>
  </si>
  <si>
    <t>Roberto habla con la Dcc Gral para definir riesgo de libre  escogencia</t>
  </si>
  <si>
    <t>Evelyn</t>
  </si>
  <si>
    <t>2020-068001-0074</t>
  </si>
  <si>
    <t>Fortalecimiento del Centro de Desarrollo Empresarial y de Empleabilidad en el municipio de Bucaramanga</t>
  </si>
  <si>
    <t>Fortalecer el Centro de Desarrollo Empresarial y de Empleabilidad en el municipio de Bucaramanga</t>
  </si>
  <si>
    <t>Recursos propios $7.747.137.281</t>
  </si>
  <si>
    <t>Asesoria Empresarios y Emprendedores</t>
  </si>
  <si>
    <t xml:space="preserve">OK </t>
  </si>
  <si>
    <t>Contrato de arrendamiento CDE Chapinero</t>
  </si>
  <si>
    <t>Contrato Arriendo</t>
  </si>
  <si>
    <t>Arriendo Soleri - Silvia propietaria</t>
  </si>
  <si>
    <t xml:space="preserve">Aunar esfuerzos técnicos, operativos, económicos y administrativos para operar el modelo de intervención del centro de desarrollo empresarial (cde) y empleabilidad progresa – café madrid </t>
  </si>
  <si>
    <t>Convenio de Asociación No. XXX</t>
  </si>
  <si>
    <t>Camara de Comercio de Bucaramanga</t>
  </si>
  <si>
    <t>30 Dic</t>
  </si>
  <si>
    <t>Asesor Senior Líder</t>
  </si>
  <si>
    <t>Oscar Villamizar</t>
  </si>
  <si>
    <t>Asesores Senior 1 Café Madrid</t>
  </si>
  <si>
    <t>Maria Alejandra Moreno</t>
  </si>
  <si>
    <t>Asesor Senior Formalización</t>
  </si>
  <si>
    <t>Daniela Picon</t>
  </si>
  <si>
    <t>Asesores Senior 2 Café Madrid</t>
  </si>
  <si>
    <t>Diana Macías</t>
  </si>
  <si>
    <t>Psicologa Punto Empleo</t>
  </si>
  <si>
    <t>Felipe Gonzalez</t>
  </si>
  <si>
    <t>Registro Punto de Empleo</t>
  </si>
  <si>
    <t>Natalia Becerra</t>
  </si>
  <si>
    <t>Sandra Liliana Castellanos</t>
  </si>
  <si>
    <t>Ss Grales CDE CM</t>
  </si>
  <si>
    <t>N/A</t>
  </si>
  <si>
    <t>Servicios Públicos -AGU</t>
  </si>
  <si>
    <t>Aunar esfuerzos técnicos, operativos, económicos y administrativos para operar el modelo de intervención del centro de desarrollo empresarial (cde) y empleabilidad progresa – café chapinero y Kenedy</t>
  </si>
  <si>
    <t>Comfenalco Sder</t>
  </si>
  <si>
    <t>Asesores Senior 1 - Kennedy</t>
  </si>
  <si>
    <t>Diana Jimenez</t>
  </si>
  <si>
    <t>Asesores Senior 2 - Kennedy</t>
  </si>
  <si>
    <t>María Lidia Romero</t>
  </si>
  <si>
    <t>Asesores Senior 1 - Chapinero</t>
  </si>
  <si>
    <t>Marly Alejandra mendez</t>
  </si>
  <si>
    <t>Asesores Senior 2 - Chapinero</t>
  </si>
  <si>
    <t>Lorena Parada</t>
  </si>
  <si>
    <t>Servicios Públicos</t>
  </si>
  <si>
    <t>N/a</t>
  </si>
  <si>
    <t>Otrosí Unidad Móvil</t>
  </si>
  <si>
    <t>Cerebro</t>
  </si>
  <si>
    <t>???</t>
  </si>
  <si>
    <t>En construcción de necesidad de acuerdo a lo conceratado en reunión jurídica el día 9 de sep. Se radica el 11 sep</t>
  </si>
  <si>
    <t>Ya no serían 350 mill</t>
  </si>
  <si>
    <t>Mi barrio somos todos</t>
  </si>
  <si>
    <t>Líder Estrategia  Mi Barrio</t>
  </si>
  <si>
    <t>Juan Pablo Isaza</t>
  </si>
  <si>
    <t>Enlace Urbano Estrategia MI barrio</t>
  </si>
  <si>
    <t>Pedro Angel</t>
  </si>
  <si>
    <t>Enlace Urbano</t>
  </si>
  <si>
    <t>Enlace Rural Estrategia MI barrio</t>
  </si>
  <si>
    <t>Adolfo Botero</t>
  </si>
  <si>
    <t>Enlace Rural</t>
  </si>
  <si>
    <t>Equipo apoyo mi barrio</t>
  </si>
  <si>
    <t>Daniel Avendaño</t>
  </si>
  <si>
    <t>Apoyo Urbano</t>
  </si>
  <si>
    <t>Equipo apoyo mi barrio-BGA compra local -</t>
  </si>
  <si>
    <t>Laura Muñoz-Bga Local</t>
  </si>
  <si>
    <t>Tatiana Corredor        Bga Local</t>
  </si>
  <si>
    <t>Apoyo Rural</t>
  </si>
  <si>
    <t>Paula Hernández Bga Local</t>
  </si>
  <si>
    <t>Apoyo profesional para comunicar la estrategia</t>
  </si>
  <si>
    <t>Paola Sua</t>
  </si>
  <si>
    <t>Comunicaciones</t>
  </si>
  <si>
    <t>Transporte</t>
  </si>
  <si>
    <t>Transporte Mi barrio</t>
  </si>
  <si>
    <t>Programas de formación para  prepararlos para acceder a market place.</t>
  </si>
  <si>
    <t>Programa de comercialización de productos y/o servicios (Plataformas Market</t>
  </si>
  <si>
    <t>Documento de reactivación eco</t>
  </si>
  <si>
    <t>+</t>
  </si>
  <si>
    <t xml:space="preserve">Fortalecimiento del fondo de fomento y crédito de apoyo del imebu, programa Banca Ciudadana en el municipio de Bucaramanga </t>
  </si>
  <si>
    <t>Fortalecer el fondo de fomento y crédito de apoyo Banca Ciudadana en el municipio de Bucaramanga.</t>
  </si>
  <si>
    <t>Recursos propios $1.184.271.069</t>
  </si>
  <si>
    <t>Bancoldex</t>
  </si>
  <si>
    <t>Operación del Fondo</t>
  </si>
  <si>
    <t xml:space="preserve">Alveiro </t>
  </si>
  <si>
    <t>3,5 MESES</t>
  </si>
  <si>
    <t>Aceleración</t>
  </si>
  <si>
    <t>Asesor 1</t>
  </si>
  <si>
    <t>Asesor 2</t>
  </si>
  <si>
    <t>Asesor 3</t>
  </si>
  <si>
    <t>Asesor 4</t>
  </si>
  <si>
    <t>Arriendo/operación</t>
  </si>
  <si>
    <t>Operación coworking</t>
  </si>
  <si>
    <t>Coordinación</t>
  </si>
  <si>
    <t>Registro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</si>
  <si>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</si>
  <si>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Disponible</t>
  </si>
  <si>
    <t>Documento de reactivación</t>
  </si>
  <si>
    <t>Contracredito de inversion, ante concejo directivo</t>
  </si>
  <si>
    <t xml:space="preserve">Ajustar el proyecto de Banca </t>
  </si>
  <si>
    <t>Otros Gastos de Funcionamiento Aprobados</t>
  </si>
  <si>
    <t>Periodo comprendido entre 01-11-2020 y 30-11-2020</t>
  </si>
  <si>
    <t>Fecha de Impresión: 04.12.2020 Hora: 12:40:pm</t>
  </si>
  <si>
    <t>Impreso por: JENNIFER - JENNIFER MONTES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</si>
</sst>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_-&quot;$&quot;\ * #,##0_-;\-&quot;$&quot;\ * #,##0_-;_-&quot;$&quot;\ * &quot;-&quot;_-;_-@_-"/>
    <numFmt numFmtId="168" formatCode="&quot;$&quot;#,##0.00"/>
    <numFmt numFmtId="169" formatCode="_(&quot;$&quot;* #,##0_);_(&quot;$&quot;* \(#,##0\);_(&quot;$&quot;* &quot;-&quot;??_);_(@_)"/>
    <numFmt numFmtId="170" formatCode="0.0%"/>
    <numFmt numFmtId="171" formatCode="_(&quot;$&quot;\ * #,##0_);_(&quot;$&quot;\ * \(#,##0\);_(&quot;$&quot;\ * &quot;-&quot;_);_(@_)"/>
    <numFmt numFmtId="172" formatCode="_(&quot;$&quot;\ * #,##0.00_);_(&quot;$&quot;\ * \(#,##0.00\);_(&quot;$&quot;\ * &quot;-&quot;??_);_(@_)"/>
    <numFmt numFmtId="173" formatCode="_(&quot;$&quot;\ * #,##0_);_(&quot;$&quot;\ * \(#,##0\);_(&quot;$&quot;\ * &quot;-&quot;??_);_(@_)"/>
    <numFmt numFmtId="174" formatCode="#,##0.000"/>
  </numFmts>
  <fonts count="6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name val="NUDITO"/>
    </font>
    <font>
      <b/>
      <sz val="10"/>
      <name val="NUDITO"/>
    </font>
    <font>
      <sz val="12"/>
      <color theme="1"/>
      <name val="NUDITO"/>
    </font>
    <font>
      <b/>
      <sz val="16"/>
      <name val="NUDITO"/>
    </font>
    <font>
      <sz val="12"/>
      <name val="NUDITO"/>
    </font>
    <font>
      <sz val="10"/>
      <name val="NUDITO"/>
    </font>
    <font>
      <sz val="10"/>
      <color theme="1"/>
      <name val="NUDITO"/>
    </font>
    <font>
      <b/>
      <sz val="12"/>
      <color theme="1"/>
      <name val="NUDITO"/>
    </font>
    <font>
      <sz val="9"/>
      <name val="NUDITO"/>
    </font>
    <font>
      <sz val="12"/>
      <color indexed="8"/>
      <name val="NUDITO"/>
    </font>
    <font>
      <b/>
      <sz val="12"/>
      <color indexed="8"/>
      <name val="NUDITO"/>
    </font>
    <font>
      <b/>
      <sz val="12"/>
      <color rgb="FFFF6600"/>
      <name val="NUDITO"/>
    </font>
    <font>
      <sz val="9"/>
      <color theme="1"/>
      <name val="NUDI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3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</font>
    <font>
      <sz val="12"/>
      <color rgb="FFFF0000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F81BD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6" fillId="0" borderId="0"/>
    <xf numFmtId="165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</cellStyleXfs>
  <cellXfs count="641">
    <xf numFmtId="0" fontId="0" fillId="0" borderId="0" xfId="0"/>
    <xf numFmtId="0" fontId="7" fillId="0" borderId="0" xfId="0" applyFont="1"/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166" fontId="5" fillId="0" borderId="18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3" fontId="7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166" fontId="7" fillId="2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/>
    <xf numFmtId="3" fontId="7" fillId="2" borderId="39" xfId="0" applyNumberFormat="1" applyFont="1" applyFill="1" applyBorder="1" applyAlignment="1">
      <alignment horizontal="center" vertical="center"/>
    </xf>
    <xf numFmtId="9" fontId="10" fillId="2" borderId="39" xfId="0" applyNumberFormat="1" applyFont="1" applyFill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0" fontId="7" fillId="0" borderId="33" xfId="0" quotePrefix="1" applyFont="1" applyFill="1" applyBorder="1"/>
    <xf numFmtId="0" fontId="2" fillId="0" borderId="0" xfId="77"/>
    <xf numFmtId="0" fontId="15" fillId="0" borderId="0" xfId="77" applyFont="1" applyAlignment="1">
      <alignment wrapText="1"/>
    </xf>
    <xf numFmtId="0" fontId="17" fillId="0" borderId="59" xfId="77" applyFont="1" applyBorder="1" applyAlignment="1">
      <alignment horizontal="center" vertical="center" wrapText="1"/>
    </xf>
    <xf numFmtId="0" fontId="15" fillId="4" borderId="59" xfId="77" applyFont="1" applyFill="1" applyBorder="1" applyAlignment="1">
      <alignment wrapText="1"/>
    </xf>
    <xf numFmtId="4" fontId="15" fillId="4" borderId="59" xfId="77" applyNumberFormat="1" applyFont="1" applyFill="1" applyBorder="1" applyAlignment="1">
      <alignment horizontal="right" wrapText="1"/>
    </xf>
    <xf numFmtId="0" fontId="15" fillId="4" borderId="59" xfId="77" applyFont="1" applyFill="1" applyBorder="1" applyAlignment="1">
      <alignment horizontal="right" wrapText="1"/>
    </xf>
    <xf numFmtId="0" fontId="18" fillId="5" borderId="5" xfId="77" applyFont="1" applyFill="1" applyBorder="1" applyAlignment="1">
      <alignment horizontal="center" vertical="center" wrapText="1"/>
    </xf>
    <xf numFmtId="0" fontId="19" fillId="0" borderId="0" xfId="77" applyFont="1" applyFill="1" applyAlignment="1">
      <alignment horizontal="right" vertical="center"/>
    </xf>
    <xf numFmtId="0" fontId="19" fillId="6" borderId="5" xfId="77" applyFont="1" applyFill="1" applyBorder="1" applyAlignment="1">
      <alignment horizontal="left" vertical="center" wrapText="1"/>
    </xf>
    <xf numFmtId="168" fontId="19" fillId="6" borderId="5" xfId="78" applyNumberFormat="1" applyFont="1" applyFill="1" applyBorder="1" applyAlignment="1">
      <alignment horizontal="right" vertical="center" wrapText="1"/>
    </xf>
    <xf numFmtId="9" fontId="19" fillId="6" borderId="5" xfId="79" applyFont="1" applyFill="1" applyBorder="1" applyAlignment="1">
      <alignment horizontal="center" vertical="center"/>
    </xf>
    <xf numFmtId="169" fontId="19" fillId="0" borderId="0" xfId="75" applyNumberFormat="1" applyFont="1" applyFill="1" applyAlignment="1">
      <alignment horizontal="right" vertical="center"/>
    </xf>
    <xf numFmtId="0" fontId="20" fillId="0" borderId="5" xfId="77" applyFont="1" applyFill="1" applyBorder="1" applyAlignment="1">
      <alignment vertical="center" wrapText="1"/>
    </xf>
    <xf numFmtId="168" fontId="20" fillId="0" borderId="5" xfId="78" applyNumberFormat="1" applyFont="1" applyFill="1" applyBorder="1" applyAlignment="1">
      <alignment horizontal="right" vertical="center" wrapText="1"/>
    </xf>
    <xf numFmtId="9" fontId="20" fillId="0" borderId="5" xfId="79" applyFont="1" applyFill="1" applyBorder="1" applyAlignment="1">
      <alignment horizontal="center" vertical="center"/>
    </xf>
    <xf numFmtId="0" fontId="20" fillId="0" borderId="0" xfId="77" applyFont="1" applyFill="1" applyAlignment="1">
      <alignment horizontal="right" vertical="center"/>
    </xf>
    <xf numFmtId="0" fontId="19" fillId="0" borderId="0" xfId="77" applyFont="1" applyFill="1" applyBorder="1" applyAlignment="1">
      <alignment horizontal="left" vertical="center" wrapText="1"/>
    </xf>
    <xf numFmtId="4" fontId="19" fillId="0" borderId="0" xfId="77" applyNumberFormat="1" applyFont="1" applyFill="1" applyBorder="1" applyAlignment="1">
      <alignment horizontal="right" vertical="center" wrapText="1"/>
    </xf>
    <xf numFmtId="0" fontId="19" fillId="0" borderId="0" xfId="77" applyFont="1" applyFill="1" applyBorder="1" applyAlignment="1">
      <alignment horizontal="right" vertical="center" wrapText="1"/>
    </xf>
    <xf numFmtId="0" fontId="19" fillId="0" borderId="0" xfId="77" applyFont="1" applyFill="1" applyBorder="1" applyAlignment="1">
      <alignment horizontal="right" vertical="center"/>
    </xf>
    <xf numFmtId="0" fontId="19" fillId="0" borderId="0" xfId="77" applyFont="1" applyFill="1" applyAlignment="1">
      <alignment horizontal="center" vertical="center" wrapText="1"/>
    </xf>
    <xf numFmtId="0" fontId="20" fillId="5" borderId="5" xfId="77" applyFont="1" applyFill="1" applyBorder="1" applyAlignment="1">
      <alignment vertical="center" wrapText="1"/>
    </xf>
    <xf numFmtId="168" fontId="20" fillId="5" borderId="5" xfId="78" applyNumberFormat="1" applyFont="1" applyFill="1" applyBorder="1" applyAlignment="1">
      <alignment horizontal="right" vertical="center" wrapText="1"/>
    </xf>
    <xf numFmtId="9" fontId="20" fillId="5" borderId="5" xfId="79" applyFont="1" applyFill="1" applyBorder="1" applyAlignment="1">
      <alignment horizontal="center" vertical="center"/>
    </xf>
    <xf numFmtId="164" fontId="20" fillId="0" borderId="0" xfId="75" applyFont="1" applyFill="1" applyAlignment="1">
      <alignment horizontal="right" vertical="center"/>
    </xf>
    <xf numFmtId="0" fontId="20" fillId="7" borderId="5" xfId="77" applyFont="1" applyFill="1" applyBorder="1" applyAlignment="1">
      <alignment horizontal="left" vertical="center" wrapText="1"/>
    </xf>
    <xf numFmtId="4" fontId="20" fillId="7" borderId="5" xfId="77" applyNumberFormat="1" applyFont="1" applyFill="1" applyBorder="1" applyAlignment="1">
      <alignment horizontal="right" vertical="center" wrapText="1"/>
    </xf>
    <xf numFmtId="9" fontId="20" fillId="7" borderId="5" xfId="79" applyFont="1" applyFill="1" applyBorder="1" applyAlignment="1">
      <alignment horizontal="center" vertical="center"/>
    </xf>
    <xf numFmtId="0" fontId="19" fillId="0" borderId="0" xfId="77" applyFont="1" applyFill="1" applyAlignment="1">
      <alignment horizontal="left" vertical="center"/>
    </xf>
    <xf numFmtId="0" fontId="15" fillId="3" borderId="59" xfId="77" applyFont="1" applyFill="1" applyBorder="1" applyAlignment="1">
      <alignment wrapText="1"/>
    </xf>
    <xf numFmtId="4" fontId="15" fillId="3" borderId="59" xfId="77" applyNumberFormat="1" applyFont="1" applyFill="1" applyBorder="1" applyAlignment="1">
      <alignment horizontal="right" wrapText="1"/>
    </xf>
    <xf numFmtId="0" fontId="15" fillId="3" borderId="59" xfId="77" applyFont="1" applyFill="1" applyBorder="1" applyAlignment="1">
      <alignment horizontal="right" wrapText="1"/>
    </xf>
    <xf numFmtId="0" fontId="2" fillId="3" borderId="0" xfId="77" applyFill="1"/>
    <xf numFmtId="0" fontId="15" fillId="10" borderId="59" xfId="77" applyFont="1" applyFill="1" applyBorder="1" applyAlignment="1">
      <alignment wrapText="1"/>
    </xf>
    <xf numFmtId="4" fontId="15" fillId="10" borderId="59" xfId="77" applyNumberFormat="1" applyFont="1" applyFill="1" applyBorder="1" applyAlignment="1">
      <alignment horizontal="right" wrapText="1"/>
    </xf>
    <xf numFmtId="0" fontId="15" fillId="10" borderId="59" xfId="77" applyFont="1" applyFill="1" applyBorder="1" applyAlignment="1">
      <alignment horizontal="right" wrapText="1"/>
    </xf>
    <xf numFmtId="0" fontId="2" fillId="10" borderId="0" xfId="77" applyFill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horizontal="justify" vertical="center" wrapText="1"/>
    </xf>
    <xf numFmtId="0" fontId="26" fillId="0" borderId="0" xfId="0" applyFont="1" applyAlignment="1">
      <alignment horizontal="center" vertical="center"/>
    </xf>
    <xf numFmtId="170" fontId="25" fillId="0" borderId="0" xfId="0" applyNumberFormat="1" applyFont="1" applyAlignment="1">
      <alignment vertical="center"/>
    </xf>
    <xf numFmtId="0" fontId="23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3" fillId="8" borderId="3" xfId="0" applyFont="1" applyFill="1" applyBorder="1" applyAlignment="1">
      <alignment vertical="center"/>
    </xf>
    <xf numFmtId="0" fontId="21" fillId="8" borderId="4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vertical="center" wrapText="1"/>
    </xf>
    <xf numFmtId="0" fontId="21" fillId="8" borderId="5" xfId="0" applyFont="1" applyFill="1" applyBorder="1" applyAlignment="1">
      <alignment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50" xfId="0" applyFont="1" applyFill="1" applyBorder="1" applyAlignment="1">
      <alignment horizontal="center" vertical="center" wrapText="1"/>
    </xf>
    <xf numFmtId="0" fontId="21" fillId="8" borderId="51" xfId="0" applyFont="1" applyFill="1" applyBorder="1" applyAlignment="1">
      <alignment horizontal="center" vertical="center" wrapText="1"/>
    </xf>
    <xf numFmtId="1" fontId="21" fillId="8" borderId="5" xfId="0" applyNumberFormat="1" applyFont="1" applyFill="1" applyBorder="1" applyAlignment="1">
      <alignment horizontal="center" vertical="center"/>
    </xf>
    <xf numFmtId="1" fontId="21" fillId="8" borderId="50" xfId="0" applyNumberFormat="1" applyFont="1" applyFill="1" applyBorder="1" applyAlignment="1">
      <alignment horizontal="center" vertical="center"/>
    </xf>
    <xf numFmtId="1" fontId="21" fillId="8" borderId="51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 wrapText="1"/>
    </xf>
    <xf numFmtId="0" fontId="21" fillId="8" borderId="51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justify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3" fontId="25" fillId="0" borderId="50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/>
    </xf>
    <xf numFmtId="9" fontId="23" fillId="0" borderId="9" xfId="76" applyFont="1" applyBorder="1" applyAlignment="1">
      <alignment horizontal="center" vertical="center"/>
    </xf>
    <xf numFmtId="3" fontId="30" fillId="0" borderId="4" xfId="0" applyNumberFormat="1" applyFont="1" applyFill="1" applyBorder="1" applyAlignment="1">
      <alignment horizontal="center" vertical="center" wrapText="1"/>
    </xf>
    <xf numFmtId="3" fontId="30" fillId="0" borderId="5" xfId="0" applyNumberFormat="1" applyFont="1" applyFill="1" applyBorder="1" applyAlignment="1">
      <alignment horizontal="center" vertical="center" wrapText="1"/>
    </xf>
    <xf numFmtId="9" fontId="30" fillId="0" borderId="9" xfId="76" applyFont="1" applyFill="1" applyBorder="1" applyAlignment="1">
      <alignment horizontal="center" vertical="center" wrapText="1"/>
    </xf>
    <xf numFmtId="3" fontId="30" fillId="3" borderId="51" xfId="0" applyNumberFormat="1" applyFont="1" applyFill="1" applyBorder="1" applyAlignment="1">
      <alignment horizontal="center" vertical="center" wrapText="1"/>
    </xf>
    <xf numFmtId="3" fontId="30" fillId="0" borderId="50" xfId="0" applyNumberFormat="1" applyFont="1" applyFill="1" applyBorder="1" applyAlignment="1">
      <alignment horizontal="center" vertical="center" wrapText="1"/>
    </xf>
    <xf numFmtId="9" fontId="23" fillId="0" borderId="9" xfId="76" applyFont="1" applyFill="1" applyBorder="1" applyAlignment="1">
      <alignment horizontal="center" vertical="center"/>
    </xf>
    <xf numFmtId="3" fontId="30" fillId="0" borderId="51" xfId="0" applyNumberFormat="1" applyFont="1" applyFill="1" applyBorder="1" applyAlignment="1">
      <alignment horizontal="center" vertical="center" wrapText="1"/>
    </xf>
    <xf numFmtId="9" fontId="23" fillId="0" borderId="5" xfId="76" applyFont="1" applyBorder="1" applyAlignment="1">
      <alignment horizontal="center" vertical="center"/>
    </xf>
    <xf numFmtId="3" fontId="31" fillId="0" borderId="5" xfId="0" applyNumberFormat="1" applyFont="1" applyFill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3" fontId="30" fillId="0" borderId="52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justify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justify" vertical="center" wrapText="1"/>
    </xf>
    <xf numFmtId="3" fontId="32" fillId="0" borderId="50" xfId="0" applyNumberFormat="1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3" fontId="30" fillId="3" borderId="65" xfId="0" applyNumberFormat="1" applyFont="1" applyFill="1" applyBorder="1" applyAlignment="1">
      <alignment horizontal="center" vertical="center"/>
    </xf>
    <xf numFmtId="9" fontId="25" fillId="0" borderId="50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Border="1" applyAlignment="1">
      <alignment horizontal="center" vertical="center"/>
    </xf>
    <xf numFmtId="9" fontId="30" fillId="0" borderId="4" xfId="0" applyNumberFormat="1" applyFont="1" applyFill="1" applyBorder="1" applyAlignment="1">
      <alignment horizontal="center" vertical="center" wrapText="1"/>
    </xf>
    <xf numFmtId="9" fontId="30" fillId="0" borderId="5" xfId="0" applyNumberFormat="1" applyFont="1" applyFill="1" applyBorder="1" applyAlignment="1">
      <alignment horizontal="center" vertical="center" wrapText="1"/>
    </xf>
    <xf numFmtId="9" fontId="30" fillId="0" borderId="51" xfId="0" applyNumberFormat="1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/>
    </xf>
    <xf numFmtId="3" fontId="23" fillId="12" borderId="5" xfId="0" applyNumberFormat="1" applyFont="1" applyFill="1" applyBorder="1" applyAlignment="1">
      <alignment horizontal="center" vertical="center"/>
    </xf>
    <xf numFmtId="9" fontId="23" fillId="12" borderId="9" xfId="76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/>
    </xf>
    <xf numFmtId="9" fontId="28" fillId="8" borderId="10" xfId="0" applyNumberFormat="1" applyFont="1" applyFill="1" applyBorder="1" applyAlignment="1">
      <alignment horizontal="center" vertical="center"/>
    </xf>
    <xf numFmtId="0" fontId="28" fillId="8" borderId="14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3" fontId="28" fillId="8" borderId="6" xfId="0" applyNumberFormat="1" applyFont="1" applyFill="1" applyBorder="1" applyAlignment="1">
      <alignment horizontal="center" vertical="center"/>
    </xf>
    <xf numFmtId="3" fontId="28" fillId="8" borderId="7" xfId="0" applyNumberFormat="1" applyFont="1" applyFill="1" applyBorder="1" applyAlignment="1">
      <alignment horizontal="center" vertical="center"/>
    </xf>
    <xf numFmtId="9" fontId="28" fillId="8" borderId="10" xfId="76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9" fontId="28" fillId="0" borderId="67" xfId="76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7" fontId="23" fillId="0" borderId="0" xfId="80" applyFont="1" applyAlignment="1">
      <alignment vertical="center"/>
    </xf>
    <xf numFmtId="167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167" fontId="28" fillId="0" borderId="0" xfId="0" applyNumberFormat="1" applyFont="1" applyAlignment="1">
      <alignment vertical="center"/>
    </xf>
    <xf numFmtId="0" fontId="37" fillId="6" borderId="0" xfId="81" applyFont="1" applyFill="1" applyAlignment="1">
      <alignment vertical="center"/>
    </xf>
    <xf numFmtId="0" fontId="37" fillId="6" borderId="0" xfId="81" applyFont="1" applyFill="1" applyAlignment="1">
      <alignment horizontal="center" vertical="center"/>
    </xf>
    <xf numFmtId="0" fontId="36" fillId="6" borderId="0" xfId="81" applyFont="1" applyFill="1" applyAlignment="1">
      <alignment vertical="center"/>
    </xf>
    <xf numFmtId="0" fontId="36" fillId="0" borderId="0" xfId="81" applyFont="1" applyFill="1" applyBorder="1" applyAlignment="1">
      <alignment vertical="center"/>
    </xf>
    <xf numFmtId="0" fontId="36" fillId="6" borderId="0" xfId="81" applyFont="1" applyFill="1" applyAlignment="1">
      <alignment horizontal="center" vertical="center"/>
    </xf>
    <xf numFmtId="0" fontId="38" fillId="6" borderId="0" xfId="81" applyFont="1" applyFill="1" applyAlignment="1">
      <alignment horizontal="center" vertical="center"/>
    </xf>
    <xf numFmtId="0" fontId="36" fillId="6" borderId="0" xfId="81" applyFont="1" applyFill="1" applyBorder="1" applyAlignment="1">
      <alignment vertical="center"/>
    </xf>
    <xf numFmtId="0" fontId="39" fillId="6" borderId="0" xfId="81" applyFont="1" applyFill="1" applyAlignment="1">
      <alignment vertical="center"/>
    </xf>
    <xf numFmtId="0" fontId="38" fillId="0" borderId="0" xfId="81" applyFont="1"/>
    <xf numFmtId="0" fontId="36" fillId="0" borderId="0" xfId="81"/>
    <xf numFmtId="0" fontId="39" fillId="13" borderId="1" xfId="81" applyFont="1" applyFill="1" applyBorder="1" applyAlignment="1">
      <alignment horizontal="center" vertical="center" wrapText="1"/>
    </xf>
    <xf numFmtId="171" fontId="42" fillId="0" borderId="3" xfId="83" applyFont="1" applyBorder="1" applyAlignment="1">
      <alignment horizontal="center" vertical="center" wrapText="1"/>
    </xf>
    <xf numFmtId="0" fontId="37" fillId="0" borderId="3" xfId="81" applyFont="1" applyFill="1" applyBorder="1" applyAlignment="1">
      <alignment horizontal="justify" vertical="center" wrapText="1"/>
    </xf>
    <xf numFmtId="0" fontId="37" fillId="0" borderId="3" xfId="81" applyFont="1" applyFill="1" applyBorder="1" applyAlignment="1">
      <alignment vertical="center" wrapText="1"/>
    </xf>
    <xf numFmtId="173" fontId="39" fillId="0" borderId="3" xfId="84" applyNumberFormat="1" applyFont="1" applyFill="1" applyBorder="1" applyAlignment="1">
      <alignment vertical="center" wrapText="1"/>
    </xf>
    <xf numFmtId="0" fontId="37" fillId="0" borderId="3" xfId="81" applyFont="1" applyFill="1" applyBorder="1" applyAlignment="1">
      <alignment horizontal="center" vertical="center" wrapText="1"/>
    </xf>
    <xf numFmtId="0" fontId="44" fillId="6" borderId="3" xfId="81" applyFont="1" applyFill="1" applyBorder="1" applyAlignment="1">
      <alignment vertical="center" wrapText="1"/>
    </xf>
    <xf numFmtId="0" fontId="44" fillId="6" borderId="8" xfId="81" applyFont="1" applyFill="1" applyBorder="1" applyAlignment="1">
      <alignment vertical="center" wrapText="1"/>
    </xf>
    <xf numFmtId="171" fontId="36" fillId="0" borderId="5" xfId="83" applyFont="1" applyBorder="1"/>
    <xf numFmtId="171" fontId="38" fillId="0" borderId="0" xfId="81" applyNumberFormat="1" applyFont="1"/>
    <xf numFmtId="171" fontId="42" fillId="0" borderId="5" xfId="83" applyFont="1" applyBorder="1" applyAlignment="1">
      <alignment horizontal="center" vertical="center" wrapText="1"/>
    </xf>
    <xf numFmtId="0" fontId="37" fillId="0" borderId="5" xfId="81" applyFont="1" applyFill="1" applyBorder="1" applyAlignment="1">
      <alignment horizontal="justify" vertical="center" wrapText="1"/>
    </xf>
    <xf numFmtId="0" fontId="37" fillId="0" borderId="5" xfId="81" applyFont="1" applyFill="1" applyBorder="1" applyAlignment="1">
      <alignment vertical="center" wrapText="1"/>
    </xf>
    <xf numFmtId="173" fontId="39" fillId="0" borderId="5" xfId="84" applyNumberFormat="1" applyFont="1" applyFill="1" applyBorder="1" applyAlignment="1">
      <alignment vertical="center" wrapText="1"/>
    </xf>
    <xf numFmtId="0" fontId="37" fillId="0" borderId="5" xfId="81" applyFont="1" applyFill="1" applyBorder="1" applyAlignment="1">
      <alignment horizontal="center" vertical="center" wrapText="1"/>
    </xf>
    <xf numFmtId="0" fontId="44" fillId="6" borderId="5" xfId="81" applyFont="1" applyFill="1" applyBorder="1" applyAlignment="1">
      <alignment vertical="center" wrapText="1"/>
    </xf>
    <xf numFmtId="0" fontId="44" fillId="6" borderId="9" xfId="81" applyFont="1" applyFill="1" applyBorder="1" applyAlignment="1">
      <alignment vertical="center" wrapText="1"/>
    </xf>
    <xf numFmtId="171" fontId="45" fillId="0" borderId="5" xfId="83" applyFont="1" applyBorder="1" applyAlignment="1">
      <alignment horizontal="center" vertical="center" wrapText="1"/>
    </xf>
    <xf numFmtId="0" fontId="37" fillId="0" borderId="5" xfId="81" applyFont="1" applyFill="1" applyBorder="1" applyAlignment="1">
      <alignment horizontal="left" vertical="center" wrapText="1"/>
    </xf>
    <xf numFmtId="0" fontId="37" fillId="0" borderId="9" xfId="81" applyFont="1" applyFill="1" applyBorder="1" applyAlignment="1">
      <alignment vertical="center" wrapText="1"/>
    </xf>
    <xf numFmtId="0" fontId="44" fillId="0" borderId="5" xfId="81" applyFont="1" applyFill="1" applyBorder="1" applyAlignment="1">
      <alignment horizontal="justify" vertical="center" wrapText="1"/>
    </xf>
    <xf numFmtId="173" fontId="46" fillId="0" borderId="5" xfId="84" applyNumberFormat="1" applyFont="1" applyFill="1" applyBorder="1" applyAlignment="1">
      <alignment vertical="center" wrapText="1"/>
    </xf>
    <xf numFmtId="0" fontId="47" fillId="0" borderId="5" xfId="81" applyFont="1" applyFill="1" applyBorder="1" applyAlignment="1">
      <alignment vertical="center" wrapText="1"/>
    </xf>
    <xf numFmtId="0" fontId="47" fillId="0" borderId="5" xfId="81" applyFont="1" applyFill="1" applyBorder="1" applyAlignment="1">
      <alignment horizontal="justify" vertical="center" wrapText="1"/>
    </xf>
    <xf numFmtId="16" fontId="37" fillId="0" borderId="5" xfId="81" applyNumberFormat="1" applyFont="1" applyFill="1" applyBorder="1" applyAlignment="1">
      <alignment vertical="center" wrapText="1"/>
    </xf>
    <xf numFmtId="16" fontId="37" fillId="0" borderId="9" xfId="81" applyNumberFormat="1" applyFont="1" applyFill="1" applyBorder="1" applyAlignment="1">
      <alignment vertical="center" wrapText="1"/>
    </xf>
    <xf numFmtId="171" fontId="42" fillId="11" borderId="1" xfId="83" applyFont="1" applyFill="1" applyBorder="1" applyAlignment="1">
      <alignment horizontal="center" vertical="center" wrapText="1"/>
    </xf>
    <xf numFmtId="171" fontId="42" fillId="0" borderId="1" xfId="83" applyFont="1" applyBorder="1" applyAlignment="1">
      <alignment horizontal="center" vertical="center" wrapText="1"/>
    </xf>
    <xf numFmtId="0" fontId="47" fillId="0" borderId="5" xfId="81" applyFont="1" applyFill="1" applyBorder="1" applyAlignment="1">
      <alignment horizontal="justify" vertical="top" wrapText="1"/>
    </xf>
    <xf numFmtId="173" fontId="36" fillId="6" borderId="56" xfId="81" applyNumberFormat="1" applyFont="1" applyFill="1" applyBorder="1" applyAlignment="1">
      <alignment vertical="center"/>
    </xf>
    <xf numFmtId="0" fontId="48" fillId="6" borderId="5" xfId="81" applyFont="1" applyFill="1" applyBorder="1" applyAlignment="1">
      <alignment horizontal="center" vertical="center"/>
    </xf>
    <xf numFmtId="0" fontId="48" fillId="6" borderId="5" xfId="81" applyFont="1" applyFill="1" applyBorder="1" applyAlignment="1">
      <alignment vertical="center" wrapText="1"/>
    </xf>
    <xf numFmtId="173" fontId="49" fillId="0" borderId="5" xfId="84" applyNumberFormat="1" applyFont="1" applyFill="1" applyBorder="1" applyAlignment="1">
      <alignment vertical="center" wrapText="1"/>
    </xf>
    <xf numFmtId="0" fontId="50" fillId="14" borderId="5" xfId="81" applyFont="1" applyFill="1" applyBorder="1" applyAlignment="1">
      <alignment vertical="center"/>
    </xf>
    <xf numFmtId="0" fontId="47" fillId="14" borderId="5" xfId="81" applyFont="1" applyFill="1" applyBorder="1" applyAlignment="1">
      <alignment horizontal="center" vertical="center" wrapText="1"/>
    </xf>
    <xf numFmtId="0" fontId="37" fillId="6" borderId="5" xfId="81" applyFont="1" applyFill="1" applyBorder="1" applyAlignment="1">
      <alignment vertical="center" wrapText="1"/>
    </xf>
    <xf numFmtId="0" fontId="37" fillId="6" borderId="9" xfId="81" applyFont="1" applyFill="1" applyBorder="1" applyAlignment="1">
      <alignment vertical="center" wrapText="1"/>
    </xf>
    <xf numFmtId="0" fontId="48" fillId="6" borderId="70" xfId="81" applyFont="1" applyFill="1" applyBorder="1" applyAlignment="1">
      <alignment horizontal="center" vertical="center"/>
    </xf>
    <xf numFmtId="0" fontId="48" fillId="6" borderId="70" xfId="81" applyFont="1" applyFill="1" applyBorder="1" applyAlignment="1">
      <alignment vertical="center" wrapText="1"/>
    </xf>
    <xf numFmtId="0" fontId="52" fillId="6" borderId="70" xfId="81" applyFont="1" applyFill="1" applyBorder="1" applyAlignment="1">
      <alignment vertical="center"/>
    </xf>
    <xf numFmtId="0" fontId="37" fillId="6" borderId="70" xfId="81" applyFont="1" applyFill="1" applyBorder="1" applyAlignment="1">
      <alignment horizontal="center" vertical="center" wrapText="1"/>
    </xf>
    <xf numFmtId="0" fontId="37" fillId="6" borderId="70" xfId="81" applyFont="1" applyFill="1" applyBorder="1" applyAlignment="1">
      <alignment vertical="center" wrapText="1"/>
    </xf>
    <xf numFmtId="0" fontId="37" fillId="6" borderId="71" xfId="81" applyFont="1" applyFill="1" applyBorder="1" applyAlignment="1">
      <alignment vertical="center" wrapText="1"/>
    </xf>
    <xf numFmtId="0" fontId="36" fillId="6" borderId="5" xfId="81" applyFont="1" applyFill="1" applyBorder="1" applyAlignment="1">
      <alignment horizontal="center" vertical="center"/>
    </xf>
    <xf numFmtId="3" fontId="42" fillId="0" borderId="3" xfId="81" applyNumberFormat="1" applyFont="1" applyFill="1" applyBorder="1" applyAlignment="1">
      <alignment horizontal="center" vertical="center" wrapText="1"/>
    </xf>
    <xf numFmtId="3" fontId="45" fillId="0" borderId="3" xfId="81" applyNumberFormat="1" applyFont="1" applyFill="1" applyBorder="1" applyAlignment="1">
      <alignment horizontal="center" vertical="center" wrapText="1"/>
    </xf>
    <xf numFmtId="0" fontId="53" fillId="6" borderId="3" xfId="81" applyFont="1" applyFill="1" applyBorder="1" applyAlignment="1">
      <alignment vertical="center" wrapText="1"/>
    </xf>
    <xf numFmtId="171" fontId="54" fillId="3" borderId="3" xfId="83" applyFont="1" applyFill="1" applyBorder="1" applyAlignment="1">
      <alignment vertical="center" wrapText="1"/>
    </xf>
    <xf numFmtId="171" fontId="53" fillId="0" borderId="3" xfId="83" applyFont="1" applyFill="1" applyBorder="1" applyAlignment="1">
      <alignment vertical="center" wrapText="1"/>
    </xf>
    <xf numFmtId="0" fontId="36" fillId="0" borderId="3" xfId="81" applyFont="1" applyFill="1" applyBorder="1" applyAlignment="1">
      <alignment vertical="center"/>
    </xf>
    <xf numFmtId="0" fontId="36" fillId="0" borderId="8" xfId="81" applyFont="1" applyFill="1" applyBorder="1" applyAlignment="1">
      <alignment vertical="center"/>
    </xf>
    <xf numFmtId="0" fontId="36" fillId="0" borderId="0" xfId="81" applyFont="1" applyFill="1" applyAlignment="1">
      <alignment vertical="center"/>
    </xf>
    <xf numFmtId="171" fontId="55" fillId="0" borderId="5" xfId="83" applyFont="1" applyBorder="1"/>
    <xf numFmtId="3" fontId="42" fillId="0" borderId="5" xfId="81" applyNumberFormat="1" applyFont="1" applyFill="1" applyBorder="1" applyAlignment="1">
      <alignment horizontal="center" vertical="center" wrapText="1"/>
    </xf>
    <xf numFmtId="3" fontId="45" fillId="0" borderId="5" xfId="81" applyNumberFormat="1" applyFont="1" applyFill="1" applyBorder="1" applyAlignment="1">
      <alignment horizontal="center" vertical="center" wrapText="1"/>
    </xf>
    <xf numFmtId="0" fontId="53" fillId="6" borderId="5" xfId="81" applyFont="1" applyFill="1" applyBorder="1" applyAlignment="1">
      <alignment vertical="center" wrapText="1"/>
    </xf>
    <xf numFmtId="0" fontId="53" fillId="0" borderId="5" xfId="81" applyFont="1" applyFill="1" applyBorder="1" applyAlignment="1">
      <alignment vertical="center" wrapText="1"/>
    </xf>
    <xf numFmtId="173" fontId="54" fillId="3" borderId="5" xfId="84" applyNumberFormat="1" applyFont="1" applyFill="1" applyBorder="1" applyAlignment="1">
      <alignment vertical="center" wrapText="1"/>
    </xf>
    <xf numFmtId="173" fontId="37" fillId="0" borderId="9" xfId="81" applyNumberFormat="1" applyFont="1" applyFill="1" applyBorder="1" applyAlignment="1">
      <alignment vertical="center" wrapText="1"/>
    </xf>
    <xf numFmtId="0" fontId="53" fillId="0" borderId="1" xfId="81" applyFont="1" applyFill="1" applyBorder="1" applyAlignment="1">
      <alignment vertical="center" wrapText="1"/>
    </xf>
    <xf numFmtId="173" fontId="53" fillId="3" borderId="5" xfId="84" applyNumberFormat="1" applyFont="1" applyFill="1" applyBorder="1" applyAlignment="1">
      <alignment vertical="center" wrapText="1"/>
    </xf>
    <xf numFmtId="0" fontId="53" fillId="0" borderId="5" xfId="81" applyFont="1" applyFill="1" applyBorder="1" applyAlignment="1">
      <alignment horizontal="center" vertical="center" wrapText="1"/>
    </xf>
    <xf numFmtId="3" fontId="56" fillId="0" borderId="5" xfId="81" applyNumberFormat="1" applyFont="1" applyFill="1" applyBorder="1" applyAlignment="1">
      <alignment horizontal="center" vertical="center" wrapText="1"/>
    </xf>
    <xf numFmtId="0" fontId="48" fillId="0" borderId="5" xfId="81" applyFont="1" applyFill="1" applyBorder="1" applyAlignment="1">
      <alignment vertical="center" wrapText="1"/>
    </xf>
    <xf numFmtId="0" fontId="53" fillId="0" borderId="5" xfId="81" applyFont="1" applyFill="1" applyBorder="1" applyAlignment="1">
      <alignment horizontal="left" vertical="center" wrapText="1"/>
    </xf>
    <xf numFmtId="3" fontId="45" fillId="0" borderId="46" xfId="81" applyNumberFormat="1" applyFont="1" applyFill="1" applyBorder="1" applyAlignment="1">
      <alignment horizontal="center" vertical="center" wrapText="1"/>
    </xf>
    <xf numFmtId="3" fontId="42" fillId="0" borderId="1" xfId="81" applyNumberFormat="1" applyFont="1" applyFill="1" applyBorder="1" applyAlignment="1">
      <alignment horizontal="center" vertical="center" wrapText="1"/>
    </xf>
    <xf numFmtId="0" fontId="37" fillId="6" borderId="1" xfId="81" applyFont="1" applyFill="1" applyBorder="1" applyAlignment="1">
      <alignment vertical="center" wrapText="1"/>
    </xf>
    <xf numFmtId="0" fontId="37" fillId="0" borderId="1" xfId="81" applyFont="1" applyFill="1" applyBorder="1" applyAlignment="1">
      <alignment vertical="center" wrapText="1"/>
    </xf>
    <xf numFmtId="173" fontId="47" fillId="3" borderId="1" xfId="84" applyNumberFormat="1" applyFont="1" applyFill="1" applyBorder="1" applyAlignment="1">
      <alignment vertical="center" wrapText="1"/>
    </xf>
    <xf numFmtId="0" fontId="47" fillId="15" borderId="1" xfId="81" applyFont="1" applyFill="1" applyBorder="1" applyAlignment="1">
      <alignment vertical="center" wrapText="1"/>
    </xf>
    <xf numFmtId="0" fontId="37" fillId="0" borderId="1" xfId="81" applyFont="1" applyFill="1" applyBorder="1" applyAlignment="1">
      <alignment horizontal="center" vertical="center" wrapText="1"/>
    </xf>
    <xf numFmtId="0" fontId="37" fillId="0" borderId="31" xfId="81" applyFont="1" applyFill="1" applyBorder="1" applyAlignment="1">
      <alignment vertical="center" wrapText="1"/>
    </xf>
    <xf numFmtId="3" fontId="56" fillId="0" borderId="7" xfId="81" applyNumberFormat="1" applyFont="1" applyFill="1" applyBorder="1" applyAlignment="1">
      <alignment horizontal="center" vertical="center" wrapText="1"/>
    </xf>
    <xf numFmtId="0" fontId="48" fillId="6" borderId="7" xfId="81" applyFont="1" applyFill="1" applyBorder="1" applyAlignment="1">
      <alignment vertical="center" wrapText="1"/>
    </xf>
    <xf numFmtId="0" fontId="48" fillId="0" borderId="7" xfId="81" applyFont="1" applyFill="1" applyBorder="1" applyAlignment="1">
      <alignment vertical="center" wrapText="1"/>
    </xf>
    <xf numFmtId="173" fontId="47" fillId="3" borderId="7" xfId="84" applyNumberFormat="1" applyFont="1" applyFill="1" applyBorder="1" applyAlignment="1">
      <alignment vertical="center" wrapText="1"/>
    </xf>
    <xf numFmtId="0" fontId="47" fillId="0" borderId="7" xfId="81" applyFont="1" applyFill="1" applyBorder="1" applyAlignment="1">
      <alignment vertical="center" wrapText="1"/>
    </xf>
    <xf numFmtId="0" fontId="47" fillId="0" borderId="7" xfId="81" applyFont="1" applyFill="1" applyBorder="1" applyAlignment="1">
      <alignment horizontal="left" vertical="center"/>
    </xf>
    <xf numFmtId="0" fontId="37" fillId="0" borderId="7" xfId="81" applyFont="1" applyFill="1" applyBorder="1" applyAlignment="1">
      <alignment vertical="center" wrapText="1"/>
    </xf>
    <xf numFmtId="0" fontId="37" fillId="0" borderId="10" xfId="81" applyFont="1" applyFill="1" applyBorder="1" applyAlignment="1">
      <alignment vertical="center" wrapText="1"/>
    </xf>
    <xf numFmtId="171" fontId="57" fillId="0" borderId="5" xfId="83" applyFont="1" applyBorder="1"/>
    <xf numFmtId="3" fontId="42" fillId="0" borderId="19" xfId="81" applyNumberFormat="1" applyFont="1" applyFill="1" applyBorder="1" applyAlignment="1">
      <alignment horizontal="center" vertical="center" wrapText="1"/>
    </xf>
    <xf numFmtId="0" fontId="37" fillId="6" borderId="3" xfId="81" applyFont="1" applyFill="1" applyBorder="1" applyAlignment="1">
      <alignment vertical="center" wrapText="1"/>
    </xf>
    <xf numFmtId="173" fontId="53" fillId="3" borderId="3" xfId="84" applyNumberFormat="1" applyFont="1" applyFill="1" applyBorder="1" applyAlignment="1">
      <alignment vertical="center" wrapText="1"/>
    </xf>
    <xf numFmtId="0" fontId="53" fillId="0" borderId="3" xfId="81" applyFont="1" applyFill="1" applyBorder="1" applyAlignment="1">
      <alignment vertical="center" wrapText="1"/>
    </xf>
    <xf numFmtId="0" fontId="37" fillId="0" borderId="8" xfId="81" applyFont="1" applyFill="1" applyBorder="1" applyAlignment="1">
      <alignment vertical="center" wrapText="1"/>
    </xf>
    <xf numFmtId="0" fontId="36" fillId="6" borderId="5" xfId="81" applyFont="1" applyFill="1" applyBorder="1" applyAlignment="1">
      <alignment vertical="center"/>
    </xf>
    <xf numFmtId="3" fontId="45" fillId="0" borderId="1" xfId="81" applyNumberFormat="1" applyFont="1" applyFill="1" applyBorder="1" applyAlignment="1">
      <alignment horizontal="center" vertical="center" wrapText="1"/>
    </xf>
    <xf numFmtId="0" fontId="47" fillId="0" borderId="1" xfId="81" applyFont="1" applyFill="1" applyBorder="1" applyAlignment="1">
      <alignment vertical="center" wrapText="1"/>
    </xf>
    <xf numFmtId="0" fontId="47" fillId="0" borderId="1" xfId="81" applyFont="1" applyFill="1" applyBorder="1" applyAlignment="1">
      <alignment horizontal="center" vertical="center" wrapText="1"/>
    </xf>
    <xf numFmtId="0" fontId="55" fillId="6" borderId="1" xfId="81" applyFont="1" applyFill="1" applyBorder="1" applyAlignment="1">
      <alignment vertical="center"/>
    </xf>
    <xf numFmtId="3" fontId="56" fillId="0" borderId="1" xfId="81" applyNumberFormat="1" applyFont="1" applyFill="1" applyBorder="1" applyAlignment="1">
      <alignment horizontal="center" vertical="center" wrapText="1"/>
    </xf>
    <xf numFmtId="173" fontId="53" fillId="3" borderId="1" xfId="84" applyNumberFormat="1" applyFont="1" applyFill="1" applyBorder="1" applyAlignment="1">
      <alignment vertical="center" wrapText="1"/>
    </xf>
    <xf numFmtId="0" fontId="37" fillId="6" borderId="7" xfId="81" applyFont="1" applyFill="1" applyBorder="1" applyAlignment="1">
      <alignment horizontal="center" vertical="center"/>
    </xf>
    <xf numFmtId="0" fontId="37" fillId="6" borderId="7" xfId="81" applyFont="1" applyFill="1" applyBorder="1" applyAlignment="1">
      <alignment vertical="center" wrapText="1"/>
    </xf>
    <xf numFmtId="173" fontId="58" fillId="3" borderId="7" xfId="84" applyNumberFormat="1" applyFont="1" applyFill="1" applyBorder="1" applyAlignment="1">
      <alignment vertical="center" wrapText="1"/>
    </xf>
    <xf numFmtId="0" fontId="47" fillId="15" borderId="7" xfId="81" applyFont="1" applyFill="1" applyBorder="1" applyAlignment="1">
      <alignment vertical="center" wrapText="1"/>
    </xf>
    <xf numFmtId="0" fontId="37" fillId="0" borderId="7" xfId="81" applyFont="1" applyFill="1" applyBorder="1" applyAlignment="1">
      <alignment horizontal="center" vertical="center" wrapText="1"/>
    </xf>
    <xf numFmtId="0" fontId="36" fillId="6" borderId="7" xfId="81" applyFont="1" applyFill="1" applyBorder="1" applyAlignment="1">
      <alignment vertical="center"/>
    </xf>
    <xf numFmtId="0" fontId="36" fillId="6" borderId="10" xfId="81" applyFont="1" applyFill="1" applyBorder="1" applyAlignment="1">
      <alignment vertical="center"/>
    </xf>
    <xf numFmtId="0" fontId="55" fillId="6" borderId="0" xfId="81" applyFont="1" applyFill="1" applyAlignment="1">
      <alignment horizontal="center" vertical="center"/>
    </xf>
    <xf numFmtId="0" fontId="42" fillId="9" borderId="46" xfId="81" applyFont="1" applyFill="1" applyBorder="1" applyAlignment="1">
      <alignment vertical="center" wrapText="1"/>
    </xf>
    <xf numFmtId="171" fontId="45" fillId="6" borderId="46" xfId="83" applyFont="1" applyFill="1" applyBorder="1" applyAlignment="1">
      <alignment vertical="center"/>
    </xf>
    <xf numFmtId="0" fontId="48" fillId="6" borderId="46" xfId="81" applyFont="1" applyFill="1" applyBorder="1" applyAlignment="1">
      <alignment horizontal="center" vertical="center"/>
    </xf>
    <xf numFmtId="0" fontId="37" fillId="0" borderId="20" xfId="81" applyFont="1" applyFill="1" applyBorder="1" applyAlignment="1">
      <alignment vertical="center" wrapText="1"/>
    </xf>
    <xf numFmtId="173" fontId="37" fillId="0" borderId="20" xfId="84" applyNumberFormat="1" applyFont="1" applyFill="1" applyBorder="1" applyAlignment="1">
      <alignment vertical="center" wrapText="1"/>
    </xf>
    <xf numFmtId="0" fontId="48" fillId="0" borderId="20" xfId="81" applyFont="1" applyFill="1" applyBorder="1" applyAlignment="1">
      <alignment vertical="center" wrapText="1"/>
    </xf>
    <xf numFmtId="0" fontId="37" fillId="0" borderId="20" xfId="81" applyFont="1" applyFill="1" applyBorder="1" applyAlignment="1">
      <alignment horizontal="center" vertical="center" wrapText="1"/>
    </xf>
    <xf numFmtId="0" fontId="36" fillId="6" borderId="20" xfId="81" applyFont="1" applyFill="1" applyBorder="1" applyAlignment="1">
      <alignment vertical="center"/>
    </xf>
    <xf numFmtId="0" fontId="36" fillId="6" borderId="48" xfId="81" applyFont="1" applyFill="1" applyBorder="1" applyAlignment="1">
      <alignment vertical="center"/>
    </xf>
    <xf numFmtId="171" fontId="51" fillId="6" borderId="8" xfId="81" applyNumberFormat="1" applyFont="1" applyFill="1" applyBorder="1" applyAlignment="1">
      <alignment vertical="center"/>
    </xf>
    <xf numFmtId="0" fontId="48" fillId="6" borderId="20" xfId="81" applyFont="1" applyFill="1" applyBorder="1" applyAlignment="1">
      <alignment horizontal="center" vertical="center"/>
    </xf>
    <xf numFmtId="173" fontId="37" fillId="0" borderId="1" xfId="84" applyNumberFormat="1" applyFont="1" applyFill="1" applyBorder="1" applyAlignment="1">
      <alignment vertical="center" wrapText="1"/>
    </xf>
    <xf numFmtId="0" fontId="48" fillId="0" borderId="1" xfId="81" applyFont="1" applyFill="1" applyBorder="1" applyAlignment="1">
      <alignment vertical="center" wrapText="1"/>
    </xf>
    <xf numFmtId="0" fontId="36" fillId="6" borderId="1" xfId="81" applyFont="1" applyFill="1" applyBorder="1" applyAlignment="1">
      <alignment vertical="center"/>
    </xf>
    <xf numFmtId="0" fontId="36" fillId="6" borderId="31" xfId="81" applyFont="1" applyFill="1" applyBorder="1" applyAlignment="1">
      <alignment vertical="center"/>
    </xf>
    <xf numFmtId="0" fontId="48" fillId="6" borderId="7" xfId="81" applyFont="1" applyFill="1" applyBorder="1" applyAlignment="1">
      <alignment horizontal="center" vertical="center"/>
    </xf>
    <xf numFmtId="171" fontId="37" fillId="6" borderId="7" xfId="83" applyFont="1" applyFill="1" applyBorder="1" applyAlignment="1">
      <alignment vertical="center"/>
    </xf>
    <xf numFmtId="0" fontId="36" fillId="6" borderId="7" xfId="81" applyFont="1" applyFill="1" applyBorder="1" applyAlignment="1">
      <alignment horizontal="center" vertical="center"/>
    </xf>
    <xf numFmtId="171" fontId="45" fillId="16" borderId="3" xfId="83" applyFont="1" applyFill="1" applyBorder="1" applyAlignment="1">
      <alignment horizontal="center" vertical="center" wrapText="1"/>
    </xf>
    <xf numFmtId="171" fontId="42" fillId="0" borderId="3" xfId="83" applyFont="1" applyBorder="1" applyAlignment="1">
      <alignment vertical="center" wrapText="1"/>
    </xf>
    <xf numFmtId="173" fontId="58" fillId="0" borderId="5" xfId="84" applyNumberFormat="1" applyFont="1" applyFill="1" applyBorder="1" applyAlignment="1">
      <alignment vertical="center" wrapText="1"/>
    </xf>
    <xf numFmtId="0" fontId="48" fillId="0" borderId="3" xfId="81" applyFont="1" applyFill="1" applyBorder="1" applyAlignment="1">
      <alignment vertical="center" wrapText="1"/>
    </xf>
    <xf numFmtId="171" fontId="2" fillId="0" borderId="5" xfId="83" applyFont="1" applyBorder="1"/>
    <xf numFmtId="0" fontId="58" fillId="0" borderId="5" xfId="81" applyFont="1" applyFill="1" applyBorder="1" applyAlignment="1">
      <alignment vertical="center" wrapText="1"/>
    </xf>
    <xf numFmtId="0" fontId="58" fillId="0" borderId="5" xfId="81" applyFont="1" applyFill="1" applyBorder="1" applyAlignment="1">
      <alignment horizontal="center" vertical="center" wrapText="1"/>
    </xf>
    <xf numFmtId="171" fontId="59" fillId="0" borderId="5" xfId="83" applyFont="1" applyBorder="1"/>
    <xf numFmtId="0" fontId="60" fillId="6" borderId="70" xfId="81" applyFont="1" applyFill="1" applyBorder="1" applyAlignment="1">
      <alignment vertical="center"/>
    </xf>
    <xf numFmtId="0" fontId="61" fillId="6" borderId="70" xfId="81" applyFont="1" applyFill="1" applyBorder="1" applyAlignment="1">
      <alignment vertical="center"/>
    </xf>
    <xf numFmtId="0" fontId="58" fillId="6" borderId="70" xfId="81" applyFont="1" applyFill="1" applyBorder="1" applyAlignment="1">
      <alignment horizontal="center" vertical="center" wrapText="1"/>
    </xf>
    <xf numFmtId="0" fontId="2" fillId="6" borderId="5" xfId="81" applyFont="1" applyFill="1" applyBorder="1" applyAlignment="1">
      <alignment horizontal="center" vertical="center"/>
    </xf>
    <xf numFmtId="173" fontId="48" fillId="0" borderId="19" xfId="84" applyNumberFormat="1" applyFont="1" applyFill="1" applyBorder="1" applyAlignment="1">
      <alignment vertical="center" wrapText="1"/>
    </xf>
    <xf numFmtId="0" fontId="48" fillId="0" borderId="19" xfId="81" applyFont="1" applyFill="1" applyBorder="1" applyAlignment="1">
      <alignment vertical="center" wrapText="1"/>
    </xf>
    <xf numFmtId="0" fontId="37" fillId="0" borderId="46" xfId="81" applyFont="1" applyFill="1" applyBorder="1" applyAlignment="1">
      <alignment horizontal="justify" vertical="center" wrapText="1"/>
    </xf>
    <xf numFmtId="0" fontId="37" fillId="0" borderId="46" xfId="81" applyFont="1" applyFill="1" applyBorder="1" applyAlignment="1">
      <alignment vertical="center" wrapText="1"/>
    </xf>
    <xf numFmtId="173" fontId="48" fillId="0" borderId="5" xfId="84" applyNumberFormat="1" applyFont="1" applyFill="1" applyBorder="1" applyAlignment="1">
      <alignment vertical="center" wrapText="1"/>
    </xf>
    <xf numFmtId="0" fontId="37" fillId="0" borderId="46" xfId="81" applyFont="1" applyFill="1" applyBorder="1" applyAlignment="1">
      <alignment horizontal="center" vertical="center" wrapText="1"/>
    </xf>
    <xf numFmtId="0" fontId="44" fillId="6" borderId="46" xfId="81" applyFont="1" applyFill="1" applyBorder="1" applyAlignment="1">
      <alignment vertical="center" wrapText="1"/>
    </xf>
    <xf numFmtId="0" fontId="44" fillId="6" borderId="56" xfId="81" applyFont="1" applyFill="1" applyBorder="1" applyAlignment="1">
      <alignment vertical="center" wrapText="1"/>
    </xf>
    <xf numFmtId="171" fontId="63" fillId="0" borderId="5" xfId="83" applyFont="1" applyBorder="1"/>
    <xf numFmtId="173" fontId="48" fillId="0" borderId="46" xfId="84" applyNumberFormat="1" applyFont="1" applyFill="1" applyBorder="1" applyAlignment="1">
      <alignment vertical="center" wrapText="1"/>
    </xf>
    <xf numFmtId="0" fontId="48" fillId="0" borderId="46" xfId="81" applyFont="1" applyFill="1" applyBorder="1" applyAlignment="1">
      <alignment vertical="center" wrapText="1"/>
    </xf>
    <xf numFmtId="171" fontId="45" fillId="17" borderId="20" xfId="83" applyFont="1" applyFill="1" applyBorder="1" applyAlignment="1">
      <alignment horizontal="center" vertical="center" wrapText="1"/>
    </xf>
    <xf numFmtId="173" fontId="48" fillId="0" borderId="5" xfId="84" applyNumberFormat="1" applyFont="1" applyFill="1" applyBorder="1" applyAlignment="1">
      <alignment wrapText="1"/>
    </xf>
    <xf numFmtId="173" fontId="48" fillId="6" borderId="70" xfId="84" applyNumberFormat="1" applyFont="1" applyFill="1" applyBorder="1" applyAlignment="1">
      <alignment vertical="center"/>
    </xf>
    <xf numFmtId="171" fontId="36" fillId="6" borderId="0" xfId="81" applyNumberFormat="1" applyFont="1" applyFill="1" applyAlignment="1">
      <alignment vertical="center"/>
    </xf>
    <xf numFmtId="173" fontId="41" fillId="6" borderId="0" xfId="81" applyNumberFormat="1" applyFont="1" applyFill="1" applyAlignment="1">
      <alignment vertical="center"/>
    </xf>
    <xf numFmtId="173" fontId="63" fillId="0" borderId="0" xfId="81" applyNumberFormat="1" applyFont="1" applyFill="1" applyAlignment="1">
      <alignment vertical="center"/>
    </xf>
    <xf numFmtId="173" fontId="41" fillId="6" borderId="0" xfId="81" applyNumberFormat="1" applyFont="1" applyFill="1" applyAlignment="1">
      <alignment horizontal="center" vertical="center"/>
    </xf>
    <xf numFmtId="173" fontId="36" fillId="6" borderId="0" xfId="81" applyNumberFormat="1" applyFont="1" applyFill="1" applyAlignment="1">
      <alignment vertical="center"/>
    </xf>
    <xf numFmtId="171" fontId="36" fillId="3" borderId="0" xfId="81" applyNumberFormat="1" applyFont="1" applyFill="1" applyAlignment="1">
      <alignment vertical="center"/>
    </xf>
    <xf numFmtId="172" fontId="36" fillId="6" borderId="0" xfId="85" applyFont="1" applyFill="1" applyAlignment="1">
      <alignment vertical="center"/>
    </xf>
    <xf numFmtId="171" fontId="36" fillId="6" borderId="0" xfId="81" applyNumberFormat="1" applyFont="1" applyFill="1" applyAlignment="1">
      <alignment horizontal="center" vertical="center"/>
    </xf>
    <xf numFmtId="174" fontId="19" fillId="0" borderId="0" xfId="77" applyNumberFormat="1" applyFont="1" applyFill="1" applyAlignment="1">
      <alignment horizontal="right" vertical="center"/>
    </xf>
    <xf numFmtId="3" fontId="7" fillId="0" borderId="50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9" fontId="10" fillId="0" borderId="53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9" fontId="10" fillId="0" borderId="54" xfId="0" applyNumberFormat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9" fontId="7" fillId="0" borderId="7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center" vertical="center"/>
    </xf>
    <xf numFmtId="9" fontId="10" fillId="0" borderId="5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8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9" fontId="7" fillId="0" borderId="50" xfId="0" applyNumberFormat="1" applyFont="1" applyFill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/>
    </xf>
    <xf numFmtId="166" fontId="7" fillId="0" borderId="46" xfId="0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justify" vertical="center" wrapText="1"/>
    </xf>
    <xf numFmtId="3" fontId="7" fillId="0" borderId="46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9" fontId="10" fillId="0" borderId="57" xfId="0" applyNumberFormat="1" applyFont="1" applyFill="1" applyBorder="1" applyAlignment="1">
      <alignment horizontal="center" vertical="center"/>
    </xf>
    <xf numFmtId="9" fontId="7" fillId="0" borderId="58" xfId="0" applyNumberFormat="1" applyFont="1" applyFill="1" applyBorder="1" applyAlignment="1">
      <alignment horizontal="center" vertical="center"/>
    </xf>
    <xf numFmtId="9" fontId="7" fillId="0" borderId="56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66" fontId="7" fillId="0" borderId="44" xfId="0" applyNumberFormat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justify" vertical="center" wrapText="1"/>
    </xf>
    <xf numFmtId="9" fontId="7" fillId="0" borderId="44" xfId="0" applyNumberFormat="1" applyFont="1" applyFill="1" applyBorder="1" applyAlignment="1">
      <alignment horizontal="center" vertical="center"/>
    </xf>
    <xf numFmtId="9" fontId="7" fillId="0" borderId="43" xfId="0" applyNumberFormat="1" applyFont="1" applyFill="1" applyBorder="1" applyAlignment="1">
      <alignment horizontal="center" vertical="center"/>
    </xf>
    <xf numFmtId="9" fontId="10" fillId="0" borderId="49" xfId="0" applyNumberFormat="1" applyFont="1" applyFill="1" applyBorder="1" applyAlignment="1">
      <alignment horizontal="center" vertical="center"/>
    </xf>
    <xf numFmtId="9" fontId="7" fillId="0" borderId="42" xfId="0" applyNumberFormat="1" applyFont="1" applyFill="1" applyBorder="1" applyAlignment="1">
      <alignment horizontal="center" vertical="center"/>
    </xf>
    <xf numFmtId="9" fontId="7" fillId="0" borderId="45" xfId="0" applyNumberFormat="1" applyFont="1" applyFill="1" applyBorder="1" applyAlignment="1">
      <alignment horizontal="center" vertical="center"/>
    </xf>
    <xf numFmtId="0" fontId="7" fillId="0" borderId="55" xfId="0" quotePrefix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9" fontId="7" fillId="0" borderId="0" xfId="0" applyNumberFormat="1" applyFont="1" applyFill="1" applyAlignment="1">
      <alignment horizontal="center" vertical="center"/>
    </xf>
    <xf numFmtId="9" fontId="8" fillId="0" borderId="38" xfId="0" applyNumberFormat="1" applyFont="1" applyFill="1" applyBorder="1" applyAlignment="1">
      <alignment horizontal="center" vertical="center"/>
    </xf>
    <xf numFmtId="9" fontId="8" fillId="0" borderId="45" xfId="0" applyNumberFormat="1" applyFont="1" applyFill="1" applyBorder="1" applyAlignment="1">
      <alignment horizontal="center" vertical="center"/>
    </xf>
    <xf numFmtId="3" fontId="8" fillId="0" borderId="4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46" xfId="0" applyNumberFormat="1" applyFont="1" applyFill="1" applyBorder="1" applyAlignment="1">
      <alignment horizontal="center" vertical="center"/>
    </xf>
    <xf numFmtId="3" fontId="8" fillId="0" borderId="44" xfId="0" applyNumberFormat="1" applyFont="1" applyFill="1" applyBorder="1" applyAlignment="1">
      <alignment horizontal="center" vertical="center"/>
    </xf>
    <xf numFmtId="9" fontId="8" fillId="0" borderId="44" xfId="0" applyNumberFormat="1" applyFont="1" applyFill="1" applyBorder="1" applyAlignment="1">
      <alignment horizontal="center" vertical="center"/>
    </xf>
    <xf numFmtId="0" fontId="1" fillId="0" borderId="0" xfId="86"/>
    <xf numFmtId="0" fontId="15" fillId="0" borderId="0" xfId="86" applyFont="1" applyAlignment="1">
      <alignment wrapText="1"/>
    </xf>
    <xf numFmtId="0" fontId="17" fillId="0" borderId="59" xfId="86" applyFont="1" applyBorder="1" applyAlignment="1">
      <alignment horizontal="center" vertical="center" wrapText="1"/>
    </xf>
    <xf numFmtId="0" fontId="15" fillId="4" borderId="59" xfId="86" applyFont="1" applyFill="1" applyBorder="1" applyAlignment="1">
      <alignment wrapText="1"/>
    </xf>
    <xf numFmtId="4" fontId="15" fillId="4" borderId="59" xfId="86" applyNumberFormat="1" applyFont="1" applyFill="1" applyBorder="1" applyAlignment="1">
      <alignment horizontal="right" wrapText="1"/>
    </xf>
    <xf numFmtId="0" fontId="15" fillId="4" borderId="59" xfId="86" applyFont="1" applyFill="1" applyBorder="1" applyAlignment="1">
      <alignment horizontal="right" wrapText="1"/>
    </xf>
    <xf numFmtId="0" fontId="15" fillId="19" borderId="59" xfId="86" applyFont="1" applyFill="1" applyBorder="1" applyAlignment="1">
      <alignment wrapText="1"/>
    </xf>
    <xf numFmtId="4" fontId="15" fillId="19" borderId="59" xfId="86" applyNumberFormat="1" applyFont="1" applyFill="1" applyBorder="1" applyAlignment="1">
      <alignment horizontal="right" wrapText="1"/>
    </xf>
    <xf numFmtId="0" fontId="15" fillId="19" borderId="59" xfId="86" applyFont="1" applyFill="1" applyBorder="1" applyAlignment="1">
      <alignment horizontal="right" wrapText="1"/>
    </xf>
    <xf numFmtId="0" fontId="1" fillId="19" borderId="0" xfId="86" applyFill="1"/>
    <xf numFmtId="0" fontId="15" fillId="18" borderId="59" xfId="86" applyFont="1" applyFill="1" applyBorder="1" applyAlignment="1">
      <alignment wrapText="1"/>
    </xf>
    <xf numFmtId="4" fontId="15" fillId="18" borderId="59" xfId="86" applyNumberFormat="1" applyFont="1" applyFill="1" applyBorder="1" applyAlignment="1">
      <alignment horizontal="right" wrapText="1"/>
    </xf>
    <xf numFmtId="0" fontId="15" fillId="18" borderId="59" xfId="86" applyFont="1" applyFill="1" applyBorder="1" applyAlignment="1">
      <alignment horizontal="right" wrapText="1"/>
    </xf>
    <xf numFmtId="0" fontId="1" fillId="18" borderId="0" xfId="86" applyFill="1"/>
    <xf numFmtId="0" fontId="15" fillId="0" borderId="59" xfId="86" applyFont="1" applyFill="1" applyBorder="1" applyAlignment="1">
      <alignment wrapText="1"/>
    </xf>
    <xf numFmtId="4" fontId="15" fillId="0" borderId="59" xfId="86" applyNumberFormat="1" applyFont="1" applyFill="1" applyBorder="1" applyAlignment="1">
      <alignment horizontal="right" wrapText="1"/>
    </xf>
    <xf numFmtId="0" fontId="15" fillId="0" borderId="59" xfId="86" applyFont="1" applyFill="1" applyBorder="1" applyAlignment="1">
      <alignment horizontal="right" wrapText="1"/>
    </xf>
    <xf numFmtId="0" fontId="1" fillId="0" borderId="0" xfId="86" applyFill="1"/>
    <xf numFmtId="0" fontId="15" fillId="20" borderId="59" xfId="86" applyFont="1" applyFill="1" applyBorder="1" applyAlignment="1">
      <alignment wrapText="1"/>
    </xf>
    <xf numFmtId="4" fontId="15" fillId="20" borderId="59" xfId="86" applyNumberFormat="1" applyFont="1" applyFill="1" applyBorder="1" applyAlignment="1">
      <alignment horizontal="right" wrapText="1"/>
    </xf>
    <xf numFmtId="0" fontId="15" fillId="20" borderId="59" xfId="86" applyFont="1" applyFill="1" applyBorder="1" applyAlignment="1">
      <alignment horizontal="right" wrapText="1"/>
    </xf>
    <xf numFmtId="0" fontId="1" fillId="20" borderId="0" xfId="86" applyFill="1"/>
    <xf numFmtId="3" fontId="7" fillId="21" borderId="39" xfId="0" applyNumberFormat="1" applyFont="1" applyFill="1" applyBorder="1" applyAlignment="1">
      <alignment horizontal="center" vertical="center"/>
    </xf>
    <xf numFmtId="0" fontId="7" fillId="21" borderId="38" xfId="0" applyFont="1" applyFill="1" applyBorder="1" applyAlignment="1">
      <alignment horizontal="center" vertical="center" wrapText="1"/>
    </xf>
    <xf numFmtId="0" fontId="7" fillId="21" borderId="39" xfId="0" applyFont="1" applyFill="1" applyBorder="1" applyAlignment="1">
      <alignment horizontal="center" vertical="center" wrapText="1"/>
    </xf>
    <xf numFmtId="166" fontId="7" fillId="21" borderId="39" xfId="0" applyNumberFormat="1" applyFont="1" applyFill="1" applyBorder="1" applyAlignment="1">
      <alignment horizontal="center" vertical="center"/>
    </xf>
    <xf numFmtId="0" fontId="7" fillId="21" borderId="39" xfId="0" applyFont="1" applyFill="1" applyBorder="1"/>
    <xf numFmtId="9" fontId="10" fillId="21" borderId="39" xfId="0" applyNumberFormat="1" applyFont="1" applyFill="1" applyBorder="1" applyAlignment="1">
      <alignment horizontal="center" vertical="center"/>
    </xf>
    <xf numFmtId="9" fontId="7" fillId="21" borderId="39" xfId="0" applyNumberFormat="1" applyFont="1" applyFill="1" applyBorder="1" applyAlignment="1">
      <alignment horizontal="center" vertical="center"/>
    </xf>
    <xf numFmtId="0" fontId="7" fillId="21" borderId="39" xfId="0" applyFont="1" applyFill="1" applyBorder="1" applyAlignment="1">
      <alignment horizontal="center" vertical="center"/>
    </xf>
    <xf numFmtId="9" fontId="7" fillId="21" borderId="40" xfId="0" applyNumberFormat="1" applyFont="1" applyFill="1" applyBorder="1" applyAlignment="1">
      <alignment horizontal="center" vertical="center"/>
    </xf>
    <xf numFmtId="0" fontId="16" fillId="0" borderId="0" xfId="86" applyFont="1" applyAlignment="1">
      <alignment wrapText="1"/>
    </xf>
    <xf numFmtId="0" fontId="15" fillId="0" borderId="0" xfId="86" applyFont="1" applyAlignment="1">
      <alignment horizontal="left" wrapText="1"/>
    </xf>
    <xf numFmtId="173" fontId="51" fillId="6" borderId="26" xfId="81" applyNumberFormat="1" applyFont="1" applyFill="1" applyBorder="1" applyAlignment="1">
      <alignment horizontal="center" vertical="center" wrapText="1"/>
    </xf>
    <xf numFmtId="173" fontId="51" fillId="6" borderId="48" xfId="81" applyNumberFormat="1" applyFont="1" applyFill="1" applyBorder="1" applyAlignment="1">
      <alignment horizontal="center" vertical="center" wrapText="1"/>
    </xf>
    <xf numFmtId="173" fontId="51" fillId="6" borderId="71" xfId="81" applyNumberFormat="1" applyFont="1" applyFill="1" applyBorder="1" applyAlignment="1">
      <alignment horizontal="center" vertical="center" wrapText="1"/>
    </xf>
    <xf numFmtId="171" fontId="45" fillId="16" borderId="1" xfId="83" applyFont="1" applyFill="1" applyBorder="1" applyAlignment="1">
      <alignment horizontal="center" vertical="center" wrapText="1"/>
    </xf>
    <xf numFmtId="171" fontId="45" fillId="16" borderId="20" xfId="83" applyFont="1" applyFill="1" applyBorder="1" applyAlignment="1">
      <alignment horizontal="center" vertical="center" wrapText="1"/>
    </xf>
    <xf numFmtId="171" fontId="45" fillId="16" borderId="70" xfId="83" applyFont="1" applyFill="1" applyBorder="1" applyAlignment="1">
      <alignment horizontal="center" vertical="center" wrapText="1"/>
    </xf>
    <xf numFmtId="171" fontId="42" fillId="0" borderId="1" xfId="83" applyFont="1" applyBorder="1" applyAlignment="1">
      <alignment horizontal="center" vertical="center" wrapText="1"/>
    </xf>
    <xf numFmtId="171" fontId="42" fillId="0" borderId="20" xfId="83" applyFont="1" applyBorder="1" applyAlignment="1">
      <alignment horizontal="center" vertical="center" wrapText="1"/>
    </xf>
    <xf numFmtId="171" fontId="42" fillId="0" borderId="70" xfId="83" applyFont="1" applyBorder="1" applyAlignment="1">
      <alignment horizontal="center" vertical="center" wrapText="1"/>
    </xf>
    <xf numFmtId="0" fontId="37" fillId="6" borderId="2" xfId="81" applyFont="1" applyFill="1" applyBorder="1" applyAlignment="1">
      <alignment horizontal="center" vertical="center" wrapText="1"/>
    </xf>
    <xf numFmtId="0" fontId="37" fillId="6" borderId="58" xfId="81" applyFont="1" applyFill="1" applyBorder="1" applyAlignment="1">
      <alignment horizontal="center" vertical="center" wrapText="1"/>
    </xf>
    <xf numFmtId="0" fontId="37" fillId="6" borderId="4" xfId="81" applyFont="1" applyFill="1" applyBorder="1" applyAlignment="1">
      <alignment horizontal="center" vertical="center" wrapText="1"/>
    </xf>
    <xf numFmtId="0" fontId="37" fillId="6" borderId="6" xfId="81" applyFont="1" applyFill="1" applyBorder="1" applyAlignment="1">
      <alignment horizontal="center" vertical="center" wrapText="1"/>
    </xf>
    <xf numFmtId="12" fontId="42" fillId="0" borderId="3" xfId="82" applyNumberFormat="1" applyFont="1" applyFill="1" applyBorder="1" applyAlignment="1">
      <alignment horizontal="center" vertical="center" wrapText="1"/>
    </xf>
    <xf numFmtId="12" fontId="42" fillId="0" borderId="46" xfId="82" applyNumberFormat="1" applyFont="1" applyFill="1" applyBorder="1" applyAlignment="1">
      <alignment horizontal="center" vertical="center" wrapText="1"/>
    </xf>
    <xf numFmtId="12" fontId="42" fillId="0" borderId="5" xfId="82" applyNumberFormat="1" applyFont="1" applyFill="1" applyBorder="1" applyAlignment="1">
      <alignment horizontal="center" vertical="center" wrapText="1"/>
    </xf>
    <xf numFmtId="12" fontId="42" fillId="0" borderId="7" xfId="82" applyNumberFormat="1" applyFont="1" applyFill="1" applyBorder="1" applyAlignment="1">
      <alignment horizontal="center" vertical="center" wrapText="1"/>
    </xf>
    <xf numFmtId="0" fontId="42" fillId="6" borderId="3" xfId="81" applyFont="1" applyFill="1" applyBorder="1" applyAlignment="1">
      <alignment horizontal="center" vertical="center" wrapText="1"/>
    </xf>
    <xf numFmtId="0" fontId="42" fillId="6" borderId="46" xfId="81" applyFont="1" applyFill="1" applyBorder="1" applyAlignment="1">
      <alignment horizontal="center" vertical="center" wrapText="1"/>
    </xf>
    <xf numFmtId="0" fontId="42" fillId="6" borderId="5" xfId="81" applyFont="1" applyFill="1" applyBorder="1" applyAlignment="1">
      <alignment horizontal="center" vertical="center" wrapText="1"/>
    </xf>
    <xf numFmtId="0" fontId="42" fillId="6" borderId="7" xfId="81" applyFont="1" applyFill="1" applyBorder="1" applyAlignment="1">
      <alignment horizontal="center" vertical="center" wrapText="1"/>
    </xf>
    <xf numFmtId="0" fontId="37" fillId="6" borderId="3" xfId="81" applyFont="1" applyFill="1" applyBorder="1" applyAlignment="1">
      <alignment horizontal="center" vertical="center" wrapText="1"/>
    </xf>
    <xf numFmtId="0" fontId="37" fillId="6" borderId="46" xfId="81" applyFont="1" applyFill="1" applyBorder="1" applyAlignment="1">
      <alignment horizontal="center" vertical="center" wrapText="1"/>
    </xf>
    <xf numFmtId="0" fontId="37" fillId="6" borderId="5" xfId="81" applyFont="1" applyFill="1" applyBorder="1" applyAlignment="1">
      <alignment horizontal="center" vertical="center" wrapText="1"/>
    </xf>
    <xf numFmtId="0" fontId="37" fillId="6" borderId="7" xfId="81" applyFont="1" applyFill="1" applyBorder="1" applyAlignment="1">
      <alignment horizontal="center" vertical="center" wrapText="1"/>
    </xf>
    <xf numFmtId="171" fontId="42" fillId="0" borderId="3" xfId="83" applyFont="1" applyBorder="1" applyAlignment="1">
      <alignment horizontal="center" vertical="center" wrapText="1"/>
    </xf>
    <xf numFmtId="171" fontId="42" fillId="0" borderId="46" xfId="83" applyFont="1" applyBorder="1" applyAlignment="1">
      <alignment horizontal="center" vertical="center" wrapText="1"/>
    </xf>
    <xf numFmtId="171" fontId="42" fillId="0" borderId="5" xfId="83" applyFont="1" applyBorder="1" applyAlignment="1">
      <alignment horizontal="center" vertical="center" wrapText="1"/>
    </xf>
    <xf numFmtId="171" fontId="42" fillId="0" borderId="7" xfId="83" applyFont="1" applyBorder="1" applyAlignment="1">
      <alignment horizontal="center" vertical="center" wrapText="1"/>
    </xf>
    <xf numFmtId="3" fontId="42" fillId="0" borderId="3" xfId="81" applyNumberFormat="1" applyFont="1" applyBorder="1" applyAlignment="1">
      <alignment horizontal="center" vertical="center" wrapText="1"/>
    </xf>
    <xf numFmtId="3" fontId="42" fillId="0" borderId="46" xfId="81" applyNumberFormat="1" applyFont="1" applyBorder="1" applyAlignment="1">
      <alignment horizontal="center" vertical="center" wrapText="1"/>
    </xf>
    <xf numFmtId="3" fontId="42" fillId="0" borderId="5" xfId="81" applyNumberFormat="1" applyFont="1" applyBorder="1" applyAlignment="1">
      <alignment horizontal="center" vertical="center" wrapText="1"/>
    </xf>
    <xf numFmtId="3" fontId="42" fillId="0" borderId="7" xfId="81" applyNumberFormat="1" applyFont="1" applyBorder="1" applyAlignment="1">
      <alignment horizontal="center" vertical="center" wrapText="1"/>
    </xf>
    <xf numFmtId="171" fontId="43" fillId="0" borderId="3" xfId="83" applyFont="1" applyBorder="1" applyAlignment="1">
      <alignment horizontal="center" vertical="center" wrapText="1"/>
    </xf>
    <xf numFmtId="171" fontId="43" fillId="0" borderId="46" xfId="83" applyFont="1" applyBorder="1" applyAlignment="1">
      <alignment horizontal="center" vertical="center" wrapText="1"/>
    </xf>
    <xf numFmtId="171" fontId="43" fillId="0" borderId="5" xfId="83" applyFont="1" applyBorder="1" applyAlignment="1">
      <alignment horizontal="center" vertical="center" wrapText="1"/>
    </xf>
    <xf numFmtId="171" fontId="43" fillId="0" borderId="7" xfId="83" applyFont="1" applyBorder="1" applyAlignment="1">
      <alignment horizontal="center" vertical="center" wrapText="1"/>
    </xf>
    <xf numFmtId="171" fontId="45" fillId="17" borderId="19" xfId="83" applyFont="1" applyFill="1" applyBorder="1" applyAlignment="1">
      <alignment horizontal="center" vertical="center" wrapText="1"/>
    </xf>
    <xf numFmtId="171" fontId="45" fillId="17" borderId="20" xfId="83" applyFont="1" applyFill="1" applyBorder="1" applyAlignment="1">
      <alignment horizontal="center" vertical="center" wrapText="1"/>
    </xf>
    <xf numFmtId="171" fontId="45" fillId="17" borderId="46" xfId="83" applyFont="1" applyFill="1" applyBorder="1" applyAlignment="1">
      <alignment horizontal="center" vertical="center" wrapText="1"/>
    </xf>
    <xf numFmtId="171" fontId="42" fillId="0" borderId="19" xfId="83" applyFont="1" applyBorder="1" applyAlignment="1">
      <alignment horizontal="center" vertical="center" wrapText="1"/>
    </xf>
    <xf numFmtId="173" fontId="62" fillId="0" borderId="2" xfId="81" applyNumberFormat="1" applyFont="1" applyFill="1" applyBorder="1" applyAlignment="1">
      <alignment horizontal="center" vertical="center"/>
    </xf>
    <xf numFmtId="173" fontId="62" fillId="0" borderId="58" xfId="81" applyNumberFormat="1" applyFont="1" applyFill="1" applyBorder="1" applyAlignment="1">
      <alignment horizontal="center" vertical="center"/>
    </xf>
    <xf numFmtId="0" fontId="62" fillId="0" borderId="4" xfId="81" applyFont="1" applyFill="1" applyBorder="1" applyAlignment="1">
      <alignment horizontal="center" vertical="center"/>
    </xf>
    <xf numFmtId="0" fontId="62" fillId="0" borderId="6" xfId="81" applyFont="1" applyFill="1" applyBorder="1" applyAlignment="1">
      <alignment horizontal="center" vertical="center"/>
    </xf>
    <xf numFmtId="173" fontId="51" fillId="6" borderId="26" xfId="81" applyNumberFormat="1" applyFont="1" applyFill="1" applyBorder="1" applyAlignment="1">
      <alignment horizontal="center" vertical="center"/>
    </xf>
    <xf numFmtId="173" fontId="51" fillId="6" borderId="48" xfId="81" applyNumberFormat="1" applyFont="1" applyFill="1" applyBorder="1" applyAlignment="1">
      <alignment horizontal="center" vertical="center"/>
    </xf>
    <xf numFmtId="173" fontId="51" fillId="6" borderId="56" xfId="81" applyNumberFormat="1" applyFont="1" applyFill="1" applyBorder="1" applyAlignment="1">
      <alignment horizontal="center" vertical="center"/>
    </xf>
    <xf numFmtId="173" fontId="51" fillId="6" borderId="31" xfId="81" applyNumberFormat="1" applyFont="1" applyFill="1" applyBorder="1" applyAlignment="1">
      <alignment horizontal="center" vertical="center"/>
    </xf>
    <xf numFmtId="173" fontId="51" fillId="6" borderId="71" xfId="81" applyNumberFormat="1" applyFont="1" applyFill="1" applyBorder="1" applyAlignment="1">
      <alignment horizontal="center" vertical="center"/>
    </xf>
    <xf numFmtId="173" fontId="14" fillId="0" borderId="2" xfId="81" applyNumberFormat="1" applyFont="1" applyFill="1" applyBorder="1" applyAlignment="1">
      <alignment horizontal="center" vertical="center"/>
    </xf>
    <xf numFmtId="0" fontId="14" fillId="0" borderId="4" xfId="81" applyFont="1" applyFill="1" applyBorder="1" applyAlignment="1">
      <alignment horizontal="center" vertical="center"/>
    </xf>
    <xf numFmtId="0" fontId="14" fillId="0" borderId="6" xfId="81" applyFont="1" applyFill="1" applyBorder="1" applyAlignment="1">
      <alignment horizontal="center" vertical="center"/>
    </xf>
    <xf numFmtId="171" fontId="43" fillId="0" borderId="19" xfId="83" applyFont="1" applyFill="1" applyBorder="1" applyAlignment="1">
      <alignment horizontal="center" vertical="center" wrapText="1"/>
    </xf>
    <xf numFmtId="171" fontId="43" fillId="0" borderId="20" xfId="83" applyFont="1" applyFill="1" applyBorder="1" applyAlignment="1">
      <alignment horizontal="center" vertical="center" wrapText="1"/>
    </xf>
    <xf numFmtId="171" fontId="43" fillId="0" borderId="70" xfId="83" applyFont="1" applyFill="1" applyBorder="1" applyAlignment="1">
      <alignment horizontal="center" vertical="center" wrapText="1"/>
    </xf>
    <xf numFmtId="3" fontId="42" fillId="9" borderId="3" xfId="81" applyNumberFormat="1" applyFont="1" applyFill="1" applyBorder="1" applyAlignment="1">
      <alignment horizontal="center" vertical="center" wrapText="1"/>
    </xf>
    <xf numFmtId="3" fontId="42" fillId="9" borderId="5" xfId="81" applyNumberFormat="1" applyFont="1" applyFill="1" applyBorder="1" applyAlignment="1">
      <alignment horizontal="center" vertical="center" wrapText="1"/>
    </xf>
    <xf numFmtId="3" fontId="42" fillId="9" borderId="1" xfId="81" applyNumberFormat="1" applyFont="1" applyFill="1" applyBorder="1" applyAlignment="1">
      <alignment horizontal="center" vertical="center" wrapText="1"/>
    </xf>
    <xf numFmtId="3" fontId="42" fillId="9" borderId="7" xfId="81" applyNumberFormat="1" applyFont="1" applyFill="1" applyBorder="1" applyAlignment="1">
      <alignment horizontal="center" vertical="center" wrapText="1"/>
    </xf>
    <xf numFmtId="171" fontId="45" fillId="0" borderId="3" xfId="83" applyFont="1" applyFill="1" applyBorder="1" applyAlignment="1">
      <alignment horizontal="center" vertical="center" wrapText="1"/>
    </xf>
    <xf numFmtId="171" fontId="45" fillId="0" borderId="5" xfId="83" applyFont="1" applyFill="1" applyBorder="1" applyAlignment="1">
      <alignment horizontal="center" vertical="center" wrapText="1"/>
    </xf>
    <xf numFmtId="171" fontId="45" fillId="0" borderId="1" xfId="83" applyFont="1" applyFill="1" applyBorder="1" applyAlignment="1">
      <alignment horizontal="center" vertical="center" wrapText="1"/>
    </xf>
    <xf numFmtId="171" fontId="45" fillId="0" borderId="7" xfId="83" applyFont="1" applyFill="1" applyBorder="1" applyAlignment="1">
      <alignment horizontal="center" vertical="center" wrapText="1"/>
    </xf>
    <xf numFmtId="173" fontId="36" fillId="0" borderId="25" xfId="81" applyNumberFormat="1" applyFont="1" applyFill="1" applyBorder="1" applyAlignment="1">
      <alignment horizontal="center" vertical="center"/>
    </xf>
    <xf numFmtId="173" fontId="36" fillId="0" borderId="72" xfId="81" applyNumberFormat="1" applyFont="1" applyFill="1" applyBorder="1" applyAlignment="1">
      <alignment horizontal="center" vertical="center"/>
    </xf>
    <xf numFmtId="173" fontId="36" fillId="0" borderId="73" xfId="81" applyNumberFormat="1" applyFont="1" applyFill="1" applyBorder="1" applyAlignment="1">
      <alignment horizontal="center" vertical="center"/>
    </xf>
    <xf numFmtId="3" fontId="42" fillId="9" borderId="19" xfId="81" applyNumberFormat="1" applyFont="1" applyFill="1" applyBorder="1" applyAlignment="1">
      <alignment horizontal="center" vertical="center" wrapText="1"/>
    </xf>
    <xf numFmtId="3" fontId="42" fillId="9" borderId="20" xfId="81" applyNumberFormat="1" applyFont="1" applyFill="1" applyBorder="1" applyAlignment="1">
      <alignment horizontal="center" vertical="center" wrapText="1"/>
    </xf>
    <xf numFmtId="3" fontId="42" fillId="9" borderId="70" xfId="81" applyNumberFormat="1" applyFont="1" applyFill="1" applyBorder="1" applyAlignment="1">
      <alignment horizontal="center" vertical="center" wrapText="1"/>
    </xf>
    <xf numFmtId="171" fontId="45" fillId="0" borderId="19" xfId="83" applyFont="1" applyFill="1" applyBorder="1" applyAlignment="1">
      <alignment horizontal="center" vertical="center" wrapText="1"/>
    </xf>
    <xf numFmtId="171" fontId="45" fillId="0" borderId="20" xfId="83" applyFont="1" applyFill="1" applyBorder="1" applyAlignment="1">
      <alignment horizontal="center" vertical="center" wrapText="1"/>
    </xf>
    <xf numFmtId="171" fontId="45" fillId="0" borderId="70" xfId="83" applyFont="1" applyFill="1" applyBorder="1" applyAlignment="1">
      <alignment horizontal="center" vertical="center" wrapText="1"/>
    </xf>
    <xf numFmtId="171" fontId="45" fillId="17" borderId="70" xfId="83" applyFont="1" applyFill="1" applyBorder="1" applyAlignment="1">
      <alignment horizontal="center" vertical="center" wrapText="1"/>
    </xf>
    <xf numFmtId="0" fontId="37" fillId="6" borderId="19" xfId="81" applyFont="1" applyFill="1" applyBorder="1" applyAlignment="1">
      <alignment horizontal="center" vertical="center" wrapText="1"/>
    </xf>
    <xf numFmtId="0" fontId="37" fillId="6" borderId="20" xfId="81" applyFont="1" applyFill="1" applyBorder="1" applyAlignment="1">
      <alignment horizontal="center" vertical="center" wrapText="1"/>
    </xf>
    <xf numFmtId="0" fontId="37" fillId="6" borderId="70" xfId="81" applyFont="1" applyFill="1" applyBorder="1" applyAlignment="1">
      <alignment horizontal="center" vertical="center" wrapText="1"/>
    </xf>
    <xf numFmtId="0" fontId="42" fillId="9" borderId="1" xfId="81" applyFont="1" applyFill="1" applyBorder="1" applyAlignment="1">
      <alignment horizontal="justify" vertical="center" wrapText="1"/>
    </xf>
    <xf numFmtId="0" fontId="42" fillId="9" borderId="70" xfId="81" applyFont="1" applyFill="1" applyBorder="1" applyAlignment="1">
      <alignment horizontal="justify" vertical="center" wrapText="1"/>
    </xf>
    <xf numFmtId="0" fontId="37" fillId="0" borderId="2" xfId="81" applyFont="1" applyFill="1" applyBorder="1" applyAlignment="1">
      <alignment horizontal="center" vertical="center" wrapText="1"/>
    </xf>
    <xf numFmtId="0" fontId="37" fillId="0" borderId="4" xfId="81" applyFont="1" applyFill="1" applyBorder="1" applyAlignment="1">
      <alignment horizontal="center" vertical="center" wrapText="1"/>
    </xf>
    <xf numFmtId="0" fontId="37" fillId="0" borderId="47" xfId="81" applyFont="1" applyFill="1" applyBorder="1" applyAlignment="1">
      <alignment horizontal="center" vertical="center" wrapText="1"/>
    </xf>
    <xf numFmtId="0" fontId="37" fillId="0" borderId="6" xfId="81" applyFont="1" applyFill="1" applyBorder="1" applyAlignment="1">
      <alignment horizontal="center" vertical="center" wrapText="1"/>
    </xf>
    <xf numFmtId="12" fontId="42" fillId="0" borderId="1" xfId="82" applyNumberFormat="1" applyFont="1" applyFill="1" applyBorder="1" applyAlignment="1">
      <alignment horizontal="center" vertical="center" wrapText="1"/>
    </xf>
    <xf numFmtId="0" fontId="42" fillId="0" borderId="19" xfId="81" applyFont="1" applyFill="1" applyBorder="1" applyAlignment="1">
      <alignment horizontal="center" vertical="center" wrapText="1"/>
    </xf>
    <xf numFmtId="0" fontId="42" fillId="0" borderId="20" xfId="81" applyFont="1" applyFill="1" applyBorder="1" applyAlignment="1">
      <alignment horizontal="center" vertical="center" wrapText="1"/>
    </xf>
    <xf numFmtId="0" fontId="42" fillId="0" borderId="70" xfId="81" applyFont="1" applyFill="1" applyBorder="1" applyAlignment="1">
      <alignment horizontal="center" vertical="center" wrapText="1"/>
    </xf>
    <xf numFmtId="0" fontId="37" fillId="0" borderId="19" xfId="81" applyFont="1" applyFill="1" applyBorder="1" applyAlignment="1">
      <alignment horizontal="center" vertical="center" wrapText="1"/>
    </xf>
    <xf numFmtId="0" fontId="37" fillId="0" borderId="20" xfId="81" applyFont="1" applyFill="1" applyBorder="1" applyAlignment="1">
      <alignment horizontal="center" vertical="center" wrapText="1"/>
    </xf>
    <xf numFmtId="0" fontId="37" fillId="0" borderId="70" xfId="81" applyFont="1" applyFill="1" applyBorder="1" applyAlignment="1">
      <alignment horizontal="center" vertical="center" wrapText="1"/>
    </xf>
    <xf numFmtId="171" fontId="37" fillId="0" borderId="19" xfId="83" applyFont="1" applyFill="1" applyBorder="1" applyAlignment="1">
      <alignment horizontal="center" vertical="center" wrapText="1"/>
    </xf>
    <xf numFmtId="171" fontId="37" fillId="0" borderId="20" xfId="83" applyFont="1" applyFill="1" applyBorder="1" applyAlignment="1">
      <alignment horizontal="center" vertical="center" wrapText="1"/>
    </xf>
    <xf numFmtId="171" fontId="37" fillId="0" borderId="70" xfId="83" applyFont="1" applyFill="1" applyBorder="1" applyAlignment="1">
      <alignment horizontal="center" vertical="center" wrapText="1"/>
    </xf>
    <xf numFmtId="3" fontId="42" fillId="0" borderId="19" xfId="81" applyNumberFormat="1" applyFont="1" applyFill="1" applyBorder="1" applyAlignment="1">
      <alignment horizontal="center" vertical="center" wrapText="1"/>
    </xf>
    <xf numFmtId="3" fontId="42" fillId="0" borderId="20" xfId="81" applyNumberFormat="1" applyFont="1" applyFill="1" applyBorder="1" applyAlignment="1">
      <alignment horizontal="center" vertical="center" wrapText="1"/>
    </xf>
    <xf numFmtId="3" fontId="42" fillId="0" borderId="70" xfId="81" applyNumberFormat="1" applyFont="1" applyFill="1" applyBorder="1" applyAlignment="1">
      <alignment horizontal="center" vertical="center" wrapText="1"/>
    </xf>
    <xf numFmtId="171" fontId="45" fillId="6" borderId="1" xfId="83" applyFont="1" applyFill="1" applyBorder="1" applyAlignment="1">
      <alignment horizontal="center" vertical="center"/>
    </xf>
    <xf numFmtId="171" fontId="45" fillId="6" borderId="70" xfId="83" applyFont="1" applyFill="1" applyBorder="1" applyAlignment="1">
      <alignment horizontal="center" vertical="center"/>
    </xf>
    <xf numFmtId="171" fontId="51" fillId="6" borderId="48" xfId="81" applyNumberFormat="1" applyFont="1" applyFill="1" applyBorder="1" applyAlignment="1">
      <alignment horizontal="center" vertical="center"/>
    </xf>
    <xf numFmtId="171" fontId="51" fillId="6" borderId="71" xfId="81" applyNumberFormat="1" applyFont="1" applyFill="1" applyBorder="1" applyAlignment="1">
      <alignment horizontal="center" vertical="center"/>
    </xf>
    <xf numFmtId="171" fontId="51" fillId="6" borderId="8" xfId="81" applyNumberFormat="1" applyFont="1" applyFill="1" applyBorder="1" applyAlignment="1">
      <alignment horizontal="center" vertical="center"/>
    </xf>
    <xf numFmtId="0" fontId="51" fillId="6" borderId="9" xfId="81" applyFont="1" applyFill="1" applyBorder="1" applyAlignment="1">
      <alignment horizontal="center" vertical="center"/>
    </xf>
    <xf numFmtId="0" fontId="51" fillId="6" borderId="31" xfId="81" applyFont="1" applyFill="1" applyBorder="1" applyAlignment="1">
      <alignment horizontal="center" vertical="center"/>
    </xf>
    <xf numFmtId="0" fontId="51" fillId="6" borderId="10" xfId="81" applyFont="1" applyFill="1" applyBorder="1" applyAlignment="1">
      <alignment horizontal="center" vertical="center"/>
    </xf>
    <xf numFmtId="3" fontId="42" fillId="0" borderId="1" xfId="81" applyNumberFormat="1" applyFont="1" applyBorder="1" applyAlignment="1">
      <alignment horizontal="center" vertical="center" wrapText="1"/>
    </xf>
    <xf numFmtId="171" fontId="43" fillId="0" borderId="1" xfId="83" applyFont="1" applyBorder="1" applyAlignment="1">
      <alignment horizontal="center" vertical="center" wrapText="1"/>
    </xf>
    <xf numFmtId="171" fontId="42" fillId="11" borderId="3" xfId="83" applyFont="1" applyFill="1" applyBorder="1" applyAlignment="1">
      <alignment horizontal="center" vertical="center" wrapText="1"/>
    </xf>
    <xf numFmtId="171" fontId="42" fillId="11" borderId="5" xfId="83" applyFont="1" applyFill="1" applyBorder="1" applyAlignment="1">
      <alignment horizontal="center" vertical="center" wrapText="1"/>
    </xf>
    <xf numFmtId="173" fontId="2" fillId="0" borderId="2" xfId="81" applyNumberFormat="1" applyFont="1" applyFill="1" applyBorder="1" applyAlignment="1">
      <alignment horizontal="center" vertical="center"/>
    </xf>
    <xf numFmtId="0" fontId="2" fillId="0" borderId="4" xfId="81" applyFont="1" applyFill="1" applyBorder="1" applyAlignment="1">
      <alignment horizontal="center" vertical="center"/>
    </xf>
    <xf numFmtId="0" fontId="2" fillId="0" borderId="47" xfId="81" applyFont="1" applyFill="1" applyBorder="1" applyAlignment="1">
      <alignment horizontal="center" vertical="center"/>
    </xf>
    <xf numFmtId="0" fontId="2" fillId="0" borderId="6" xfId="81" applyFont="1" applyFill="1" applyBorder="1" applyAlignment="1">
      <alignment horizontal="center" vertical="center"/>
    </xf>
    <xf numFmtId="171" fontId="51" fillId="6" borderId="31" xfId="81" applyNumberFormat="1" applyFont="1" applyFill="1" applyBorder="1" applyAlignment="1">
      <alignment horizontal="center" vertical="center"/>
    </xf>
    <xf numFmtId="17" fontId="39" fillId="10" borderId="5" xfId="81" applyNumberFormat="1" applyFont="1" applyFill="1" applyBorder="1" applyAlignment="1">
      <alignment horizontal="center" vertical="center" wrapText="1"/>
    </xf>
    <xf numFmtId="0" fontId="39" fillId="10" borderId="1" xfId="81" applyFont="1" applyFill="1" applyBorder="1" applyAlignment="1">
      <alignment horizontal="center" vertical="center" wrapText="1"/>
    </xf>
    <xf numFmtId="0" fontId="39" fillId="10" borderId="20" xfId="81" applyFont="1" applyFill="1" applyBorder="1" applyAlignment="1">
      <alignment horizontal="center" vertical="center" wrapText="1"/>
    </xf>
    <xf numFmtId="0" fontId="39" fillId="10" borderId="50" xfId="81" applyFont="1" applyFill="1" applyBorder="1" applyAlignment="1">
      <alignment horizontal="center" vertical="center" wrapText="1"/>
    </xf>
    <xf numFmtId="0" fontId="39" fillId="10" borderId="68" xfId="81" applyFont="1" applyFill="1" applyBorder="1" applyAlignment="1">
      <alignment horizontal="center" vertical="center" wrapText="1"/>
    </xf>
    <xf numFmtId="0" fontId="39" fillId="10" borderId="5" xfId="81" applyFont="1" applyFill="1" applyBorder="1" applyAlignment="1">
      <alignment horizontal="center" vertical="center" wrapText="1"/>
    </xf>
    <xf numFmtId="0" fontId="38" fillId="0" borderId="69" xfId="81" applyFont="1" applyBorder="1" applyAlignment="1">
      <alignment horizontal="center" vertical="center" wrapText="1"/>
    </xf>
    <xf numFmtId="0" fontId="37" fillId="6" borderId="47" xfId="81" applyFont="1" applyFill="1" applyBorder="1" applyAlignment="1">
      <alignment horizontal="center" vertical="center" wrapText="1"/>
    </xf>
    <xf numFmtId="0" fontId="42" fillId="6" borderId="1" xfId="81" applyFont="1" applyFill="1" applyBorder="1" applyAlignment="1">
      <alignment horizontal="center" vertical="center" wrapText="1"/>
    </xf>
    <xf numFmtId="0" fontId="37" fillId="6" borderId="1" xfId="81" applyFont="1" applyFill="1" applyBorder="1" applyAlignment="1">
      <alignment horizontal="center" vertical="center" wrapText="1"/>
    </xf>
    <xf numFmtId="0" fontId="41" fillId="13" borderId="5" xfId="81" applyFont="1" applyFill="1" applyBorder="1" applyAlignment="1">
      <alignment horizontal="center" vertical="center" wrapText="1"/>
    </xf>
    <xf numFmtId="0" fontId="41" fillId="13" borderId="1" xfId="81" applyFont="1" applyFill="1" applyBorder="1" applyAlignment="1">
      <alignment horizontal="center" vertical="center" wrapText="1"/>
    </xf>
    <xf numFmtId="173" fontId="36" fillId="6" borderId="26" xfId="81" applyNumberFormat="1" applyFont="1" applyFill="1" applyBorder="1" applyAlignment="1">
      <alignment horizontal="center" vertical="center"/>
    </xf>
    <xf numFmtId="173" fontId="36" fillId="6" borderId="48" xfId="81" applyNumberFormat="1" applyFont="1" applyFill="1" applyBorder="1" applyAlignment="1">
      <alignment horizontal="center" vertical="center"/>
    </xf>
    <xf numFmtId="173" fontId="36" fillId="6" borderId="56" xfId="81" applyNumberFormat="1" applyFont="1" applyFill="1" applyBorder="1" applyAlignment="1">
      <alignment horizontal="center" vertical="center"/>
    </xf>
    <xf numFmtId="171" fontId="42" fillId="11" borderId="1" xfId="83" applyFont="1" applyFill="1" applyBorder="1" applyAlignment="1">
      <alignment horizontal="center" vertical="center" wrapText="1"/>
    </xf>
    <xf numFmtId="171" fontId="42" fillId="11" borderId="70" xfId="83" applyFont="1" applyFill="1" applyBorder="1" applyAlignment="1">
      <alignment horizontal="center" vertical="center" wrapText="1"/>
    </xf>
    <xf numFmtId="0" fontId="40" fillId="6" borderId="0" xfId="81" applyFont="1" applyFill="1" applyAlignment="1">
      <alignment horizontal="center" vertical="center"/>
    </xf>
    <xf numFmtId="0" fontId="37" fillId="0" borderId="0" xfId="81" applyFont="1" applyFill="1" applyBorder="1" applyAlignment="1">
      <alignment horizontal="center" vertical="center" wrapText="1"/>
    </xf>
    <xf numFmtId="0" fontId="41" fillId="0" borderId="0" xfId="81" applyFont="1" applyAlignment="1">
      <alignment horizontal="center"/>
    </xf>
    <xf numFmtId="0" fontId="39" fillId="3" borderId="5" xfId="81" applyFont="1" applyFill="1" applyBorder="1" applyAlignment="1">
      <alignment horizontal="center" vertical="center" wrapText="1"/>
    </xf>
    <xf numFmtId="0" fontId="39" fillId="3" borderId="1" xfId="81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/>
    </xf>
    <xf numFmtId="0" fontId="28" fillId="8" borderId="66" xfId="0" applyFont="1" applyFill="1" applyBorder="1" applyAlignment="1">
      <alignment horizontal="center" vertical="center"/>
    </xf>
    <xf numFmtId="0" fontId="28" fillId="8" borderId="14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/>
    </xf>
    <xf numFmtId="0" fontId="23" fillId="0" borderId="5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62" xfId="0" applyFont="1" applyFill="1" applyBorder="1" applyAlignment="1">
      <alignment horizontal="center" vertical="center" wrapText="1"/>
    </xf>
    <xf numFmtId="0" fontId="21" fillId="8" borderId="63" xfId="0" applyFont="1" applyFill="1" applyBorder="1" applyAlignment="1">
      <alignment horizontal="center" vertical="center" wrapText="1"/>
    </xf>
    <xf numFmtId="0" fontId="21" fillId="8" borderId="64" xfId="0" applyFont="1" applyFill="1" applyBorder="1" applyAlignment="1">
      <alignment horizontal="center" vertical="center" wrapText="1"/>
    </xf>
    <xf numFmtId="1" fontId="21" fillId="8" borderId="5" xfId="0" applyNumberFormat="1" applyFont="1" applyFill="1" applyBorder="1" applyAlignment="1">
      <alignment horizontal="center" vertical="center"/>
    </xf>
    <xf numFmtId="3" fontId="21" fillId="8" borderId="9" xfId="0" applyNumberFormat="1" applyFont="1" applyFill="1" applyBorder="1" applyAlignment="1">
      <alignment horizontal="center" vertical="center" wrapText="1"/>
    </xf>
    <xf numFmtId="1" fontId="21" fillId="8" borderId="2" xfId="0" applyNumberFormat="1" applyFont="1" applyFill="1" applyBorder="1" applyAlignment="1">
      <alignment horizontal="center" vertical="center"/>
    </xf>
    <xf numFmtId="1" fontId="21" fillId="8" borderId="3" xfId="0" applyNumberFormat="1" applyFont="1" applyFill="1" applyBorder="1" applyAlignment="1">
      <alignment horizontal="center" vertical="center"/>
    </xf>
    <xf numFmtId="1" fontId="21" fillId="8" borderId="8" xfId="0" applyNumberFormat="1" applyFont="1" applyFill="1" applyBorder="1" applyAlignment="1">
      <alignment horizontal="center" vertical="center"/>
    </xf>
    <xf numFmtId="1" fontId="21" fillId="8" borderId="4" xfId="0" applyNumberFormat="1" applyFont="1" applyFill="1" applyBorder="1" applyAlignment="1">
      <alignment horizontal="center" vertical="center"/>
    </xf>
    <xf numFmtId="1" fontId="21" fillId="8" borderId="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170" fontId="21" fillId="8" borderId="3" xfId="0" applyNumberFormat="1" applyFont="1" applyFill="1" applyBorder="1" applyAlignment="1">
      <alignment horizontal="center" vertical="center"/>
    </xf>
    <xf numFmtId="170" fontId="21" fillId="8" borderId="8" xfId="0" applyNumberFormat="1" applyFont="1" applyFill="1" applyBorder="1" applyAlignment="1">
      <alignment horizontal="center" vertical="center"/>
    </xf>
    <xf numFmtId="170" fontId="21" fillId="0" borderId="60" xfId="0" applyNumberFormat="1" applyFont="1" applyFill="1" applyBorder="1" applyAlignment="1">
      <alignment horizontal="center" vertical="center"/>
    </xf>
    <xf numFmtId="170" fontId="21" fillId="0" borderId="6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1" fontId="21" fillId="8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6" fillId="0" borderId="0" xfId="77" applyFont="1" applyAlignment="1">
      <alignment wrapText="1"/>
    </xf>
    <xf numFmtId="0" fontId="15" fillId="0" borderId="0" xfId="77" applyFont="1" applyAlignment="1">
      <alignment horizontal="left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Millares 2" xfId="82"/>
    <cellStyle name="Moneda" xfId="75" builtinId="4"/>
    <cellStyle name="Moneda [0] 2" xfId="78"/>
    <cellStyle name="Moneda [0] 2 2" xfId="83"/>
    <cellStyle name="Moneda [0] 3" xfId="80"/>
    <cellStyle name="Moneda 2" xfId="85"/>
    <cellStyle name="Moneda 3" xfId="84"/>
    <cellStyle name="Normal" xfId="0" builtinId="0"/>
    <cellStyle name="Normal 2" xfId="77"/>
    <cellStyle name="Normal 2 2" xfId="81"/>
    <cellStyle name="Normal 3" xfId="86"/>
    <cellStyle name="Porcentaje" xfId="76" builtinId="5"/>
    <cellStyle name="Porcentaje 2" xfId="79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57150</xdr:rowOff>
    </xdr:from>
    <xdr:to>
      <xdr:col>5</xdr:col>
      <xdr:colOff>285750</xdr:colOff>
      <xdr:row>6</xdr:row>
      <xdr:rowOff>104775</xdr:rowOff>
    </xdr:to>
    <xdr:pic>
      <xdr:nvPicPr>
        <xdr:cNvPr id="2" name="Imagen 5" descr="escu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523875</xdr:colOff>
      <xdr:row>0</xdr:row>
      <xdr:rowOff>57150</xdr:rowOff>
    </xdr:from>
    <xdr:to>
      <xdr:col>12</xdr:col>
      <xdr:colOff>295275</xdr:colOff>
      <xdr:row>6</xdr:row>
      <xdr:rowOff>104775</xdr:rowOff>
    </xdr:to>
    <xdr:pic>
      <xdr:nvPicPr>
        <xdr:cNvPr id="3" name="Imagen 5" descr="escu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514350</xdr:colOff>
      <xdr:row>0</xdr:row>
      <xdr:rowOff>57150</xdr:rowOff>
    </xdr:from>
    <xdr:to>
      <xdr:col>25</xdr:col>
      <xdr:colOff>285750</xdr:colOff>
      <xdr:row>6</xdr:row>
      <xdr:rowOff>104775</xdr:rowOff>
    </xdr:to>
    <xdr:pic>
      <xdr:nvPicPr>
        <xdr:cNvPr id="4" name="Imagen 5" descr="escu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514350</xdr:colOff>
      <xdr:row>0</xdr:row>
      <xdr:rowOff>57150</xdr:rowOff>
    </xdr:from>
    <xdr:to>
      <xdr:col>42</xdr:col>
      <xdr:colOff>285750</xdr:colOff>
      <xdr:row>6</xdr:row>
      <xdr:rowOff>104775</xdr:rowOff>
    </xdr:to>
    <xdr:pic>
      <xdr:nvPicPr>
        <xdr:cNvPr id="5" name="Imagen 4" descr="escu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1428750</xdr:colOff>
      <xdr:row>0</xdr:row>
      <xdr:rowOff>104775</xdr:rowOff>
    </xdr:from>
    <xdr:to>
      <xdr:col>10</xdr:col>
      <xdr:colOff>2638425</xdr:colOff>
      <xdr:row>6</xdr:row>
      <xdr:rowOff>47625</xdr:rowOff>
    </xdr:to>
    <xdr:pic>
      <xdr:nvPicPr>
        <xdr:cNvPr id="6" name="Imagen 5" descr="membrete oficio-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38" t="25862"/>
        <a:stretch>
          <a:fillRect/>
        </a:stretch>
      </xdr:blipFill>
      <xdr:spPr bwMode="auto">
        <a:xfrm>
          <a:off x="4848225" y="104775"/>
          <a:ext cx="12096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733425</xdr:colOff>
      <xdr:row>1</xdr:row>
      <xdr:rowOff>76200</xdr:rowOff>
    </xdr:from>
    <xdr:to>
      <xdr:col>28</xdr:col>
      <xdr:colOff>96610</xdr:colOff>
      <xdr:row>5</xdr:row>
      <xdr:rowOff>28575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76225"/>
          <a:ext cx="140153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e%20Concejo%20Municipal\INFORME%20CONCEJO%20QIII%202020%20IMEBU\Plan%20de%20acci&#243;n%20y%20P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 Gastos"/>
      <sheetName val="Plan de acción"/>
      <sheetName val="Plan de acción Deisy"/>
      <sheetName val="POAI "/>
      <sheetName val="POAI DEISY"/>
      <sheetName val="POAI DEISY Diapositiv"/>
    </sheetNames>
    <sheetDataSet>
      <sheetData sheetId="0">
        <row r="4">
          <cell r="F4">
            <v>2347639.2689999999</v>
          </cell>
          <cell r="G4">
            <v>1494960.9180000001</v>
          </cell>
        </row>
        <row r="7">
          <cell r="B7">
            <v>1084123341</v>
          </cell>
          <cell r="C7">
            <v>424793126</v>
          </cell>
        </row>
        <row r="8">
          <cell r="F8">
            <v>91076.666666666672</v>
          </cell>
          <cell r="G8">
            <v>58466.666333333334</v>
          </cell>
        </row>
        <row r="9">
          <cell r="F9">
            <v>250000</v>
          </cell>
          <cell r="G9">
            <v>0</v>
          </cell>
        </row>
        <row r="10">
          <cell r="B10">
            <v>1529106397.71</v>
          </cell>
          <cell r="C10">
            <v>510500000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topLeftCell="B1" workbookViewId="0">
      <selection activeCell="P64" sqref="P64:P67"/>
    </sheetView>
  </sheetViews>
  <sheetFormatPr baseColWidth="10" defaultRowHeight="15"/>
  <cols>
    <col min="1" max="1" width="13.25" style="384" bestFit="1" customWidth="1"/>
    <col min="2" max="2" width="14.875" style="384" bestFit="1" customWidth="1"/>
    <col min="3" max="3" width="12.875" style="384" bestFit="1" customWidth="1"/>
    <col min="4" max="4" width="40" style="384" bestFit="1" customWidth="1"/>
    <col min="5" max="5" width="5.75" style="384" bestFit="1" customWidth="1"/>
    <col min="6" max="6" width="14.5" style="384" hidden="1" customWidth="1"/>
    <col min="7" max="7" width="13.875" style="384" hidden="1" customWidth="1"/>
    <col min="8" max="8" width="11.375" style="384" hidden="1" customWidth="1"/>
    <col min="9" max="9" width="13.125" style="384" hidden="1" customWidth="1"/>
    <col min="10" max="10" width="12.375" style="384" hidden="1" customWidth="1"/>
    <col min="11" max="12" width="13.875" style="384" hidden="1" customWidth="1"/>
    <col min="13" max="13" width="17" style="384" bestFit="1" customWidth="1"/>
    <col min="14" max="14" width="13.875" style="384" hidden="1" customWidth="1"/>
    <col min="15" max="15" width="12.375" style="384" hidden="1" customWidth="1"/>
    <col min="16" max="16" width="20.625" style="384" bestFit="1" customWidth="1"/>
    <col min="17" max="17" width="13.875" style="384" hidden="1" customWidth="1"/>
    <col min="18" max="18" width="20.25" style="384" hidden="1" customWidth="1"/>
    <col min="19" max="19" width="23.125" style="384" hidden="1" customWidth="1"/>
    <col min="20" max="20" width="14.625" style="384" hidden="1" customWidth="1"/>
    <col min="21" max="21" width="17.875" style="384" hidden="1" customWidth="1"/>
    <col min="22" max="22" width="13.875" style="384" hidden="1" customWidth="1"/>
    <col min="23" max="23" width="14.75" style="384" hidden="1" customWidth="1"/>
    <col min="24" max="24" width="15" style="384" hidden="1" customWidth="1"/>
    <col min="25" max="26" width="13.875" style="384" hidden="1" customWidth="1"/>
    <col min="27" max="16384" width="11" style="384"/>
  </cols>
  <sheetData>
    <row r="1" spans="1:27">
      <c r="A1" s="416" t="s">
        <v>53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</row>
    <row r="2" spans="1:27">
      <c r="A2" s="415" t="s">
        <v>54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385"/>
    </row>
    <row r="3" spans="1:27">
      <c r="A3" s="415" t="s">
        <v>55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385"/>
    </row>
    <row r="4" spans="1:27">
      <c r="A4" s="415" t="s">
        <v>491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</row>
    <row r="5" spans="1:27">
      <c r="A5" s="415" t="s">
        <v>492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385"/>
    </row>
    <row r="6" spans="1:27">
      <c r="A6" s="415" t="s">
        <v>493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385"/>
    </row>
    <row r="7" spans="1:27" ht="21" customHeight="1">
      <c r="A7" s="386" t="s">
        <v>59</v>
      </c>
      <c r="B7" s="386" t="s">
        <v>60</v>
      </c>
      <c r="C7" s="386" t="s">
        <v>61</v>
      </c>
      <c r="D7" s="386" t="s">
        <v>62</v>
      </c>
      <c r="E7" s="386" t="s">
        <v>63</v>
      </c>
      <c r="F7" s="386" t="s">
        <v>64</v>
      </c>
      <c r="G7" s="386" t="s">
        <v>65</v>
      </c>
      <c r="H7" s="386" t="s">
        <v>66</v>
      </c>
      <c r="I7" s="386" t="s">
        <v>67</v>
      </c>
      <c r="J7" s="386" t="s">
        <v>68</v>
      </c>
      <c r="K7" s="386" t="s">
        <v>69</v>
      </c>
      <c r="L7" s="386" t="s">
        <v>70</v>
      </c>
      <c r="M7" s="386" t="s">
        <v>71</v>
      </c>
      <c r="N7" s="386" t="s">
        <v>72</v>
      </c>
      <c r="O7" s="386" t="s">
        <v>73</v>
      </c>
      <c r="P7" s="386" t="s">
        <v>74</v>
      </c>
      <c r="Q7" s="386" t="s">
        <v>75</v>
      </c>
      <c r="R7" s="386" t="s">
        <v>76</v>
      </c>
      <c r="S7" s="386" t="s">
        <v>77</v>
      </c>
      <c r="T7" s="386" t="s">
        <v>78</v>
      </c>
      <c r="U7" s="386" t="s">
        <v>79</v>
      </c>
      <c r="V7" s="386" t="s">
        <v>80</v>
      </c>
      <c r="W7" s="386" t="s">
        <v>81</v>
      </c>
      <c r="X7" s="386" t="s">
        <v>82</v>
      </c>
      <c r="Y7" s="386" t="s">
        <v>83</v>
      </c>
      <c r="Z7" s="386" t="s">
        <v>84</v>
      </c>
    </row>
    <row r="8" spans="1:27" ht="16.5" customHeight="1">
      <c r="A8" s="387" t="s">
        <v>85</v>
      </c>
      <c r="B8" s="387" t="s">
        <v>86</v>
      </c>
      <c r="C8" s="387" t="s">
        <v>87</v>
      </c>
      <c r="D8" s="387" t="s">
        <v>88</v>
      </c>
      <c r="E8" s="387" t="s">
        <v>85</v>
      </c>
      <c r="F8" s="388">
        <v>4378805187</v>
      </c>
      <c r="G8" s="388">
        <v>1447299007.71</v>
      </c>
      <c r="H8" s="389">
        <v>0</v>
      </c>
      <c r="I8" s="389">
        <v>0</v>
      </c>
      <c r="J8" s="388">
        <v>342005187</v>
      </c>
      <c r="K8" s="388">
        <v>1249015169</v>
      </c>
      <c r="L8" s="388">
        <v>1249015169</v>
      </c>
      <c r="M8" s="388">
        <v>5484099007.71</v>
      </c>
      <c r="N8" s="388">
        <v>3837579134</v>
      </c>
      <c r="O8" s="388">
        <v>553956095</v>
      </c>
      <c r="P8" s="388">
        <v>4391535229</v>
      </c>
      <c r="Q8" s="388">
        <v>1092563778.71</v>
      </c>
      <c r="R8" s="388">
        <v>2817232609</v>
      </c>
      <c r="S8" s="388">
        <v>1243042342</v>
      </c>
      <c r="T8" s="388">
        <v>4060274951</v>
      </c>
      <c r="U8" s="388">
        <v>1423824056.71</v>
      </c>
      <c r="V8" s="388">
        <v>3568547747.3400002</v>
      </c>
      <c r="W8" s="388">
        <v>2195906572.6700001</v>
      </c>
      <c r="X8" s="388">
        <v>343064988.67000002</v>
      </c>
      <c r="Y8" s="388">
        <v>2538971561.3400002</v>
      </c>
      <c r="Z8" s="388">
        <v>1521303389.6600001</v>
      </c>
    </row>
    <row r="9" spans="1:27" s="393" customFormat="1" ht="16.5" customHeight="1">
      <c r="A9" s="390" t="s">
        <v>85</v>
      </c>
      <c r="B9" s="390" t="s">
        <v>89</v>
      </c>
      <c r="C9" s="390" t="s">
        <v>87</v>
      </c>
      <c r="D9" s="390" t="s">
        <v>90</v>
      </c>
      <c r="E9" s="390" t="s">
        <v>85</v>
      </c>
      <c r="F9" s="391">
        <v>2359455786</v>
      </c>
      <c r="G9" s="392">
        <v>0</v>
      </c>
      <c r="H9" s="392">
        <v>0</v>
      </c>
      <c r="I9" s="392">
        <v>0</v>
      </c>
      <c r="J9" s="391">
        <v>11816517</v>
      </c>
      <c r="K9" s="391">
        <v>465119767</v>
      </c>
      <c r="L9" s="391">
        <v>465119767</v>
      </c>
      <c r="M9" s="391">
        <v>2347639269</v>
      </c>
      <c r="N9" s="391">
        <v>1679857827</v>
      </c>
      <c r="O9" s="391">
        <v>238097650</v>
      </c>
      <c r="P9" s="391">
        <v>1917955477</v>
      </c>
      <c r="Q9" s="391">
        <v>429683792</v>
      </c>
      <c r="R9" s="391">
        <v>1672197135</v>
      </c>
      <c r="S9" s="391">
        <v>164498064</v>
      </c>
      <c r="T9" s="391">
        <v>1836695199</v>
      </c>
      <c r="U9" s="391">
        <v>510944070</v>
      </c>
      <c r="V9" s="391">
        <v>1662177082.6700001</v>
      </c>
      <c r="W9" s="391">
        <v>1405025978.6700001</v>
      </c>
      <c r="X9" s="391">
        <v>235574918</v>
      </c>
      <c r="Y9" s="391">
        <v>1640600896.6700001</v>
      </c>
      <c r="Z9" s="391">
        <v>196094302.33000001</v>
      </c>
    </row>
    <row r="10" spans="1:27" s="397" customFormat="1" ht="16.5" customHeight="1">
      <c r="A10" s="394" t="s">
        <v>85</v>
      </c>
      <c r="B10" s="394" t="s">
        <v>91</v>
      </c>
      <c r="C10" s="394" t="s">
        <v>87</v>
      </c>
      <c r="D10" s="394" t="s">
        <v>92</v>
      </c>
      <c r="E10" s="394" t="s">
        <v>85</v>
      </c>
      <c r="F10" s="395">
        <v>1796878165</v>
      </c>
      <c r="G10" s="396">
        <v>0</v>
      </c>
      <c r="H10" s="396">
        <v>0</v>
      </c>
      <c r="I10" s="396">
        <v>0</v>
      </c>
      <c r="J10" s="396">
        <v>0</v>
      </c>
      <c r="K10" s="395">
        <v>200460689</v>
      </c>
      <c r="L10" s="395">
        <v>95946255</v>
      </c>
      <c r="M10" s="395">
        <v>1901392599</v>
      </c>
      <c r="N10" s="395">
        <v>1493900276</v>
      </c>
      <c r="O10" s="395">
        <v>151036555</v>
      </c>
      <c r="P10" s="395">
        <v>1644936831</v>
      </c>
      <c r="Q10" s="395">
        <v>256455768</v>
      </c>
      <c r="R10" s="395">
        <v>1487322012</v>
      </c>
      <c r="S10" s="395">
        <v>151036555</v>
      </c>
      <c r="T10" s="395">
        <v>1638358567</v>
      </c>
      <c r="U10" s="395">
        <v>263034032</v>
      </c>
      <c r="V10" s="395">
        <v>1510012165.6700001</v>
      </c>
      <c r="W10" s="395">
        <v>1274379869.6700001</v>
      </c>
      <c r="X10" s="395">
        <v>214056110</v>
      </c>
      <c r="Y10" s="395">
        <v>1488435979.6700001</v>
      </c>
      <c r="Z10" s="395">
        <v>149922587.33000001</v>
      </c>
    </row>
    <row r="11" spans="1:27" ht="16.5" hidden="1" customHeight="1">
      <c r="A11" s="387" t="s">
        <v>93</v>
      </c>
      <c r="B11" s="387" t="s">
        <v>94</v>
      </c>
      <c r="C11" s="387" t="s">
        <v>87</v>
      </c>
      <c r="D11" s="387" t="s">
        <v>95</v>
      </c>
      <c r="E11" s="387" t="s">
        <v>96</v>
      </c>
      <c r="F11" s="388">
        <v>729770472</v>
      </c>
      <c r="G11" s="389">
        <v>0</v>
      </c>
      <c r="H11" s="389">
        <v>0</v>
      </c>
      <c r="I11" s="389">
        <v>0</v>
      </c>
      <c r="J11" s="389">
        <v>0</v>
      </c>
      <c r="K11" s="389">
        <v>0</v>
      </c>
      <c r="L11" s="388">
        <v>24053851</v>
      </c>
      <c r="M11" s="388">
        <v>705716621</v>
      </c>
      <c r="N11" s="388">
        <v>583805567</v>
      </c>
      <c r="O11" s="388">
        <v>42422958</v>
      </c>
      <c r="P11" s="388">
        <v>626228525</v>
      </c>
      <c r="Q11" s="388">
        <v>79488096</v>
      </c>
      <c r="R11" s="388">
        <v>583805567</v>
      </c>
      <c r="S11" s="388">
        <v>42422958</v>
      </c>
      <c r="T11" s="388">
        <v>626228525</v>
      </c>
      <c r="U11" s="388">
        <v>79488096</v>
      </c>
      <c r="V11" s="388">
        <v>626228525</v>
      </c>
      <c r="W11" s="388">
        <v>583805567</v>
      </c>
      <c r="X11" s="388">
        <v>42422958</v>
      </c>
      <c r="Y11" s="388">
        <v>626228525</v>
      </c>
      <c r="Z11" s="389">
        <v>0</v>
      </c>
    </row>
    <row r="12" spans="1:27" ht="16.5" hidden="1" customHeight="1">
      <c r="A12" s="387" t="s">
        <v>85</v>
      </c>
      <c r="B12" s="387" t="s">
        <v>97</v>
      </c>
      <c r="C12" s="387" t="s">
        <v>87</v>
      </c>
      <c r="D12" s="387" t="s">
        <v>98</v>
      </c>
      <c r="E12" s="387" t="s">
        <v>85</v>
      </c>
      <c r="F12" s="388">
        <v>235541313</v>
      </c>
      <c r="G12" s="389">
        <v>0</v>
      </c>
      <c r="H12" s="389">
        <v>0</v>
      </c>
      <c r="I12" s="389">
        <v>0</v>
      </c>
      <c r="J12" s="389">
        <v>0</v>
      </c>
      <c r="K12" s="388">
        <v>17165179</v>
      </c>
      <c r="L12" s="388">
        <v>12893562</v>
      </c>
      <c r="M12" s="388">
        <v>239812930</v>
      </c>
      <c r="N12" s="388">
        <v>124429632</v>
      </c>
      <c r="O12" s="388">
        <v>74417411</v>
      </c>
      <c r="P12" s="388">
        <v>198847043</v>
      </c>
      <c r="Q12" s="388">
        <v>40965887</v>
      </c>
      <c r="R12" s="388">
        <v>124429632</v>
      </c>
      <c r="S12" s="388">
        <v>74417411</v>
      </c>
      <c r="T12" s="388">
        <v>198847043</v>
      </c>
      <c r="U12" s="388">
        <v>40965887</v>
      </c>
      <c r="V12" s="388">
        <v>198847043</v>
      </c>
      <c r="W12" s="388">
        <v>97683812</v>
      </c>
      <c r="X12" s="388">
        <v>101163231</v>
      </c>
      <c r="Y12" s="388">
        <v>198847043</v>
      </c>
      <c r="Z12" s="389">
        <v>0</v>
      </c>
    </row>
    <row r="13" spans="1:27" ht="16.5" hidden="1" customHeight="1">
      <c r="A13" s="387" t="s">
        <v>99</v>
      </c>
      <c r="B13" s="387" t="s">
        <v>100</v>
      </c>
      <c r="C13" s="387" t="s">
        <v>87</v>
      </c>
      <c r="D13" s="387" t="s">
        <v>101</v>
      </c>
      <c r="E13" s="387" t="s">
        <v>96</v>
      </c>
      <c r="F13" s="388">
        <v>21284971</v>
      </c>
      <c r="G13" s="389">
        <v>0</v>
      </c>
      <c r="H13" s="389">
        <v>0</v>
      </c>
      <c r="I13" s="389">
        <v>0</v>
      </c>
      <c r="J13" s="389">
        <v>0</v>
      </c>
      <c r="K13" s="389">
        <v>0</v>
      </c>
      <c r="L13" s="388">
        <v>685045</v>
      </c>
      <c r="M13" s="388">
        <v>20599926</v>
      </c>
      <c r="N13" s="388">
        <v>18936434</v>
      </c>
      <c r="O13" s="389">
        <v>0</v>
      </c>
      <c r="P13" s="388">
        <v>18936434</v>
      </c>
      <c r="Q13" s="388">
        <v>1663492</v>
      </c>
      <c r="R13" s="388">
        <v>18936434</v>
      </c>
      <c r="S13" s="389">
        <v>0</v>
      </c>
      <c r="T13" s="388">
        <v>18936434</v>
      </c>
      <c r="U13" s="388">
        <v>1663492</v>
      </c>
      <c r="V13" s="388">
        <v>18936434</v>
      </c>
      <c r="W13" s="388">
        <v>18936434</v>
      </c>
      <c r="X13" s="389">
        <v>0</v>
      </c>
      <c r="Y13" s="388">
        <v>18936434</v>
      </c>
      <c r="Z13" s="389">
        <v>0</v>
      </c>
    </row>
    <row r="14" spans="1:27" ht="16.5" hidden="1" customHeight="1">
      <c r="A14" s="387" t="s">
        <v>102</v>
      </c>
      <c r="B14" s="387" t="s">
        <v>103</v>
      </c>
      <c r="C14" s="387" t="s">
        <v>87</v>
      </c>
      <c r="D14" s="387" t="s">
        <v>104</v>
      </c>
      <c r="E14" s="387" t="s">
        <v>96</v>
      </c>
      <c r="F14" s="388">
        <v>4054280</v>
      </c>
      <c r="G14" s="389">
        <v>0</v>
      </c>
      <c r="H14" s="389">
        <v>0</v>
      </c>
      <c r="I14" s="389">
        <v>0</v>
      </c>
      <c r="J14" s="389">
        <v>0</v>
      </c>
      <c r="K14" s="389">
        <v>0</v>
      </c>
      <c r="L14" s="388">
        <v>96423</v>
      </c>
      <c r="M14" s="388">
        <v>3957857</v>
      </c>
      <c r="N14" s="388">
        <v>3299480</v>
      </c>
      <c r="O14" s="388">
        <v>633712</v>
      </c>
      <c r="P14" s="388">
        <v>3933192</v>
      </c>
      <c r="Q14" s="388">
        <v>24665</v>
      </c>
      <c r="R14" s="388">
        <v>3299480</v>
      </c>
      <c r="S14" s="388">
        <v>633712</v>
      </c>
      <c r="T14" s="388">
        <v>3933192</v>
      </c>
      <c r="U14" s="388">
        <v>24665</v>
      </c>
      <c r="V14" s="388">
        <v>3933192</v>
      </c>
      <c r="W14" s="388">
        <v>2055740</v>
      </c>
      <c r="X14" s="388">
        <v>1877452</v>
      </c>
      <c r="Y14" s="388">
        <v>3933192</v>
      </c>
      <c r="Z14" s="389">
        <v>0</v>
      </c>
    </row>
    <row r="15" spans="1:27" ht="16.5" hidden="1" customHeight="1">
      <c r="A15" s="387" t="s">
        <v>105</v>
      </c>
      <c r="B15" s="387" t="s">
        <v>106</v>
      </c>
      <c r="C15" s="387" t="s">
        <v>87</v>
      </c>
      <c r="D15" s="387" t="s">
        <v>107</v>
      </c>
      <c r="E15" s="387" t="s">
        <v>96</v>
      </c>
      <c r="F15" s="388">
        <v>62587951</v>
      </c>
      <c r="G15" s="389">
        <v>0</v>
      </c>
      <c r="H15" s="389">
        <v>0</v>
      </c>
      <c r="I15" s="389">
        <v>0</v>
      </c>
      <c r="J15" s="389">
        <v>0</v>
      </c>
      <c r="K15" s="389">
        <v>0</v>
      </c>
      <c r="L15" s="388">
        <v>2480953</v>
      </c>
      <c r="M15" s="388">
        <v>60106998</v>
      </c>
      <c r="N15" s="388">
        <v>29338721</v>
      </c>
      <c r="O15" s="389">
        <v>0</v>
      </c>
      <c r="P15" s="388">
        <v>29338721</v>
      </c>
      <c r="Q15" s="388">
        <v>30768277</v>
      </c>
      <c r="R15" s="388">
        <v>29338721</v>
      </c>
      <c r="S15" s="389">
        <v>0</v>
      </c>
      <c r="T15" s="388">
        <v>29338721</v>
      </c>
      <c r="U15" s="388">
        <v>30768277</v>
      </c>
      <c r="V15" s="388">
        <v>29338721</v>
      </c>
      <c r="W15" s="388">
        <v>29338721</v>
      </c>
      <c r="X15" s="389">
        <v>0</v>
      </c>
      <c r="Y15" s="388">
        <v>29338721</v>
      </c>
      <c r="Z15" s="389">
        <v>0</v>
      </c>
    </row>
    <row r="16" spans="1:27" ht="16.5" hidden="1" customHeight="1">
      <c r="A16" s="387" t="s">
        <v>108</v>
      </c>
      <c r="B16" s="387" t="s">
        <v>109</v>
      </c>
      <c r="C16" s="387" t="s">
        <v>87</v>
      </c>
      <c r="D16" s="387" t="s">
        <v>110</v>
      </c>
      <c r="E16" s="387" t="s">
        <v>96</v>
      </c>
      <c r="F16" s="388">
        <v>70628761</v>
      </c>
      <c r="G16" s="389">
        <v>0</v>
      </c>
      <c r="H16" s="389">
        <v>0</v>
      </c>
      <c r="I16" s="389">
        <v>0</v>
      </c>
      <c r="J16" s="389">
        <v>0</v>
      </c>
      <c r="K16" s="388">
        <v>152498</v>
      </c>
      <c r="L16" s="388">
        <v>4737882</v>
      </c>
      <c r="M16" s="388">
        <v>66043377</v>
      </c>
      <c r="N16" s="388">
        <v>5563108</v>
      </c>
      <c r="O16" s="388">
        <v>60480269</v>
      </c>
      <c r="P16" s="388">
        <v>66043377</v>
      </c>
      <c r="Q16" s="389">
        <v>0</v>
      </c>
      <c r="R16" s="388">
        <v>5563108</v>
      </c>
      <c r="S16" s="388">
        <v>60480269</v>
      </c>
      <c r="T16" s="388">
        <v>66043377</v>
      </c>
      <c r="U16" s="389">
        <v>0</v>
      </c>
      <c r="V16" s="388">
        <v>66043377</v>
      </c>
      <c r="W16" s="388">
        <v>5563108</v>
      </c>
      <c r="X16" s="388">
        <v>60480269</v>
      </c>
      <c r="Y16" s="388">
        <v>66043377</v>
      </c>
      <c r="Z16" s="389">
        <v>0</v>
      </c>
    </row>
    <row r="17" spans="1:26" ht="16.5" hidden="1" customHeight="1">
      <c r="A17" s="387" t="s">
        <v>111</v>
      </c>
      <c r="B17" s="387" t="s">
        <v>112</v>
      </c>
      <c r="C17" s="387" t="s">
        <v>87</v>
      </c>
      <c r="D17" s="387" t="s">
        <v>113</v>
      </c>
      <c r="E17" s="387" t="s">
        <v>96</v>
      </c>
      <c r="F17" s="388">
        <v>33901807</v>
      </c>
      <c r="G17" s="389">
        <v>0</v>
      </c>
      <c r="H17" s="389">
        <v>0</v>
      </c>
      <c r="I17" s="389">
        <v>0</v>
      </c>
      <c r="J17" s="389">
        <v>0</v>
      </c>
      <c r="K17" s="389">
        <v>0</v>
      </c>
      <c r="L17" s="388">
        <v>1585958</v>
      </c>
      <c r="M17" s="388">
        <v>32315849</v>
      </c>
      <c r="N17" s="388">
        <v>26688573</v>
      </c>
      <c r="O17" s="388">
        <v>5440974</v>
      </c>
      <c r="P17" s="388">
        <v>32129547</v>
      </c>
      <c r="Q17" s="388">
        <v>186302</v>
      </c>
      <c r="R17" s="388">
        <v>26688573</v>
      </c>
      <c r="S17" s="388">
        <v>5440974</v>
      </c>
      <c r="T17" s="388">
        <v>32129547</v>
      </c>
      <c r="U17" s="388">
        <v>186302</v>
      </c>
      <c r="V17" s="388">
        <v>32129547</v>
      </c>
      <c r="W17" s="388">
        <v>16308496</v>
      </c>
      <c r="X17" s="388">
        <v>15821051</v>
      </c>
      <c r="Y17" s="388">
        <v>32129547</v>
      </c>
      <c r="Z17" s="389">
        <v>0</v>
      </c>
    </row>
    <row r="18" spans="1:26" ht="16.5" hidden="1" customHeight="1">
      <c r="A18" s="387" t="s">
        <v>114</v>
      </c>
      <c r="B18" s="387" t="s">
        <v>115</v>
      </c>
      <c r="C18" s="387" t="s">
        <v>87</v>
      </c>
      <c r="D18" s="387" t="s">
        <v>116</v>
      </c>
      <c r="E18" s="387" t="s">
        <v>96</v>
      </c>
      <c r="F18" s="388">
        <v>33901807</v>
      </c>
      <c r="G18" s="389">
        <v>0</v>
      </c>
      <c r="H18" s="389">
        <v>0</v>
      </c>
      <c r="I18" s="389">
        <v>0</v>
      </c>
      <c r="J18" s="389">
        <v>0</v>
      </c>
      <c r="K18" s="388">
        <v>16802699</v>
      </c>
      <c r="L18" s="388">
        <v>2580188</v>
      </c>
      <c r="M18" s="388">
        <v>48124318</v>
      </c>
      <c r="N18" s="388">
        <v>39938711</v>
      </c>
      <c r="O18" s="388">
        <v>7862456</v>
      </c>
      <c r="P18" s="388">
        <v>47801167</v>
      </c>
      <c r="Q18" s="388">
        <v>323151</v>
      </c>
      <c r="R18" s="388">
        <v>39938711</v>
      </c>
      <c r="S18" s="388">
        <v>7862456</v>
      </c>
      <c r="T18" s="388">
        <v>47801167</v>
      </c>
      <c r="U18" s="388">
        <v>323151</v>
      </c>
      <c r="V18" s="388">
        <v>47801167</v>
      </c>
      <c r="W18" s="388">
        <v>24816708</v>
      </c>
      <c r="X18" s="388">
        <v>22984459</v>
      </c>
      <c r="Y18" s="388">
        <v>47801167</v>
      </c>
      <c r="Z18" s="389">
        <v>0</v>
      </c>
    </row>
    <row r="19" spans="1:26" ht="16.5" hidden="1" customHeight="1">
      <c r="A19" s="387" t="s">
        <v>117</v>
      </c>
      <c r="B19" s="387" t="s">
        <v>118</v>
      </c>
      <c r="C19" s="387" t="s">
        <v>87</v>
      </c>
      <c r="D19" s="387" t="s">
        <v>119</v>
      </c>
      <c r="E19" s="387" t="s">
        <v>120</v>
      </c>
      <c r="F19" s="388">
        <v>9181736</v>
      </c>
      <c r="G19" s="389">
        <v>0</v>
      </c>
      <c r="H19" s="389">
        <v>0</v>
      </c>
      <c r="I19" s="389">
        <v>0</v>
      </c>
      <c r="J19" s="389">
        <v>0</v>
      </c>
      <c r="K19" s="388">
        <v>209982</v>
      </c>
      <c r="L19" s="388">
        <v>727113</v>
      </c>
      <c r="M19" s="388">
        <v>8664605</v>
      </c>
      <c r="N19" s="388">
        <v>664605</v>
      </c>
      <c r="O19" s="389">
        <v>0</v>
      </c>
      <c r="P19" s="388">
        <v>664605</v>
      </c>
      <c r="Q19" s="388">
        <v>8000000</v>
      </c>
      <c r="R19" s="388">
        <v>664605</v>
      </c>
      <c r="S19" s="389">
        <v>0</v>
      </c>
      <c r="T19" s="388">
        <v>664605</v>
      </c>
      <c r="U19" s="388">
        <v>8000000</v>
      </c>
      <c r="V19" s="388">
        <v>664605</v>
      </c>
      <c r="W19" s="388">
        <v>664605</v>
      </c>
      <c r="X19" s="389">
        <v>0</v>
      </c>
      <c r="Y19" s="388">
        <v>664605</v>
      </c>
      <c r="Z19" s="389">
        <v>0</v>
      </c>
    </row>
    <row r="20" spans="1:26" ht="16.5" hidden="1" customHeight="1">
      <c r="A20" s="387" t="s">
        <v>85</v>
      </c>
      <c r="B20" s="387" t="s">
        <v>121</v>
      </c>
      <c r="C20" s="387" t="s">
        <v>87</v>
      </c>
      <c r="D20" s="387" t="s">
        <v>122</v>
      </c>
      <c r="E20" s="387" t="s">
        <v>85</v>
      </c>
      <c r="F20" s="389">
        <v>0</v>
      </c>
      <c r="G20" s="389">
        <v>0</v>
      </c>
      <c r="H20" s="389">
        <v>0</v>
      </c>
      <c r="I20" s="389">
        <v>0</v>
      </c>
      <c r="J20" s="389">
        <v>0</v>
      </c>
      <c r="K20" s="388">
        <v>16144447</v>
      </c>
      <c r="L20" s="389">
        <v>0</v>
      </c>
      <c r="M20" s="388">
        <v>16144447</v>
      </c>
      <c r="N20" s="388">
        <v>16144280</v>
      </c>
      <c r="O20" s="389">
        <v>0</v>
      </c>
      <c r="P20" s="388">
        <v>16144280</v>
      </c>
      <c r="Q20" s="389">
        <v>167</v>
      </c>
      <c r="R20" s="388">
        <v>16144280</v>
      </c>
      <c r="S20" s="389">
        <v>0</v>
      </c>
      <c r="T20" s="388">
        <v>16144280</v>
      </c>
      <c r="U20" s="389">
        <v>167</v>
      </c>
      <c r="V20" s="388">
        <v>16144280</v>
      </c>
      <c r="W20" s="388">
        <v>16144280</v>
      </c>
      <c r="X20" s="389">
        <v>0</v>
      </c>
      <c r="Y20" s="388">
        <v>16144280</v>
      </c>
      <c r="Z20" s="389">
        <v>0</v>
      </c>
    </row>
    <row r="21" spans="1:26" ht="16.5" hidden="1" customHeight="1">
      <c r="A21" s="387" t="s">
        <v>123</v>
      </c>
      <c r="B21" s="387" t="s">
        <v>124</v>
      </c>
      <c r="C21" s="387" t="s">
        <v>87</v>
      </c>
      <c r="D21" s="387" t="s">
        <v>125</v>
      </c>
      <c r="E21" s="387" t="s">
        <v>96</v>
      </c>
      <c r="F21" s="389">
        <v>0</v>
      </c>
      <c r="G21" s="389">
        <v>0</v>
      </c>
      <c r="H21" s="389">
        <v>0</v>
      </c>
      <c r="I21" s="389">
        <v>0</v>
      </c>
      <c r="J21" s="389">
        <v>0</v>
      </c>
      <c r="K21" s="388">
        <v>16144447</v>
      </c>
      <c r="L21" s="389">
        <v>0</v>
      </c>
      <c r="M21" s="388">
        <v>16144447</v>
      </c>
      <c r="N21" s="388">
        <v>16144280</v>
      </c>
      <c r="O21" s="389">
        <v>0</v>
      </c>
      <c r="P21" s="388">
        <v>16144280</v>
      </c>
      <c r="Q21" s="389">
        <v>167</v>
      </c>
      <c r="R21" s="388">
        <v>16144280</v>
      </c>
      <c r="S21" s="389">
        <v>0</v>
      </c>
      <c r="T21" s="388">
        <v>16144280</v>
      </c>
      <c r="U21" s="389">
        <v>167</v>
      </c>
      <c r="V21" s="388">
        <v>16144280</v>
      </c>
      <c r="W21" s="388">
        <v>16144280</v>
      </c>
      <c r="X21" s="389">
        <v>0</v>
      </c>
      <c r="Y21" s="388">
        <v>16144280</v>
      </c>
      <c r="Z21" s="389">
        <v>0</v>
      </c>
    </row>
    <row r="22" spans="1:26" ht="16.5" hidden="1" customHeight="1">
      <c r="A22" s="387" t="s">
        <v>85</v>
      </c>
      <c r="B22" s="387" t="s">
        <v>126</v>
      </c>
      <c r="C22" s="387" t="s">
        <v>87</v>
      </c>
      <c r="D22" s="387" t="s">
        <v>127</v>
      </c>
      <c r="E22" s="387" t="s">
        <v>85</v>
      </c>
      <c r="F22" s="388">
        <v>469200000</v>
      </c>
      <c r="G22" s="389">
        <v>0</v>
      </c>
      <c r="H22" s="389">
        <v>0</v>
      </c>
      <c r="I22" s="389">
        <v>0</v>
      </c>
      <c r="J22" s="389">
        <v>0</v>
      </c>
      <c r="K22" s="388">
        <v>135499400</v>
      </c>
      <c r="L22" s="389">
        <v>0</v>
      </c>
      <c r="M22" s="388">
        <v>604699400</v>
      </c>
      <c r="N22" s="388">
        <v>564699400</v>
      </c>
      <c r="O22" s="388">
        <v>12620000</v>
      </c>
      <c r="P22" s="388">
        <v>577319400</v>
      </c>
      <c r="Q22" s="388">
        <v>27380000</v>
      </c>
      <c r="R22" s="388">
        <v>564699400</v>
      </c>
      <c r="S22" s="388">
        <v>12620000</v>
      </c>
      <c r="T22" s="388">
        <v>577319400</v>
      </c>
      <c r="U22" s="388">
        <v>27380000</v>
      </c>
      <c r="V22" s="388">
        <v>453316065.67000002</v>
      </c>
      <c r="W22" s="388">
        <v>404392732.67000002</v>
      </c>
      <c r="X22" s="388">
        <v>48923333</v>
      </c>
      <c r="Y22" s="388">
        <v>453316065.67000002</v>
      </c>
      <c r="Z22" s="388">
        <v>124003334.33</v>
      </c>
    </row>
    <row r="23" spans="1:26" ht="16.5" hidden="1" customHeight="1">
      <c r="A23" s="387" t="s">
        <v>128</v>
      </c>
      <c r="B23" s="387" t="s">
        <v>129</v>
      </c>
      <c r="C23" s="387" t="s">
        <v>87</v>
      </c>
      <c r="D23" s="387" t="s">
        <v>130</v>
      </c>
      <c r="E23" s="387" t="s">
        <v>96</v>
      </c>
      <c r="F23" s="388">
        <v>469200000</v>
      </c>
      <c r="G23" s="389">
        <v>0</v>
      </c>
      <c r="H23" s="389">
        <v>0</v>
      </c>
      <c r="I23" s="389">
        <v>0</v>
      </c>
      <c r="J23" s="389">
        <v>0</v>
      </c>
      <c r="K23" s="388">
        <v>135499400</v>
      </c>
      <c r="L23" s="389">
        <v>0</v>
      </c>
      <c r="M23" s="388">
        <v>604699400</v>
      </c>
      <c r="N23" s="388">
        <v>564699400</v>
      </c>
      <c r="O23" s="388">
        <v>12620000</v>
      </c>
      <c r="P23" s="388">
        <v>577319400</v>
      </c>
      <c r="Q23" s="388">
        <v>27380000</v>
      </c>
      <c r="R23" s="388">
        <v>564699400</v>
      </c>
      <c r="S23" s="388">
        <v>12620000</v>
      </c>
      <c r="T23" s="388">
        <v>577319400</v>
      </c>
      <c r="U23" s="388">
        <v>27380000</v>
      </c>
      <c r="V23" s="388">
        <v>453316065.67000002</v>
      </c>
      <c r="W23" s="388">
        <v>404392732.67000002</v>
      </c>
      <c r="X23" s="388">
        <v>48923333</v>
      </c>
      <c r="Y23" s="388">
        <v>453316065.67000002</v>
      </c>
      <c r="Z23" s="388">
        <v>124003334.33</v>
      </c>
    </row>
    <row r="24" spans="1:26" s="401" customFormat="1" ht="16.5" hidden="1" customHeight="1">
      <c r="A24" s="398" t="s">
        <v>85</v>
      </c>
      <c r="B24" s="398" t="s">
        <v>131</v>
      </c>
      <c r="C24" s="398" t="s">
        <v>87</v>
      </c>
      <c r="D24" s="398" t="s">
        <v>132</v>
      </c>
      <c r="E24" s="398" t="s">
        <v>85</v>
      </c>
      <c r="F24" s="399">
        <v>154734772</v>
      </c>
      <c r="G24" s="400">
        <v>0</v>
      </c>
      <c r="H24" s="400">
        <v>0</v>
      </c>
      <c r="I24" s="400">
        <v>0</v>
      </c>
      <c r="J24" s="400">
        <v>0</v>
      </c>
      <c r="K24" s="399">
        <v>11647433</v>
      </c>
      <c r="L24" s="399">
        <v>27571071</v>
      </c>
      <c r="M24" s="399">
        <v>138811134</v>
      </c>
      <c r="N24" s="399">
        <v>100270748</v>
      </c>
      <c r="O24" s="399">
        <v>11519585</v>
      </c>
      <c r="P24" s="399">
        <v>111790333</v>
      </c>
      <c r="Q24" s="399">
        <v>27020801</v>
      </c>
      <c r="R24" s="399">
        <v>100270748</v>
      </c>
      <c r="S24" s="399">
        <v>11519585</v>
      </c>
      <c r="T24" s="399">
        <v>111790333</v>
      </c>
      <c r="U24" s="399">
        <v>27020801</v>
      </c>
      <c r="V24" s="399">
        <v>111790333</v>
      </c>
      <c r="W24" s="399">
        <v>90252461</v>
      </c>
      <c r="X24" s="399">
        <v>10018287</v>
      </c>
      <c r="Y24" s="399">
        <v>100270748</v>
      </c>
      <c r="Z24" s="399">
        <v>11519585</v>
      </c>
    </row>
    <row r="25" spans="1:26" ht="16.5" hidden="1" customHeight="1">
      <c r="A25" s="387" t="s">
        <v>133</v>
      </c>
      <c r="B25" s="387" t="s">
        <v>134</v>
      </c>
      <c r="C25" s="387" t="s">
        <v>87</v>
      </c>
      <c r="D25" s="387" t="s">
        <v>135</v>
      </c>
      <c r="E25" s="387" t="s">
        <v>96</v>
      </c>
      <c r="F25" s="388">
        <v>58838452</v>
      </c>
      <c r="G25" s="389">
        <v>0</v>
      </c>
      <c r="H25" s="389">
        <v>0</v>
      </c>
      <c r="I25" s="389">
        <v>0</v>
      </c>
      <c r="J25" s="389">
        <v>0</v>
      </c>
      <c r="K25" s="389">
        <v>0</v>
      </c>
      <c r="L25" s="388">
        <v>456987</v>
      </c>
      <c r="M25" s="388">
        <v>58381465</v>
      </c>
      <c r="N25" s="388">
        <v>47143153</v>
      </c>
      <c r="O25" s="388">
        <v>4747306</v>
      </c>
      <c r="P25" s="388">
        <v>51890459</v>
      </c>
      <c r="Q25" s="388">
        <v>6491006</v>
      </c>
      <c r="R25" s="388">
        <v>47143153</v>
      </c>
      <c r="S25" s="388">
        <v>4747306</v>
      </c>
      <c r="T25" s="388">
        <v>51890459</v>
      </c>
      <c r="U25" s="388">
        <v>6491006</v>
      </c>
      <c r="V25" s="388">
        <v>51890459</v>
      </c>
      <c r="W25" s="388">
        <v>42395946</v>
      </c>
      <c r="X25" s="388">
        <v>4747207</v>
      </c>
      <c r="Y25" s="388">
        <v>47143153</v>
      </c>
      <c r="Z25" s="388">
        <v>4747306</v>
      </c>
    </row>
    <row r="26" spans="1:26" ht="16.5" hidden="1" customHeight="1">
      <c r="A26" s="387" t="s">
        <v>136</v>
      </c>
      <c r="B26" s="387" t="s">
        <v>137</v>
      </c>
      <c r="C26" s="387" t="s">
        <v>87</v>
      </c>
      <c r="D26" s="387" t="s">
        <v>138</v>
      </c>
      <c r="E26" s="387" t="s">
        <v>96</v>
      </c>
      <c r="F26" s="388">
        <v>51640441</v>
      </c>
      <c r="G26" s="389">
        <v>0</v>
      </c>
      <c r="H26" s="389">
        <v>0</v>
      </c>
      <c r="I26" s="389">
        <v>0</v>
      </c>
      <c r="J26" s="389">
        <v>0</v>
      </c>
      <c r="K26" s="388">
        <v>5911309</v>
      </c>
      <c r="L26" s="388">
        <v>19096242</v>
      </c>
      <c r="M26" s="388">
        <v>38455508</v>
      </c>
      <c r="N26" s="388">
        <v>25983095</v>
      </c>
      <c r="O26" s="388">
        <v>2792379</v>
      </c>
      <c r="P26" s="388">
        <v>28775474</v>
      </c>
      <c r="Q26" s="388">
        <v>9680034</v>
      </c>
      <c r="R26" s="388">
        <v>25983095</v>
      </c>
      <c r="S26" s="388">
        <v>2792379</v>
      </c>
      <c r="T26" s="388">
        <v>28775474</v>
      </c>
      <c r="U26" s="388">
        <v>9680034</v>
      </c>
      <c r="V26" s="388">
        <v>28775474</v>
      </c>
      <c r="W26" s="388">
        <v>23190815</v>
      </c>
      <c r="X26" s="388">
        <v>2792280</v>
      </c>
      <c r="Y26" s="388">
        <v>25983095</v>
      </c>
      <c r="Z26" s="388">
        <v>2792379</v>
      </c>
    </row>
    <row r="27" spans="1:26" ht="16.5" hidden="1" customHeight="1">
      <c r="A27" s="387" t="s">
        <v>139</v>
      </c>
      <c r="B27" s="387" t="s">
        <v>140</v>
      </c>
      <c r="C27" s="387" t="s">
        <v>87</v>
      </c>
      <c r="D27" s="387" t="s">
        <v>141</v>
      </c>
      <c r="E27" s="387" t="s">
        <v>96</v>
      </c>
      <c r="F27" s="388">
        <v>38254400</v>
      </c>
      <c r="G27" s="389">
        <v>0</v>
      </c>
      <c r="H27" s="389">
        <v>0</v>
      </c>
      <c r="I27" s="389">
        <v>0</v>
      </c>
      <c r="J27" s="389">
        <v>0</v>
      </c>
      <c r="K27" s="389">
        <v>0</v>
      </c>
      <c r="L27" s="388">
        <v>2280239</v>
      </c>
      <c r="M27" s="388">
        <v>35974161</v>
      </c>
      <c r="N27" s="388">
        <v>27144500</v>
      </c>
      <c r="O27" s="388">
        <v>3979900</v>
      </c>
      <c r="P27" s="388">
        <v>31124400</v>
      </c>
      <c r="Q27" s="388">
        <v>4849761</v>
      </c>
      <c r="R27" s="388">
        <v>27144500</v>
      </c>
      <c r="S27" s="388">
        <v>3979900</v>
      </c>
      <c r="T27" s="388">
        <v>31124400</v>
      </c>
      <c r="U27" s="388">
        <v>4849761</v>
      </c>
      <c r="V27" s="388">
        <v>31124400</v>
      </c>
      <c r="W27" s="388">
        <v>24665700</v>
      </c>
      <c r="X27" s="388">
        <v>2478800</v>
      </c>
      <c r="Y27" s="388">
        <v>27144500</v>
      </c>
      <c r="Z27" s="388">
        <v>3979900</v>
      </c>
    </row>
    <row r="28" spans="1:26" ht="16.5" hidden="1" customHeight="1">
      <c r="A28" s="387" t="s">
        <v>142</v>
      </c>
      <c r="B28" s="387" t="s">
        <v>143</v>
      </c>
      <c r="C28" s="387" t="s">
        <v>87</v>
      </c>
      <c r="D28" s="387" t="s">
        <v>144</v>
      </c>
      <c r="E28" s="387" t="s">
        <v>96</v>
      </c>
      <c r="F28" s="388">
        <v>6001479</v>
      </c>
      <c r="G28" s="389">
        <v>0</v>
      </c>
      <c r="H28" s="389">
        <v>0</v>
      </c>
      <c r="I28" s="389">
        <v>0</v>
      </c>
      <c r="J28" s="389">
        <v>0</v>
      </c>
      <c r="K28" s="388">
        <v>5736124</v>
      </c>
      <c r="L28" s="388">
        <v>5737603</v>
      </c>
      <c r="M28" s="388">
        <v>6000000</v>
      </c>
      <c r="N28" s="389">
        <v>0</v>
      </c>
      <c r="O28" s="389">
        <v>0</v>
      </c>
      <c r="P28" s="389">
        <v>0</v>
      </c>
      <c r="Q28" s="388">
        <v>6000000</v>
      </c>
      <c r="R28" s="389">
        <v>0</v>
      </c>
      <c r="S28" s="389">
        <v>0</v>
      </c>
      <c r="T28" s="389">
        <v>0</v>
      </c>
      <c r="U28" s="388">
        <v>6000000</v>
      </c>
      <c r="V28" s="389">
        <v>0</v>
      </c>
      <c r="W28" s="389">
        <v>0</v>
      </c>
      <c r="X28" s="389">
        <v>0</v>
      </c>
      <c r="Y28" s="389">
        <v>0</v>
      </c>
      <c r="Z28" s="389">
        <v>0</v>
      </c>
    </row>
    <row r="29" spans="1:26" ht="16.5" hidden="1" customHeight="1">
      <c r="A29" s="387" t="s">
        <v>85</v>
      </c>
      <c r="B29" s="387" t="s">
        <v>145</v>
      </c>
      <c r="C29" s="387" t="s">
        <v>87</v>
      </c>
      <c r="D29" s="387" t="s">
        <v>146</v>
      </c>
      <c r="E29" s="387" t="s">
        <v>85</v>
      </c>
      <c r="F29" s="388">
        <v>28692400</v>
      </c>
      <c r="G29" s="389">
        <v>0</v>
      </c>
      <c r="H29" s="389">
        <v>0</v>
      </c>
      <c r="I29" s="389">
        <v>0</v>
      </c>
      <c r="J29" s="389">
        <v>0</v>
      </c>
      <c r="K29" s="389">
        <v>0</v>
      </c>
      <c r="L29" s="388">
        <v>1711180</v>
      </c>
      <c r="M29" s="388">
        <v>26981220</v>
      </c>
      <c r="N29" s="388">
        <v>20358800</v>
      </c>
      <c r="O29" s="388">
        <v>2985300</v>
      </c>
      <c r="P29" s="388">
        <v>23344100</v>
      </c>
      <c r="Q29" s="388">
        <v>3637120</v>
      </c>
      <c r="R29" s="388">
        <v>20358800</v>
      </c>
      <c r="S29" s="388">
        <v>2985300</v>
      </c>
      <c r="T29" s="388">
        <v>23344100</v>
      </c>
      <c r="U29" s="388">
        <v>3637120</v>
      </c>
      <c r="V29" s="388">
        <v>23344100</v>
      </c>
      <c r="W29" s="388">
        <v>18499700</v>
      </c>
      <c r="X29" s="388">
        <v>1859100</v>
      </c>
      <c r="Y29" s="388">
        <v>20358800</v>
      </c>
      <c r="Z29" s="388">
        <v>2985300</v>
      </c>
    </row>
    <row r="30" spans="1:26" ht="16.5" hidden="1" customHeight="1">
      <c r="A30" s="387" t="s">
        <v>147</v>
      </c>
      <c r="B30" s="387" t="s">
        <v>148</v>
      </c>
      <c r="C30" s="387" t="s">
        <v>87</v>
      </c>
      <c r="D30" s="387" t="s">
        <v>149</v>
      </c>
      <c r="E30" s="387" t="s">
        <v>96</v>
      </c>
      <c r="F30" s="388">
        <v>28692400</v>
      </c>
      <c r="G30" s="389">
        <v>0</v>
      </c>
      <c r="H30" s="389">
        <v>0</v>
      </c>
      <c r="I30" s="389">
        <v>0</v>
      </c>
      <c r="J30" s="389">
        <v>0</v>
      </c>
      <c r="K30" s="389">
        <v>0</v>
      </c>
      <c r="L30" s="388">
        <v>1711180</v>
      </c>
      <c r="M30" s="388">
        <v>26981220</v>
      </c>
      <c r="N30" s="388">
        <v>20358800</v>
      </c>
      <c r="O30" s="388">
        <v>2985300</v>
      </c>
      <c r="P30" s="388">
        <v>23344100</v>
      </c>
      <c r="Q30" s="388">
        <v>3637120</v>
      </c>
      <c r="R30" s="388">
        <v>20358800</v>
      </c>
      <c r="S30" s="388">
        <v>2985300</v>
      </c>
      <c r="T30" s="388">
        <v>23344100</v>
      </c>
      <c r="U30" s="388">
        <v>3637120</v>
      </c>
      <c r="V30" s="388">
        <v>23344100</v>
      </c>
      <c r="W30" s="388">
        <v>18499700</v>
      </c>
      <c r="X30" s="388">
        <v>1859100</v>
      </c>
      <c r="Y30" s="388">
        <v>20358800</v>
      </c>
      <c r="Z30" s="388">
        <v>2985300</v>
      </c>
    </row>
    <row r="31" spans="1:26" ht="16.5" hidden="1" customHeight="1">
      <c r="A31" s="387" t="s">
        <v>85</v>
      </c>
      <c r="B31" s="387" t="s">
        <v>150</v>
      </c>
      <c r="C31" s="387" t="s">
        <v>87</v>
      </c>
      <c r="D31" s="387" t="s">
        <v>151</v>
      </c>
      <c r="E31" s="387" t="s">
        <v>85</v>
      </c>
      <c r="F31" s="388">
        <v>19132800</v>
      </c>
      <c r="G31" s="389">
        <v>0</v>
      </c>
      <c r="H31" s="389">
        <v>0</v>
      </c>
      <c r="I31" s="389">
        <v>0</v>
      </c>
      <c r="J31" s="389">
        <v>0</v>
      </c>
      <c r="K31" s="389">
        <v>0</v>
      </c>
      <c r="L31" s="388">
        <v>1143819</v>
      </c>
      <c r="M31" s="388">
        <v>17988981</v>
      </c>
      <c r="N31" s="388">
        <v>13575100</v>
      </c>
      <c r="O31" s="388">
        <v>1990500</v>
      </c>
      <c r="P31" s="388">
        <v>15565600</v>
      </c>
      <c r="Q31" s="388">
        <v>2423381</v>
      </c>
      <c r="R31" s="388">
        <v>13575100</v>
      </c>
      <c r="S31" s="388">
        <v>1990500</v>
      </c>
      <c r="T31" s="388">
        <v>15565600</v>
      </c>
      <c r="U31" s="388">
        <v>2423381</v>
      </c>
      <c r="V31" s="388">
        <v>15565600</v>
      </c>
      <c r="W31" s="388">
        <v>12335400</v>
      </c>
      <c r="X31" s="388">
        <v>1239700</v>
      </c>
      <c r="Y31" s="388">
        <v>13575100</v>
      </c>
      <c r="Z31" s="388">
        <v>1990500</v>
      </c>
    </row>
    <row r="32" spans="1:26" ht="16.5" hidden="1" customHeight="1">
      <c r="A32" s="387" t="s">
        <v>152</v>
      </c>
      <c r="B32" s="387" t="s">
        <v>153</v>
      </c>
      <c r="C32" s="387" t="s">
        <v>87</v>
      </c>
      <c r="D32" s="387" t="s">
        <v>154</v>
      </c>
      <c r="E32" s="387" t="s">
        <v>96</v>
      </c>
      <c r="F32" s="388">
        <v>19132800</v>
      </c>
      <c r="G32" s="389">
        <v>0</v>
      </c>
      <c r="H32" s="389">
        <v>0</v>
      </c>
      <c r="I32" s="389">
        <v>0</v>
      </c>
      <c r="J32" s="389">
        <v>0</v>
      </c>
      <c r="K32" s="389">
        <v>0</v>
      </c>
      <c r="L32" s="388">
        <v>1143819</v>
      </c>
      <c r="M32" s="388">
        <v>17988981</v>
      </c>
      <c r="N32" s="388">
        <v>13575100</v>
      </c>
      <c r="O32" s="388">
        <v>1990500</v>
      </c>
      <c r="P32" s="388">
        <v>15565600</v>
      </c>
      <c r="Q32" s="388">
        <v>2423381</v>
      </c>
      <c r="R32" s="388">
        <v>13575100</v>
      </c>
      <c r="S32" s="388">
        <v>1990500</v>
      </c>
      <c r="T32" s="388">
        <v>15565600</v>
      </c>
      <c r="U32" s="388">
        <v>2423381</v>
      </c>
      <c r="V32" s="388">
        <v>15565600</v>
      </c>
      <c r="W32" s="388">
        <v>12335400</v>
      </c>
      <c r="X32" s="388">
        <v>1239700</v>
      </c>
      <c r="Y32" s="388">
        <v>13575100</v>
      </c>
      <c r="Z32" s="388">
        <v>1990500</v>
      </c>
    </row>
    <row r="33" spans="1:26" ht="16.5" hidden="1" customHeight="1">
      <c r="A33" s="387" t="s">
        <v>85</v>
      </c>
      <c r="B33" s="387" t="s">
        <v>155</v>
      </c>
      <c r="C33" s="387" t="s">
        <v>87</v>
      </c>
      <c r="D33" s="387" t="s">
        <v>156</v>
      </c>
      <c r="E33" s="387" t="s">
        <v>85</v>
      </c>
      <c r="F33" s="388">
        <v>121131408</v>
      </c>
      <c r="G33" s="389">
        <v>0</v>
      </c>
      <c r="H33" s="389">
        <v>0</v>
      </c>
      <c r="I33" s="389">
        <v>0</v>
      </c>
      <c r="J33" s="389">
        <v>0</v>
      </c>
      <c r="K33" s="388">
        <v>20004230</v>
      </c>
      <c r="L33" s="388">
        <v>14760036</v>
      </c>
      <c r="M33" s="388">
        <v>126375602</v>
      </c>
      <c r="N33" s="388">
        <v>50563485</v>
      </c>
      <c r="O33" s="388">
        <v>5080801</v>
      </c>
      <c r="P33" s="388">
        <v>55644286</v>
      </c>
      <c r="Q33" s="388">
        <v>70731316</v>
      </c>
      <c r="R33" s="388">
        <v>50563485</v>
      </c>
      <c r="S33" s="388">
        <v>5080801</v>
      </c>
      <c r="T33" s="388">
        <v>55644286</v>
      </c>
      <c r="U33" s="388">
        <v>70731316</v>
      </c>
      <c r="V33" s="388">
        <v>55602886</v>
      </c>
      <c r="W33" s="388">
        <v>45292584</v>
      </c>
      <c r="X33" s="388">
        <v>5229501</v>
      </c>
      <c r="Y33" s="388">
        <v>50522085</v>
      </c>
      <c r="Z33" s="388">
        <v>5122201</v>
      </c>
    </row>
    <row r="34" spans="1:26" ht="16.5" hidden="1" customHeight="1">
      <c r="A34" s="387" t="s">
        <v>157</v>
      </c>
      <c r="B34" s="387" t="s">
        <v>158</v>
      </c>
      <c r="C34" s="387" t="s">
        <v>87</v>
      </c>
      <c r="D34" s="387" t="s">
        <v>159</v>
      </c>
      <c r="E34" s="387" t="s">
        <v>96</v>
      </c>
      <c r="F34" s="388">
        <v>5007908</v>
      </c>
      <c r="G34" s="389">
        <v>0</v>
      </c>
      <c r="H34" s="389">
        <v>0</v>
      </c>
      <c r="I34" s="389">
        <v>0</v>
      </c>
      <c r="J34" s="389">
        <v>0</v>
      </c>
      <c r="K34" s="388">
        <v>123113</v>
      </c>
      <c r="L34" s="389">
        <v>0</v>
      </c>
      <c r="M34" s="388">
        <v>5131021</v>
      </c>
      <c r="N34" s="388">
        <v>4182028</v>
      </c>
      <c r="O34" s="388">
        <v>404087</v>
      </c>
      <c r="P34" s="388">
        <v>4586115</v>
      </c>
      <c r="Q34" s="388">
        <v>544906</v>
      </c>
      <c r="R34" s="388">
        <v>4182028</v>
      </c>
      <c r="S34" s="388">
        <v>404087</v>
      </c>
      <c r="T34" s="388">
        <v>4586115</v>
      </c>
      <c r="U34" s="388">
        <v>544906</v>
      </c>
      <c r="V34" s="388">
        <v>4586115</v>
      </c>
      <c r="W34" s="388">
        <v>3777941</v>
      </c>
      <c r="X34" s="388">
        <v>404087</v>
      </c>
      <c r="Y34" s="388">
        <v>4182028</v>
      </c>
      <c r="Z34" s="388">
        <v>404087</v>
      </c>
    </row>
    <row r="35" spans="1:26" ht="16.5" hidden="1" customHeight="1">
      <c r="A35" s="387" t="s">
        <v>160</v>
      </c>
      <c r="B35" s="387" t="s">
        <v>161</v>
      </c>
      <c r="C35" s="387" t="s">
        <v>87</v>
      </c>
      <c r="D35" s="387" t="s">
        <v>162</v>
      </c>
      <c r="E35" s="387" t="s">
        <v>96</v>
      </c>
      <c r="F35" s="388">
        <v>38494289</v>
      </c>
      <c r="G35" s="389">
        <v>0</v>
      </c>
      <c r="H35" s="389">
        <v>0</v>
      </c>
      <c r="I35" s="389">
        <v>0</v>
      </c>
      <c r="J35" s="389">
        <v>0</v>
      </c>
      <c r="K35" s="388">
        <v>13904656</v>
      </c>
      <c r="L35" s="389">
        <v>0</v>
      </c>
      <c r="M35" s="388">
        <v>52398945</v>
      </c>
      <c r="N35" s="388">
        <v>37557091</v>
      </c>
      <c r="O35" s="388">
        <v>4479614</v>
      </c>
      <c r="P35" s="388">
        <v>42036705</v>
      </c>
      <c r="Q35" s="388">
        <v>10362240</v>
      </c>
      <c r="R35" s="388">
        <v>37557091</v>
      </c>
      <c r="S35" s="388">
        <v>4479614</v>
      </c>
      <c r="T35" s="388">
        <v>42036705</v>
      </c>
      <c r="U35" s="388">
        <v>10362240</v>
      </c>
      <c r="V35" s="388">
        <v>42036705</v>
      </c>
      <c r="W35" s="388">
        <v>33077577</v>
      </c>
      <c r="X35" s="388">
        <v>4479514</v>
      </c>
      <c r="Y35" s="388">
        <v>37557091</v>
      </c>
      <c r="Z35" s="388">
        <v>4479614</v>
      </c>
    </row>
    <row r="36" spans="1:26" ht="16.5" hidden="1" customHeight="1">
      <c r="A36" s="387" t="s">
        <v>163</v>
      </c>
      <c r="B36" s="387" t="s">
        <v>164</v>
      </c>
      <c r="C36" s="387" t="s">
        <v>87</v>
      </c>
      <c r="D36" s="387" t="s">
        <v>165</v>
      </c>
      <c r="E36" s="387" t="s">
        <v>96</v>
      </c>
      <c r="F36" s="388">
        <v>70513011</v>
      </c>
      <c r="G36" s="389">
        <v>0</v>
      </c>
      <c r="H36" s="389">
        <v>0</v>
      </c>
      <c r="I36" s="389">
        <v>0</v>
      </c>
      <c r="J36" s="389">
        <v>0</v>
      </c>
      <c r="K36" s="388">
        <v>5820752</v>
      </c>
      <c r="L36" s="388">
        <v>11795427</v>
      </c>
      <c r="M36" s="388">
        <v>64538336</v>
      </c>
      <c r="N36" s="388">
        <v>5538366</v>
      </c>
      <c r="O36" s="389">
        <v>0</v>
      </c>
      <c r="P36" s="388">
        <v>5538366</v>
      </c>
      <c r="Q36" s="388">
        <v>58999970</v>
      </c>
      <c r="R36" s="388">
        <v>5538366</v>
      </c>
      <c r="S36" s="389">
        <v>0</v>
      </c>
      <c r="T36" s="388">
        <v>5538366</v>
      </c>
      <c r="U36" s="388">
        <v>58999970</v>
      </c>
      <c r="V36" s="388">
        <v>5538366</v>
      </c>
      <c r="W36" s="388">
        <v>5538366</v>
      </c>
      <c r="X36" s="389">
        <v>0</v>
      </c>
      <c r="Y36" s="388">
        <v>5538366</v>
      </c>
      <c r="Z36" s="389">
        <v>0</v>
      </c>
    </row>
    <row r="37" spans="1:26" ht="16.5" hidden="1" customHeight="1">
      <c r="A37" s="387" t="s">
        <v>166</v>
      </c>
      <c r="B37" s="387" t="s">
        <v>167</v>
      </c>
      <c r="C37" s="387" t="s">
        <v>87</v>
      </c>
      <c r="D37" s="387" t="s">
        <v>168</v>
      </c>
      <c r="E37" s="387" t="s">
        <v>96</v>
      </c>
      <c r="F37" s="388">
        <v>7116200</v>
      </c>
      <c r="G37" s="389">
        <v>0</v>
      </c>
      <c r="H37" s="389">
        <v>0</v>
      </c>
      <c r="I37" s="389">
        <v>0</v>
      </c>
      <c r="J37" s="389">
        <v>0</v>
      </c>
      <c r="K37" s="388">
        <v>155709</v>
      </c>
      <c r="L37" s="388">
        <v>2964609</v>
      </c>
      <c r="M37" s="388">
        <v>4307300</v>
      </c>
      <c r="N37" s="388">
        <v>3286000</v>
      </c>
      <c r="O37" s="388">
        <v>197100</v>
      </c>
      <c r="P37" s="388">
        <v>3483100</v>
      </c>
      <c r="Q37" s="388">
        <v>824200</v>
      </c>
      <c r="R37" s="388">
        <v>3286000</v>
      </c>
      <c r="S37" s="388">
        <v>197100</v>
      </c>
      <c r="T37" s="388">
        <v>3483100</v>
      </c>
      <c r="U37" s="388">
        <v>824200</v>
      </c>
      <c r="V37" s="388">
        <v>3441700</v>
      </c>
      <c r="W37" s="388">
        <v>2898700</v>
      </c>
      <c r="X37" s="388">
        <v>345900</v>
      </c>
      <c r="Y37" s="388">
        <v>3244600</v>
      </c>
      <c r="Z37" s="388">
        <v>238500</v>
      </c>
    </row>
    <row r="38" spans="1:26" ht="16.5" hidden="1" customHeight="1">
      <c r="A38" s="387" t="s">
        <v>85</v>
      </c>
      <c r="B38" s="387" t="s">
        <v>169</v>
      </c>
      <c r="C38" s="387" t="s">
        <v>87</v>
      </c>
      <c r="D38" s="387" t="s">
        <v>170</v>
      </c>
      <c r="E38" s="387" t="s">
        <v>85</v>
      </c>
      <c r="F38" s="388">
        <v>38675000</v>
      </c>
      <c r="G38" s="389">
        <v>0</v>
      </c>
      <c r="H38" s="389">
        <v>0</v>
      </c>
      <c r="I38" s="389">
        <v>0</v>
      </c>
      <c r="J38" s="389">
        <v>0</v>
      </c>
      <c r="K38" s="389">
        <v>0</v>
      </c>
      <c r="L38" s="388">
        <v>13812736</v>
      </c>
      <c r="M38" s="388">
        <v>24862264</v>
      </c>
      <c r="N38" s="388">
        <v>20053264</v>
      </c>
      <c r="O38" s="389">
        <v>0</v>
      </c>
      <c r="P38" s="388">
        <v>20053264</v>
      </c>
      <c r="Q38" s="388">
        <v>4809000</v>
      </c>
      <c r="R38" s="388">
        <v>13475000</v>
      </c>
      <c r="S38" s="389">
        <v>0</v>
      </c>
      <c r="T38" s="388">
        <v>13475000</v>
      </c>
      <c r="U38" s="388">
        <v>11387264</v>
      </c>
      <c r="V38" s="388">
        <v>9173333</v>
      </c>
      <c r="W38" s="388">
        <v>5973333</v>
      </c>
      <c r="X38" s="388">
        <v>3200000</v>
      </c>
      <c r="Y38" s="388">
        <v>9173333</v>
      </c>
      <c r="Z38" s="388">
        <v>4301667</v>
      </c>
    </row>
    <row r="39" spans="1:26" ht="16.5" hidden="1" customHeight="1">
      <c r="A39" s="387" t="s">
        <v>171</v>
      </c>
      <c r="B39" s="387" t="s">
        <v>172</v>
      </c>
      <c r="C39" s="387" t="s">
        <v>87</v>
      </c>
      <c r="D39" s="387" t="s">
        <v>173</v>
      </c>
      <c r="E39" s="387" t="s">
        <v>96</v>
      </c>
      <c r="F39" s="388">
        <v>38675000</v>
      </c>
      <c r="G39" s="389">
        <v>0</v>
      </c>
      <c r="H39" s="389">
        <v>0</v>
      </c>
      <c r="I39" s="389">
        <v>0</v>
      </c>
      <c r="J39" s="389">
        <v>0</v>
      </c>
      <c r="K39" s="389">
        <v>0</v>
      </c>
      <c r="L39" s="388">
        <v>13812736</v>
      </c>
      <c r="M39" s="388">
        <v>24862264</v>
      </c>
      <c r="N39" s="388">
        <v>20053264</v>
      </c>
      <c r="O39" s="389">
        <v>0</v>
      </c>
      <c r="P39" s="388">
        <v>20053264</v>
      </c>
      <c r="Q39" s="388">
        <v>4809000</v>
      </c>
      <c r="R39" s="388">
        <v>13475000</v>
      </c>
      <c r="S39" s="389">
        <v>0</v>
      </c>
      <c r="T39" s="388">
        <v>13475000</v>
      </c>
      <c r="U39" s="388">
        <v>11387264</v>
      </c>
      <c r="V39" s="388">
        <v>9173333</v>
      </c>
      <c r="W39" s="388">
        <v>5973333</v>
      </c>
      <c r="X39" s="388">
        <v>3200000</v>
      </c>
      <c r="Y39" s="388">
        <v>9173333</v>
      </c>
      <c r="Z39" s="388">
        <v>4301667</v>
      </c>
    </row>
    <row r="40" spans="1:26" s="397" customFormat="1" ht="16.5" customHeight="1">
      <c r="A40" s="394" t="s">
        <v>85</v>
      </c>
      <c r="B40" s="394" t="s">
        <v>174</v>
      </c>
      <c r="C40" s="394" t="s">
        <v>87</v>
      </c>
      <c r="D40" s="394" t="s">
        <v>175</v>
      </c>
      <c r="E40" s="394" t="s">
        <v>85</v>
      </c>
      <c r="F40" s="395">
        <v>403241058</v>
      </c>
      <c r="G40" s="396">
        <v>0</v>
      </c>
      <c r="H40" s="396">
        <v>0</v>
      </c>
      <c r="I40" s="396">
        <v>0</v>
      </c>
      <c r="J40" s="395">
        <v>11816517</v>
      </c>
      <c r="K40" s="395">
        <v>214659078</v>
      </c>
      <c r="L40" s="395">
        <v>209836949</v>
      </c>
      <c r="M40" s="395">
        <v>396246670</v>
      </c>
      <c r="N40" s="395">
        <v>185957551</v>
      </c>
      <c r="O40" s="395">
        <v>87061095</v>
      </c>
      <c r="P40" s="395">
        <v>273018646</v>
      </c>
      <c r="Q40" s="395">
        <v>123228024</v>
      </c>
      <c r="R40" s="395">
        <v>184875123</v>
      </c>
      <c r="S40" s="395">
        <v>13461509</v>
      </c>
      <c r="T40" s="395">
        <v>198336632</v>
      </c>
      <c r="U40" s="395">
        <v>197910038</v>
      </c>
      <c r="V40" s="395">
        <v>152164917</v>
      </c>
      <c r="W40" s="395">
        <v>130646109</v>
      </c>
      <c r="X40" s="395">
        <v>21518808</v>
      </c>
      <c r="Y40" s="395">
        <v>152164917</v>
      </c>
      <c r="Z40" s="395">
        <v>46171715</v>
      </c>
    </row>
    <row r="41" spans="1:26" ht="16.5" hidden="1" customHeight="1">
      <c r="A41" s="387" t="s">
        <v>176</v>
      </c>
      <c r="B41" s="387" t="s">
        <v>177</v>
      </c>
      <c r="C41" s="387" t="s">
        <v>87</v>
      </c>
      <c r="D41" s="387" t="s">
        <v>178</v>
      </c>
      <c r="E41" s="387" t="s">
        <v>96</v>
      </c>
      <c r="F41" s="388">
        <v>1000000</v>
      </c>
      <c r="G41" s="389">
        <v>0</v>
      </c>
      <c r="H41" s="389">
        <v>0</v>
      </c>
      <c r="I41" s="389">
        <v>0</v>
      </c>
      <c r="J41" s="389">
        <v>0</v>
      </c>
      <c r="K41" s="389">
        <v>0</v>
      </c>
      <c r="L41" s="388">
        <v>34417</v>
      </c>
      <c r="M41" s="388">
        <v>965583</v>
      </c>
      <c r="N41" s="388">
        <v>965583</v>
      </c>
      <c r="O41" s="389">
        <v>0</v>
      </c>
      <c r="P41" s="388">
        <v>965583</v>
      </c>
      <c r="Q41" s="389">
        <v>0</v>
      </c>
      <c r="R41" s="388">
        <v>965583</v>
      </c>
      <c r="S41" s="389">
        <v>0</v>
      </c>
      <c r="T41" s="388">
        <v>965583</v>
      </c>
      <c r="U41" s="389">
        <v>0</v>
      </c>
      <c r="V41" s="388">
        <v>321862</v>
      </c>
      <c r="W41" s="388">
        <v>321862</v>
      </c>
      <c r="X41" s="389">
        <v>0</v>
      </c>
      <c r="Y41" s="388">
        <v>321862</v>
      </c>
      <c r="Z41" s="388">
        <v>643721</v>
      </c>
    </row>
    <row r="42" spans="1:26" ht="16.5" hidden="1" customHeight="1">
      <c r="A42" s="387" t="s">
        <v>179</v>
      </c>
      <c r="B42" s="387" t="s">
        <v>180</v>
      </c>
      <c r="C42" s="387" t="s">
        <v>87</v>
      </c>
      <c r="D42" s="387" t="s">
        <v>181</v>
      </c>
      <c r="E42" s="387" t="s">
        <v>96</v>
      </c>
      <c r="F42" s="388">
        <v>14200000</v>
      </c>
      <c r="G42" s="389">
        <v>0</v>
      </c>
      <c r="H42" s="389">
        <v>0</v>
      </c>
      <c r="I42" s="389">
        <v>0</v>
      </c>
      <c r="J42" s="389">
        <v>0</v>
      </c>
      <c r="K42" s="388">
        <v>8227133</v>
      </c>
      <c r="L42" s="388">
        <v>14646807</v>
      </c>
      <c r="M42" s="388">
        <v>7780326</v>
      </c>
      <c r="N42" s="388">
        <v>7780326</v>
      </c>
      <c r="O42" s="389">
        <v>0</v>
      </c>
      <c r="P42" s="388">
        <v>7780326</v>
      </c>
      <c r="Q42" s="389">
        <v>0</v>
      </c>
      <c r="R42" s="388">
        <v>7780326</v>
      </c>
      <c r="S42" s="389">
        <v>0</v>
      </c>
      <c r="T42" s="388">
        <v>7780326</v>
      </c>
      <c r="U42" s="389">
        <v>0</v>
      </c>
      <c r="V42" s="388">
        <v>7360777</v>
      </c>
      <c r="W42" s="388">
        <v>7360777</v>
      </c>
      <c r="X42" s="389">
        <v>0</v>
      </c>
      <c r="Y42" s="388">
        <v>7360777</v>
      </c>
      <c r="Z42" s="388">
        <v>419549</v>
      </c>
    </row>
    <row r="43" spans="1:26" ht="16.5" hidden="1" customHeight="1">
      <c r="A43" s="387" t="s">
        <v>182</v>
      </c>
      <c r="B43" s="387" t="s">
        <v>183</v>
      </c>
      <c r="C43" s="387" t="s">
        <v>87</v>
      </c>
      <c r="D43" s="387" t="s">
        <v>184</v>
      </c>
      <c r="E43" s="387" t="s">
        <v>96</v>
      </c>
      <c r="F43" s="388">
        <v>40000000</v>
      </c>
      <c r="G43" s="389">
        <v>0</v>
      </c>
      <c r="H43" s="389">
        <v>0</v>
      </c>
      <c r="I43" s="389">
        <v>0</v>
      </c>
      <c r="J43" s="389">
        <v>0</v>
      </c>
      <c r="K43" s="389">
        <v>0</v>
      </c>
      <c r="L43" s="388">
        <v>32000000</v>
      </c>
      <c r="M43" s="388">
        <v>8000000</v>
      </c>
      <c r="N43" s="389">
        <v>0</v>
      </c>
      <c r="O43" s="389">
        <v>0</v>
      </c>
      <c r="P43" s="389">
        <v>0</v>
      </c>
      <c r="Q43" s="388">
        <v>8000000</v>
      </c>
      <c r="R43" s="389">
        <v>0</v>
      </c>
      <c r="S43" s="389">
        <v>0</v>
      </c>
      <c r="T43" s="389">
        <v>0</v>
      </c>
      <c r="U43" s="388">
        <v>8000000</v>
      </c>
      <c r="V43" s="389">
        <v>0</v>
      </c>
      <c r="W43" s="389">
        <v>0</v>
      </c>
      <c r="X43" s="389">
        <v>0</v>
      </c>
      <c r="Y43" s="389">
        <v>0</v>
      </c>
      <c r="Z43" s="389">
        <v>0</v>
      </c>
    </row>
    <row r="44" spans="1:26" ht="16.5" hidden="1" customHeight="1">
      <c r="A44" s="387" t="s">
        <v>185</v>
      </c>
      <c r="B44" s="387" t="s">
        <v>186</v>
      </c>
      <c r="C44" s="387" t="s">
        <v>87</v>
      </c>
      <c r="D44" s="387" t="s">
        <v>187</v>
      </c>
      <c r="E44" s="387" t="s">
        <v>96</v>
      </c>
      <c r="F44" s="388">
        <v>48000000</v>
      </c>
      <c r="G44" s="389">
        <v>0</v>
      </c>
      <c r="H44" s="389">
        <v>0</v>
      </c>
      <c r="I44" s="389">
        <v>0</v>
      </c>
      <c r="J44" s="389">
        <v>0</v>
      </c>
      <c r="K44" s="389">
        <v>0</v>
      </c>
      <c r="L44" s="388">
        <v>32728152</v>
      </c>
      <c r="M44" s="388">
        <v>15271848</v>
      </c>
      <c r="N44" s="388">
        <v>12258375</v>
      </c>
      <c r="O44" s="389">
        <v>0</v>
      </c>
      <c r="P44" s="388">
        <v>12258375</v>
      </c>
      <c r="Q44" s="388">
        <v>3013473</v>
      </c>
      <c r="R44" s="388">
        <v>12258375</v>
      </c>
      <c r="S44" s="389">
        <v>0</v>
      </c>
      <c r="T44" s="388">
        <v>12258375</v>
      </c>
      <c r="U44" s="388">
        <v>3013473</v>
      </c>
      <c r="V44" s="388">
        <v>5574143</v>
      </c>
      <c r="W44" s="388">
        <v>959045</v>
      </c>
      <c r="X44" s="388">
        <v>4615098</v>
      </c>
      <c r="Y44" s="388">
        <v>5574143</v>
      </c>
      <c r="Z44" s="388">
        <v>6684232</v>
      </c>
    </row>
    <row r="45" spans="1:26" ht="16.5" hidden="1" customHeight="1">
      <c r="A45" s="387" t="s">
        <v>188</v>
      </c>
      <c r="B45" s="387" t="s">
        <v>189</v>
      </c>
      <c r="C45" s="387" t="s">
        <v>87</v>
      </c>
      <c r="D45" s="387" t="s">
        <v>190</v>
      </c>
      <c r="E45" s="387" t="s">
        <v>96</v>
      </c>
      <c r="F45" s="388">
        <v>16800000</v>
      </c>
      <c r="G45" s="389">
        <v>0</v>
      </c>
      <c r="H45" s="389">
        <v>0</v>
      </c>
      <c r="I45" s="389">
        <v>0</v>
      </c>
      <c r="J45" s="389">
        <v>0</v>
      </c>
      <c r="K45" s="388">
        <v>6601483</v>
      </c>
      <c r="L45" s="388">
        <v>469350</v>
      </c>
      <c r="M45" s="388">
        <v>22932133</v>
      </c>
      <c r="N45" s="388">
        <v>6914683</v>
      </c>
      <c r="O45" s="388">
        <v>8018616</v>
      </c>
      <c r="P45" s="388">
        <v>14933299</v>
      </c>
      <c r="Q45" s="388">
        <v>7998834</v>
      </c>
      <c r="R45" s="388">
        <v>6914683</v>
      </c>
      <c r="S45" s="388">
        <v>339150</v>
      </c>
      <c r="T45" s="388">
        <v>7253833</v>
      </c>
      <c r="U45" s="388">
        <v>15678300</v>
      </c>
      <c r="V45" s="388">
        <v>4780222</v>
      </c>
      <c r="W45" s="388">
        <v>4121072</v>
      </c>
      <c r="X45" s="388">
        <v>659150</v>
      </c>
      <c r="Y45" s="388">
        <v>4780222</v>
      </c>
      <c r="Z45" s="388">
        <v>2473611</v>
      </c>
    </row>
    <row r="46" spans="1:26" ht="16.5" hidden="1" customHeight="1">
      <c r="A46" s="387" t="s">
        <v>191</v>
      </c>
      <c r="B46" s="387" t="s">
        <v>192</v>
      </c>
      <c r="C46" s="387" t="s">
        <v>87</v>
      </c>
      <c r="D46" s="387" t="s">
        <v>193</v>
      </c>
      <c r="E46" s="387" t="s">
        <v>96</v>
      </c>
      <c r="F46" s="388">
        <v>8500000</v>
      </c>
      <c r="G46" s="389">
        <v>0</v>
      </c>
      <c r="H46" s="389">
        <v>0</v>
      </c>
      <c r="I46" s="389">
        <v>0</v>
      </c>
      <c r="J46" s="389">
        <v>0</v>
      </c>
      <c r="K46" s="389">
        <v>0</v>
      </c>
      <c r="L46" s="389">
        <v>0</v>
      </c>
      <c r="M46" s="388">
        <v>8500000</v>
      </c>
      <c r="N46" s="388">
        <v>1931167</v>
      </c>
      <c r="O46" s="389">
        <v>0</v>
      </c>
      <c r="P46" s="388">
        <v>1931167</v>
      </c>
      <c r="Q46" s="388">
        <v>6568833</v>
      </c>
      <c r="R46" s="388">
        <v>1931167</v>
      </c>
      <c r="S46" s="389">
        <v>0</v>
      </c>
      <c r="T46" s="388">
        <v>1931167</v>
      </c>
      <c r="U46" s="388">
        <v>6568833</v>
      </c>
      <c r="V46" s="388">
        <v>385780</v>
      </c>
      <c r="W46" s="388">
        <v>305480</v>
      </c>
      <c r="X46" s="388">
        <v>80300</v>
      </c>
      <c r="Y46" s="388">
        <v>385780</v>
      </c>
      <c r="Z46" s="388">
        <v>1545387</v>
      </c>
    </row>
    <row r="47" spans="1:26" ht="16.5" hidden="1" customHeight="1">
      <c r="A47" s="387" t="s">
        <v>194</v>
      </c>
      <c r="B47" s="387" t="s">
        <v>195</v>
      </c>
      <c r="C47" s="387" t="s">
        <v>87</v>
      </c>
      <c r="D47" s="387" t="s">
        <v>196</v>
      </c>
      <c r="E47" s="387" t="s">
        <v>96</v>
      </c>
      <c r="F47" s="388">
        <v>85400000</v>
      </c>
      <c r="G47" s="389">
        <v>0</v>
      </c>
      <c r="H47" s="389">
        <v>0</v>
      </c>
      <c r="I47" s="389">
        <v>0</v>
      </c>
      <c r="J47" s="388">
        <v>11816517</v>
      </c>
      <c r="K47" s="389">
        <v>0</v>
      </c>
      <c r="L47" s="388">
        <v>21603948</v>
      </c>
      <c r="M47" s="388">
        <v>51979535</v>
      </c>
      <c r="N47" s="388">
        <v>14151855</v>
      </c>
      <c r="O47" s="388">
        <v>563923</v>
      </c>
      <c r="P47" s="388">
        <v>14715778</v>
      </c>
      <c r="Q47" s="388">
        <v>37263757</v>
      </c>
      <c r="R47" s="388">
        <v>14151855</v>
      </c>
      <c r="S47" s="388">
        <v>563923</v>
      </c>
      <c r="T47" s="388">
        <v>14715778</v>
      </c>
      <c r="U47" s="388">
        <v>37263757</v>
      </c>
      <c r="V47" s="388">
        <v>10110554</v>
      </c>
      <c r="W47" s="388">
        <v>9546631</v>
      </c>
      <c r="X47" s="388">
        <v>563923</v>
      </c>
      <c r="Y47" s="388">
        <v>10110554</v>
      </c>
      <c r="Z47" s="388">
        <v>4605224</v>
      </c>
    </row>
    <row r="48" spans="1:26" ht="16.5" hidden="1" customHeight="1">
      <c r="A48" s="387" t="s">
        <v>197</v>
      </c>
      <c r="B48" s="387" t="s">
        <v>198</v>
      </c>
      <c r="C48" s="387" t="s">
        <v>87</v>
      </c>
      <c r="D48" s="387" t="s">
        <v>199</v>
      </c>
      <c r="E48" s="387" t="s">
        <v>96</v>
      </c>
      <c r="F48" s="388">
        <v>18000000</v>
      </c>
      <c r="G48" s="389">
        <v>0</v>
      </c>
      <c r="H48" s="389">
        <v>0</v>
      </c>
      <c r="I48" s="389">
        <v>0</v>
      </c>
      <c r="J48" s="389">
        <v>0</v>
      </c>
      <c r="K48" s="389">
        <v>0</v>
      </c>
      <c r="L48" s="388">
        <v>1536136</v>
      </c>
      <c r="M48" s="388">
        <v>16463864</v>
      </c>
      <c r="N48" s="388">
        <v>16463864</v>
      </c>
      <c r="O48" s="389">
        <v>0</v>
      </c>
      <c r="P48" s="388">
        <v>16463864</v>
      </c>
      <c r="Q48" s="389">
        <v>0</v>
      </c>
      <c r="R48" s="388">
        <v>16463864</v>
      </c>
      <c r="S48" s="389">
        <v>0</v>
      </c>
      <c r="T48" s="388">
        <v>16463864</v>
      </c>
      <c r="U48" s="389">
        <v>0</v>
      </c>
      <c r="V48" s="388">
        <v>16463864</v>
      </c>
      <c r="W48" s="388">
        <v>16463864</v>
      </c>
      <c r="X48" s="389">
        <v>0</v>
      </c>
      <c r="Y48" s="388">
        <v>16463864</v>
      </c>
      <c r="Z48" s="389">
        <v>0</v>
      </c>
    </row>
    <row r="49" spans="1:26" ht="16.5" hidden="1" customHeight="1">
      <c r="A49" s="387" t="s">
        <v>200</v>
      </c>
      <c r="B49" s="387" t="s">
        <v>201</v>
      </c>
      <c r="C49" s="387" t="s">
        <v>87</v>
      </c>
      <c r="D49" s="387" t="s">
        <v>202</v>
      </c>
      <c r="E49" s="387" t="s">
        <v>96</v>
      </c>
      <c r="F49" s="388">
        <v>122000000</v>
      </c>
      <c r="G49" s="389">
        <v>0</v>
      </c>
      <c r="H49" s="389">
        <v>0</v>
      </c>
      <c r="I49" s="389">
        <v>0</v>
      </c>
      <c r="J49" s="389">
        <v>0</v>
      </c>
      <c r="K49" s="388">
        <v>64231494</v>
      </c>
      <c r="L49" s="388">
        <v>13160368</v>
      </c>
      <c r="M49" s="388">
        <v>173071126</v>
      </c>
      <c r="N49" s="388">
        <v>89969922</v>
      </c>
      <c r="O49" s="388">
        <v>78478556</v>
      </c>
      <c r="P49" s="388">
        <v>168448478</v>
      </c>
      <c r="Q49" s="388">
        <v>4622648</v>
      </c>
      <c r="R49" s="388">
        <v>89969922</v>
      </c>
      <c r="S49" s="388">
        <v>12558436</v>
      </c>
      <c r="T49" s="388">
        <v>102528358</v>
      </c>
      <c r="U49" s="388">
        <v>70542768</v>
      </c>
      <c r="V49" s="388">
        <v>92281246</v>
      </c>
      <c r="W49" s="388">
        <v>82284588</v>
      </c>
      <c r="X49" s="388">
        <v>9996658</v>
      </c>
      <c r="Y49" s="388">
        <v>92281246</v>
      </c>
      <c r="Z49" s="388">
        <v>10247112</v>
      </c>
    </row>
    <row r="50" spans="1:26" ht="16.5" hidden="1" customHeight="1">
      <c r="A50" s="387" t="s">
        <v>203</v>
      </c>
      <c r="B50" s="387" t="s">
        <v>204</v>
      </c>
      <c r="C50" s="387" t="s">
        <v>87</v>
      </c>
      <c r="D50" s="387" t="s">
        <v>205</v>
      </c>
      <c r="E50" s="387" t="s">
        <v>96</v>
      </c>
      <c r="F50" s="388">
        <v>32000000</v>
      </c>
      <c r="G50" s="389">
        <v>0</v>
      </c>
      <c r="H50" s="389">
        <v>0</v>
      </c>
      <c r="I50" s="389">
        <v>0</v>
      </c>
      <c r="J50" s="389">
        <v>0</v>
      </c>
      <c r="K50" s="388">
        <v>400000</v>
      </c>
      <c r="L50" s="389">
        <v>0</v>
      </c>
      <c r="M50" s="388">
        <v>32400000</v>
      </c>
      <c r="N50" s="388">
        <v>25400000</v>
      </c>
      <c r="O50" s="389">
        <v>0</v>
      </c>
      <c r="P50" s="388">
        <v>25400000</v>
      </c>
      <c r="Q50" s="388">
        <v>7000000</v>
      </c>
      <c r="R50" s="388">
        <v>25400000</v>
      </c>
      <c r="S50" s="389">
        <v>0</v>
      </c>
      <c r="T50" s="388">
        <v>25400000</v>
      </c>
      <c r="U50" s="388">
        <v>7000000</v>
      </c>
      <c r="V50" s="388">
        <v>6600400</v>
      </c>
      <c r="W50" s="388">
        <v>1750000</v>
      </c>
      <c r="X50" s="388">
        <v>4850400</v>
      </c>
      <c r="Y50" s="388">
        <v>6600400</v>
      </c>
      <c r="Z50" s="388">
        <v>18799600</v>
      </c>
    </row>
    <row r="51" spans="1:26" ht="16.5" hidden="1" customHeight="1">
      <c r="A51" s="387" t="s">
        <v>206</v>
      </c>
      <c r="B51" s="387" t="s">
        <v>207</v>
      </c>
      <c r="C51" s="387" t="s">
        <v>87</v>
      </c>
      <c r="D51" s="387" t="s">
        <v>208</v>
      </c>
      <c r="E51" s="387" t="s">
        <v>96</v>
      </c>
      <c r="F51" s="388">
        <v>2000000</v>
      </c>
      <c r="G51" s="389">
        <v>0</v>
      </c>
      <c r="H51" s="389">
        <v>0</v>
      </c>
      <c r="I51" s="389">
        <v>0</v>
      </c>
      <c r="J51" s="389">
        <v>0</v>
      </c>
      <c r="K51" s="389">
        <v>0</v>
      </c>
      <c r="L51" s="388">
        <v>917572</v>
      </c>
      <c r="M51" s="388">
        <v>1082428</v>
      </c>
      <c r="N51" s="388">
        <v>1082428</v>
      </c>
      <c r="O51" s="389">
        <v>0</v>
      </c>
      <c r="P51" s="388">
        <v>1082428</v>
      </c>
      <c r="Q51" s="389">
        <v>0</v>
      </c>
      <c r="R51" s="389">
        <v>0</v>
      </c>
      <c r="S51" s="389">
        <v>0</v>
      </c>
      <c r="T51" s="389">
        <v>0</v>
      </c>
      <c r="U51" s="388">
        <v>1082428</v>
      </c>
      <c r="V51" s="389">
        <v>0</v>
      </c>
      <c r="W51" s="389">
        <v>0</v>
      </c>
      <c r="X51" s="389">
        <v>0</v>
      </c>
      <c r="Y51" s="389">
        <v>0</v>
      </c>
      <c r="Z51" s="389">
        <v>0</v>
      </c>
    </row>
    <row r="52" spans="1:26" ht="16.5" hidden="1" customHeight="1">
      <c r="A52" s="387" t="s">
        <v>85</v>
      </c>
      <c r="B52" s="387" t="s">
        <v>209</v>
      </c>
      <c r="C52" s="387" t="s">
        <v>87</v>
      </c>
      <c r="D52" s="387" t="s">
        <v>210</v>
      </c>
      <c r="E52" s="387" t="s">
        <v>85</v>
      </c>
      <c r="F52" s="389">
        <v>0</v>
      </c>
      <c r="G52" s="389">
        <v>0</v>
      </c>
      <c r="H52" s="389">
        <v>0</v>
      </c>
      <c r="I52" s="389">
        <v>0</v>
      </c>
      <c r="J52" s="389">
        <v>0</v>
      </c>
      <c r="K52" s="388">
        <v>135198968</v>
      </c>
      <c r="L52" s="388">
        <v>86438489</v>
      </c>
      <c r="M52" s="388">
        <v>48760479</v>
      </c>
      <c r="N52" s="389">
        <v>0</v>
      </c>
      <c r="O52" s="389">
        <v>0</v>
      </c>
      <c r="P52" s="389">
        <v>0</v>
      </c>
      <c r="Q52" s="388">
        <v>48760479</v>
      </c>
      <c r="R52" s="389">
        <v>0</v>
      </c>
      <c r="S52" s="389">
        <v>0</v>
      </c>
      <c r="T52" s="389">
        <v>0</v>
      </c>
      <c r="U52" s="388">
        <v>48760479</v>
      </c>
      <c r="V52" s="389">
        <v>0</v>
      </c>
      <c r="W52" s="389">
        <v>0</v>
      </c>
      <c r="X52" s="389">
        <v>0</v>
      </c>
      <c r="Y52" s="389">
        <v>0</v>
      </c>
      <c r="Z52" s="389">
        <v>0</v>
      </c>
    </row>
    <row r="53" spans="1:26" ht="16.5" hidden="1" customHeight="1">
      <c r="A53" s="387" t="s">
        <v>211</v>
      </c>
      <c r="B53" s="387" t="s">
        <v>212</v>
      </c>
      <c r="C53" s="387" t="s">
        <v>87</v>
      </c>
      <c r="D53" s="387" t="s">
        <v>210</v>
      </c>
      <c r="E53" s="387" t="s">
        <v>96</v>
      </c>
      <c r="F53" s="389">
        <v>0</v>
      </c>
      <c r="G53" s="389">
        <v>0</v>
      </c>
      <c r="H53" s="389">
        <v>0</v>
      </c>
      <c r="I53" s="389">
        <v>0</v>
      </c>
      <c r="J53" s="389">
        <v>0</v>
      </c>
      <c r="K53" s="388">
        <v>135198968</v>
      </c>
      <c r="L53" s="388">
        <v>86438489</v>
      </c>
      <c r="M53" s="388">
        <v>48760479</v>
      </c>
      <c r="N53" s="389">
        <v>0</v>
      </c>
      <c r="O53" s="389">
        <v>0</v>
      </c>
      <c r="P53" s="389">
        <v>0</v>
      </c>
      <c r="Q53" s="388">
        <v>48760479</v>
      </c>
      <c r="R53" s="389">
        <v>0</v>
      </c>
      <c r="S53" s="389">
        <v>0</v>
      </c>
      <c r="T53" s="389">
        <v>0</v>
      </c>
      <c r="U53" s="388">
        <v>48760479</v>
      </c>
      <c r="V53" s="389">
        <v>0</v>
      </c>
      <c r="W53" s="389">
        <v>0</v>
      </c>
      <c r="X53" s="389">
        <v>0</v>
      </c>
      <c r="Y53" s="389">
        <v>0</v>
      </c>
      <c r="Z53" s="389">
        <v>0</v>
      </c>
    </row>
    <row r="54" spans="1:26" ht="16.5" hidden="1" customHeight="1">
      <c r="A54" s="387" t="s">
        <v>85</v>
      </c>
      <c r="B54" s="387" t="s">
        <v>213</v>
      </c>
      <c r="C54" s="387" t="s">
        <v>87</v>
      </c>
      <c r="D54" s="387" t="s">
        <v>214</v>
      </c>
      <c r="E54" s="387" t="s">
        <v>85</v>
      </c>
      <c r="F54" s="388">
        <v>15341058</v>
      </c>
      <c r="G54" s="389">
        <v>0</v>
      </c>
      <c r="H54" s="389">
        <v>0</v>
      </c>
      <c r="I54" s="389">
        <v>0</v>
      </c>
      <c r="J54" s="389">
        <v>0</v>
      </c>
      <c r="K54" s="389">
        <v>0</v>
      </c>
      <c r="L54" s="388">
        <v>6301710</v>
      </c>
      <c r="M54" s="388">
        <v>9039348</v>
      </c>
      <c r="N54" s="388">
        <v>9039348</v>
      </c>
      <c r="O54" s="389">
        <v>0</v>
      </c>
      <c r="P54" s="388">
        <v>9039348</v>
      </c>
      <c r="Q54" s="389">
        <v>0</v>
      </c>
      <c r="R54" s="388">
        <v>9039348</v>
      </c>
      <c r="S54" s="389">
        <v>0</v>
      </c>
      <c r="T54" s="388">
        <v>9039348</v>
      </c>
      <c r="U54" s="389">
        <v>0</v>
      </c>
      <c r="V54" s="388">
        <v>8286069</v>
      </c>
      <c r="W54" s="388">
        <v>7532790</v>
      </c>
      <c r="X54" s="388">
        <v>753279</v>
      </c>
      <c r="Y54" s="388">
        <v>8286069</v>
      </c>
      <c r="Z54" s="388">
        <v>753279</v>
      </c>
    </row>
    <row r="55" spans="1:26" ht="16.5" hidden="1" customHeight="1">
      <c r="A55" s="387" t="s">
        <v>215</v>
      </c>
      <c r="B55" s="387" t="s">
        <v>216</v>
      </c>
      <c r="C55" s="387" t="s">
        <v>87</v>
      </c>
      <c r="D55" s="387" t="s">
        <v>217</v>
      </c>
      <c r="E55" s="387" t="s">
        <v>96</v>
      </c>
      <c r="F55" s="388">
        <v>15341058</v>
      </c>
      <c r="G55" s="389">
        <v>0</v>
      </c>
      <c r="H55" s="389">
        <v>0</v>
      </c>
      <c r="I55" s="389">
        <v>0</v>
      </c>
      <c r="J55" s="389">
        <v>0</v>
      </c>
      <c r="K55" s="389">
        <v>0</v>
      </c>
      <c r="L55" s="388">
        <v>6301710</v>
      </c>
      <c r="M55" s="388">
        <v>9039348</v>
      </c>
      <c r="N55" s="388">
        <v>9039348</v>
      </c>
      <c r="O55" s="389">
        <v>0</v>
      </c>
      <c r="P55" s="388">
        <v>9039348</v>
      </c>
      <c r="Q55" s="389">
        <v>0</v>
      </c>
      <c r="R55" s="388">
        <v>9039348</v>
      </c>
      <c r="S55" s="389">
        <v>0</v>
      </c>
      <c r="T55" s="388">
        <v>9039348</v>
      </c>
      <c r="U55" s="389">
        <v>0</v>
      </c>
      <c r="V55" s="388">
        <v>8286069</v>
      </c>
      <c r="W55" s="388">
        <v>7532790</v>
      </c>
      <c r="X55" s="388">
        <v>753279</v>
      </c>
      <c r="Y55" s="388">
        <v>8286069</v>
      </c>
      <c r="Z55" s="388">
        <v>753279</v>
      </c>
    </row>
    <row r="56" spans="1:26" s="397" customFormat="1" ht="16.5" customHeight="1">
      <c r="A56" s="394" t="s">
        <v>85</v>
      </c>
      <c r="B56" s="394" t="s">
        <v>218</v>
      </c>
      <c r="C56" s="394" t="s">
        <v>87</v>
      </c>
      <c r="D56" s="394" t="s">
        <v>219</v>
      </c>
      <c r="E56" s="394" t="s">
        <v>85</v>
      </c>
      <c r="F56" s="395">
        <v>159336563</v>
      </c>
      <c r="G56" s="396">
        <v>0</v>
      </c>
      <c r="H56" s="396">
        <v>0</v>
      </c>
      <c r="I56" s="396">
        <v>0</v>
      </c>
      <c r="J56" s="396">
        <v>0</v>
      </c>
      <c r="K56" s="395">
        <v>50000000</v>
      </c>
      <c r="L56" s="395">
        <v>159336563</v>
      </c>
      <c r="M56" s="395">
        <v>50000000</v>
      </c>
      <c r="N56" s="396">
        <v>0</v>
      </c>
      <c r="O56" s="396">
        <v>0</v>
      </c>
      <c r="P56" s="396">
        <v>0</v>
      </c>
      <c r="Q56" s="395">
        <v>50000000</v>
      </c>
      <c r="R56" s="396">
        <v>0</v>
      </c>
      <c r="S56" s="396">
        <v>0</v>
      </c>
      <c r="T56" s="396">
        <v>0</v>
      </c>
      <c r="U56" s="395">
        <v>50000000</v>
      </c>
      <c r="V56" s="396">
        <v>0</v>
      </c>
      <c r="W56" s="396">
        <v>0</v>
      </c>
      <c r="X56" s="396">
        <v>0</v>
      </c>
      <c r="Y56" s="396">
        <v>0</v>
      </c>
      <c r="Z56" s="396">
        <v>0</v>
      </c>
    </row>
    <row r="57" spans="1:26" ht="16.5" hidden="1" customHeight="1">
      <c r="A57" s="387" t="s">
        <v>220</v>
      </c>
      <c r="B57" s="387" t="s">
        <v>221</v>
      </c>
      <c r="C57" s="387" t="s">
        <v>87</v>
      </c>
      <c r="D57" s="387" t="s">
        <v>222</v>
      </c>
      <c r="E57" s="387" t="s">
        <v>96</v>
      </c>
      <c r="F57" s="389">
        <v>0</v>
      </c>
      <c r="G57" s="389">
        <v>0</v>
      </c>
      <c r="H57" s="389">
        <v>0</v>
      </c>
      <c r="I57" s="389">
        <v>0</v>
      </c>
      <c r="J57" s="389">
        <v>0</v>
      </c>
      <c r="K57" s="389">
        <v>0</v>
      </c>
      <c r="L57" s="389">
        <v>0</v>
      </c>
      <c r="M57" s="389">
        <v>0</v>
      </c>
      <c r="N57" s="389">
        <v>0</v>
      </c>
      <c r="O57" s="389">
        <v>0</v>
      </c>
      <c r="P57" s="389">
        <v>0</v>
      </c>
      <c r="Q57" s="389">
        <v>0</v>
      </c>
      <c r="R57" s="389">
        <v>0</v>
      </c>
      <c r="S57" s="389">
        <v>0</v>
      </c>
      <c r="T57" s="389">
        <v>0</v>
      </c>
      <c r="U57" s="389">
        <v>0</v>
      </c>
      <c r="V57" s="389">
        <v>0</v>
      </c>
      <c r="W57" s="389">
        <v>0</v>
      </c>
      <c r="X57" s="389">
        <v>0</v>
      </c>
      <c r="Y57" s="389">
        <v>0</v>
      </c>
      <c r="Z57" s="389">
        <v>0</v>
      </c>
    </row>
    <row r="58" spans="1:26" ht="16.5" hidden="1" customHeight="1">
      <c r="A58" s="387" t="s">
        <v>223</v>
      </c>
      <c r="B58" s="387" t="s">
        <v>224</v>
      </c>
      <c r="C58" s="387" t="s">
        <v>87</v>
      </c>
      <c r="D58" s="387" t="s">
        <v>225</v>
      </c>
      <c r="E58" s="387" t="s">
        <v>96</v>
      </c>
      <c r="F58" s="388">
        <v>159336563</v>
      </c>
      <c r="G58" s="389">
        <v>0</v>
      </c>
      <c r="H58" s="389">
        <v>0</v>
      </c>
      <c r="I58" s="389">
        <v>0</v>
      </c>
      <c r="J58" s="389">
        <v>0</v>
      </c>
      <c r="K58" s="388">
        <v>50000000</v>
      </c>
      <c r="L58" s="388">
        <v>159336563</v>
      </c>
      <c r="M58" s="388">
        <v>50000000</v>
      </c>
      <c r="N58" s="389">
        <v>0</v>
      </c>
      <c r="O58" s="389">
        <v>0</v>
      </c>
      <c r="P58" s="389">
        <v>0</v>
      </c>
      <c r="Q58" s="388">
        <v>50000000</v>
      </c>
      <c r="R58" s="389">
        <v>0</v>
      </c>
      <c r="S58" s="389">
        <v>0</v>
      </c>
      <c r="T58" s="389">
        <v>0</v>
      </c>
      <c r="U58" s="388">
        <v>50000000</v>
      </c>
      <c r="V58" s="389">
        <v>0</v>
      </c>
      <c r="W58" s="389">
        <v>0</v>
      </c>
      <c r="X58" s="389">
        <v>0</v>
      </c>
      <c r="Y58" s="389">
        <v>0</v>
      </c>
      <c r="Z58" s="389">
        <v>0</v>
      </c>
    </row>
    <row r="59" spans="1:26" s="405" customFormat="1" ht="16.5" customHeight="1">
      <c r="A59" s="402" t="s">
        <v>85</v>
      </c>
      <c r="B59" s="402" t="s">
        <v>226</v>
      </c>
      <c r="C59" s="402" t="s">
        <v>87</v>
      </c>
      <c r="D59" s="402" t="s">
        <v>227</v>
      </c>
      <c r="E59" s="402" t="s">
        <v>85</v>
      </c>
      <c r="F59" s="403">
        <v>2019349401</v>
      </c>
      <c r="G59" s="403">
        <v>1447299007.71</v>
      </c>
      <c r="H59" s="404">
        <v>0</v>
      </c>
      <c r="I59" s="404">
        <v>0</v>
      </c>
      <c r="J59" s="403">
        <v>330188670</v>
      </c>
      <c r="K59" s="403">
        <v>783895402</v>
      </c>
      <c r="L59" s="403">
        <v>783895402</v>
      </c>
      <c r="M59" s="403">
        <v>3136459738.71</v>
      </c>
      <c r="N59" s="403">
        <v>2157721307</v>
      </c>
      <c r="O59" s="403">
        <v>315858445</v>
      </c>
      <c r="P59" s="403">
        <v>2473579752</v>
      </c>
      <c r="Q59" s="403">
        <v>662879986.71000004</v>
      </c>
      <c r="R59" s="403">
        <v>1145035474</v>
      </c>
      <c r="S59" s="403">
        <v>1078544278</v>
      </c>
      <c r="T59" s="403">
        <v>2223579752</v>
      </c>
      <c r="U59" s="403">
        <v>912879986.71000004</v>
      </c>
      <c r="V59" s="403">
        <v>1906370664.6700001</v>
      </c>
      <c r="W59" s="403">
        <v>790880594</v>
      </c>
      <c r="X59" s="403">
        <v>107490070.67</v>
      </c>
      <c r="Y59" s="403">
        <v>898370664.66999996</v>
      </c>
      <c r="Z59" s="403">
        <v>1325209087.3299999</v>
      </c>
    </row>
    <row r="60" spans="1:26" ht="16.5" hidden="1" customHeight="1">
      <c r="A60" s="387" t="s">
        <v>85</v>
      </c>
      <c r="B60" s="387" t="s">
        <v>228</v>
      </c>
      <c r="C60" s="387" t="s">
        <v>87</v>
      </c>
      <c r="D60" s="387" t="s">
        <v>229</v>
      </c>
      <c r="E60" s="387" t="s">
        <v>85</v>
      </c>
      <c r="F60" s="388">
        <v>2019349401</v>
      </c>
      <c r="G60" s="388">
        <v>1447299007.71</v>
      </c>
      <c r="H60" s="389">
        <v>0</v>
      </c>
      <c r="I60" s="389">
        <v>0</v>
      </c>
      <c r="J60" s="388">
        <v>330188670</v>
      </c>
      <c r="K60" s="388">
        <v>783895402</v>
      </c>
      <c r="L60" s="388">
        <v>783895402</v>
      </c>
      <c r="M60" s="388">
        <v>3136459738.71</v>
      </c>
      <c r="N60" s="388">
        <v>2157721307</v>
      </c>
      <c r="O60" s="388">
        <v>315858445</v>
      </c>
      <c r="P60" s="388">
        <v>2473579752</v>
      </c>
      <c r="Q60" s="388">
        <v>662879986.71000004</v>
      </c>
      <c r="R60" s="388">
        <v>1145035474</v>
      </c>
      <c r="S60" s="388">
        <v>1078544278</v>
      </c>
      <c r="T60" s="388">
        <v>2223579752</v>
      </c>
      <c r="U60" s="388">
        <v>912879986.71000004</v>
      </c>
      <c r="V60" s="388">
        <v>1906370664.6700001</v>
      </c>
      <c r="W60" s="388">
        <v>790880594</v>
      </c>
      <c r="X60" s="388">
        <v>107490070.67</v>
      </c>
      <c r="Y60" s="388">
        <v>898370664.66999996</v>
      </c>
      <c r="Z60" s="388">
        <v>1325209087.3299999</v>
      </c>
    </row>
    <row r="61" spans="1:26" ht="16.5" hidden="1" customHeight="1">
      <c r="A61" s="387" t="s">
        <v>85</v>
      </c>
      <c r="B61" s="387" t="s">
        <v>230</v>
      </c>
      <c r="C61" s="387" t="s">
        <v>87</v>
      </c>
      <c r="D61" s="387" t="s">
        <v>231</v>
      </c>
      <c r="E61" s="387" t="s">
        <v>85</v>
      </c>
      <c r="F61" s="388">
        <v>2019349401</v>
      </c>
      <c r="G61" s="388">
        <v>1447299007.71</v>
      </c>
      <c r="H61" s="389">
        <v>0</v>
      </c>
      <c r="I61" s="389">
        <v>0</v>
      </c>
      <c r="J61" s="388">
        <v>330188670</v>
      </c>
      <c r="K61" s="388">
        <v>783895402</v>
      </c>
      <c r="L61" s="388">
        <v>783895402</v>
      </c>
      <c r="M61" s="388">
        <v>3136459738.71</v>
      </c>
      <c r="N61" s="388">
        <v>2157721307</v>
      </c>
      <c r="O61" s="388">
        <v>315858445</v>
      </c>
      <c r="P61" s="388">
        <v>2473579752</v>
      </c>
      <c r="Q61" s="388">
        <v>662879986.71000004</v>
      </c>
      <c r="R61" s="388">
        <v>1145035474</v>
      </c>
      <c r="S61" s="388">
        <v>1078544278</v>
      </c>
      <c r="T61" s="388">
        <v>2223579752</v>
      </c>
      <c r="U61" s="388">
        <v>912879986.71000004</v>
      </c>
      <c r="V61" s="388">
        <v>1906370664.6700001</v>
      </c>
      <c r="W61" s="388">
        <v>790880594</v>
      </c>
      <c r="X61" s="388">
        <v>107490070.67</v>
      </c>
      <c r="Y61" s="388">
        <v>898370664.66999996</v>
      </c>
      <c r="Z61" s="388">
        <v>1325209087.3299999</v>
      </c>
    </row>
    <row r="62" spans="1:26" ht="16.5" hidden="1" customHeight="1">
      <c r="A62" s="387" t="s">
        <v>85</v>
      </c>
      <c r="B62" s="387" t="s">
        <v>232</v>
      </c>
      <c r="C62" s="387" t="s">
        <v>87</v>
      </c>
      <c r="D62" s="387" t="s">
        <v>233</v>
      </c>
      <c r="E62" s="387" t="s">
        <v>85</v>
      </c>
      <c r="F62" s="388">
        <v>1742919401</v>
      </c>
      <c r="G62" s="388">
        <v>1377299007.71</v>
      </c>
      <c r="H62" s="389">
        <v>0</v>
      </c>
      <c r="I62" s="389">
        <v>0</v>
      </c>
      <c r="J62" s="388">
        <v>220188670</v>
      </c>
      <c r="K62" s="388">
        <v>747095402</v>
      </c>
      <c r="L62" s="388">
        <v>783895402</v>
      </c>
      <c r="M62" s="388">
        <v>2863229738.71</v>
      </c>
      <c r="N62" s="388">
        <v>1968271308</v>
      </c>
      <c r="O62" s="388">
        <v>267306438</v>
      </c>
      <c r="P62" s="388">
        <v>2235577746</v>
      </c>
      <c r="Q62" s="388">
        <v>627651992.71000004</v>
      </c>
      <c r="R62" s="388">
        <v>955585475</v>
      </c>
      <c r="S62" s="388">
        <v>1029992271</v>
      </c>
      <c r="T62" s="388">
        <v>1985577746</v>
      </c>
      <c r="U62" s="388">
        <v>877651992.71000004</v>
      </c>
      <c r="V62" s="388">
        <v>1747170667.6700001</v>
      </c>
      <c r="W62" s="388">
        <v>681874597</v>
      </c>
      <c r="X62" s="388">
        <v>57296070.670000002</v>
      </c>
      <c r="Y62" s="388">
        <v>739170667.66999996</v>
      </c>
      <c r="Z62" s="388">
        <v>1246407078.3299999</v>
      </c>
    </row>
    <row r="63" spans="1:26" s="397" customFormat="1" ht="16.5" customHeight="1">
      <c r="A63" s="394" t="s">
        <v>234</v>
      </c>
      <c r="B63" s="394" t="s">
        <v>47</v>
      </c>
      <c r="C63" s="394" t="s">
        <v>87</v>
      </c>
      <c r="D63" s="394" t="s">
        <v>235</v>
      </c>
      <c r="E63" s="394" t="s">
        <v>96</v>
      </c>
      <c r="F63" s="395">
        <v>801605000</v>
      </c>
      <c r="G63" s="396">
        <v>0</v>
      </c>
      <c r="H63" s="396">
        <v>0</v>
      </c>
      <c r="I63" s="396">
        <v>0</v>
      </c>
      <c r="J63" s="395">
        <v>95023999</v>
      </c>
      <c r="K63" s="396">
        <v>0</v>
      </c>
      <c r="L63" s="395">
        <v>456581001</v>
      </c>
      <c r="M63" s="395">
        <v>250000000</v>
      </c>
      <c r="N63" s="396">
        <v>0</v>
      </c>
      <c r="O63" s="395">
        <v>250000000</v>
      </c>
      <c r="P63" s="395">
        <v>250000000</v>
      </c>
      <c r="Q63" s="396">
        <v>0</v>
      </c>
      <c r="R63" s="396">
        <v>0</v>
      </c>
      <c r="S63" s="396">
        <v>0</v>
      </c>
      <c r="T63" s="396">
        <v>0</v>
      </c>
      <c r="U63" s="395">
        <v>250000000</v>
      </c>
      <c r="V63" s="396">
        <v>0</v>
      </c>
      <c r="W63" s="396">
        <v>0</v>
      </c>
      <c r="X63" s="396">
        <v>0</v>
      </c>
      <c r="Y63" s="396">
        <v>0</v>
      </c>
      <c r="Z63" s="396">
        <v>0</v>
      </c>
    </row>
    <row r="64" spans="1:26" s="397" customFormat="1" ht="16.5" customHeight="1">
      <c r="A64" s="394" t="s">
        <v>236</v>
      </c>
      <c r="B64" s="394" t="s">
        <v>49</v>
      </c>
      <c r="C64" s="394" t="s">
        <v>87</v>
      </c>
      <c r="D64" s="394" t="s">
        <v>237</v>
      </c>
      <c r="E64" s="394" t="s">
        <v>96</v>
      </c>
      <c r="F64" s="395">
        <v>77314401</v>
      </c>
      <c r="G64" s="395">
        <v>1154271068.71</v>
      </c>
      <c r="H64" s="396">
        <v>0</v>
      </c>
      <c r="I64" s="396">
        <v>0</v>
      </c>
      <c r="J64" s="395">
        <v>125164671</v>
      </c>
      <c r="K64" s="395">
        <v>500000000</v>
      </c>
      <c r="L64" s="395">
        <v>77314401</v>
      </c>
      <c r="M64" s="395">
        <v>1529106397.71</v>
      </c>
      <c r="N64" s="395">
        <v>1510500000</v>
      </c>
      <c r="O64" s="396">
        <v>0</v>
      </c>
      <c r="P64" s="395">
        <v>1510500000</v>
      </c>
      <c r="Q64" s="395">
        <v>18606397.710000001</v>
      </c>
      <c r="R64" s="395">
        <v>510500000</v>
      </c>
      <c r="S64" s="395">
        <v>1000000000</v>
      </c>
      <c r="T64" s="395">
        <v>1510500000</v>
      </c>
      <c r="U64" s="395">
        <v>18606397.710000001</v>
      </c>
      <c r="V64" s="395">
        <v>1504316666</v>
      </c>
      <c r="W64" s="395">
        <v>500816666</v>
      </c>
      <c r="X64" s="395">
        <v>3500000</v>
      </c>
      <c r="Y64" s="395">
        <v>504316666</v>
      </c>
      <c r="Z64" s="395">
        <v>1006183334</v>
      </c>
    </row>
    <row r="65" spans="1:26" s="397" customFormat="1" ht="16.5" customHeight="1">
      <c r="A65" s="394" t="s">
        <v>238</v>
      </c>
      <c r="B65" s="394" t="s">
        <v>48</v>
      </c>
      <c r="C65" s="394" t="s">
        <v>87</v>
      </c>
      <c r="D65" s="394" t="s">
        <v>239</v>
      </c>
      <c r="E65" s="394" t="s">
        <v>96</v>
      </c>
      <c r="F65" s="395">
        <v>864000000</v>
      </c>
      <c r="G65" s="395">
        <v>223027939</v>
      </c>
      <c r="H65" s="396">
        <v>0</v>
      </c>
      <c r="I65" s="396">
        <v>0</v>
      </c>
      <c r="J65" s="396">
        <v>0</v>
      </c>
      <c r="K65" s="395">
        <v>247095402</v>
      </c>
      <c r="L65" s="395">
        <v>250000000</v>
      </c>
      <c r="M65" s="395">
        <v>1084123341</v>
      </c>
      <c r="N65" s="395">
        <v>457771308</v>
      </c>
      <c r="O65" s="395">
        <v>17306438</v>
      </c>
      <c r="P65" s="395">
        <v>475077746</v>
      </c>
      <c r="Q65" s="395">
        <v>609045595</v>
      </c>
      <c r="R65" s="395">
        <v>445085475</v>
      </c>
      <c r="S65" s="395">
        <v>29992271</v>
      </c>
      <c r="T65" s="395">
        <v>475077746</v>
      </c>
      <c r="U65" s="395">
        <v>609045595</v>
      </c>
      <c r="V65" s="395">
        <v>242854001.66999999</v>
      </c>
      <c r="W65" s="395">
        <v>181057931</v>
      </c>
      <c r="X65" s="395">
        <v>53796070.670000002</v>
      </c>
      <c r="Y65" s="395">
        <v>234854001.66999999</v>
      </c>
      <c r="Z65" s="395">
        <v>240223744.33000001</v>
      </c>
    </row>
    <row r="66" spans="1:26" s="397" customFormat="1" ht="16.5" hidden="1" customHeight="1">
      <c r="A66" s="394" t="s">
        <v>85</v>
      </c>
      <c r="B66" s="394" t="s">
        <v>240</v>
      </c>
      <c r="C66" s="394" t="s">
        <v>87</v>
      </c>
      <c r="D66" s="394" t="s">
        <v>241</v>
      </c>
      <c r="E66" s="394" t="s">
        <v>85</v>
      </c>
      <c r="F66" s="395">
        <v>276430000</v>
      </c>
      <c r="G66" s="395">
        <v>70000000</v>
      </c>
      <c r="H66" s="396">
        <v>0</v>
      </c>
      <c r="I66" s="396">
        <v>0</v>
      </c>
      <c r="J66" s="395">
        <v>110000000</v>
      </c>
      <c r="K66" s="395">
        <v>36800000</v>
      </c>
      <c r="L66" s="396">
        <v>0</v>
      </c>
      <c r="M66" s="395">
        <v>273230000</v>
      </c>
      <c r="N66" s="395">
        <v>189449999</v>
      </c>
      <c r="O66" s="395">
        <v>48552007</v>
      </c>
      <c r="P66" s="395">
        <v>238002006</v>
      </c>
      <c r="Q66" s="395">
        <v>35227994</v>
      </c>
      <c r="R66" s="395">
        <v>189449999</v>
      </c>
      <c r="S66" s="395">
        <v>48552007</v>
      </c>
      <c r="T66" s="395">
        <v>238002006</v>
      </c>
      <c r="U66" s="395">
        <v>35227994</v>
      </c>
      <c r="V66" s="395">
        <v>159199997</v>
      </c>
      <c r="W66" s="395">
        <v>109005997</v>
      </c>
      <c r="X66" s="395">
        <v>50194000</v>
      </c>
      <c r="Y66" s="395">
        <v>159199997</v>
      </c>
      <c r="Z66" s="395">
        <v>78802009</v>
      </c>
    </row>
    <row r="67" spans="1:26" s="397" customFormat="1" ht="16.5" customHeight="1">
      <c r="A67" s="394" t="s">
        <v>242</v>
      </c>
      <c r="B67" s="394" t="s">
        <v>50</v>
      </c>
      <c r="C67" s="394" t="s">
        <v>87</v>
      </c>
      <c r="D67" s="394" t="s">
        <v>243</v>
      </c>
      <c r="E67" s="394" t="s">
        <v>96</v>
      </c>
      <c r="F67" s="395">
        <v>166430000</v>
      </c>
      <c r="G67" s="395">
        <v>70000000</v>
      </c>
      <c r="H67" s="396">
        <v>0</v>
      </c>
      <c r="I67" s="396">
        <v>0</v>
      </c>
      <c r="J67" s="396">
        <v>0</v>
      </c>
      <c r="K67" s="395">
        <v>36800000</v>
      </c>
      <c r="L67" s="396">
        <v>0</v>
      </c>
      <c r="M67" s="395">
        <v>273230000</v>
      </c>
      <c r="N67" s="395">
        <v>189449999</v>
      </c>
      <c r="O67" s="395">
        <v>48552007</v>
      </c>
      <c r="P67" s="395">
        <v>238002006</v>
      </c>
      <c r="Q67" s="395">
        <v>35227994</v>
      </c>
      <c r="R67" s="395">
        <v>189449999</v>
      </c>
      <c r="S67" s="395">
        <v>48552007</v>
      </c>
      <c r="T67" s="395">
        <v>238002006</v>
      </c>
      <c r="U67" s="395">
        <v>35227994</v>
      </c>
      <c r="V67" s="395">
        <v>159199997</v>
      </c>
      <c r="W67" s="395">
        <v>109005997</v>
      </c>
      <c r="X67" s="395">
        <v>50194000</v>
      </c>
      <c r="Y67" s="395">
        <v>159199997</v>
      </c>
      <c r="Z67" s="395">
        <v>78802009</v>
      </c>
    </row>
    <row r="68" spans="1:26" ht="16.5" customHeight="1">
      <c r="A68" s="387" t="s">
        <v>244</v>
      </c>
      <c r="B68" s="387" t="s">
        <v>245</v>
      </c>
      <c r="C68" s="387" t="s">
        <v>87</v>
      </c>
      <c r="D68" s="387" t="s">
        <v>246</v>
      </c>
      <c r="E68" s="387" t="s">
        <v>96</v>
      </c>
      <c r="F68" s="388">
        <v>110000000</v>
      </c>
      <c r="G68" s="389">
        <v>0</v>
      </c>
      <c r="H68" s="389">
        <v>0</v>
      </c>
      <c r="I68" s="389">
        <v>0</v>
      </c>
      <c r="J68" s="388">
        <v>110000000</v>
      </c>
      <c r="K68" s="389">
        <v>0</v>
      </c>
      <c r="L68" s="389">
        <v>0</v>
      </c>
      <c r="M68" s="389">
        <v>0</v>
      </c>
      <c r="N68" s="389">
        <v>0</v>
      </c>
      <c r="O68" s="389">
        <v>0</v>
      </c>
      <c r="P68" s="389">
        <v>0</v>
      </c>
      <c r="Q68" s="389">
        <v>0</v>
      </c>
      <c r="R68" s="389">
        <v>0</v>
      </c>
      <c r="S68" s="389">
        <v>0</v>
      </c>
      <c r="T68" s="389">
        <v>0</v>
      </c>
      <c r="U68" s="389">
        <v>0</v>
      </c>
      <c r="V68" s="389">
        <v>0</v>
      </c>
      <c r="W68" s="389">
        <v>0</v>
      </c>
      <c r="X68" s="389">
        <v>0</v>
      </c>
      <c r="Y68" s="389">
        <v>0</v>
      </c>
      <c r="Z68" s="389">
        <v>0</v>
      </c>
    </row>
    <row r="69" spans="1:26" ht="16.5" customHeight="1">
      <c r="A69" s="387" t="s">
        <v>247</v>
      </c>
      <c r="B69" s="387" t="s">
        <v>248</v>
      </c>
      <c r="C69" s="387" t="s">
        <v>87</v>
      </c>
      <c r="D69" s="387" t="s">
        <v>249</v>
      </c>
      <c r="E69" s="387" t="s">
        <v>96</v>
      </c>
      <c r="F69" s="389">
        <v>0</v>
      </c>
      <c r="G69" s="389">
        <v>0</v>
      </c>
      <c r="H69" s="389">
        <v>0</v>
      </c>
      <c r="I69" s="389">
        <v>0</v>
      </c>
      <c r="J69" s="389">
        <v>0</v>
      </c>
      <c r="K69" s="389">
        <v>0</v>
      </c>
      <c r="L69" s="389">
        <v>0</v>
      </c>
      <c r="M69" s="389">
        <v>0</v>
      </c>
      <c r="N69" s="389">
        <v>0</v>
      </c>
      <c r="O69" s="389">
        <v>0</v>
      </c>
      <c r="P69" s="389">
        <v>0</v>
      </c>
      <c r="Q69" s="389">
        <v>0</v>
      </c>
      <c r="R69" s="389">
        <v>0</v>
      </c>
      <c r="S69" s="389">
        <v>0</v>
      </c>
      <c r="T69" s="389">
        <v>0</v>
      </c>
      <c r="U69" s="389">
        <v>0</v>
      </c>
      <c r="V69" s="389">
        <v>0</v>
      </c>
      <c r="W69" s="389">
        <v>0</v>
      </c>
      <c r="X69" s="389">
        <v>0</v>
      </c>
      <c r="Y69" s="389">
        <v>0</v>
      </c>
      <c r="Z69" s="389">
        <v>0</v>
      </c>
    </row>
  </sheetData>
  <mergeCells count="6">
    <mergeCell ref="A6:Z6"/>
    <mergeCell ref="A1:Z1"/>
    <mergeCell ref="A2:Z2"/>
    <mergeCell ref="A3:Z3"/>
    <mergeCell ref="A4:Z4"/>
    <mergeCell ref="A5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71"/>
  <sheetViews>
    <sheetView topLeftCell="A5" zoomScale="85" zoomScaleNormal="85" workbookViewId="0">
      <pane xSplit="10" ySplit="2" topLeftCell="K18" activePane="bottomRight" state="frozen"/>
      <selection activeCell="A5" sqref="A5"/>
      <selection pane="topRight" activeCell="K5" sqref="K5"/>
      <selection pane="bottomLeft" activeCell="A7" sqref="A7"/>
      <selection pane="bottomRight" activeCell="Q17" sqref="Q17:Q33"/>
    </sheetView>
  </sheetViews>
  <sheetFormatPr baseColWidth="10" defaultColWidth="10.75" defaultRowHeight="15.75"/>
  <cols>
    <col min="1" max="1" width="0.75" style="153" customWidth="1"/>
    <col min="2" max="2" width="2.5" style="153" customWidth="1"/>
    <col min="3" max="3" width="8" style="153" customWidth="1"/>
    <col min="4" max="4" width="10" style="153" customWidth="1"/>
    <col min="5" max="5" width="8.375" style="153" customWidth="1"/>
    <col min="6" max="6" width="11" style="153" customWidth="1"/>
    <col min="7" max="7" width="8" style="153" customWidth="1"/>
    <col min="8" max="8" width="19.375" style="153" customWidth="1"/>
    <col min="9" max="9" width="12.375" style="153" customWidth="1"/>
    <col min="10" max="10" width="10.5" style="153" customWidth="1"/>
    <col min="11" max="14" width="6.375" style="153" customWidth="1"/>
    <col min="15" max="15" width="23.125" style="153" customWidth="1"/>
    <col min="16" max="16" width="6" style="153" customWidth="1"/>
    <col min="17" max="17" width="16.875" style="153" customWidth="1"/>
    <col min="18" max="18" width="10.75" style="153" customWidth="1"/>
    <col min="19" max="19" width="12.5" style="155" customWidth="1"/>
    <col min="20" max="21" width="5" style="153" customWidth="1"/>
    <col min="22" max="22" width="3.875" style="153" customWidth="1"/>
    <col min="23" max="23" width="14.375" style="212" customWidth="1"/>
    <col min="24" max="24" width="17.875" style="155" customWidth="1"/>
    <col min="25" max="25" width="2" style="155" customWidth="1"/>
    <col min="26" max="26" width="13.875" style="155" customWidth="1"/>
    <col min="27" max="27" width="13.625" style="155" customWidth="1"/>
    <col min="28" max="28" width="15.125" style="155" customWidth="1"/>
    <col min="29" max="29" width="15.25" style="155" customWidth="1"/>
    <col min="30" max="30" width="12.875" style="156" customWidth="1"/>
    <col min="31" max="31" width="12.875" style="155" customWidth="1"/>
    <col min="32" max="32" width="12.75" style="155" customWidth="1"/>
    <col min="33" max="33" width="15.75" style="155" customWidth="1"/>
    <col min="34" max="34" width="14.5" style="155" customWidth="1"/>
    <col min="35" max="37" width="21" style="155" customWidth="1"/>
    <col min="38" max="256" width="10.75" style="153"/>
    <col min="257" max="257" width="0.75" style="153" customWidth="1"/>
    <col min="258" max="258" width="2.5" style="153" customWidth="1"/>
    <col min="259" max="259" width="8" style="153" customWidth="1"/>
    <col min="260" max="260" width="10" style="153" customWidth="1"/>
    <col min="261" max="261" width="8.375" style="153" customWidth="1"/>
    <col min="262" max="262" width="11" style="153" customWidth="1"/>
    <col min="263" max="263" width="8" style="153" customWidth="1"/>
    <col min="264" max="264" width="19.375" style="153" customWidth="1"/>
    <col min="265" max="265" width="12.375" style="153" customWidth="1"/>
    <col min="266" max="266" width="10.5" style="153" customWidth="1"/>
    <col min="267" max="270" width="6.375" style="153" customWidth="1"/>
    <col min="271" max="271" width="23.125" style="153" customWidth="1"/>
    <col min="272" max="272" width="6" style="153" customWidth="1"/>
    <col min="273" max="273" width="16.875" style="153" customWidth="1"/>
    <col min="274" max="274" width="10.75" style="153" customWidth="1"/>
    <col min="275" max="275" width="12.5" style="153" customWidth="1"/>
    <col min="276" max="277" width="5" style="153" customWidth="1"/>
    <col min="278" max="278" width="3.875" style="153" customWidth="1"/>
    <col min="279" max="279" width="14.375" style="153" customWidth="1"/>
    <col min="280" max="280" width="17.875" style="153" customWidth="1"/>
    <col min="281" max="281" width="2" style="153" customWidth="1"/>
    <col min="282" max="282" width="13.875" style="153" customWidth="1"/>
    <col min="283" max="283" width="13.625" style="153" customWidth="1"/>
    <col min="284" max="284" width="15.125" style="153" customWidth="1"/>
    <col min="285" max="285" width="15.25" style="153" customWidth="1"/>
    <col min="286" max="287" width="12.875" style="153" customWidth="1"/>
    <col min="288" max="288" width="12.75" style="153" customWidth="1"/>
    <col min="289" max="289" width="15.75" style="153" customWidth="1"/>
    <col min="290" max="290" width="14.5" style="153" customWidth="1"/>
    <col min="291" max="293" width="21" style="153" customWidth="1"/>
    <col min="294" max="512" width="10.75" style="153"/>
    <col min="513" max="513" width="0.75" style="153" customWidth="1"/>
    <col min="514" max="514" width="2.5" style="153" customWidth="1"/>
    <col min="515" max="515" width="8" style="153" customWidth="1"/>
    <col min="516" max="516" width="10" style="153" customWidth="1"/>
    <col min="517" max="517" width="8.375" style="153" customWidth="1"/>
    <col min="518" max="518" width="11" style="153" customWidth="1"/>
    <col min="519" max="519" width="8" style="153" customWidth="1"/>
    <col min="520" max="520" width="19.375" style="153" customWidth="1"/>
    <col min="521" max="521" width="12.375" style="153" customWidth="1"/>
    <col min="522" max="522" width="10.5" style="153" customWidth="1"/>
    <col min="523" max="526" width="6.375" style="153" customWidth="1"/>
    <col min="527" max="527" width="23.125" style="153" customWidth="1"/>
    <col min="528" max="528" width="6" style="153" customWidth="1"/>
    <col min="529" max="529" width="16.875" style="153" customWidth="1"/>
    <col min="530" max="530" width="10.75" style="153" customWidth="1"/>
    <col min="531" max="531" width="12.5" style="153" customWidth="1"/>
    <col min="532" max="533" width="5" style="153" customWidth="1"/>
    <col min="534" max="534" width="3.875" style="153" customWidth="1"/>
    <col min="535" max="535" width="14.375" style="153" customWidth="1"/>
    <col min="536" max="536" width="17.875" style="153" customWidth="1"/>
    <col min="537" max="537" width="2" style="153" customWidth="1"/>
    <col min="538" max="538" width="13.875" style="153" customWidth="1"/>
    <col min="539" max="539" width="13.625" style="153" customWidth="1"/>
    <col min="540" max="540" width="15.125" style="153" customWidth="1"/>
    <col min="541" max="541" width="15.25" style="153" customWidth="1"/>
    <col min="542" max="543" width="12.875" style="153" customWidth="1"/>
    <col min="544" max="544" width="12.75" style="153" customWidth="1"/>
    <col min="545" max="545" width="15.75" style="153" customWidth="1"/>
    <col min="546" max="546" width="14.5" style="153" customWidth="1"/>
    <col min="547" max="549" width="21" style="153" customWidth="1"/>
    <col min="550" max="768" width="10.75" style="153"/>
    <col min="769" max="769" width="0.75" style="153" customWidth="1"/>
    <col min="770" max="770" width="2.5" style="153" customWidth="1"/>
    <col min="771" max="771" width="8" style="153" customWidth="1"/>
    <col min="772" max="772" width="10" style="153" customWidth="1"/>
    <col min="773" max="773" width="8.375" style="153" customWidth="1"/>
    <col min="774" max="774" width="11" style="153" customWidth="1"/>
    <col min="775" max="775" width="8" style="153" customWidth="1"/>
    <col min="776" max="776" width="19.375" style="153" customWidth="1"/>
    <col min="777" max="777" width="12.375" style="153" customWidth="1"/>
    <col min="778" max="778" width="10.5" style="153" customWidth="1"/>
    <col min="779" max="782" width="6.375" style="153" customWidth="1"/>
    <col min="783" max="783" width="23.125" style="153" customWidth="1"/>
    <col min="784" max="784" width="6" style="153" customWidth="1"/>
    <col min="785" max="785" width="16.875" style="153" customWidth="1"/>
    <col min="786" max="786" width="10.75" style="153" customWidth="1"/>
    <col min="787" max="787" width="12.5" style="153" customWidth="1"/>
    <col min="788" max="789" width="5" style="153" customWidth="1"/>
    <col min="790" max="790" width="3.875" style="153" customWidth="1"/>
    <col min="791" max="791" width="14.375" style="153" customWidth="1"/>
    <col min="792" max="792" width="17.875" style="153" customWidth="1"/>
    <col min="793" max="793" width="2" style="153" customWidth="1"/>
    <col min="794" max="794" width="13.875" style="153" customWidth="1"/>
    <col min="795" max="795" width="13.625" style="153" customWidth="1"/>
    <col min="796" max="796" width="15.125" style="153" customWidth="1"/>
    <col min="797" max="797" width="15.25" style="153" customWidth="1"/>
    <col min="798" max="799" width="12.875" style="153" customWidth="1"/>
    <col min="800" max="800" width="12.75" style="153" customWidth="1"/>
    <col min="801" max="801" width="15.75" style="153" customWidth="1"/>
    <col min="802" max="802" width="14.5" style="153" customWidth="1"/>
    <col min="803" max="805" width="21" style="153" customWidth="1"/>
    <col min="806" max="1024" width="10.75" style="153"/>
    <col min="1025" max="1025" width="0.75" style="153" customWidth="1"/>
    <col min="1026" max="1026" width="2.5" style="153" customWidth="1"/>
    <col min="1027" max="1027" width="8" style="153" customWidth="1"/>
    <col min="1028" max="1028" width="10" style="153" customWidth="1"/>
    <col min="1029" max="1029" width="8.375" style="153" customWidth="1"/>
    <col min="1030" max="1030" width="11" style="153" customWidth="1"/>
    <col min="1031" max="1031" width="8" style="153" customWidth="1"/>
    <col min="1032" max="1032" width="19.375" style="153" customWidth="1"/>
    <col min="1033" max="1033" width="12.375" style="153" customWidth="1"/>
    <col min="1034" max="1034" width="10.5" style="153" customWidth="1"/>
    <col min="1035" max="1038" width="6.375" style="153" customWidth="1"/>
    <col min="1039" max="1039" width="23.125" style="153" customWidth="1"/>
    <col min="1040" max="1040" width="6" style="153" customWidth="1"/>
    <col min="1041" max="1041" width="16.875" style="153" customWidth="1"/>
    <col min="1042" max="1042" width="10.75" style="153" customWidth="1"/>
    <col min="1043" max="1043" width="12.5" style="153" customWidth="1"/>
    <col min="1044" max="1045" width="5" style="153" customWidth="1"/>
    <col min="1046" max="1046" width="3.875" style="153" customWidth="1"/>
    <col min="1047" max="1047" width="14.375" style="153" customWidth="1"/>
    <col min="1048" max="1048" width="17.875" style="153" customWidth="1"/>
    <col min="1049" max="1049" width="2" style="153" customWidth="1"/>
    <col min="1050" max="1050" width="13.875" style="153" customWidth="1"/>
    <col min="1051" max="1051" width="13.625" style="153" customWidth="1"/>
    <col min="1052" max="1052" width="15.125" style="153" customWidth="1"/>
    <col min="1053" max="1053" width="15.25" style="153" customWidth="1"/>
    <col min="1054" max="1055" width="12.875" style="153" customWidth="1"/>
    <col min="1056" max="1056" width="12.75" style="153" customWidth="1"/>
    <col min="1057" max="1057" width="15.75" style="153" customWidth="1"/>
    <col min="1058" max="1058" width="14.5" style="153" customWidth="1"/>
    <col min="1059" max="1061" width="21" style="153" customWidth="1"/>
    <col min="1062" max="1280" width="10.75" style="153"/>
    <col min="1281" max="1281" width="0.75" style="153" customWidth="1"/>
    <col min="1282" max="1282" width="2.5" style="153" customWidth="1"/>
    <col min="1283" max="1283" width="8" style="153" customWidth="1"/>
    <col min="1284" max="1284" width="10" style="153" customWidth="1"/>
    <col min="1285" max="1285" width="8.375" style="153" customWidth="1"/>
    <col min="1286" max="1286" width="11" style="153" customWidth="1"/>
    <col min="1287" max="1287" width="8" style="153" customWidth="1"/>
    <col min="1288" max="1288" width="19.375" style="153" customWidth="1"/>
    <col min="1289" max="1289" width="12.375" style="153" customWidth="1"/>
    <col min="1290" max="1290" width="10.5" style="153" customWidth="1"/>
    <col min="1291" max="1294" width="6.375" style="153" customWidth="1"/>
    <col min="1295" max="1295" width="23.125" style="153" customWidth="1"/>
    <col min="1296" max="1296" width="6" style="153" customWidth="1"/>
    <col min="1297" max="1297" width="16.875" style="153" customWidth="1"/>
    <col min="1298" max="1298" width="10.75" style="153" customWidth="1"/>
    <col min="1299" max="1299" width="12.5" style="153" customWidth="1"/>
    <col min="1300" max="1301" width="5" style="153" customWidth="1"/>
    <col min="1302" max="1302" width="3.875" style="153" customWidth="1"/>
    <col min="1303" max="1303" width="14.375" style="153" customWidth="1"/>
    <col min="1304" max="1304" width="17.875" style="153" customWidth="1"/>
    <col min="1305" max="1305" width="2" style="153" customWidth="1"/>
    <col min="1306" max="1306" width="13.875" style="153" customWidth="1"/>
    <col min="1307" max="1307" width="13.625" style="153" customWidth="1"/>
    <col min="1308" max="1308" width="15.125" style="153" customWidth="1"/>
    <col min="1309" max="1309" width="15.25" style="153" customWidth="1"/>
    <col min="1310" max="1311" width="12.875" style="153" customWidth="1"/>
    <col min="1312" max="1312" width="12.75" style="153" customWidth="1"/>
    <col min="1313" max="1313" width="15.75" style="153" customWidth="1"/>
    <col min="1314" max="1314" width="14.5" style="153" customWidth="1"/>
    <col min="1315" max="1317" width="21" style="153" customWidth="1"/>
    <col min="1318" max="1536" width="10.75" style="153"/>
    <col min="1537" max="1537" width="0.75" style="153" customWidth="1"/>
    <col min="1538" max="1538" width="2.5" style="153" customWidth="1"/>
    <col min="1539" max="1539" width="8" style="153" customWidth="1"/>
    <col min="1540" max="1540" width="10" style="153" customWidth="1"/>
    <col min="1541" max="1541" width="8.375" style="153" customWidth="1"/>
    <col min="1542" max="1542" width="11" style="153" customWidth="1"/>
    <col min="1543" max="1543" width="8" style="153" customWidth="1"/>
    <col min="1544" max="1544" width="19.375" style="153" customWidth="1"/>
    <col min="1545" max="1545" width="12.375" style="153" customWidth="1"/>
    <col min="1546" max="1546" width="10.5" style="153" customWidth="1"/>
    <col min="1547" max="1550" width="6.375" style="153" customWidth="1"/>
    <col min="1551" max="1551" width="23.125" style="153" customWidth="1"/>
    <col min="1552" max="1552" width="6" style="153" customWidth="1"/>
    <col min="1553" max="1553" width="16.875" style="153" customWidth="1"/>
    <col min="1554" max="1554" width="10.75" style="153" customWidth="1"/>
    <col min="1555" max="1555" width="12.5" style="153" customWidth="1"/>
    <col min="1556" max="1557" width="5" style="153" customWidth="1"/>
    <col min="1558" max="1558" width="3.875" style="153" customWidth="1"/>
    <col min="1559" max="1559" width="14.375" style="153" customWidth="1"/>
    <col min="1560" max="1560" width="17.875" style="153" customWidth="1"/>
    <col min="1561" max="1561" width="2" style="153" customWidth="1"/>
    <col min="1562" max="1562" width="13.875" style="153" customWidth="1"/>
    <col min="1563" max="1563" width="13.625" style="153" customWidth="1"/>
    <col min="1564" max="1564" width="15.125" style="153" customWidth="1"/>
    <col min="1565" max="1565" width="15.25" style="153" customWidth="1"/>
    <col min="1566" max="1567" width="12.875" style="153" customWidth="1"/>
    <col min="1568" max="1568" width="12.75" style="153" customWidth="1"/>
    <col min="1569" max="1569" width="15.75" style="153" customWidth="1"/>
    <col min="1570" max="1570" width="14.5" style="153" customWidth="1"/>
    <col min="1571" max="1573" width="21" style="153" customWidth="1"/>
    <col min="1574" max="1792" width="10.75" style="153"/>
    <col min="1793" max="1793" width="0.75" style="153" customWidth="1"/>
    <col min="1794" max="1794" width="2.5" style="153" customWidth="1"/>
    <col min="1795" max="1795" width="8" style="153" customWidth="1"/>
    <col min="1796" max="1796" width="10" style="153" customWidth="1"/>
    <col min="1797" max="1797" width="8.375" style="153" customWidth="1"/>
    <col min="1798" max="1798" width="11" style="153" customWidth="1"/>
    <col min="1799" max="1799" width="8" style="153" customWidth="1"/>
    <col min="1800" max="1800" width="19.375" style="153" customWidth="1"/>
    <col min="1801" max="1801" width="12.375" style="153" customWidth="1"/>
    <col min="1802" max="1802" width="10.5" style="153" customWidth="1"/>
    <col min="1803" max="1806" width="6.375" style="153" customWidth="1"/>
    <col min="1807" max="1807" width="23.125" style="153" customWidth="1"/>
    <col min="1808" max="1808" width="6" style="153" customWidth="1"/>
    <col min="1809" max="1809" width="16.875" style="153" customWidth="1"/>
    <col min="1810" max="1810" width="10.75" style="153" customWidth="1"/>
    <col min="1811" max="1811" width="12.5" style="153" customWidth="1"/>
    <col min="1812" max="1813" width="5" style="153" customWidth="1"/>
    <col min="1814" max="1814" width="3.875" style="153" customWidth="1"/>
    <col min="1815" max="1815" width="14.375" style="153" customWidth="1"/>
    <col min="1816" max="1816" width="17.875" style="153" customWidth="1"/>
    <col min="1817" max="1817" width="2" style="153" customWidth="1"/>
    <col min="1818" max="1818" width="13.875" style="153" customWidth="1"/>
    <col min="1819" max="1819" width="13.625" style="153" customWidth="1"/>
    <col min="1820" max="1820" width="15.125" style="153" customWidth="1"/>
    <col min="1821" max="1821" width="15.25" style="153" customWidth="1"/>
    <col min="1822" max="1823" width="12.875" style="153" customWidth="1"/>
    <col min="1824" max="1824" width="12.75" style="153" customWidth="1"/>
    <col min="1825" max="1825" width="15.75" style="153" customWidth="1"/>
    <col min="1826" max="1826" width="14.5" style="153" customWidth="1"/>
    <col min="1827" max="1829" width="21" style="153" customWidth="1"/>
    <col min="1830" max="2048" width="10.75" style="153"/>
    <col min="2049" max="2049" width="0.75" style="153" customWidth="1"/>
    <col min="2050" max="2050" width="2.5" style="153" customWidth="1"/>
    <col min="2051" max="2051" width="8" style="153" customWidth="1"/>
    <col min="2052" max="2052" width="10" style="153" customWidth="1"/>
    <col min="2053" max="2053" width="8.375" style="153" customWidth="1"/>
    <col min="2054" max="2054" width="11" style="153" customWidth="1"/>
    <col min="2055" max="2055" width="8" style="153" customWidth="1"/>
    <col min="2056" max="2056" width="19.375" style="153" customWidth="1"/>
    <col min="2057" max="2057" width="12.375" style="153" customWidth="1"/>
    <col min="2058" max="2058" width="10.5" style="153" customWidth="1"/>
    <col min="2059" max="2062" width="6.375" style="153" customWidth="1"/>
    <col min="2063" max="2063" width="23.125" style="153" customWidth="1"/>
    <col min="2064" max="2064" width="6" style="153" customWidth="1"/>
    <col min="2065" max="2065" width="16.875" style="153" customWidth="1"/>
    <col min="2066" max="2066" width="10.75" style="153" customWidth="1"/>
    <col min="2067" max="2067" width="12.5" style="153" customWidth="1"/>
    <col min="2068" max="2069" width="5" style="153" customWidth="1"/>
    <col min="2070" max="2070" width="3.875" style="153" customWidth="1"/>
    <col min="2071" max="2071" width="14.375" style="153" customWidth="1"/>
    <col min="2072" max="2072" width="17.875" style="153" customWidth="1"/>
    <col min="2073" max="2073" width="2" style="153" customWidth="1"/>
    <col min="2074" max="2074" width="13.875" style="153" customWidth="1"/>
    <col min="2075" max="2075" width="13.625" style="153" customWidth="1"/>
    <col min="2076" max="2076" width="15.125" style="153" customWidth="1"/>
    <col min="2077" max="2077" width="15.25" style="153" customWidth="1"/>
    <col min="2078" max="2079" width="12.875" style="153" customWidth="1"/>
    <col min="2080" max="2080" width="12.75" style="153" customWidth="1"/>
    <col min="2081" max="2081" width="15.75" style="153" customWidth="1"/>
    <col min="2082" max="2082" width="14.5" style="153" customWidth="1"/>
    <col min="2083" max="2085" width="21" style="153" customWidth="1"/>
    <col min="2086" max="2304" width="10.75" style="153"/>
    <col min="2305" max="2305" width="0.75" style="153" customWidth="1"/>
    <col min="2306" max="2306" width="2.5" style="153" customWidth="1"/>
    <col min="2307" max="2307" width="8" style="153" customWidth="1"/>
    <col min="2308" max="2308" width="10" style="153" customWidth="1"/>
    <col min="2309" max="2309" width="8.375" style="153" customWidth="1"/>
    <col min="2310" max="2310" width="11" style="153" customWidth="1"/>
    <col min="2311" max="2311" width="8" style="153" customWidth="1"/>
    <col min="2312" max="2312" width="19.375" style="153" customWidth="1"/>
    <col min="2313" max="2313" width="12.375" style="153" customWidth="1"/>
    <col min="2314" max="2314" width="10.5" style="153" customWidth="1"/>
    <col min="2315" max="2318" width="6.375" style="153" customWidth="1"/>
    <col min="2319" max="2319" width="23.125" style="153" customWidth="1"/>
    <col min="2320" max="2320" width="6" style="153" customWidth="1"/>
    <col min="2321" max="2321" width="16.875" style="153" customWidth="1"/>
    <col min="2322" max="2322" width="10.75" style="153" customWidth="1"/>
    <col min="2323" max="2323" width="12.5" style="153" customWidth="1"/>
    <col min="2324" max="2325" width="5" style="153" customWidth="1"/>
    <col min="2326" max="2326" width="3.875" style="153" customWidth="1"/>
    <col min="2327" max="2327" width="14.375" style="153" customWidth="1"/>
    <col min="2328" max="2328" width="17.875" style="153" customWidth="1"/>
    <col min="2329" max="2329" width="2" style="153" customWidth="1"/>
    <col min="2330" max="2330" width="13.875" style="153" customWidth="1"/>
    <col min="2331" max="2331" width="13.625" style="153" customWidth="1"/>
    <col min="2332" max="2332" width="15.125" style="153" customWidth="1"/>
    <col min="2333" max="2333" width="15.25" style="153" customWidth="1"/>
    <col min="2334" max="2335" width="12.875" style="153" customWidth="1"/>
    <col min="2336" max="2336" width="12.75" style="153" customWidth="1"/>
    <col min="2337" max="2337" width="15.75" style="153" customWidth="1"/>
    <col min="2338" max="2338" width="14.5" style="153" customWidth="1"/>
    <col min="2339" max="2341" width="21" style="153" customWidth="1"/>
    <col min="2342" max="2560" width="10.75" style="153"/>
    <col min="2561" max="2561" width="0.75" style="153" customWidth="1"/>
    <col min="2562" max="2562" width="2.5" style="153" customWidth="1"/>
    <col min="2563" max="2563" width="8" style="153" customWidth="1"/>
    <col min="2564" max="2564" width="10" style="153" customWidth="1"/>
    <col min="2565" max="2565" width="8.375" style="153" customWidth="1"/>
    <col min="2566" max="2566" width="11" style="153" customWidth="1"/>
    <col min="2567" max="2567" width="8" style="153" customWidth="1"/>
    <col min="2568" max="2568" width="19.375" style="153" customWidth="1"/>
    <col min="2569" max="2569" width="12.375" style="153" customWidth="1"/>
    <col min="2570" max="2570" width="10.5" style="153" customWidth="1"/>
    <col min="2571" max="2574" width="6.375" style="153" customWidth="1"/>
    <col min="2575" max="2575" width="23.125" style="153" customWidth="1"/>
    <col min="2576" max="2576" width="6" style="153" customWidth="1"/>
    <col min="2577" max="2577" width="16.875" style="153" customWidth="1"/>
    <col min="2578" max="2578" width="10.75" style="153" customWidth="1"/>
    <col min="2579" max="2579" width="12.5" style="153" customWidth="1"/>
    <col min="2580" max="2581" width="5" style="153" customWidth="1"/>
    <col min="2582" max="2582" width="3.875" style="153" customWidth="1"/>
    <col min="2583" max="2583" width="14.375" style="153" customWidth="1"/>
    <col min="2584" max="2584" width="17.875" style="153" customWidth="1"/>
    <col min="2585" max="2585" width="2" style="153" customWidth="1"/>
    <col min="2586" max="2586" width="13.875" style="153" customWidth="1"/>
    <col min="2587" max="2587" width="13.625" style="153" customWidth="1"/>
    <col min="2588" max="2588" width="15.125" style="153" customWidth="1"/>
    <col min="2589" max="2589" width="15.25" style="153" customWidth="1"/>
    <col min="2590" max="2591" width="12.875" style="153" customWidth="1"/>
    <col min="2592" max="2592" width="12.75" style="153" customWidth="1"/>
    <col min="2593" max="2593" width="15.75" style="153" customWidth="1"/>
    <col min="2594" max="2594" width="14.5" style="153" customWidth="1"/>
    <col min="2595" max="2597" width="21" style="153" customWidth="1"/>
    <col min="2598" max="2816" width="10.75" style="153"/>
    <col min="2817" max="2817" width="0.75" style="153" customWidth="1"/>
    <col min="2818" max="2818" width="2.5" style="153" customWidth="1"/>
    <col min="2819" max="2819" width="8" style="153" customWidth="1"/>
    <col min="2820" max="2820" width="10" style="153" customWidth="1"/>
    <col min="2821" max="2821" width="8.375" style="153" customWidth="1"/>
    <col min="2822" max="2822" width="11" style="153" customWidth="1"/>
    <col min="2823" max="2823" width="8" style="153" customWidth="1"/>
    <col min="2824" max="2824" width="19.375" style="153" customWidth="1"/>
    <col min="2825" max="2825" width="12.375" style="153" customWidth="1"/>
    <col min="2826" max="2826" width="10.5" style="153" customWidth="1"/>
    <col min="2827" max="2830" width="6.375" style="153" customWidth="1"/>
    <col min="2831" max="2831" width="23.125" style="153" customWidth="1"/>
    <col min="2832" max="2832" width="6" style="153" customWidth="1"/>
    <col min="2833" max="2833" width="16.875" style="153" customWidth="1"/>
    <col min="2834" max="2834" width="10.75" style="153" customWidth="1"/>
    <col min="2835" max="2835" width="12.5" style="153" customWidth="1"/>
    <col min="2836" max="2837" width="5" style="153" customWidth="1"/>
    <col min="2838" max="2838" width="3.875" style="153" customWidth="1"/>
    <col min="2839" max="2839" width="14.375" style="153" customWidth="1"/>
    <col min="2840" max="2840" width="17.875" style="153" customWidth="1"/>
    <col min="2841" max="2841" width="2" style="153" customWidth="1"/>
    <col min="2842" max="2842" width="13.875" style="153" customWidth="1"/>
    <col min="2843" max="2843" width="13.625" style="153" customWidth="1"/>
    <col min="2844" max="2844" width="15.125" style="153" customWidth="1"/>
    <col min="2845" max="2845" width="15.25" style="153" customWidth="1"/>
    <col min="2846" max="2847" width="12.875" style="153" customWidth="1"/>
    <col min="2848" max="2848" width="12.75" style="153" customWidth="1"/>
    <col min="2849" max="2849" width="15.75" style="153" customWidth="1"/>
    <col min="2850" max="2850" width="14.5" style="153" customWidth="1"/>
    <col min="2851" max="2853" width="21" style="153" customWidth="1"/>
    <col min="2854" max="3072" width="10.75" style="153"/>
    <col min="3073" max="3073" width="0.75" style="153" customWidth="1"/>
    <col min="3074" max="3074" width="2.5" style="153" customWidth="1"/>
    <col min="3075" max="3075" width="8" style="153" customWidth="1"/>
    <col min="3076" max="3076" width="10" style="153" customWidth="1"/>
    <col min="3077" max="3077" width="8.375" style="153" customWidth="1"/>
    <col min="3078" max="3078" width="11" style="153" customWidth="1"/>
    <col min="3079" max="3079" width="8" style="153" customWidth="1"/>
    <col min="3080" max="3080" width="19.375" style="153" customWidth="1"/>
    <col min="3081" max="3081" width="12.375" style="153" customWidth="1"/>
    <col min="3082" max="3082" width="10.5" style="153" customWidth="1"/>
    <col min="3083" max="3086" width="6.375" style="153" customWidth="1"/>
    <col min="3087" max="3087" width="23.125" style="153" customWidth="1"/>
    <col min="3088" max="3088" width="6" style="153" customWidth="1"/>
    <col min="3089" max="3089" width="16.875" style="153" customWidth="1"/>
    <col min="3090" max="3090" width="10.75" style="153" customWidth="1"/>
    <col min="3091" max="3091" width="12.5" style="153" customWidth="1"/>
    <col min="3092" max="3093" width="5" style="153" customWidth="1"/>
    <col min="3094" max="3094" width="3.875" style="153" customWidth="1"/>
    <col min="3095" max="3095" width="14.375" style="153" customWidth="1"/>
    <col min="3096" max="3096" width="17.875" style="153" customWidth="1"/>
    <col min="3097" max="3097" width="2" style="153" customWidth="1"/>
    <col min="3098" max="3098" width="13.875" style="153" customWidth="1"/>
    <col min="3099" max="3099" width="13.625" style="153" customWidth="1"/>
    <col min="3100" max="3100" width="15.125" style="153" customWidth="1"/>
    <col min="3101" max="3101" width="15.25" style="153" customWidth="1"/>
    <col min="3102" max="3103" width="12.875" style="153" customWidth="1"/>
    <col min="3104" max="3104" width="12.75" style="153" customWidth="1"/>
    <col min="3105" max="3105" width="15.75" style="153" customWidth="1"/>
    <col min="3106" max="3106" width="14.5" style="153" customWidth="1"/>
    <col min="3107" max="3109" width="21" style="153" customWidth="1"/>
    <col min="3110" max="3328" width="10.75" style="153"/>
    <col min="3329" max="3329" width="0.75" style="153" customWidth="1"/>
    <col min="3330" max="3330" width="2.5" style="153" customWidth="1"/>
    <col min="3331" max="3331" width="8" style="153" customWidth="1"/>
    <col min="3332" max="3332" width="10" style="153" customWidth="1"/>
    <col min="3333" max="3333" width="8.375" style="153" customWidth="1"/>
    <col min="3334" max="3334" width="11" style="153" customWidth="1"/>
    <col min="3335" max="3335" width="8" style="153" customWidth="1"/>
    <col min="3336" max="3336" width="19.375" style="153" customWidth="1"/>
    <col min="3337" max="3337" width="12.375" style="153" customWidth="1"/>
    <col min="3338" max="3338" width="10.5" style="153" customWidth="1"/>
    <col min="3339" max="3342" width="6.375" style="153" customWidth="1"/>
    <col min="3343" max="3343" width="23.125" style="153" customWidth="1"/>
    <col min="3344" max="3344" width="6" style="153" customWidth="1"/>
    <col min="3345" max="3345" width="16.875" style="153" customWidth="1"/>
    <col min="3346" max="3346" width="10.75" style="153" customWidth="1"/>
    <col min="3347" max="3347" width="12.5" style="153" customWidth="1"/>
    <col min="3348" max="3349" width="5" style="153" customWidth="1"/>
    <col min="3350" max="3350" width="3.875" style="153" customWidth="1"/>
    <col min="3351" max="3351" width="14.375" style="153" customWidth="1"/>
    <col min="3352" max="3352" width="17.875" style="153" customWidth="1"/>
    <col min="3353" max="3353" width="2" style="153" customWidth="1"/>
    <col min="3354" max="3354" width="13.875" style="153" customWidth="1"/>
    <col min="3355" max="3355" width="13.625" style="153" customWidth="1"/>
    <col min="3356" max="3356" width="15.125" style="153" customWidth="1"/>
    <col min="3357" max="3357" width="15.25" style="153" customWidth="1"/>
    <col min="3358" max="3359" width="12.875" style="153" customWidth="1"/>
    <col min="3360" max="3360" width="12.75" style="153" customWidth="1"/>
    <col min="3361" max="3361" width="15.75" style="153" customWidth="1"/>
    <col min="3362" max="3362" width="14.5" style="153" customWidth="1"/>
    <col min="3363" max="3365" width="21" style="153" customWidth="1"/>
    <col min="3366" max="3584" width="10.75" style="153"/>
    <col min="3585" max="3585" width="0.75" style="153" customWidth="1"/>
    <col min="3586" max="3586" width="2.5" style="153" customWidth="1"/>
    <col min="3587" max="3587" width="8" style="153" customWidth="1"/>
    <col min="3588" max="3588" width="10" style="153" customWidth="1"/>
    <col min="3589" max="3589" width="8.375" style="153" customWidth="1"/>
    <col min="3590" max="3590" width="11" style="153" customWidth="1"/>
    <col min="3591" max="3591" width="8" style="153" customWidth="1"/>
    <col min="3592" max="3592" width="19.375" style="153" customWidth="1"/>
    <col min="3593" max="3593" width="12.375" style="153" customWidth="1"/>
    <col min="3594" max="3594" width="10.5" style="153" customWidth="1"/>
    <col min="3595" max="3598" width="6.375" style="153" customWidth="1"/>
    <col min="3599" max="3599" width="23.125" style="153" customWidth="1"/>
    <col min="3600" max="3600" width="6" style="153" customWidth="1"/>
    <col min="3601" max="3601" width="16.875" style="153" customWidth="1"/>
    <col min="3602" max="3602" width="10.75" style="153" customWidth="1"/>
    <col min="3603" max="3603" width="12.5" style="153" customWidth="1"/>
    <col min="3604" max="3605" width="5" style="153" customWidth="1"/>
    <col min="3606" max="3606" width="3.875" style="153" customWidth="1"/>
    <col min="3607" max="3607" width="14.375" style="153" customWidth="1"/>
    <col min="3608" max="3608" width="17.875" style="153" customWidth="1"/>
    <col min="3609" max="3609" width="2" style="153" customWidth="1"/>
    <col min="3610" max="3610" width="13.875" style="153" customWidth="1"/>
    <col min="3611" max="3611" width="13.625" style="153" customWidth="1"/>
    <col min="3612" max="3612" width="15.125" style="153" customWidth="1"/>
    <col min="3613" max="3613" width="15.25" style="153" customWidth="1"/>
    <col min="3614" max="3615" width="12.875" style="153" customWidth="1"/>
    <col min="3616" max="3616" width="12.75" style="153" customWidth="1"/>
    <col min="3617" max="3617" width="15.75" style="153" customWidth="1"/>
    <col min="3618" max="3618" width="14.5" style="153" customWidth="1"/>
    <col min="3619" max="3621" width="21" style="153" customWidth="1"/>
    <col min="3622" max="3840" width="10.75" style="153"/>
    <col min="3841" max="3841" width="0.75" style="153" customWidth="1"/>
    <col min="3842" max="3842" width="2.5" style="153" customWidth="1"/>
    <col min="3843" max="3843" width="8" style="153" customWidth="1"/>
    <col min="3844" max="3844" width="10" style="153" customWidth="1"/>
    <col min="3845" max="3845" width="8.375" style="153" customWidth="1"/>
    <col min="3846" max="3846" width="11" style="153" customWidth="1"/>
    <col min="3847" max="3847" width="8" style="153" customWidth="1"/>
    <col min="3848" max="3848" width="19.375" style="153" customWidth="1"/>
    <col min="3849" max="3849" width="12.375" style="153" customWidth="1"/>
    <col min="3850" max="3850" width="10.5" style="153" customWidth="1"/>
    <col min="3851" max="3854" width="6.375" style="153" customWidth="1"/>
    <col min="3855" max="3855" width="23.125" style="153" customWidth="1"/>
    <col min="3856" max="3856" width="6" style="153" customWidth="1"/>
    <col min="3857" max="3857" width="16.875" style="153" customWidth="1"/>
    <col min="3858" max="3858" width="10.75" style="153" customWidth="1"/>
    <col min="3859" max="3859" width="12.5" style="153" customWidth="1"/>
    <col min="3860" max="3861" width="5" style="153" customWidth="1"/>
    <col min="3862" max="3862" width="3.875" style="153" customWidth="1"/>
    <col min="3863" max="3863" width="14.375" style="153" customWidth="1"/>
    <col min="3864" max="3864" width="17.875" style="153" customWidth="1"/>
    <col min="3865" max="3865" width="2" style="153" customWidth="1"/>
    <col min="3866" max="3866" width="13.875" style="153" customWidth="1"/>
    <col min="3867" max="3867" width="13.625" style="153" customWidth="1"/>
    <col min="3868" max="3868" width="15.125" style="153" customWidth="1"/>
    <col min="3869" max="3869" width="15.25" style="153" customWidth="1"/>
    <col min="3870" max="3871" width="12.875" style="153" customWidth="1"/>
    <col min="3872" max="3872" width="12.75" style="153" customWidth="1"/>
    <col min="3873" max="3873" width="15.75" style="153" customWidth="1"/>
    <col min="3874" max="3874" width="14.5" style="153" customWidth="1"/>
    <col min="3875" max="3877" width="21" style="153" customWidth="1"/>
    <col min="3878" max="4096" width="10.75" style="153"/>
    <col min="4097" max="4097" width="0.75" style="153" customWidth="1"/>
    <col min="4098" max="4098" width="2.5" style="153" customWidth="1"/>
    <col min="4099" max="4099" width="8" style="153" customWidth="1"/>
    <col min="4100" max="4100" width="10" style="153" customWidth="1"/>
    <col min="4101" max="4101" width="8.375" style="153" customWidth="1"/>
    <col min="4102" max="4102" width="11" style="153" customWidth="1"/>
    <col min="4103" max="4103" width="8" style="153" customWidth="1"/>
    <col min="4104" max="4104" width="19.375" style="153" customWidth="1"/>
    <col min="4105" max="4105" width="12.375" style="153" customWidth="1"/>
    <col min="4106" max="4106" width="10.5" style="153" customWidth="1"/>
    <col min="4107" max="4110" width="6.375" style="153" customWidth="1"/>
    <col min="4111" max="4111" width="23.125" style="153" customWidth="1"/>
    <col min="4112" max="4112" width="6" style="153" customWidth="1"/>
    <col min="4113" max="4113" width="16.875" style="153" customWidth="1"/>
    <col min="4114" max="4114" width="10.75" style="153" customWidth="1"/>
    <col min="4115" max="4115" width="12.5" style="153" customWidth="1"/>
    <col min="4116" max="4117" width="5" style="153" customWidth="1"/>
    <col min="4118" max="4118" width="3.875" style="153" customWidth="1"/>
    <col min="4119" max="4119" width="14.375" style="153" customWidth="1"/>
    <col min="4120" max="4120" width="17.875" style="153" customWidth="1"/>
    <col min="4121" max="4121" width="2" style="153" customWidth="1"/>
    <col min="4122" max="4122" width="13.875" style="153" customWidth="1"/>
    <col min="4123" max="4123" width="13.625" style="153" customWidth="1"/>
    <col min="4124" max="4124" width="15.125" style="153" customWidth="1"/>
    <col min="4125" max="4125" width="15.25" style="153" customWidth="1"/>
    <col min="4126" max="4127" width="12.875" style="153" customWidth="1"/>
    <col min="4128" max="4128" width="12.75" style="153" customWidth="1"/>
    <col min="4129" max="4129" width="15.75" style="153" customWidth="1"/>
    <col min="4130" max="4130" width="14.5" style="153" customWidth="1"/>
    <col min="4131" max="4133" width="21" style="153" customWidth="1"/>
    <col min="4134" max="4352" width="10.75" style="153"/>
    <col min="4353" max="4353" width="0.75" style="153" customWidth="1"/>
    <col min="4354" max="4354" width="2.5" style="153" customWidth="1"/>
    <col min="4355" max="4355" width="8" style="153" customWidth="1"/>
    <col min="4356" max="4356" width="10" style="153" customWidth="1"/>
    <col min="4357" max="4357" width="8.375" style="153" customWidth="1"/>
    <col min="4358" max="4358" width="11" style="153" customWidth="1"/>
    <col min="4359" max="4359" width="8" style="153" customWidth="1"/>
    <col min="4360" max="4360" width="19.375" style="153" customWidth="1"/>
    <col min="4361" max="4361" width="12.375" style="153" customWidth="1"/>
    <col min="4362" max="4362" width="10.5" style="153" customWidth="1"/>
    <col min="4363" max="4366" width="6.375" style="153" customWidth="1"/>
    <col min="4367" max="4367" width="23.125" style="153" customWidth="1"/>
    <col min="4368" max="4368" width="6" style="153" customWidth="1"/>
    <col min="4369" max="4369" width="16.875" style="153" customWidth="1"/>
    <col min="4370" max="4370" width="10.75" style="153" customWidth="1"/>
    <col min="4371" max="4371" width="12.5" style="153" customWidth="1"/>
    <col min="4372" max="4373" width="5" style="153" customWidth="1"/>
    <col min="4374" max="4374" width="3.875" style="153" customWidth="1"/>
    <col min="4375" max="4375" width="14.375" style="153" customWidth="1"/>
    <col min="4376" max="4376" width="17.875" style="153" customWidth="1"/>
    <col min="4377" max="4377" width="2" style="153" customWidth="1"/>
    <col min="4378" max="4378" width="13.875" style="153" customWidth="1"/>
    <col min="4379" max="4379" width="13.625" style="153" customWidth="1"/>
    <col min="4380" max="4380" width="15.125" style="153" customWidth="1"/>
    <col min="4381" max="4381" width="15.25" style="153" customWidth="1"/>
    <col min="4382" max="4383" width="12.875" style="153" customWidth="1"/>
    <col min="4384" max="4384" width="12.75" style="153" customWidth="1"/>
    <col min="4385" max="4385" width="15.75" style="153" customWidth="1"/>
    <col min="4386" max="4386" width="14.5" style="153" customWidth="1"/>
    <col min="4387" max="4389" width="21" style="153" customWidth="1"/>
    <col min="4390" max="4608" width="10.75" style="153"/>
    <col min="4609" max="4609" width="0.75" style="153" customWidth="1"/>
    <col min="4610" max="4610" width="2.5" style="153" customWidth="1"/>
    <col min="4611" max="4611" width="8" style="153" customWidth="1"/>
    <col min="4612" max="4612" width="10" style="153" customWidth="1"/>
    <col min="4613" max="4613" width="8.375" style="153" customWidth="1"/>
    <col min="4614" max="4614" width="11" style="153" customWidth="1"/>
    <col min="4615" max="4615" width="8" style="153" customWidth="1"/>
    <col min="4616" max="4616" width="19.375" style="153" customWidth="1"/>
    <col min="4617" max="4617" width="12.375" style="153" customWidth="1"/>
    <col min="4618" max="4618" width="10.5" style="153" customWidth="1"/>
    <col min="4619" max="4622" width="6.375" style="153" customWidth="1"/>
    <col min="4623" max="4623" width="23.125" style="153" customWidth="1"/>
    <col min="4624" max="4624" width="6" style="153" customWidth="1"/>
    <col min="4625" max="4625" width="16.875" style="153" customWidth="1"/>
    <col min="4626" max="4626" width="10.75" style="153" customWidth="1"/>
    <col min="4627" max="4627" width="12.5" style="153" customWidth="1"/>
    <col min="4628" max="4629" width="5" style="153" customWidth="1"/>
    <col min="4630" max="4630" width="3.875" style="153" customWidth="1"/>
    <col min="4631" max="4631" width="14.375" style="153" customWidth="1"/>
    <col min="4632" max="4632" width="17.875" style="153" customWidth="1"/>
    <col min="4633" max="4633" width="2" style="153" customWidth="1"/>
    <col min="4634" max="4634" width="13.875" style="153" customWidth="1"/>
    <col min="4635" max="4635" width="13.625" style="153" customWidth="1"/>
    <col min="4636" max="4636" width="15.125" style="153" customWidth="1"/>
    <col min="4637" max="4637" width="15.25" style="153" customWidth="1"/>
    <col min="4638" max="4639" width="12.875" style="153" customWidth="1"/>
    <col min="4640" max="4640" width="12.75" style="153" customWidth="1"/>
    <col min="4641" max="4641" width="15.75" style="153" customWidth="1"/>
    <col min="4642" max="4642" width="14.5" style="153" customWidth="1"/>
    <col min="4643" max="4645" width="21" style="153" customWidth="1"/>
    <col min="4646" max="4864" width="10.75" style="153"/>
    <col min="4865" max="4865" width="0.75" style="153" customWidth="1"/>
    <col min="4866" max="4866" width="2.5" style="153" customWidth="1"/>
    <col min="4867" max="4867" width="8" style="153" customWidth="1"/>
    <col min="4868" max="4868" width="10" style="153" customWidth="1"/>
    <col min="4869" max="4869" width="8.375" style="153" customWidth="1"/>
    <col min="4870" max="4870" width="11" style="153" customWidth="1"/>
    <col min="4871" max="4871" width="8" style="153" customWidth="1"/>
    <col min="4872" max="4872" width="19.375" style="153" customWidth="1"/>
    <col min="4873" max="4873" width="12.375" style="153" customWidth="1"/>
    <col min="4874" max="4874" width="10.5" style="153" customWidth="1"/>
    <col min="4875" max="4878" width="6.375" style="153" customWidth="1"/>
    <col min="4879" max="4879" width="23.125" style="153" customWidth="1"/>
    <col min="4880" max="4880" width="6" style="153" customWidth="1"/>
    <col min="4881" max="4881" width="16.875" style="153" customWidth="1"/>
    <col min="4882" max="4882" width="10.75" style="153" customWidth="1"/>
    <col min="4883" max="4883" width="12.5" style="153" customWidth="1"/>
    <col min="4884" max="4885" width="5" style="153" customWidth="1"/>
    <col min="4886" max="4886" width="3.875" style="153" customWidth="1"/>
    <col min="4887" max="4887" width="14.375" style="153" customWidth="1"/>
    <col min="4888" max="4888" width="17.875" style="153" customWidth="1"/>
    <col min="4889" max="4889" width="2" style="153" customWidth="1"/>
    <col min="4890" max="4890" width="13.875" style="153" customWidth="1"/>
    <col min="4891" max="4891" width="13.625" style="153" customWidth="1"/>
    <col min="4892" max="4892" width="15.125" style="153" customWidth="1"/>
    <col min="4893" max="4893" width="15.25" style="153" customWidth="1"/>
    <col min="4894" max="4895" width="12.875" style="153" customWidth="1"/>
    <col min="4896" max="4896" width="12.75" style="153" customWidth="1"/>
    <col min="4897" max="4897" width="15.75" style="153" customWidth="1"/>
    <col min="4898" max="4898" width="14.5" style="153" customWidth="1"/>
    <col min="4899" max="4901" width="21" style="153" customWidth="1"/>
    <col min="4902" max="5120" width="10.75" style="153"/>
    <col min="5121" max="5121" width="0.75" style="153" customWidth="1"/>
    <col min="5122" max="5122" width="2.5" style="153" customWidth="1"/>
    <col min="5123" max="5123" width="8" style="153" customWidth="1"/>
    <col min="5124" max="5124" width="10" style="153" customWidth="1"/>
    <col min="5125" max="5125" width="8.375" style="153" customWidth="1"/>
    <col min="5126" max="5126" width="11" style="153" customWidth="1"/>
    <col min="5127" max="5127" width="8" style="153" customWidth="1"/>
    <col min="5128" max="5128" width="19.375" style="153" customWidth="1"/>
    <col min="5129" max="5129" width="12.375" style="153" customWidth="1"/>
    <col min="5130" max="5130" width="10.5" style="153" customWidth="1"/>
    <col min="5131" max="5134" width="6.375" style="153" customWidth="1"/>
    <col min="5135" max="5135" width="23.125" style="153" customWidth="1"/>
    <col min="5136" max="5136" width="6" style="153" customWidth="1"/>
    <col min="5137" max="5137" width="16.875" style="153" customWidth="1"/>
    <col min="5138" max="5138" width="10.75" style="153" customWidth="1"/>
    <col min="5139" max="5139" width="12.5" style="153" customWidth="1"/>
    <col min="5140" max="5141" width="5" style="153" customWidth="1"/>
    <col min="5142" max="5142" width="3.875" style="153" customWidth="1"/>
    <col min="5143" max="5143" width="14.375" style="153" customWidth="1"/>
    <col min="5144" max="5144" width="17.875" style="153" customWidth="1"/>
    <col min="5145" max="5145" width="2" style="153" customWidth="1"/>
    <col min="5146" max="5146" width="13.875" style="153" customWidth="1"/>
    <col min="5147" max="5147" width="13.625" style="153" customWidth="1"/>
    <col min="5148" max="5148" width="15.125" style="153" customWidth="1"/>
    <col min="5149" max="5149" width="15.25" style="153" customWidth="1"/>
    <col min="5150" max="5151" width="12.875" style="153" customWidth="1"/>
    <col min="5152" max="5152" width="12.75" style="153" customWidth="1"/>
    <col min="5153" max="5153" width="15.75" style="153" customWidth="1"/>
    <col min="5154" max="5154" width="14.5" style="153" customWidth="1"/>
    <col min="5155" max="5157" width="21" style="153" customWidth="1"/>
    <col min="5158" max="5376" width="10.75" style="153"/>
    <col min="5377" max="5377" width="0.75" style="153" customWidth="1"/>
    <col min="5378" max="5378" width="2.5" style="153" customWidth="1"/>
    <col min="5379" max="5379" width="8" style="153" customWidth="1"/>
    <col min="5380" max="5380" width="10" style="153" customWidth="1"/>
    <col min="5381" max="5381" width="8.375" style="153" customWidth="1"/>
    <col min="5382" max="5382" width="11" style="153" customWidth="1"/>
    <col min="5383" max="5383" width="8" style="153" customWidth="1"/>
    <col min="5384" max="5384" width="19.375" style="153" customWidth="1"/>
    <col min="5385" max="5385" width="12.375" style="153" customWidth="1"/>
    <col min="5386" max="5386" width="10.5" style="153" customWidth="1"/>
    <col min="5387" max="5390" width="6.375" style="153" customWidth="1"/>
    <col min="5391" max="5391" width="23.125" style="153" customWidth="1"/>
    <col min="5392" max="5392" width="6" style="153" customWidth="1"/>
    <col min="5393" max="5393" width="16.875" style="153" customWidth="1"/>
    <col min="5394" max="5394" width="10.75" style="153" customWidth="1"/>
    <col min="5395" max="5395" width="12.5" style="153" customWidth="1"/>
    <col min="5396" max="5397" width="5" style="153" customWidth="1"/>
    <col min="5398" max="5398" width="3.875" style="153" customWidth="1"/>
    <col min="5399" max="5399" width="14.375" style="153" customWidth="1"/>
    <col min="5400" max="5400" width="17.875" style="153" customWidth="1"/>
    <col min="5401" max="5401" width="2" style="153" customWidth="1"/>
    <col min="5402" max="5402" width="13.875" style="153" customWidth="1"/>
    <col min="5403" max="5403" width="13.625" style="153" customWidth="1"/>
    <col min="5404" max="5404" width="15.125" style="153" customWidth="1"/>
    <col min="5405" max="5405" width="15.25" style="153" customWidth="1"/>
    <col min="5406" max="5407" width="12.875" style="153" customWidth="1"/>
    <col min="5408" max="5408" width="12.75" style="153" customWidth="1"/>
    <col min="5409" max="5409" width="15.75" style="153" customWidth="1"/>
    <col min="5410" max="5410" width="14.5" style="153" customWidth="1"/>
    <col min="5411" max="5413" width="21" style="153" customWidth="1"/>
    <col min="5414" max="5632" width="10.75" style="153"/>
    <col min="5633" max="5633" width="0.75" style="153" customWidth="1"/>
    <col min="5634" max="5634" width="2.5" style="153" customWidth="1"/>
    <col min="5635" max="5635" width="8" style="153" customWidth="1"/>
    <col min="5636" max="5636" width="10" style="153" customWidth="1"/>
    <col min="5637" max="5637" width="8.375" style="153" customWidth="1"/>
    <col min="5638" max="5638" width="11" style="153" customWidth="1"/>
    <col min="5639" max="5639" width="8" style="153" customWidth="1"/>
    <col min="5640" max="5640" width="19.375" style="153" customWidth="1"/>
    <col min="5641" max="5641" width="12.375" style="153" customWidth="1"/>
    <col min="5642" max="5642" width="10.5" style="153" customWidth="1"/>
    <col min="5643" max="5646" width="6.375" style="153" customWidth="1"/>
    <col min="5647" max="5647" width="23.125" style="153" customWidth="1"/>
    <col min="5648" max="5648" width="6" style="153" customWidth="1"/>
    <col min="5649" max="5649" width="16.875" style="153" customWidth="1"/>
    <col min="5650" max="5650" width="10.75" style="153" customWidth="1"/>
    <col min="5651" max="5651" width="12.5" style="153" customWidth="1"/>
    <col min="5652" max="5653" width="5" style="153" customWidth="1"/>
    <col min="5654" max="5654" width="3.875" style="153" customWidth="1"/>
    <col min="5655" max="5655" width="14.375" style="153" customWidth="1"/>
    <col min="5656" max="5656" width="17.875" style="153" customWidth="1"/>
    <col min="5657" max="5657" width="2" style="153" customWidth="1"/>
    <col min="5658" max="5658" width="13.875" style="153" customWidth="1"/>
    <col min="5659" max="5659" width="13.625" style="153" customWidth="1"/>
    <col min="5660" max="5660" width="15.125" style="153" customWidth="1"/>
    <col min="5661" max="5661" width="15.25" style="153" customWidth="1"/>
    <col min="5662" max="5663" width="12.875" style="153" customWidth="1"/>
    <col min="5664" max="5664" width="12.75" style="153" customWidth="1"/>
    <col min="5665" max="5665" width="15.75" style="153" customWidth="1"/>
    <col min="5666" max="5666" width="14.5" style="153" customWidth="1"/>
    <col min="5667" max="5669" width="21" style="153" customWidth="1"/>
    <col min="5670" max="5888" width="10.75" style="153"/>
    <col min="5889" max="5889" width="0.75" style="153" customWidth="1"/>
    <col min="5890" max="5890" width="2.5" style="153" customWidth="1"/>
    <col min="5891" max="5891" width="8" style="153" customWidth="1"/>
    <col min="5892" max="5892" width="10" style="153" customWidth="1"/>
    <col min="5893" max="5893" width="8.375" style="153" customWidth="1"/>
    <col min="5894" max="5894" width="11" style="153" customWidth="1"/>
    <col min="5895" max="5895" width="8" style="153" customWidth="1"/>
    <col min="5896" max="5896" width="19.375" style="153" customWidth="1"/>
    <col min="5897" max="5897" width="12.375" style="153" customWidth="1"/>
    <col min="5898" max="5898" width="10.5" style="153" customWidth="1"/>
    <col min="5899" max="5902" width="6.375" style="153" customWidth="1"/>
    <col min="5903" max="5903" width="23.125" style="153" customWidth="1"/>
    <col min="5904" max="5904" width="6" style="153" customWidth="1"/>
    <col min="5905" max="5905" width="16.875" style="153" customWidth="1"/>
    <col min="5906" max="5906" width="10.75" style="153" customWidth="1"/>
    <col min="5907" max="5907" width="12.5" style="153" customWidth="1"/>
    <col min="5908" max="5909" width="5" style="153" customWidth="1"/>
    <col min="5910" max="5910" width="3.875" style="153" customWidth="1"/>
    <col min="5911" max="5911" width="14.375" style="153" customWidth="1"/>
    <col min="5912" max="5912" width="17.875" style="153" customWidth="1"/>
    <col min="5913" max="5913" width="2" style="153" customWidth="1"/>
    <col min="5914" max="5914" width="13.875" style="153" customWidth="1"/>
    <col min="5915" max="5915" width="13.625" style="153" customWidth="1"/>
    <col min="5916" max="5916" width="15.125" style="153" customWidth="1"/>
    <col min="5917" max="5917" width="15.25" style="153" customWidth="1"/>
    <col min="5918" max="5919" width="12.875" style="153" customWidth="1"/>
    <col min="5920" max="5920" width="12.75" style="153" customWidth="1"/>
    <col min="5921" max="5921" width="15.75" style="153" customWidth="1"/>
    <col min="5922" max="5922" width="14.5" style="153" customWidth="1"/>
    <col min="5923" max="5925" width="21" style="153" customWidth="1"/>
    <col min="5926" max="6144" width="10.75" style="153"/>
    <col min="6145" max="6145" width="0.75" style="153" customWidth="1"/>
    <col min="6146" max="6146" width="2.5" style="153" customWidth="1"/>
    <col min="6147" max="6147" width="8" style="153" customWidth="1"/>
    <col min="6148" max="6148" width="10" style="153" customWidth="1"/>
    <col min="6149" max="6149" width="8.375" style="153" customWidth="1"/>
    <col min="6150" max="6150" width="11" style="153" customWidth="1"/>
    <col min="6151" max="6151" width="8" style="153" customWidth="1"/>
    <col min="6152" max="6152" width="19.375" style="153" customWidth="1"/>
    <col min="6153" max="6153" width="12.375" style="153" customWidth="1"/>
    <col min="6154" max="6154" width="10.5" style="153" customWidth="1"/>
    <col min="6155" max="6158" width="6.375" style="153" customWidth="1"/>
    <col min="6159" max="6159" width="23.125" style="153" customWidth="1"/>
    <col min="6160" max="6160" width="6" style="153" customWidth="1"/>
    <col min="6161" max="6161" width="16.875" style="153" customWidth="1"/>
    <col min="6162" max="6162" width="10.75" style="153" customWidth="1"/>
    <col min="6163" max="6163" width="12.5" style="153" customWidth="1"/>
    <col min="6164" max="6165" width="5" style="153" customWidth="1"/>
    <col min="6166" max="6166" width="3.875" style="153" customWidth="1"/>
    <col min="6167" max="6167" width="14.375" style="153" customWidth="1"/>
    <col min="6168" max="6168" width="17.875" style="153" customWidth="1"/>
    <col min="6169" max="6169" width="2" style="153" customWidth="1"/>
    <col min="6170" max="6170" width="13.875" style="153" customWidth="1"/>
    <col min="6171" max="6171" width="13.625" style="153" customWidth="1"/>
    <col min="6172" max="6172" width="15.125" style="153" customWidth="1"/>
    <col min="6173" max="6173" width="15.25" style="153" customWidth="1"/>
    <col min="6174" max="6175" width="12.875" style="153" customWidth="1"/>
    <col min="6176" max="6176" width="12.75" style="153" customWidth="1"/>
    <col min="6177" max="6177" width="15.75" style="153" customWidth="1"/>
    <col min="6178" max="6178" width="14.5" style="153" customWidth="1"/>
    <col min="6179" max="6181" width="21" style="153" customWidth="1"/>
    <col min="6182" max="6400" width="10.75" style="153"/>
    <col min="6401" max="6401" width="0.75" style="153" customWidth="1"/>
    <col min="6402" max="6402" width="2.5" style="153" customWidth="1"/>
    <col min="6403" max="6403" width="8" style="153" customWidth="1"/>
    <col min="6404" max="6404" width="10" style="153" customWidth="1"/>
    <col min="6405" max="6405" width="8.375" style="153" customWidth="1"/>
    <col min="6406" max="6406" width="11" style="153" customWidth="1"/>
    <col min="6407" max="6407" width="8" style="153" customWidth="1"/>
    <col min="6408" max="6408" width="19.375" style="153" customWidth="1"/>
    <col min="6409" max="6409" width="12.375" style="153" customWidth="1"/>
    <col min="6410" max="6410" width="10.5" style="153" customWidth="1"/>
    <col min="6411" max="6414" width="6.375" style="153" customWidth="1"/>
    <col min="6415" max="6415" width="23.125" style="153" customWidth="1"/>
    <col min="6416" max="6416" width="6" style="153" customWidth="1"/>
    <col min="6417" max="6417" width="16.875" style="153" customWidth="1"/>
    <col min="6418" max="6418" width="10.75" style="153" customWidth="1"/>
    <col min="6419" max="6419" width="12.5" style="153" customWidth="1"/>
    <col min="6420" max="6421" width="5" style="153" customWidth="1"/>
    <col min="6422" max="6422" width="3.875" style="153" customWidth="1"/>
    <col min="6423" max="6423" width="14.375" style="153" customWidth="1"/>
    <col min="6424" max="6424" width="17.875" style="153" customWidth="1"/>
    <col min="6425" max="6425" width="2" style="153" customWidth="1"/>
    <col min="6426" max="6426" width="13.875" style="153" customWidth="1"/>
    <col min="6427" max="6427" width="13.625" style="153" customWidth="1"/>
    <col min="6428" max="6428" width="15.125" style="153" customWidth="1"/>
    <col min="6429" max="6429" width="15.25" style="153" customWidth="1"/>
    <col min="6430" max="6431" width="12.875" style="153" customWidth="1"/>
    <col min="6432" max="6432" width="12.75" style="153" customWidth="1"/>
    <col min="6433" max="6433" width="15.75" style="153" customWidth="1"/>
    <col min="6434" max="6434" width="14.5" style="153" customWidth="1"/>
    <col min="6435" max="6437" width="21" style="153" customWidth="1"/>
    <col min="6438" max="6656" width="10.75" style="153"/>
    <col min="6657" max="6657" width="0.75" style="153" customWidth="1"/>
    <col min="6658" max="6658" width="2.5" style="153" customWidth="1"/>
    <col min="6659" max="6659" width="8" style="153" customWidth="1"/>
    <col min="6660" max="6660" width="10" style="153" customWidth="1"/>
    <col min="6661" max="6661" width="8.375" style="153" customWidth="1"/>
    <col min="6662" max="6662" width="11" style="153" customWidth="1"/>
    <col min="6663" max="6663" width="8" style="153" customWidth="1"/>
    <col min="6664" max="6664" width="19.375" style="153" customWidth="1"/>
    <col min="6665" max="6665" width="12.375" style="153" customWidth="1"/>
    <col min="6666" max="6666" width="10.5" style="153" customWidth="1"/>
    <col min="6667" max="6670" width="6.375" style="153" customWidth="1"/>
    <col min="6671" max="6671" width="23.125" style="153" customWidth="1"/>
    <col min="6672" max="6672" width="6" style="153" customWidth="1"/>
    <col min="6673" max="6673" width="16.875" style="153" customWidth="1"/>
    <col min="6674" max="6674" width="10.75" style="153" customWidth="1"/>
    <col min="6675" max="6675" width="12.5" style="153" customWidth="1"/>
    <col min="6676" max="6677" width="5" style="153" customWidth="1"/>
    <col min="6678" max="6678" width="3.875" style="153" customWidth="1"/>
    <col min="6679" max="6679" width="14.375" style="153" customWidth="1"/>
    <col min="6680" max="6680" width="17.875" style="153" customWidth="1"/>
    <col min="6681" max="6681" width="2" style="153" customWidth="1"/>
    <col min="6682" max="6682" width="13.875" style="153" customWidth="1"/>
    <col min="6683" max="6683" width="13.625" style="153" customWidth="1"/>
    <col min="6684" max="6684" width="15.125" style="153" customWidth="1"/>
    <col min="6685" max="6685" width="15.25" style="153" customWidth="1"/>
    <col min="6686" max="6687" width="12.875" style="153" customWidth="1"/>
    <col min="6688" max="6688" width="12.75" style="153" customWidth="1"/>
    <col min="6689" max="6689" width="15.75" style="153" customWidth="1"/>
    <col min="6690" max="6690" width="14.5" style="153" customWidth="1"/>
    <col min="6691" max="6693" width="21" style="153" customWidth="1"/>
    <col min="6694" max="6912" width="10.75" style="153"/>
    <col min="6913" max="6913" width="0.75" style="153" customWidth="1"/>
    <col min="6914" max="6914" width="2.5" style="153" customWidth="1"/>
    <col min="6915" max="6915" width="8" style="153" customWidth="1"/>
    <col min="6916" max="6916" width="10" style="153" customWidth="1"/>
    <col min="6917" max="6917" width="8.375" style="153" customWidth="1"/>
    <col min="6918" max="6918" width="11" style="153" customWidth="1"/>
    <col min="6919" max="6919" width="8" style="153" customWidth="1"/>
    <col min="6920" max="6920" width="19.375" style="153" customWidth="1"/>
    <col min="6921" max="6921" width="12.375" style="153" customWidth="1"/>
    <col min="6922" max="6922" width="10.5" style="153" customWidth="1"/>
    <col min="6923" max="6926" width="6.375" style="153" customWidth="1"/>
    <col min="6927" max="6927" width="23.125" style="153" customWidth="1"/>
    <col min="6928" max="6928" width="6" style="153" customWidth="1"/>
    <col min="6929" max="6929" width="16.875" style="153" customWidth="1"/>
    <col min="6930" max="6930" width="10.75" style="153" customWidth="1"/>
    <col min="6931" max="6931" width="12.5" style="153" customWidth="1"/>
    <col min="6932" max="6933" width="5" style="153" customWidth="1"/>
    <col min="6934" max="6934" width="3.875" style="153" customWidth="1"/>
    <col min="6935" max="6935" width="14.375" style="153" customWidth="1"/>
    <col min="6936" max="6936" width="17.875" style="153" customWidth="1"/>
    <col min="6937" max="6937" width="2" style="153" customWidth="1"/>
    <col min="6938" max="6938" width="13.875" style="153" customWidth="1"/>
    <col min="6939" max="6939" width="13.625" style="153" customWidth="1"/>
    <col min="6940" max="6940" width="15.125" style="153" customWidth="1"/>
    <col min="6941" max="6941" width="15.25" style="153" customWidth="1"/>
    <col min="6942" max="6943" width="12.875" style="153" customWidth="1"/>
    <col min="6944" max="6944" width="12.75" style="153" customWidth="1"/>
    <col min="6945" max="6945" width="15.75" style="153" customWidth="1"/>
    <col min="6946" max="6946" width="14.5" style="153" customWidth="1"/>
    <col min="6947" max="6949" width="21" style="153" customWidth="1"/>
    <col min="6950" max="7168" width="10.75" style="153"/>
    <col min="7169" max="7169" width="0.75" style="153" customWidth="1"/>
    <col min="7170" max="7170" width="2.5" style="153" customWidth="1"/>
    <col min="7171" max="7171" width="8" style="153" customWidth="1"/>
    <col min="7172" max="7172" width="10" style="153" customWidth="1"/>
    <col min="7173" max="7173" width="8.375" style="153" customWidth="1"/>
    <col min="7174" max="7174" width="11" style="153" customWidth="1"/>
    <col min="7175" max="7175" width="8" style="153" customWidth="1"/>
    <col min="7176" max="7176" width="19.375" style="153" customWidth="1"/>
    <col min="7177" max="7177" width="12.375" style="153" customWidth="1"/>
    <col min="7178" max="7178" width="10.5" style="153" customWidth="1"/>
    <col min="7179" max="7182" width="6.375" style="153" customWidth="1"/>
    <col min="7183" max="7183" width="23.125" style="153" customWidth="1"/>
    <col min="7184" max="7184" width="6" style="153" customWidth="1"/>
    <col min="7185" max="7185" width="16.875" style="153" customWidth="1"/>
    <col min="7186" max="7186" width="10.75" style="153" customWidth="1"/>
    <col min="7187" max="7187" width="12.5" style="153" customWidth="1"/>
    <col min="7188" max="7189" width="5" style="153" customWidth="1"/>
    <col min="7190" max="7190" width="3.875" style="153" customWidth="1"/>
    <col min="7191" max="7191" width="14.375" style="153" customWidth="1"/>
    <col min="7192" max="7192" width="17.875" style="153" customWidth="1"/>
    <col min="7193" max="7193" width="2" style="153" customWidth="1"/>
    <col min="7194" max="7194" width="13.875" style="153" customWidth="1"/>
    <col min="7195" max="7195" width="13.625" style="153" customWidth="1"/>
    <col min="7196" max="7196" width="15.125" style="153" customWidth="1"/>
    <col min="7197" max="7197" width="15.25" style="153" customWidth="1"/>
    <col min="7198" max="7199" width="12.875" style="153" customWidth="1"/>
    <col min="7200" max="7200" width="12.75" style="153" customWidth="1"/>
    <col min="7201" max="7201" width="15.75" style="153" customWidth="1"/>
    <col min="7202" max="7202" width="14.5" style="153" customWidth="1"/>
    <col min="7203" max="7205" width="21" style="153" customWidth="1"/>
    <col min="7206" max="7424" width="10.75" style="153"/>
    <col min="7425" max="7425" width="0.75" style="153" customWidth="1"/>
    <col min="7426" max="7426" width="2.5" style="153" customWidth="1"/>
    <col min="7427" max="7427" width="8" style="153" customWidth="1"/>
    <col min="7428" max="7428" width="10" style="153" customWidth="1"/>
    <col min="7429" max="7429" width="8.375" style="153" customWidth="1"/>
    <col min="7430" max="7430" width="11" style="153" customWidth="1"/>
    <col min="7431" max="7431" width="8" style="153" customWidth="1"/>
    <col min="7432" max="7432" width="19.375" style="153" customWidth="1"/>
    <col min="7433" max="7433" width="12.375" style="153" customWidth="1"/>
    <col min="7434" max="7434" width="10.5" style="153" customWidth="1"/>
    <col min="7435" max="7438" width="6.375" style="153" customWidth="1"/>
    <col min="7439" max="7439" width="23.125" style="153" customWidth="1"/>
    <col min="7440" max="7440" width="6" style="153" customWidth="1"/>
    <col min="7441" max="7441" width="16.875" style="153" customWidth="1"/>
    <col min="7442" max="7442" width="10.75" style="153" customWidth="1"/>
    <col min="7443" max="7443" width="12.5" style="153" customWidth="1"/>
    <col min="7444" max="7445" width="5" style="153" customWidth="1"/>
    <col min="7446" max="7446" width="3.875" style="153" customWidth="1"/>
    <col min="7447" max="7447" width="14.375" style="153" customWidth="1"/>
    <col min="7448" max="7448" width="17.875" style="153" customWidth="1"/>
    <col min="7449" max="7449" width="2" style="153" customWidth="1"/>
    <col min="7450" max="7450" width="13.875" style="153" customWidth="1"/>
    <col min="7451" max="7451" width="13.625" style="153" customWidth="1"/>
    <col min="7452" max="7452" width="15.125" style="153" customWidth="1"/>
    <col min="7453" max="7453" width="15.25" style="153" customWidth="1"/>
    <col min="7454" max="7455" width="12.875" style="153" customWidth="1"/>
    <col min="7456" max="7456" width="12.75" style="153" customWidth="1"/>
    <col min="7457" max="7457" width="15.75" style="153" customWidth="1"/>
    <col min="7458" max="7458" width="14.5" style="153" customWidth="1"/>
    <col min="7459" max="7461" width="21" style="153" customWidth="1"/>
    <col min="7462" max="7680" width="10.75" style="153"/>
    <col min="7681" max="7681" width="0.75" style="153" customWidth="1"/>
    <col min="7682" max="7682" width="2.5" style="153" customWidth="1"/>
    <col min="7683" max="7683" width="8" style="153" customWidth="1"/>
    <col min="7684" max="7684" width="10" style="153" customWidth="1"/>
    <col min="7685" max="7685" width="8.375" style="153" customWidth="1"/>
    <col min="7686" max="7686" width="11" style="153" customWidth="1"/>
    <col min="7687" max="7687" width="8" style="153" customWidth="1"/>
    <col min="7688" max="7688" width="19.375" style="153" customWidth="1"/>
    <col min="7689" max="7689" width="12.375" style="153" customWidth="1"/>
    <col min="7690" max="7690" width="10.5" style="153" customWidth="1"/>
    <col min="7691" max="7694" width="6.375" style="153" customWidth="1"/>
    <col min="7695" max="7695" width="23.125" style="153" customWidth="1"/>
    <col min="7696" max="7696" width="6" style="153" customWidth="1"/>
    <col min="7697" max="7697" width="16.875" style="153" customWidth="1"/>
    <col min="7698" max="7698" width="10.75" style="153" customWidth="1"/>
    <col min="7699" max="7699" width="12.5" style="153" customWidth="1"/>
    <col min="7700" max="7701" width="5" style="153" customWidth="1"/>
    <col min="7702" max="7702" width="3.875" style="153" customWidth="1"/>
    <col min="7703" max="7703" width="14.375" style="153" customWidth="1"/>
    <col min="7704" max="7704" width="17.875" style="153" customWidth="1"/>
    <col min="7705" max="7705" width="2" style="153" customWidth="1"/>
    <col min="7706" max="7706" width="13.875" style="153" customWidth="1"/>
    <col min="7707" max="7707" width="13.625" style="153" customWidth="1"/>
    <col min="7708" max="7708" width="15.125" style="153" customWidth="1"/>
    <col min="7709" max="7709" width="15.25" style="153" customWidth="1"/>
    <col min="7710" max="7711" width="12.875" style="153" customWidth="1"/>
    <col min="7712" max="7712" width="12.75" style="153" customWidth="1"/>
    <col min="7713" max="7713" width="15.75" style="153" customWidth="1"/>
    <col min="7714" max="7714" width="14.5" style="153" customWidth="1"/>
    <col min="7715" max="7717" width="21" style="153" customWidth="1"/>
    <col min="7718" max="7936" width="10.75" style="153"/>
    <col min="7937" max="7937" width="0.75" style="153" customWidth="1"/>
    <col min="7938" max="7938" width="2.5" style="153" customWidth="1"/>
    <col min="7939" max="7939" width="8" style="153" customWidth="1"/>
    <col min="7940" max="7940" width="10" style="153" customWidth="1"/>
    <col min="7941" max="7941" width="8.375" style="153" customWidth="1"/>
    <col min="7942" max="7942" width="11" style="153" customWidth="1"/>
    <col min="7943" max="7943" width="8" style="153" customWidth="1"/>
    <col min="7944" max="7944" width="19.375" style="153" customWidth="1"/>
    <col min="7945" max="7945" width="12.375" style="153" customWidth="1"/>
    <col min="7946" max="7946" width="10.5" style="153" customWidth="1"/>
    <col min="7947" max="7950" width="6.375" style="153" customWidth="1"/>
    <col min="7951" max="7951" width="23.125" style="153" customWidth="1"/>
    <col min="7952" max="7952" width="6" style="153" customWidth="1"/>
    <col min="7953" max="7953" width="16.875" style="153" customWidth="1"/>
    <col min="7954" max="7954" width="10.75" style="153" customWidth="1"/>
    <col min="7955" max="7955" width="12.5" style="153" customWidth="1"/>
    <col min="7956" max="7957" width="5" style="153" customWidth="1"/>
    <col min="7958" max="7958" width="3.875" style="153" customWidth="1"/>
    <col min="7959" max="7959" width="14.375" style="153" customWidth="1"/>
    <col min="7960" max="7960" width="17.875" style="153" customWidth="1"/>
    <col min="7961" max="7961" width="2" style="153" customWidth="1"/>
    <col min="7962" max="7962" width="13.875" style="153" customWidth="1"/>
    <col min="7963" max="7963" width="13.625" style="153" customWidth="1"/>
    <col min="7964" max="7964" width="15.125" style="153" customWidth="1"/>
    <col min="7965" max="7965" width="15.25" style="153" customWidth="1"/>
    <col min="7966" max="7967" width="12.875" style="153" customWidth="1"/>
    <col min="7968" max="7968" width="12.75" style="153" customWidth="1"/>
    <col min="7969" max="7969" width="15.75" style="153" customWidth="1"/>
    <col min="7970" max="7970" width="14.5" style="153" customWidth="1"/>
    <col min="7971" max="7973" width="21" style="153" customWidth="1"/>
    <col min="7974" max="8192" width="10.75" style="153"/>
    <col min="8193" max="8193" width="0.75" style="153" customWidth="1"/>
    <col min="8194" max="8194" width="2.5" style="153" customWidth="1"/>
    <col min="8195" max="8195" width="8" style="153" customWidth="1"/>
    <col min="8196" max="8196" width="10" style="153" customWidth="1"/>
    <col min="8197" max="8197" width="8.375" style="153" customWidth="1"/>
    <col min="8198" max="8198" width="11" style="153" customWidth="1"/>
    <col min="8199" max="8199" width="8" style="153" customWidth="1"/>
    <col min="8200" max="8200" width="19.375" style="153" customWidth="1"/>
    <col min="8201" max="8201" width="12.375" style="153" customWidth="1"/>
    <col min="8202" max="8202" width="10.5" style="153" customWidth="1"/>
    <col min="8203" max="8206" width="6.375" style="153" customWidth="1"/>
    <col min="8207" max="8207" width="23.125" style="153" customWidth="1"/>
    <col min="8208" max="8208" width="6" style="153" customWidth="1"/>
    <col min="8209" max="8209" width="16.875" style="153" customWidth="1"/>
    <col min="8210" max="8210" width="10.75" style="153" customWidth="1"/>
    <col min="8211" max="8211" width="12.5" style="153" customWidth="1"/>
    <col min="8212" max="8213" width="5" style="153" customWidth="1"/>
    <col min="8214" max="8214" width="3.875" style="153" customWidth="1"/>
    <col min="8215" max="8215" width="14.375" style="153" customWidth="1"/>
    <col min="8216" max="8216" width="17.875" style="153" customWidth="1"/>
    <col min="8217" max="8217" width="2" style="153" customWidth="1"/>
    <col min="8218" max="8218" width="13.875" style="153" customWidth="1"/>
    <col min="8219" max="8219" width="13.625" style="153" customWidth="1"/>
    <col min="8220" max="8220" width="15.125" style="153" customWidth="1"/>
    <col min="8221" max="8221" width="15.25" style="153" customWidth="1"/>
    <col min="8222" max="8223" width="12.875" style="153" customWidth="1"/>
    <col min="8224" max="8224" width="12.75" style="153" customWidth="1"/>
    <col min="8225" max="8225" width="15.75" style="153" customWidth="1"/>
    <col min="8226" max="8226" width="14.5" style="153" customWidth="1"/>
    <col min="8227" max="8229" width="21" style="153" customWidth="1"/>
    <col min="8230" max="8448" width="10.75" style="153"/>
    <col min="8449" max="8449" width="0.75" style="153" customWidth="1"/>
    <col min="8450" max="8450" width="2.5" style="153" customWidth="1"/>
    <col min="8451" max="8451" width="8" style="153" customWidth="1"/>
    <col min="8452" max="8452" width="10" style="153" customWidth="1"/>
    <col min="8453" max="8453" width="8.375" style="153" customWidth="1"/>
    <col min="8454" max="8454" width="11" style="153" customWidth="1"/>
    <col min="8455" max="8455" width="8" style="153" customWidth="1"/>
    <col min="8456" max="8456" width="19.375" style="153" customWidth="1"/>
    <col min="8457" max="8457" width="12.375" style="153" customWidth="1"/>
    <col min="8458" max="8458" width="10.5" style="153" customWidth="1"/>
    <col min="8459" max="8462" width="6.375" style="153" customWidth="1"/>
    <col min="8463" max="8463" width="23.125" style="153" customWidth="1"/>
    <col min="8464" max="8464" width="6" style="153" customWidth="1"/>
    <col min="8465" max="8465" width="16.875" style="153" customWidth="1"/>
    <col min="8466" max="8466" width="10.75" style="153" customWidth="1"/>
    <col min="8467" max="8467" width="12.5" style="153" customWidth="1"/>
    <col min="8468" max="8469" width="5" style="153" customWidth="1"/>
    <col min="8470" max="8470" width="3.875" style="153" customWidth="1"/>
    <col min="8471" max="8471" width="14.375" style="153" customWidth="1"/>
    <col min="8472" max="8472" width="17.875" style="153" customWidth="1"/>
    <col min="8473" max="8473" width="2" style="153" customWidth="1"/>
    <col min="8474" max="8474" width="13.875" style="153" customWidth="1"/>
    <col min="8475" max="8475" width="13.625" style="153" customWidth="1"/>
    <col min="8476" max="8476" width="15.125" style="153" customWidth="1"/>
    <col min="8477" max="8477" width="15.25" style="153" customWidth="1"/>
    <col min="8478" max="8479" width="12.875" style="153" customWidth="1"/>
    <col min="8480" max="8480" width="12.75" style="153" customWidth="1"/>
    <col min="8481" max="8481" width="15.75" style="153" customWidth="1"/>
    <col min="8482" max="8482" width="14.5" style="153" customWidth="1"/>
    <col min="8483" max="8485" width="21" style="153" customWidth="1"/>
    <col min="8486" max="8704" width="10.75" style="153"/>
    <col min="8705" max="8705" width="0.75" style="153" customWidth="1"/>
    <col min="8706" max="8706" width="2.5" style="153" customWidth="1"/>
    <col min="8707" max="8707" width="8" style="153" customWidth="1"/>
    <col min="8708" max="8708" width="10" style="153" customWidth="1"/>
    <col min="8709" max="8709" width="8.375" style="153" customWidth="1"/>
    <col min="8710" max="8710" width="11" style="153" customWidth="1"/>
    <col min="8711" max="8711" width="8" style="153" customWidth="1"/>
    <col min="8712" max="8712" width="19.375" style="153" customWidth="1"/>
    <col min="8713" max="8713" width="12.375" style="153" customWidth="1"/>
    <col min="8714" max="8714" width="10.5" style="153" customWidth="1"/>
    <col min="8715" max="8718" width="6.375" style="153" customWidth="1"/>
    <col min="8719" max="8719" width="23.125" style="153" customWidth="1"/>
    <col min="8720" max="8720" width="6" style="153" customWidth="1"/>
    <col min="8721" max="8721" width="16.875" style="153" customWidth="1"/>
    <col min="8722" max="8722" width="10.75" style="153" customWidth="1"/>
    <col min="8723" max="8723" width="12.5" style="153" customWidth="1"/>
    <col min="8724" max="8725" width="5" style="153" customWidth="1"/>
    <col min="8726" max="8726" width="3.875" style="153" customWidth="1"/>
    <col min="8727" max="8727" width="14.375" style="153" customWidth="1"/>
    <col min="8728" max="8728" width="17.875" style="153" customWidth="1"/>
    <col min="8729" max="8729" width="2" style="153" customWidth="1"/>
    <col min="8730" max="8730" width="13.875" style="153" customWidth="1"/>
    <col min="8731" max="8731" width="13.625" style="153" customWidth="1"/>
    <col min="8732" max="8732" width="15.125" style="153" customWidth="1"/>
    <col min="8733" max="8733" width="15.25" style="153" customWidth="1"/>
    <col min="8734" max="8735" width="12.875" style="153" customWidth="1"/>
    <col min="8736" max="8736" width="12.75" style="153" customWidth="1"/>
    <col min="8737" max="8737" width="15.75" style="153" customWidth="1"/>
    <col min="8738" max="8738" width="14.5" style="153" customWidth="1"/>
    <col min="8739" max="8741" width="21" style="153" customWidth="1"/>
    <col min="8742" max="8960" width="10.75" style="153"/>
    <col min="8961" max="8961" width="0.75" style="153" customWidth="1"/>
    <col min="8962" max="8962" width="2.5" style="153" customWidth="1"/>
    <col min="8963" max="8963" width="8" style="153" customWidth="1"/>
    <col min="8964" max="8964" width="10" style="153" customWidth="1"/>
    <col min="8965" max="8965" width="8.375" style="153" customWidth="1"/>
    <col min="8966" max="8966" width="11" style="153" customWidth="1"/>
    <col min="8967" max="8967" width="8" style="153" customWidth="1"/>
    <col min="8968" max="8968" width="19.375" style="153" customWidth="1"/>
    <col min="8969" max="8969" width="12.375" style="153" customWidth="1"/>
    <col min="8970" max="8970" width="10.5" style="153" customWidth="1"/>
    <col min="8971" max="8974" width="6.375" style="153" customWidth="1"/>
    <col min="8975" max="8975" width="23.125" style="153" customWidth="1"/>
    <col min="8976" max="8976" width="6" style="153" customWidth="1"/>
    <col min="8977" max="8977" width="16.875" style="153" customWidth="1"/>
    <col min="8978" max="8978" width="10.75" style="153" customWidth="1"/>
    <col min="8979" max="8979" width="12.5" style="153" customWidth="1"/>
    <col min="8980" max="8981" width="5" style="153" customWidth="1"/>
    <col min="8982" max="8982" width="3.875" style="153" customWidth="1"/>
    <col min="8983" max="8983" width="14.375" style="153" customWidth="1"/>
    <col min="8984" max="8984" width="17.875" style="153" customWidth="1"/>
    <col min="8985" max="8985" width="2" style="153" customWidth="1"/>
    <col min="8986" max="8986" width="13.875" style="153" customWidth="1"/>
    <col min="8987" max="8987" width="13.625" style="153" customWidth="1"/>
    <col min="8988" max="8988" width="15.125" style="153" customWidth="1"/>
    <col min="8989" max="8989" width="15.25" style="153" customWidth="1"/>
    <col min="8990" max="8991" width="12.875" style="153" customWidth="1"/>
    <col min="8992" max="8992" width="12.75" style="153" customWidth="1"/>
    <col min="8993" max="8993" width="15.75" style="153" customWidth="1"/>
    <col min="8994" max="8994" width="14.5" style="153" customWidth="1"/>
    <col min="8995" max="8997" width="21" style="153" customWidth="1"/>
    <col min="8998" max="9216" width="10.75" style="153"/>
    <col min="9217" max="9217" width="0.75" style="153" customWidth="1"/>
    <col min="9218" max="9218" width="2.5" style="153" customWidth="1"/>
    <col min="9219" max="9219" width="8" style="153" customWidth="1"/>
    <col min="9220" max="9220" width="10" style="153" customWidth="1"/>
    <col min="9221" max="9221" width="8.375" style="153" customWidth="1"/>
    <col min="9222" max="9222" width="11" style="153" customWidth="1"/>
    <col min="9223" max="9223" width="8" style="153" customWidth="1"/>
    <col min="9224" max="9224" width="19.375" style="153" customWidth="1"/>
    <col min="9225" max="9225" width="12.375" style="153" customWidth="1"/>
    <col min="9226" max="9226" width="10.5" style="153" customWidth="1"/>
    <col min="9227" max="9230" width="6.375" style="153" customWidth="1"/>
    <col min="9231" max="9231" width="23.125" style="153" customWidth="1"/>
    <col min="9232" max="9232" width="6" style="153" customWidth="1"/>
    <col min="9233" max="9233" width="16.875" style="153" customWidth="1"/>
    <col min="9234" max="9234" width="10.75" style="153" customWidth="1"/>
    <col min="9235" max="9235" width="12.5" style="153" customWidth="1"/>
    <col min="9236" max="9237" width="5" style="153" customWidth="1"/>
    <col min="9238" max="9238" width="3.875" style="153" customWidth="1"/>
    <col min="9239" max="9239" width="14.375" style="153" customWidth="1"/>
    <col min="9240" max="9240" width="17.875" style="153" customWidth="1"/>
    <col min="9241" max="9241" width="2" style="153" customWidth="1"/>
    <col min="9242" max="9242" width="13.875" style="153" customWidth="1"/>
    <col min="9243" max="9243" width="13.625" style="153" customWidth="1"/>
    <col min="9244" max="9244" width="15.125" style="153" customWidth="1"/>
    <col min="9245" max="9245" width="15.25" style="153" customWidth="1"/>
    <col min="9246" max="9247" width="12.875" style="153" customWidth="1"/>
    <col min="9248" max="9248" width="12.75" style="153" customWidth="1"/>
    <col min="9249" max="9249" width="15.75" style="153" customWidth="1"/>
    <col min="9250" max="9250" width="14.5" style="153" customWidth="1"/>
    <col min="9251" max="9253" width="21" style="153" customWidth="1"/>
    <col min="9254" max="9472" width="10.75" style="153"/>
    <col min="9473" max="9473" width="0.75" style="153" customWidth="1"/>
    <col min="9474" max="9474" width="2.5" style="153" customWidth="1"/>
    <col min="9475" max="9475" width="8" style="153" customWidth="1"/>
    <col min="9476" max="9476" width="10" style="153" customWidth="1"/>
    <col min="9477" max="9477" width="8.375" style="153" customWidth="1"/>
    <col min="9478" max="9478" width="11" style="153" customWidth="1"/>
    <col min="9479" max="9479" width="8" style="153" customWidth="1"/>
    <col min="9480" max="9480" width="19.375" style="153" customWidth="1"/>
    <col min="9481" max="9481" width="12.375" style="153" customWidth="1"/>
    <col min="9482" max="9482" width="10.5" style="153" customWidth="1"/>
    <col min="9483" max="9486" width="6.375" style="153" customWidth="1"/>
    <col min="9487" max="9487" width="23.125" style="153" customWidth="1"/>
    <col min="9488" max="9488" width="6" style="153" customWidth="1"/>
    <col min="9489" max="9489" width="16.875" style="153" customWidth="1"/>
    <col min="9490" max="9490" width="10.75" style="153" customWidth="1"/>
    <col min="9491" max="9491" width="12.5" style="153" customWidth="1"/>
    <col min="9492" max="9493" width="5" style="153" customWidth="1"/>
    <col min="9494" max="9494" width="3.875" style="153" customWidth="1"/>
    <col min="9495" max="9495" width="14.375" style="153" customWidth="1"/>
    <col min="9496" max="9496" width="17.875" style="153" customWidth="1"/>
    <col min="9497" max="9497" width="2" style="153" customWidth="1"/>
    <col min="9498" max="9498" width="13.875" style="153" customWidth="1"/>
    <col min="9499" max="9499" width="13.625" style="153" customWidth="1"/>
    <col min="9500" max="9500" width="15.125" style="153" customWidth="1"/>
    <col min="9501" max="9501" width="15.25" style="153" customWidth="1"/>
    <col min="9502" max="9503" width="12.875" style="153" customWidth="1"/>
    <col min="9504" max="9504" width="12.75" style="153" customWidth="1"/>
    <col min="9505" max="9505" width="15.75" style="153" customWidth="1"/>
    <col min="9506" max="9506" width="14.5" style="153" customWidth="1"/>
    <col min="9507" max="9509" width="21" style="153" customWidth="1"/>
    <col min="9510" max="9728" width="10.75" style="153"/>
    <col min="9729" max="9729" width="0.75" style="153" customWidth="1"/>
    <col min="9730" max="9730" width="2.5" style="153" customWidth="1"/>
    <col min="9731" max="9731" width="8" style="153" customWidth="1"/>
    <col min="9732" max="9732" width="10" style="153" customWidth="1"/>
    <col min="9733" max="9733" width="8.375" style="153" customWidth="1"/>
    <col min="9734" max="9734" width="11" style="153" customWidth="1"/>
    <col min="9735" max="9735" width="8" style="153" customWidth="1"/>
    <col min="9736" max="9736" width="19.375" style="153" customWidth="1"/>
    <col min="9737" max="9737" width="12.375" style="153" customWidth="1"/>
    <col min="9738" max="9738" width="10.5" style="153" customWidth="1"/>
    <col min="9739" max="9742" width="6.375" style="153" customWidth="1"/>
    <col min="9743" max="9743" width="23.125" style="153" customWidth="1"/>
    <col min="9744" max="9744" width="6" style="153" customWidth="1"/>
    <col min="9745" max="9745" width="16.875" style="153" customWidth="1"/>
    <col min="9746" max="9746" width="10.75" style="153" customWidth="1"/>
    <col min="9747" max="9747" width="12.5" style="153" customWidth="1"/>
    <col min="9748" max="9749" width="5" style="153" customWidth="1"/>
    <col min="9750" max="9750" width="3.875" style="153" customWidth="1"/>
    <col min="9751" max="9751" width="14.375" style="153" customWidth="1"/>
    <col min="9752" max="9752" width="17.875" style="153" customWidth="1"/>
    <col min="9753" max="9753" width="2" style="153" customWidth="1"/>
    <col min="9754" max="9754" width="13.875" style="153" customWidth="1"/>
    <col min="9755" max="9755" width="13.625" style="153" customWidth="1"/>
    <col min="9756" max="9756" width="15.125" style="153" customWidth="1"/>
    <col min="9757" max="9757" width="15.25" style="153" customWidth="1"/>
    <col min="9758" max="9759" width="12.875" style="153" customWidth="1"/>
    <col min="9760" max="9760" width="12.75" style="153" customWidth="1"/>
    <col min="9761" max="9761" width="15.75" style="153" customWidth="1"/>
    <col min="9762" max="9762" width="14.5" style="153" customWidth="1"/>
    <col min="9763" max="9765" width="21" style="153" customWidth="1"/>
    <col min="9766" max="9984" width="10.75" style="153"/>
    <col min="9985" max="9985" width="0.75" style="153" customWidth="1"/>
    <col min="9986" max="9986" width="2.5" style="153" customWidth="1"/>
    <col min="9987" max="9987" width="8" style="153" customWidth="1"/>
    <col min="9988" max="9988" width="10" style="153" customWidth="1"/>
    <col min="9989" max="9989" width="8.375" style="153" customWidth="1"/>
    <col min="9990" max="9990" width="11" style="153" customWidth="1"/>
    <col min="9991" max="9991" width="8" style="153" customWidth="1"/>
    <col min="9992" max="9992" width="19.375" style="153" customWidth="1"/>
    <col min="9993" max="9993" width="12.375" style="153" customWidth="1"/>
    <col min="9994" max="9994" width="10.5" style="153" customWidth="1"/>
    <col min="9995" max="9998" width="6.375" style="153" customWidth="1"/>
    <col min="9999" max="9999" width="23.125" style="153" customWidth="1"/>
    <col min="10000" max="10000" width="6" style="153" customWidth="1"/>
    <col min="10001" max="10001" width="16.875" style="153" customWidth="1"/>
    <col min="10002" max="10002" width="10.75" style="153" customWidth="1"/>
    <col min="10003" max="10003" width="12.5" style="153" customWidth="1"/>
    <col min="10004" max="10005" width="5" style="153" customWidth="1"/>
    <col min="10006" max="10006" width="3.875" style="153" customWidth="1"/>
    <col min="10007" max="10007" width="14.375" style="153" customWidth="1"/>
    <col min="10008" max="10008" width="17.875" style="153" customWidth="1"/>
    <col min="10009" max="10009" width="2" style="153" customWidth="1"/>
    <col min="10010" max="10010" width="13.875" style="153" customWidth="1"/>
    <col min="10011" max="10011" width="13.625" style="153" customWidth="1"/>
    <col min="10012" max="10012" width="15.125" style="153" customWidth="1"/>
    <col min="10013" max="10013" width="15.25" style="153" customWidth="1"/>
    <col min="10014" max="10015" width="12.875" style="153" customWidth="1"/>
    <col min="10016" max="10016" width="12.75" style="153" customWidth="1"/>
    <col min="10017" max="10017" width="15.75" style="153" customWidth="1"/>
    <col min="10018" max="10018" width="14.5" style="153" customWidth="1"/>
    <col min="10019" max="10021" width="21" style="153" customWidth="1"/>
    <col min="10022" max="10240" width="10.75" style="153"/>
    <col min="10241" max="10241" width="0.75" style="153" customWidth="1"/>
    <col min="10242" max="10242" width="2.5" style="153" customWidth="1"/>
    <col min="10243" max="10243" width="8" style="153" customWidth="1"/>
    <col min="10244" max="10244" width="10" style="153" customWidth="1"/>
    <col min="10245" max="10245" width="8.375" style="153" customWidth="1"/>
    <col min="10246" max="10246" width="11" style="153" customWidth="1"/>
    <col min="10247" max="10247" width="8" style="153" customWidth="1"/>
    <col min="10248" max="10248" width="19.375" style="153" customWidth="1"/>
    <col min="10249" max="10249" width="12.375" style="153" customWidth="1"/>
    <col min="10250" max="10250" width="10.5" style="153" customWidth="1"/>
    <col min="10251" max="10254" width="6.375" style="153" customWidth="1"/>
    <col min="10255" max="10255" width="23.125" style="153" customWidth="1"/>
    <col min="10256" max="10256" width="6" style="153" customWidth="1"/>
    <col min="10257" max="10257" width="16.875" style="153" customWidth="1"/>
    <col min="10258" max="10258" width="10.75" style="153" customWidth="1"/>
    <col min="10259" max="10259" width="12.5" style="153" customWidth="1"/>
    <col min="10260" max="10261" width="5" style="153" customWidth="1"/>
    <col min="10262" max="10262" width="3.875" style="153" customWidth="1"/>
    <col min="10263" max="10263" width="14.375" style="153" customWidth="1"/>
    <col min="10264" max="10264" width="17.875" style="153" customWidth="1"/>
    <col min="10265" max="10265" width="2" style="153" customWidth="1"/>
    <col min="10266" max="10266" width="13.875" style="153" customWidth="1"/>
    <col min="10267" max="10267" width="13.625" style="153" customWidth="1"/>
    <col min="10268" max="10268" width="15.125" style="153" customWidth="1"/>
    <col min="10269" max="10269" width="15.25" style="153" customWidth="1"/>
    <col min="10270" max="10271" width="12.875" style="153" customWidth="1"/>
    <col min="10272" max="10272" width="12.75" style="153" customWidth="1"/>
    <col min="10273" max="10273" width="15.75" style="153" customWidth="1"/>
    <col min="10274" max="10274" width="14.5" style="153" customWidth="1"/>
    <col min="10275" max="10277" width="21" style="153" customWidth="1"/>
    <col min="10278" max="10496" width="10.75" style="153"/>
    <col min="10497" max="10497" width="0.75" style="153" customWidth="1"/>
    <col min="10498" max="10498" width="2.5" style="153" customWidth="1"/>
    <col min="10499" max="10499" width="8" style="153" customWidth="1"/>
    <col min="10500" max="10500" width="10" style="153" customWidth="1"/>
    <col min="10501" max="10501" width="8.375" style="153" customWidth="1"/>
    <col min="10502" max="10502" width="11" style="153" customWidth="1"/>
    <col min="10503" max="10503" width="8" style="153" customWidth="1"/>
    <col min="10504" max="10504" width="19.375" style="153" customWidth="1"/>
    <col min="10505" max="10505" width="12.375" style="153" customWidth="1"/>
    <col min="10506" max="10506" width="10.5" style="153" customWidth="1"/>
    <col min="10507" max="10510" width="6.375" style="153" customWidth="1"/>
    <col min="10511" max="10511" width="23.125" style="153" customWidth="1"/>
    <col min="10512" max="10512" width="6" style="153" customWidth="1"/>
    <col min="10513" max="10513" width="16.875" style="153" customWidth="1"/>
    <col min="10514" max="10514" width="10.75" style="153" customWidth="1"/>
    <col min="10515" max="10515" width="12.5" style="153" customWidth="1"/>
    <col min="10516" max="10517" width="5" style="153" customWidth="1"/>
    <col min="10518" max="10518" width="3.875" style="153" customWidth="1"/>
    <col min="10519" max="10519" width="14.375" style="153" customWidth="1"/>
    <col min="10520" max="10520" width="17.875" style="153" customWidth="1"/>
    <col min="10521" max="10521" width="2" style="153" customWidth="1"/>
    <col min="10522" max="10522" width="13.875" style="153" customWidth="1"/>
    <col min="10523" max="10523" width="13.625" style="153" customWidth="1"/>
    <col min="10524" max="10524" width="15.125" style="153" customWidth="1"/>
    <col min="10525" max="10525" width="15.25" style="153" customWidth="1"/>
    <col min="10526" max="10527" width="12.875" style="153" customWidth="1"/>
    <col min="10528" max="10528" width="12.75" style="153" customWidth="1"/>
    <col min="10529" max="10529" width="15.75" style="153" customWidth="1"/>
    <col min="10530" max="10530" width="14.5" style="153" customWidth="1"/>
    <col min="10531" max="10533" width="21" style="153" customWidth="1"/>
    <col min="10534" max="10752" width="10.75" style="153"/>
    <col min="10753" max="10753" width="0.75" style="153" customWidth="1"/>
    <col min="10754" max="10754" width="2.5" style="153" customWidth="1"/>
    <col min="10755" max="10755" width="8" style="153" customWidth="1"/>
    <col min="10756" max="10756" width="10" style="153" customWidth="1"/>
    <col min="10757" max="10757" width="8.375" style="153" customWidth="1"/>
    <col min="10758" max="10758" width="11" style="153" customWidth="1"/>
    <col min="10759" max="10759" width="8" style="153" customWidth="1"/>
    <col min="10760" max="10760" width="19.375" style="153" customWidth="1"/>
    <col min="10761" max="10761" width="12.375" style="153" customWidth="1"/>
    <col min="10762" max="10762" width="10.5" style="153" customWidth="1"/>
    <col min="10763" max="10766" width="6.375" style="153" customWidth="1"/>
    <col min="10767" max="10767" width="23.125" style="153" customWidth="1"/>
    <col min="10768" max="10768" width="6" style="153" customWidth="1"/>
    <col min="10769" max="10769" width="16.875" style="153" customWidth="1"/>
    <col min="10770" max="10770" width="10.75" style="153" customWidth="1"/>
    <col min="10771" max="10771" width="12.5" style="153" customWidth="1"/>
    <col min="10772" max="10773" width="5" style="153" customWidth="1"/>
    <col min="10774" max="10774" width="3.875" style="153" customWidth="1"/>
    <col min="10775" max="10775" width="14.375" style="153" customWidth="1"/>
    <col min="10776" max="10776" width="17.875" style="153" customWidth="1"/>
    <col min="10777" max="10777" width="2" style="153" customWidth="1"/>
    <col min="10778" max="10778" width="13.875" style="153" customWidth="1"/>
    <col min="10779" max="10779" width="13.625" style="153" customWidth="1"/>
    <col min="10780" max="10780" width="15.125" style="153" customWidth="1"/>
    <col min="10781" max="10781" width="15.25" style="153" customWidth="1"/>
    <col min="10782" max="10783" width="12.875" style="153" customWidth="1"/>
    <col min="10784" max="10784" width="12.75" style="153" customWidth="1"/>
    <col min="10785" max="10785" width="15.75" style="153" customWidth="1"/>
    <col min="10786" max="10786" width="14.5" style="153" customWidth="1"/>
    <col min="10787" max="10789" width="21" style="153" customWidth="1"/>
    <col min="10790" max="11008" width="10.75" style="153"/>
    <col min="11009" max="11009" width="0.75" style="153" customWidth="1"/>
    <col min="11010" max="11010" width="2.5" style="153" customWidth="1"/>
    <col min="11011" max="11011" width="8" style="153" customWidth="1"/>
    <col min="11012" max="11012" width="10" style="153" customWidth="1"/>
    <col min="11013" max="11013" width="8.375" style="153" customWidth="1"/>
    <col min="11014" max="11014" width="11" style="153" customWidth="1"/>
    <col min="11015" max="11015" width="8" style="153" customWidth="1"/>
    <col min="11016" max="11016" width="19.375" style="153" customWidth="1"/>
    <col min="11017" max="11017" width="12.375" style="153" customWidth="1"/>
    <col min="11018" max="11018" width="10.5" style="153" customWidth="1"/>
    <col min="11019" max="11022" width="6.375" style="153" customWidth="1"/>
    <col min="11023" max="11023" width="23.125" style="153" customWidth="1"/>
    <col min="11024" max="11024" width="6" style="153" customWidth="1"/>
    <col min="11025" max="11025" width="16.875" style="153" customWidth="1"/>
    <col min="11026" max="11026" width="10.75" style="153" customWidth="1"/>
    <col min="11027" max="11027" width="12.5" style="153" customWidth="1"/>
    <col min="11028" max="11029" width="5" style="153" customWidth="1"/>
    <col min="11030" max="11030" width="3.875" style="153" customWidth="1"/>
    <col min="11031" max="11031" width="14.375" style="153" customWidth="1"/>
    <col min="11032" max="11032" width="17.875" style="153" customWidth="1"/>
    <col min="11033" max="11033" width="2" style="153" customWidth="1"/>
    <col min="11034" max="11034" width="13.875" style="153" customWidth="1"/>
    <col min="11035" max="11035" width="13.625" style="153" customWidth="1"/>
    <col min="11036" max="11036" width="15.125" style="153" customWidth="1"/>
    <col min="11037" max="11037" width="15.25" style="153" customWidth="1"/>
    <col min="11038" max="11039" width="12.875" style="153" customWidth="1"/>
    <col min="11040" max="11040" width="12.75" style="153" customWidth="1"/>
    <col min="11041" max="11041" width="15.75" style="153" customWidth="1"/>
    <col min="11042" max="11042" width="14.5" style="153" customWidth="1"/>
    <col min="11043" max="11045" width="21" style="153" customWidth="1"/>
    <col min="11046" max="11264" width="10.75" style="153"/>
    <col min="11265" max="11265" width="0.75" style="153" customWidth="1"/>
    <col min="11266" max="11266" width="2.5" style="153" customWidth="1"/>
    <col min="11267" max="11267" width="8" style="153" customWidth="1"/>
    <col min="11268" max="11268" width="10" style="153" customWidth="1"/>
    <col min="11269" max="11269" width="8.375" style="153" customWidth="1"/>
    <col min="11270" max="11270" width="11" style="153" customWidth="1"/>
    <col min="11271" max="11271" width="8" style="153" customWidth="1"/>
    <col min="11272" max="11272" width="19.375" style="153" customWidth="1"/>
    <col min="11273" max="11273" width="12.375" style="153" customWidth="1"/>
    <col min="11274" max="11274" width="10.5" style="153" customWidth="1"/>
    <col min="11275" max="11278" width="6.375" style="153" customWidth="1"/>
    <col min="11279" max="11279" width="23.125" style="153" customWidth="1"/>
    <col min="11280" max="11280" width="6" style="153" customWidth="1"/>
    <col min="11281" max="11281" width="16.875" style="153" customWidth="1"/>
    <col min="11282" max="11282" width="10.75" style="153" customWidth="1"/>
    <col min="11283" max="11283" width="12.5" style="153" customWidth="1"/>
    <col min="11284" max="11285" width="5" style="153" customWidth="1"/>
    <col min="11286" max="11286" width="3.875" style="153" customWidth="1"/>
    <col min="11287" max="11287" width="14.375" style="153" customWidth="1"/>
    <col min="11288" max="11288" width="17.875" style="153" customWidth="1"/>
    <col min="11289" max="11289" width="2" style="153" customWidth="1"/>
    <col min="11290" max="11290" width="13.875" style="153" customWidth="1"/>
    <col min="11291" max="11291" width="13.625" style="153" customWidth="1"/>
    <col min="11292" max="11292" width="15.125" style="153" customWidth="1"/>
    <col min="11293" max="11293" width="15.25" style="153" customWidth="1"/>
    <col min="11294" max="11295" width="12.875" style="153" customWidth="1"/>
    <col min="11296" max="11296" width="12.75" style="153" customWidth="1"/>
    <col min="11297" max="11297" width="15.75" style="153" customWidth="1"/>
    <col min="11298" max="11298" width="14.5" style="153" customWidth="1"/>
    <col min="11299" max="11301" width="21" style="153" customWidth="1"/>
    <col min="11302" max="11520" width="10.75" style="153"/>
    <col min="11521" max="11521" width="0.75" style="153" customWidth="1"/>
    <col min="11522" max="11522" width="2.5" style="153" customWidth="1"/>
    <col min="11523" max="11523" width="8" style="153" customWidth="1"/>
    <col min="11524" max="11524" width="10" style="153" customWidth="1"/>
    <col min="11525" max="11525" width="8.375" style="153" customWidth="1"/>
    <col min="11526" max="11526" width="11" style="153" customWidth="1"/>
    <col min="11527" max="11527" width="8" style="153" customWidth="1"/>
    <col min="11528" max="11528" width="19.375" style="153" customWidth="1"/>
    <col min="11529" max="11529" width="12.375" style="153" customWidth="1"/>
    <col min="11530" max="11530" width="10.5" style="153" customWidth="1"/>
    <col min="11531" max="11534" width="6.375" style="153" customWidth="1"/>
    <col min="11535" max="11535" width="23.125" style="153" customWidth="1"/>
    <col min="11536" max="11536" width="6" style="153" customWidth="1"/>
    <col min="11537" max="11537" width="16.875" style="153" customWidth="1"/>
    <col min="11538" max="11538" width="10.75" style="153" customWidth="1"/>
    <col min="11539" max="11539" width="12.5" style="153" customWidth="1"/>
    <col min="11540" max="11541" width="5" style="153" customWidth="1"/>
    <col min="11542" max="11542" width="3.875" style="153" customWidth="1"/>
    <col min="11543" max="11543" width="14.375" style="153" customWidth="1"/>
    <col min="11544" max="11544" width="17.875" style="153" customWidth="1"/>
    <col min="11545" max="11545" width="2" style="153" customWidth="1"/>
    <col min="11546" max="11546" width="13.875" style="153" customWidth="1"/>
    <col min="11547" max="11547" width="13.625" style="153" customWidth="1"/>
    <col min="11548" max="11548" width="15.125" style="153" customWidth="1"/>
    <col min="11549" max="11549" width="15.25" style="153" customWidth="1"/>
    <col min="11550" max="11551" width="12.875" style="153" customWidth="1"/>
    <col min="11552" max="11552" width="12.75" style="153" customWidth="1"/>
    <col min="11553" max="11553" width="15.75" style="153" customWidth="1"/>
    <col min="11554" max="11554" width="14.5" style="153" customWidth="1"/>
    <col min="11555" max="11557" width="21" style="153" customWidth="1"/>
    <col min="11558" max="11776" width="10.75" style="153"/>
    <col min="11777" max="11777" width="0.75" style="153" customWidth="1"/>
    <col min="11778" max="11778" width="2.5" style="153" customWidth="1"/>
    <col min="11779" max="11779" width="8" style="153" customWidth="1"/>
    <col min="11780" max="11780" width="10" style="153" customWidth="1"/>
    <col min="11781" max="11781" width="8.375" style="153" customWidth="1"/>
    <col min="11782" max="11782" width="11" style="153" customWidth="1"/>
    <col min="11783" max="11783" width="8" style="153" customWidth="1"/>
    <col min="11784" max="11784" width="19.375" style="153" customWidth="1"/>
    <col min="11785" max="11785" width="12.375" style="153" customWidth="1"/>
    <col min="11786" max="11786" width="10.5" style="153" customWidth="1"/>
    <col min="11787" max="11790" width="6.375" style="153" customWidth="1"/>
    <col min="11791" max="11791" width="23.125" style="153" customWidth="1"/>
    <col min="11792" max="11792" width="6" style="153" customWidth="1"/>
    <col min="11793" max="11793" width="16.875" style="153" customWidth="1"/>
    <col min="11794" max="11794" width="10.75" style="153" customWidth="1"/>
    <col min="11795" max="11795" width="12.5" style="153" customWidth="1"/>
    <col min="11796" max="11797" width="5" style="153" customWidth="1"/>
    <col min="11798" max="11798" width="3.875" style="153" customWidth="1"/>
    <col min="11799" max="11799" width="14.375" style="153" customWidth="1"/>
    <col min="11800" max="11800" width="17.875" style="153" customWidth="1"/>
    <col min="11801" max="11801" width="2" style="153" customWidth="1"/>
    <col min="11802" max="11802" width="13.875" style="153" customWidth="1"/>
    <col min="11803" max="11803" width="13.625" style="153" customWidth="1"/>
    <col min="11804" max="11804" width="15.125" style="153" customWidth="1"/>
    <col min="11805" max="11805" width="15.25" style="153" customWidth="1"/>
    <col min="11806" max="11807" width="12.875" style="153" customWidth="1"/>
    <col min="11808" max="11808" width="12.75" style="153" customWidth="1"/>
    <col min="11809" max="11809" width="15.75" style="153" customWidth="1"/>
    <col min="11810" max="11810" width="14.5" style="153" customWidth="1"/>
    <col min="11811" max="11813" width="21" style="153" customWidth="1"/>
    <col min="11814" max="12032" width="10.75" style="153"/>
    <col min="12033" max="12033" width="0.75" style="153" customWidth="1"/>
    <col min="12034" max="12034" width="2.5" style="153" customWidth="1"/>
    <col min="12035" max="12035" width="8" style="153" customWidth="1"/>
    <col min="12036" max="12036" width="10" style="153" customWidth="1"/>
    <col min="12037" max="12037" width="8.375" style="153" customWidth="1"/>
    <col min="12038" max="12038" width="11" style="153" customWidth="1"/>
    <col min="12039" max="12039" width="8" style="153" customWidth="1"/>
    <col min="12040" max="12040" width="19.375" style="153" customWidth="1"/>
    <col min="12041" max="12041" width="12.375" style="153" customWidth="1"/>
    <col min="12042" max="12042" width="10.5" style="153" customWidth="1"/>
    <col min="12043" max="12046" width="6.375" style="153" customWidth="1"/>
    <col min="12047" max="12047" width="23.125" style="153" customWidth="1"/>
    <col min="12048" max="12048" width="6" style="153" customWidth="1"/>
    <col min="12049" max="12049" width="16.875" style="153" customWidth="1"/>
    <col min="12050" max="12050" width="10.75" style="153" customWidth="1"/>
    <col min="12051" max="12051" width="12.5" style="153" customWidth="1"/>
    <col min="12052" max="12053" width="5" style="153" customWidth="1"/>
    <col min="12054" max="12054" width="3.875" style="153" customWidth="1"/>
    <col min="12055" max="12055" width="14.375" style="153" customWidth="1"/>
    <col min="12056" max="12056" width="17.875" style="153" customWidth="1"/>
    <col min="12057" max="12057" width="2" style="153" customWidth="1"/>
    <col min="12058" max="12058" width="13.875" style="153" customWidth="1"/>
    <col min="12059" max="12059" width="13.625" style="153" customWidth="1"/>
    <col min="12060" max="12060" width="15.125" style="153" customWidth="1"/>
    <col min="12061" max="12061" width="15.25" style="153" customWidth="1"/>
    <col min="12062" max="12063" width="12.875" style="153" customWidth="1"/>
    <col min="12064" max="12064" width="12.75" style="153" customWidth="1"/>
    <col min="12065" max="12065" width="15.75" style="153" customWidth="1"/>
    <col min="12066" max="12066" width="14.5" style="153" customWidth="1"/>
    <col min="12067" max="12069" width="21" style="153" customWidth="1"/>
    <col min="12070" max="12288" width="10.75" style="153"/>
    <col min="12289" max="12289" width="0.75" style="153" customWidth="1"/>
    <col min="12290" max="12290" width="2.5" style="153" customWidth="1"/>
    <col min="12291" max="12291" width="8" style="153" customWidth="1"/>
    <col min="12292" max="12292" width="10" style="153" customWidth="1"/>
    <col min="12293" max="12293" width="8.375" style="153" customWidth="1"/>
    <col min="12294" max="12294" width="11" style="153" customWidth="1"/>
    <col min="12295" max="12295" width="8" style="153" customWidth="1"/>
    <col min="12296" max="12296" width="19.375" style="153" customWidth="1"/>
    <col min="12297" max="12297" width="12.375" style="153" customWidth="1"/>
    <col min="12298" max="12298" width="10.5" style="153" customWidth="1"/>
    <col min="12299" max="12302" width="6.375" style="153" customWidth="1"/>
    <col min="12303" max="12303" width="23.125" style="153" customWidth="1"/>
    <col min="12304" max="12304" width="6" style="153" customWidth="1"/>
    <col min="12305" max="12305" width="16.875" style="153" customWidth="1"/>
    <col min="12306" max="12306" width="10.75" style="153" customWidth="1"/>
    <col min="12307" max="12307" width="12.5" style="153" customWidth="1"/>
    <col min="12308" max="12309" width="5" style="153" customWidth="1"/>
    <col min="12310" max="12310" width="3.875" style="153" customWidth="1"/>
    <col min="12311" max="12311" width="14.375" style="153" customWidth="1"/>
    <col min="12312" max="12312" width="17.875" style="153" customWidth="1"/>
    <col min="12313" max="12313" width="2" style="153" customWidth="1"/>
    <col min="12314" max="12314" width="13.875" style="153" customWidth="1"/>
    <col min="12315" max="12315" width="13.625" style="153" customWidth="1"/>
    <col min="12316" max="12316" width="15.125" style="153" customWidth="1"/>
    <col min="12317" max="12317" width="15.25" style="153" customWidth="1"/>
    <col min="12318" max="12319" width="12.875" style="153" customWidth="1"/>
    <col min="12320" max="12320" width="12.75" style="153" customWidth="1"/>
    <col min="12321" max="12321" width="15.75" style="153" customWidth="1"/>
    <col min="12322" max="12322" width="14.5" style="153" customWidth="1"/>
    <col min="12323" max="12325" width="21" style="153" customWidth="1"/>
    <col min="12326" max="12544" width="10.75" style="153"/>
    <col min="12545" max="12545" width="0.75" style="153" customWidth="1"/>
    <col min="12546" max="12546" width="2.5" style="153" customWidth="1"/>
    <col min="12547" max="12547" width="8" style="153" customWidth="1"/>
    <col min="12548" max="12548" width="10" style="153" customWidth="1"/>
    <col min="12549" max="12549" width="8.375" style="153" customWidth="1"/>
    <col min="12550" max="12550" width="11" style="153" customWidth="1"/>
    <col min="12551" max="12551" width="8" style="153" customWidth="1"/>
    <col min="12552" max="12552" width="19.375" style="153" customWidth="1"/>
    <col min="12553" max="12553" width="12.375" style="153" customWidth="1"/>
    <col min="12554" max="12554" width="10.5" style="153" customWidth="1"/>
    <col min="12555" max="12558" width="6.375" style="153" customWidth="1"/>
    <col min="12559" max="12559" width="23.125" style="153" customWidth="1"/>
    <col min="12560" max="12560" width="6" style="153" customWidth="1"/>
    <col min="12561" max="12561" width="16.875" style="153" customWidth="1"/>
    <col min="12562" max="12562" width="10.75" style="153" customWidth="1"/>
    <col min="12563" max="12563" width="12.5" style="153" customWidth="1"/>
    <col min="12564" max="12565" width="5" style="153" customWidth="1"/>
    <col min="12566" max="12566" width="3.875" style="153" customWidth="1"/>
    <col min="12567" max="12567" width="14.375" style="153" customWidth="1"/>
    <col min="12568" max="12568" width="17.875" style="153" customWidth="1"/>
    <col min="12569" max="12569" width="2" style="153" customWidth="1"/>
    <col min="12570" max="12570" width="13.875" style="153" customWidth="1"/>
    <col min="12571" max="12571" width="13.625" style="153" customWidth="1"/>
    <col min="12572" max="12572" width="15.125" style="153" customWidth="1"/>
    <col min="12573" max="12573" width="15.25" style="153" customWidth="1"/>
    <col min="12574" max="12575" width="12.875" style="153" customWidth="1"/>
    <col min="12576" max="12576" width="12.75" style="153" customWidth="1"/>
    <col min="12577" max="12577" width="15.75" style="153" customWidth="1"/>
    <col min="12578" max="12578" width="14.5" style="153" customWidth="1"/>
    <col min="12579" max="12581" width="21" style="153" customWidth="1"/>
    <col min="12582" max="12800" width="10.75" style="153"/>
    <col min="12801" max="12801" width="0.75" style="153" customWidth="1"/>
    <col min="12802" max="12802" width="2.5" style="153" customWidth="1"/>
    <col min="12803" max="12803" width="8" style="153" customWidth="1"/>
    <col min="12804" max="12804" width="10" style="153" customWidth="1"/>
    <col min="12805" max="12805" width="8.375" style="153" customWidth="1"/>
    <col min="12806" max="12806" width="11" style="153" customWidth="1"/>
    <col min="12807" max="12807" width="8" style="153" customWidth="1"/>
    <col min="12808" max="12808" width="19.375" style="153" customWidth="1"/>
    <col min="12809" max="12809" width="12.375" style="153" customWidth="1"/>
    <col min="12810" max="12810" width="10.5" style="153" customWidth="1"/>
    <col min="12811" max="12814" width="6.375" style="153" customWidth="1"/>
    <col min="12815" max="12815" width="23.125" style="153" customWidth="1"/>
    <col min="12816" max="12816" width="6" style="153" customWidth="1"/>
    <col min="12817" max="12817" width="16.875" style="153" customWidth="1"/>
    <col min="12818" max="12818" width="10.75" style="153" customWidth="1"/>
    <col min="12819" max="12819" width="12.5" style="153" customWidth="1"/>
    <col min="12820" max="12821" width="5" style="153" customWidth="1"/>
    <col min="12822" max="12822" width="3.875" style="153" customWidth="1"/>
    <col min="12823" max="12823" width="14.375" style="153" customWidth="1"/>
    <col min="12824" max="12824" width="17.875" style="153" customWidth="1"/>
    <col min="12825" max="12825" width="2" style="153" customWidth="1"/>
    <col min="12826" max="12826" width="13.875" style="153" customWidth="1"/>
    <col min="12827" max="12827" width="13.625" style="153" customWidth="1"/>
    <col min="12828" max="12828" width="15.125" style="153" customWidth="1"/>
    <col min="12829" max="12829" width="15.25" style="153" customWidth="1"/>
    <col min="12830" max="12831" width="12.875" style="153" customWidth="1"/>
    <col min="12832" max="12832" width="12.75" style="153" customWidth="1"/>
    <col min="12833" max="12833" width="15.75" style="153" customWidth="1"/>
    <col min="12834" max="12834" width="14.5" style="153" customWidth="1"/>
    <col min="12835" max="12837" width="21" style="153" customWidth="1"/>
    <col min="12838" max="13056" width="10.75" style="153"/>
    <col min="13057" max="13057" width="0.75" style="153" customWidth="1"/>
    <col min="13058" max="13058" width="2.5" style="153" customWidth="1"/>
    <col min="13059" max="13059" width="8" style="153" customWidth="1"/>
    <col min="13060" max="13060" width="10" style="153" customWidth="1"/>
    <col min="13061" max="13061" width="8.375" style="153" customWidth="1"/>
    <col min="13062" max="13062" width="11" style="153" customWidth="1"/>
    <col min="13063" max="13063" width="8" style="153" customWidth="1"/>
    <col min="13064" max="13064" width="19.375" style="153" customWidth="1"/>
    <col min="13065" max="13065" width="12.375" style="153" customWidth="1"/>
    <col min="13066" max="13066" width="10.5" style="153" customWidth="1"/>
    <col min="13067" max="13070" width="6.375" style="153" customWidth="1"/>
    <col min="13071" max="13071" width="23.125" style="153" customWidth="1"/>
    <col min="13072" max="13072" width="6" style="153" customWidth="1"/>
    <col min="13073" max="13073" width="16.875" style="153" customWidth="1"/>
    <col min="13074" max="13074" width="10.75" style="153" customWidth="1"/>
    <col min="13075" max="13075" width="12.5" style="153" customWidth="1"/>
    <col min="13076" max="13077" width="5" style="153" customWidth="1"/>
    <col min="13078" max="13078" width="3.875" style="153" customWidth="1"/>
    <col min="13079" max="13079" width="14.375" style="153" customWidth="1"/>
    <col min="13080" max="13080" width="17.875" style="153" customWidth="1"/>
    <col min="13081" max="13081" width="2" style="153" customWidth="1"/>
    <col min="13082" max="13082" width="13.875" style="153" customWidth="1"/>
    <col min="13083" max="13083" width="13.625" style="153" customWidth="1"/>
    <col min="13084" max="13084" width="15.125" style="153" customWidth="1"/>
    <col min="13085" max="13085" width="15.25" style="153" customWidth="1"/>
    <col min="13086" max="13087" width="12.875" style="153" customWidth="1"/>
    <col min="13088" max="13088" width="12.75" style="153" customWidth="1"/>
    <col min="13089" max="13089" width="15.75" style="153" customWidth="1"/>
    <col min="13090" max="13090" width="14.5" style="153" customWidth="1"/>
    <col min="13091" max="13093" width="21" style="153" customWidth="1"/>
    <col min="13094" max="13312" width="10.75" style="153"/>
    <col min="13313" max="13313" width="0.75" style="153" customWidth="1"/>
    <col min="13314" max="13314" width="2.5" style="153" customWidth="1"/>
    <col min="13315" max="13315" width="8" style="153" customWidth="1"/>
    <col min="13316" max="13316" width="10" style="153" customWidth="1"/>
    <col min="13317" max="13317" width="8.375" style="153" customWidth="1"/>
    <col min="13318" max="13318" width="11" style="153" customWidth="1"/>
    <col min="13319" max="13319" width="8" style="153" customWidth="1"/>
    <col min="13320" max="13320" width="19.375" style="153" customWidth="1"/>
    <col min="13321" max="13321" width="12.375" style="153" customWidth="1"/>
    <col min="13322" max="13322" width="10.5" style="153" customWidth="1"/>
    <col min="13323" max="13326" width="6.375" style="153" customWidth="1"/>
    <col min="13327" max="13327" width="23.125" style="153" customWidth="1"/>
    <col min="13328" max="13328" width="6" style="153" customWidth="1"/>
    <col min="13329" max="13329" width="16.875" style="153" customWidth="1"/>
    <col min="13330" max="13330" width="10.75" style="153" customWidth="1"/>
    <col min="13331" max="13331" width="12.5" style="153" customWidth="1"/>
    <col min="13332" max="13333" width="5" style="153" customWidth="1"/>
    <col min="13334" max="13334" width="3.875" style="153" customWidth="1"/>
    <col min="13335" max="13335" width="14.375" style="153" customWidth="1"/>
    <col min="13336" max="13336" width="17.875" style="153" customWidth="1"/>
    <col min="13337" max="13337" width="2" style="153" customWidth="1"/>
    <col min="13338" max="13338" width="13.875" style="153" customWidth="1"/>
    <col min="13339" max="13339" width="13.625" style="153" customWidth="1"/>
    <col min="13340" max="13340" width="15.125" style="153" customWidth="1"/>
    <col min="13341" max="13341" width="15.25" style="153" customWidth="1"/>
    <col min="13342" max="13343" width="12.875" style="153" customWidth="1"/>
    <col min="13344" max="13344" width="12.75" style="153" customWidth="1"/>
    <col min="13345" max="13345" width="15.75" style="153" customWidth="1"/>
    <col min="13346" max="13346" width="14.5" style="153" customWidth="1"/>
    <col min="13347" max="13349" width="21" style="153" customWidth="1"/>
    <col min="13350" max="13568" width="10.75" style="153"/>
    <col min="13569" max="13569" width="0.75" style="153" customWidth="1"/>
    <col min="13570" max="13570" width="2.5" style="153" customWidth="1"/>
    <col min="13571" max="13571" width="8" style="153" customWidth="1"/>
    <col min="13572" max="13572" width="10" style="153" customWidth="1"/>
    <col min="13573" max="13573" width="8.375" style="153" customWidth="1"/>
    <col min="13574" max="13574" width="11" style="153" customWidth="1"/>
    <col min="13575" max="13575" width="8" style="153" customWidth="1"/>
    <col min="13576" max="13576" width="19.375" style="153" customWidth="1"/>
    <col min="13577" max="13577" width="12.375" style="153" customWidth="1"/>
    <col min="13578" max="13578" width="10.5" style="153" customWidth="1"/>
    <col min="13579" max="13582" width="6.375" style="153" customWidth="1"/>
    <col min="13583" max="13583" width="23.125" style="153" customWidth="1"/>
    <col min="13584" max="13584" width="6" style="153" customWidth="1"/>
    <col min="13585" max="13585" width="16.875" style="153" customWidth="1"/>
    <col min="13586" max="13586" width="10.75" style="153" customWidth="1"/>
    <col min="13587" max="13587" width="12.5" style="153" customWidth="1"/>
    <col min="13588" max="13589" width="5" style="153" customWidth="1"/>
    <col min="13590" max="13590" width="3.875" style="153" customWidth="1"/>
    <col min="13591" max="13591" width="14.375" style="153" customWidth="1"/>
    <col min="13592" max="13592" width="17.875" style="153" customWidth="1"/>
    <col min="13593" max="13593" width="2" style="153" customWidth="1"/>
    <col min="13594" max="13594" width="13.875" style="153" customWidth="1"/>
    <col min="13595" max="13595" width="13.625" style="153" customWidth="1"/>
    <col min="13596" max="13596" width="15.125" style="153" customWidth="1"/>
    <col min="13597" max="13597" width="15.25" style="153" customWidth="1"/>
    <col min="13598" max="13599" width="12.875" style="153" customWidth="1"/>
    <col min="13600" max="13600" width="12.75" style="153" customWidth="1"/>
    <col min="13601" max="13601" width="15.75" style="153" customWidth="1"/>
    <col min="13602" max="13602" width="14.5" style="153" customWidth="1"/>
    <col min="13603" max="13605" width="21" style="153" customWidth="1"/>
    <col min="13606" max="13824" width="10.75" style="153"/>
    <col min="13825" max="13825" width="0.75" style="153" customWidth="1"/>
    <col min="13826" max="13826" width="2.5" style="153" customWidth="1"/>
    <col min="13827" max="13827" width="8" style="153" customWidth="1"/>
    <col min="13828" max="13828" width="10" style="153" customWidth="1"/>
    <col min="13829" max="13829" width="8.375" style="153" customWidth="1"/>
    <col min="13830" max="13830" width="11" style="153" customWidth="1"/>
    <col min="13831" max="13831" width="8" style="153" customWidth="1"/>
    <col min="13832" max="13832" width="19.375" style="153" customWidth="1"/>
    <col min="13833" max="13833" width="12.375" style="153" customWidth="1"/>
    <col min="13834" max="13834" width="10.5" style="153" customWidth="1"/>
    <col min="13835" max="13838" width="6.375" style="153" customWidth="1"/>
    <col min="13839" max="13839" width="23.125" style="153" customWidth="1"/>
    <col min="13840" max="13840" width="6" style="153" customWidth="1"/>
    <col min="13841" max="13841" width="16.875" style="153" customWidth="1"/>
    <col min="13842" max="13842" width="10.75" style="153" customWidth="1"/>
    <col min="13843" max="13843" width="12.5" style="153" customWidth="1"/>
    <col min="13844" max="13845" width="5" style="153" customWidth="1"/>
    <col min="13846" max="13846" width="3.875" style="153" customWidth="1"/>
    <col min="13847" max="13847" width="14.375" style="153" customWidth="1"/>
    <col min="13848" max="13848" width="17.875" style="153" customWidth="1"/>
    <col min="13849" max="13849" width="2" style="153" customWidth="1"/>
    <col min="13850" max="13850" width="13.875" style="153" customWidth="1"/>
    <col min="13851" max="13851" width="13.625" style="153" customWidth="1"/>
    <col min="13852" max="13852" width="15.125" style="153" customWidth="1"/>
    <col min="13853" max="13853" width="15.25" style="153" customWidth="1"/>
    <col min="13854" max="13855" width="12.875" style="153" customWidth="1"/>
    <col min="13856" max="13856" width="12.75" style="153" customWidth="1"/>
    <col min="13857" max="13857" width="15.75" style="153" customWidth="1"/>
    <col min="13858" max="13858" width="14.5" style="153" customWidth="1"/>
    <col min="13859" max="13861" width="21" style="153" customWidth="1"/>
    <col min="13862" max="14080" width="10.75" style="153"/>
    <col min="14081" max="14081" width="0.75" style="153" customWidth="1"/>
    <col min="14082" max="14082" width="2.5" style="153" customWidth="1"/>
    <col min="14083" max="14083" width="8" style="153" customWidth="1"/>
    <col min="14084" max="14084" width="10" style="153" customWidth="1"/>
    <col min="14085" max="14085" width="8.375" style="153" customWidth="1"/>
    <col min="14086" max="14086" width="11" style="153" customWidth="1"/>
    <col min="14087" max="14087" width="8" style="153" customWidth="1"/>
    <col min="14088" max="14088" width="19.375" style="153" customWidth="1"/>
    <col min="14089" max="14089" width="12.375" style="153" customWidth="1"/>
    <col min="14090" max="14090" width="10.5" style="153" customWidth="1"/>
    <col min="14091" max="14094" width="6.375" style="153" customWidth="1"/>
    <col min="14095" max="14095" width="23.125" style="153" customWidth="1"/>
    <col min="14096" max="14096" width="6" style="153" customWidth="1"/>
    <col min="14097" max="14097" width="16.875" style="153" customWidth="1"/>
    <col min="14098" max="14098" width="10.75" style="153" customWidth="1"/>
    <col min="14099" max="14099" width="12.5" style="153" customWidth="1"/>
    <col min="14100" max="14101" width="5" style="153" customWidth="1"/>
    <col min="14102" max="14102" width="3.875" style="153" customWidth="1"/>
    <col min="14103" max="14103" width="14.375" style="153" customWidth="1"/>
    <col min="14104" max="14104" width="17.875" style="153" customWidth="1"/>
    <col min="14105" max="14105" width="2" style="153" customWidth="1"/>
    <col min="14106" max="14106" width="13.875" style="153" customWidth="1"/>
    <col min="14107" max="14107" width="13.625" style="153" customWidth="1"/>
    <col min="14108" max="14108" width="15.125" style="153" customWidth="1"/>
    <col min="14109" max="14109" width="15.25" style="153" customWidth="1"/>
    <col min="14110" max="14111" width="12.875" style="153" customWidth="1"/>
    <col min="14112" max="14112" width="12.75" style="153" customWidth="1"/>
    <col min="14113" max="14113" width="15.75" style="153" customWidth="1"/>
    <col min="14114" max="14114" width="14.5" style="153" customWidth="1"/>
    <col min="14115" max="14117" width="21" style="153" customWidth="1"/>
    <col min="14118" max="14336" width="10.75" style="153"/>
    <col min="14337" max="14337" width="0.75" style="153" customWidth="1"/>
    <col min="14338" max="14338" width="2.5" style="153" customWidth="1"/>
    <col min="14339" max="14339" width="8" style="153" customWidth="1"/>
    <col min="14340" max="14340" width="10" style="153" customWidth="1"/>
    <col min="14341" max="14341" width="8.375" style="153" customWidth="1"/>
    <col min="14342" max="14342" width="11" style="153" customWidth="1"/>
    <col min="14343" max="14343" width="8" style="153" customWidth="1"/>
    <col min="14344" max="14344" width="19.375" style="153" customWidth="1"/>
    <col min="14345" max="14345" width="12.375" style="153" customWidth="1"/>
    <col min="14346" max="14346" width="10.5" style="153" customWidth="1"/>
    <col min="14347" max="14350" width="6.375" style="153" customWidth="1"/>
    <col min="14351" max="14351" width="23.125" style="153" customWidth="1"/>
    <col min="14352" max="14352" width="6" style="153" customWidth="1"/>
    <col min="14353" max="14353" width="16.875" style="153" customWidth="1"/>
    <col min="14354" max="14354" width="10.75" style="153" customWidth="1"/>
    <col min="14355" max="14355" width="12.5" style="153" customWidth="1"/>
    <col min="14356" max="14357" width="5" style="153" customWidth="1"/>
    <col min="14358" max="14358" width="3.875" style="153" customWidth="1"/>
    <col min="14359" max="14359" width="14.375" style="153" customWidth="1"/>
    <col min="14360" max="14360" width="17.875" style="153" customWidth="1"/>
    <col min="14361" max="14361" width="2" style="153" customWidth="1"/>
    <col min="14362" max="14362" width="13.875" style="153" customWidth="1"/>
    <col min="14363" max="14363" width="13.625" style="153" customWidth="1"/>
    <col min="14364" max="14364" width="15.125" style="153" customWidth="1"/>
    <col min="14365" max="14365" width="15.25" style="153" customWidth="1"/>
    <col min="14366" max="14367" width="12.875" style="153" customWidth="1"/>
    <col min="14368" max="14368" width="12.75" style="153" customWidth="1"/>
    <col min="14369" max="14369" width="15.75" style="153" customWidth="1"/>
    <col min="14370" max="14370" width="14.5" style="153" customWidth="1"/>
    <col min="14371" max="14373" width="21" style="153" customWidth="1"/>
    <col min="14374" max="14592" width="10.75" style="153"/>
    <col min="14593" max="14593" width="0.75" style="153" customWidth="1"/>
    <col min="14594" max="14594" width="2.5" style="153" customWidth="1"/>
    <col min="14595" max="14595" width="8" style="153" customWidth="1"/>
    <col min="14596" max="14596" width="10" style="153" customWidth="1"/>
    <col min="14597" max="14597" width="8.375" style="153" customWidth="1"/>
    <col min="14598" max="14598" width="11" style="153" customWidth="1"/>
    <col min="14599" max="14599" width="8" style="153" customWidth="1"/>
    <col min="14600" max="14600" width="19.375" style="153" customWidth="1"/>
    <col min="14601" max="14601" width="12.375" style="153" customWidth="1"/>
    <col min="14602" max="14602" width="10.5" style="153" customWidth="1"/>
    <col min="14603" max="14606" width="6.375" style="153" customWidth="1"/>
    <col min="14607" max="14607" width="23.125" style="153" customWidth="1"/>
    <col min="14608" max="14608" width="6" style="153" customWidth="1"/>
    <col min="14609" max="14609" width="16.875" style="153" customWidth="1"/>
    <col min="14610" max="14610" width="10.75" style="153" customWidth="1"/>
    <col min="14611" max="14611" width="12.5" style="153" customWidth="1"/>
    <col min="14612" max="14613" width="5" style="153" customWidth="1"/>
    <col min="14614" max="14614" width="3.875" style="153" customWidth="1"/>
    <col min="14615" max="14615" width="14.375" style="153" customWidth="1"/>
    <col min="14616" max="14616" width="17.875" style="153" customWidth="1"/>
    <col min="14617" max="14617" width="2" style="153" customWidth="1"/>
    <col min="14618" max="14618" width="13.875" style="153" customWidth="1"/>
    <col min="14619" max="14619" width="13.625" style="153" customWidth="1"/>
    <col min="14620" max="14620" width="15.125" style="153" customWidth="1"/>
    <col min="14621" max="14621" width="15.25" style="153" customWidth="1"/>
    <col min="14622" max="14623" width="12.875" style="153" customWidth="1"/>
    <col min="14624" max="14624" width="12.75" style="153" customWidth="1"/>
    <col min="14625" max="14625" width="15.75" style="153" customWidth="1"/>
    <col min="14626" max="14626" width="14.5" style="153" customWidth="1"/>
    <col min="14627" max="14629" width="21" style="153" customWidth="1"/>
    <col min="14630" max="14848" width="10.75" style="153"/>
    <col min="14849" max="14849" width="0.75" style="153" customWidth="1"/>
    <col min="14850" max="14850" width="2.5" style="153" customWidth="1"/>
    <col min="14851" max="14851" width="8" style="153" customWidth="1"/>
    <col min="14852" max="14852" width="10" style="153" customWidth="1"/>
    <col min="14853" max="14853" width="8.375" style="153" customWidth="1"/>
    <col min="14854" max="14854" width="11" style="153" customWidth="1"/>
    <col min="14855" max="14855" width="8" style="153" customWidth="1"/>
    <col min="14856" max="14856" width="19.375" style="153" customWidth="1"/>
    <col min="14857" max="14857" width="12.375" style="153" customWidth="1"/>
    <col min="14858" max="14858" width="10.5" style="153" customWidth="1"/>
    <col min="14859" max="14862" width="6.375" style="153" customWidth="1"/>
    <col min="14863" max="14863" width="23.125" style="153" customWidth="1"/>
    <col min="14864" max="14864" width="6" style="153" customWidth="1"/>
    <col min="14865" max="14865" width="16.875" style="153" customWidth="1"/>
    <col min="14866" max="14866" width="10.75" style="153" customWidth="1"/>
    <col min="14867" max="14867" width="12.5" style="153" customWidth="1"/>
    <col min="14868" max="14869" width="5" style="153" customWidth="1"/>
    <col min="14870" max="14870" width="3.875" style="153" customWidth="1"/>
    <col min="14871" max="14871" width="14.375" style="153" customWidth="1"/>
    <col min="14872" max="14872" width="17.875" style="153" customWidth="1"/>
    <col min="14873" max="14873" width="2" style="153" customWidth="1"/>
    <col min="14874" max="14874" width="13.875" style="153" customWidth="1"/>
    <col min="14875" max="14875" width="13.625" style="153" customWidth="1"/>
    <col min="14876" max="14876" width="15.125" style="153" customWidth="1"/>
    <col min="14877" max="14877" width="15.25" style="153" customWidth="1"/>
    <col min="14878" max="14879" width="12.875" style="153" customWidth="1"/>
    <col min="14880" max="14880" width="12.75" style="153" customWidth="1"/>
    <col min="14881" max="14881" width="15.75" style="153" customWidth="1"/>
    <col min="14882" max="14882" width="14.5" style="153" customWidth="1"/>
    <col min="14883" max="14885" width="21" style="153" customWidth="1"/>
    <col min="14886" max="15104" width="10.75" style="153"/>
    <col min="15105" max="15105" width="0.75" style="153" customWidth="1"/>
    <col min="15106" max="15106" width="2.5" style="153" customWidth="1"/>
    <col min="15107" max="15107" width="8" style="153" customWidth="1"/>
    <col min="15108" max="15108" width="10" style="153" customWidth="1"/>
    <col min="15109" max="15109" width="8.375" style="153" customWidth="1"/>
    <col min="15110" max="15110" width="11" style="153" customWidth="1"/>
    <col min="15111" max="15111" width="8" style="153" customWidth="1"/>
    <col min="15112" max="15112" width="19.375" style="153" customWidth="1"/>
    <col min="15113" max="15113" width="12.375" style="153" customWidth="1"/>
    <col min="15114" max="15114" width="10.5" style="153" customWidth="1"/>
    <col min="15115" max="15118" width="6.375" style="153" customWidth="1"/>
    <col min="15119" max="15119" width="23.125" style="153" customWidth="1"/>
    <col min="15120" max="15120" width="6" style="153" customWidth="1"/>
    <col min="15121" max="15121" width="16.875" style="153" customWidth="1"/>
    <col min="15122" max="15122" width="10.75" style="153" customWidth="1"/>
    <col min="15123" max="15123" width="12.5" style="153" customWidth="1"/>
    <col min="15124" max="15125" width="5" style="153" customWidth="1"/>
    <col min="15126" max="15126" width="3.875" style="153" customWidth="1"/>
    <col min="15127" max="15127" width="14.375" style="153" customWidth="1"/>
    <col min="15128" max="15128" width="17.875" style="153" customWidth="1"/>
    <col min="15129" max="15129" width="2" style="153" customWidth="1"/>
    <col min="15130" max="15130" width="13.875" style="153" customWidth="1"/>
    <col min="15131" max="15131" width="13.625" style="153" customWidth="1"/>
    <col min="15132" max="15132" width="15.125" style="153" customWidth="1"/>
    <col min="15133" max="15133" width="15.25" style="153" customWidth="1"/>
    <col min="15134" max="15135" width="12.875" style="153" customWidth="1"/>
    <col min="15136" max="15136" width="12.75" style="153" customWidth="1"/>
    <col min="15137" max="15137" width="15.75" style="153" customWidth="1"/>
    <col min="15138" max="15138" width="14.5" style="153" customWidth="1"/>
    <col min="15139" max="15141" width="21" style="153" customWidth="1"/>
    <col min="15142" max="15360" width="10.75" style="153"/>
    <col min="15361" max="15361" width="0.75" style="153" customWidth="1"/>
    <col min="15362" max="15362" width="2.5" style="153" customWidth="1"/>
    <col min="15363" max="15363" width="8" style="153" customWidth="1"/>
    <col min="15364" max="15364" width="10" style="153" customWidth="1"/>
    <col min="15365" max="15365" width="8.375" style="153" customWidth="1"/>
    <col min="15366" max="15366" width="11" style="153" customWidth="1"/>
    <col min="15367" max="15367" width="8" style="153" customWidth="1"/>
    <col min="15368" max="15368" width="19.375" style="153" customWidth="1"/>
    <col min="15369" max="15369" width="12.375" style="153" customWidth="1"/>
    <col min="15370" max="15370" width="10.5" style="153" customWidth="1"/>
    <col min="15371" max="15374" width="6.375" style="153" customWidth="1"/>
    <col min="15375" max="15375" width="23.125" style="153" customWidth="1"/>
    <col min="15376" max="15376" width="6" style="153" customWidth="1"/>
    <col min="15377" max="15377" width="16.875" style="153" customWidth="1"/>
    <col min="15378" max="15378" width="10.75" style="153" customWidth="1"/>
    <col min="15379" max="15379" width="12.5" style="153" customWidth="1"/>
    <col min="15380" max="15381" width="5" style="153" customWidth="1"/>
    <col min="15382" max="15382" width="3.875" style="153" customWidth="1"/>
    <col min="15383" max="15383" width="14.375" style="153" customWidth="1"/>
    <col min="15384" max="15384" width="17.875" style="153" customWidth="1"/>
    <col min="15385" max="15385" width="2" style="153" customWidth="1"/>
    <col min="15386" max="15386" width="13.875" style="153" customWidth="1"/>
    <col min="15387" max="15387" width="13.625" style="153" customWidth="1"/>
    <col min="15388" max="15388" width="15.125" style="153" customWidth="1"/>
    <col min="15389" max="15389" width="15.25" style="153" customWidth="1"/>
    <col min="15390" max="15391" width="12.875" style="153" customWidth="1"/>
    <col min="15392" max="15392" width="12.75" style="153" customWidth="1"/>
    <col min="15393" max="15393" width="15.75" style="153" customWidth="1"/>
    <col min="15394" max="15394" width="14.5" style="153" customWidth="1"/>
    <col min="15395" max="15397" width="21" style="153" customWidth="1"/>
    <col min="15398" max="15616" width="10.75" style="153"/>
    <col min="15617" max="15617" width="0.75" style="153" customWidth="1"/>
    <col min="15618" max="15618" width="2.5" style="153" customWidth="1"/>
    <col min="15619" max="15619" width="8" style="153" customWidth="1"/>
    <col min="15620" max="15620" width="10" style="153" customWidth="1"/>
    <col min="15621" max="15621" width="8.375" style="153" customWidth="1"/>
    <col min="15622" max="15622" width="11" style="153" customWidth="1"/>
    <col min="15623" max="15623" width="8" style="153" customWidth="1"/>
    <col min="15624" max="15624" width="19.375" style="153" customWidth="1"/>
    <col min="15625" max="15625" width="12.375" style="153" customWidth="1"/>
    <col min="15626" max="15626" width="10.5" style="153" customWidth="1"/>
    <col min="15627" max="15630" width="6.375" style="153" customWidth="1"/>
    <col min="15631" max="15631" width="23.125" style="153" customWidth="1"/>
    <col min="15632" max="15632" width="6" style="153" customWidth="1"/>
    <col min="15633" max="15633" width="16.875" style="153" customWidth="1"/>
    <col min="15634" max="15634" width="10.75" style="153" customWidth="1"/>
    <col min="15635" max="15635" width="12.5" style="153" customWidth="1"/>
    <col min="15636" max="15637" width="5" style="153" customWidth="1"/>
    <col min="15638" max="15638" width="3.875" style="153" customWidth="1"/>
    <col min="15639" max="15639" width="14.375" style="153" customWidth="1"/>
    <col min="15640" max="15640" width="17.875" style="153" customWidth="1"/>
    <col min="15641" max="15641" width="2" style="153" customWidth="1"/>
    <col min="15642" max="15642" width="13.875" style="153" customWidth="1"/>
    <col min="15643" max="15643" width="13.625" style="153" customWidth="1"/>
    <col min="15644" max="15644" width="15.125" style="153" customWidth="1"/>
    <col min="15645" max="15645" width="15.25" style="153" customWidth="1"/>
    <col min="15646" max="15647" width="12.875" style="153" customWidth="1"/>
    <col min="15648" max="15648" width="12.75" style="153" customWidth="1"/>
    <col min="15649" max="15649" width="15.75" style="153" customWidth="1"/>
    <col min="15650" max="15650" width="14.5" style="153" customWidth="1"/>
    <col min="15651" max="15653" width="21" style="153" customWidth="1"/>
    <col min="15654" max="15872" width="10.75" style="153"/>
    <col min="15873" max="15873" width="0.75" style="153" customWidth="1"/>
    <col min="15874" max="15874" width="2.5" style="153" customWidth="1"/>
    <col min="15875" max="15875" width="8" style="153" customWidth="1"/>
    <col min="15876" max="15876" width="10" style="153" customWidth="1"/>
    <col min="15877" max="15877" width="8.375" style="153" customWidth="1"/>
    <col min="15878" max="15878" width="11" style="153" customWidth="1"/>
    <col min="15879" max="15879" width="8" style="153" customWidth="1"/>
    <col min="15880" max="15880" width="19.375" style="153" customWidth="1"/>
    <col min="15881" max="15881" width="12.375" style="153" customWidth="1"/>
    <col min="15882" max="15882" width="10.5" style="153" customWidth="1"/>
    <col min="15883" max="15886" width="6.375" style="153" customWidth="1"/>
    <col min="15887" max="15887" width="23.125" style="153" customWidth="1"/>
    <col min="15888" max="15888" width="6" style="153" customWidth="1"/>
    <col min="15889" max="15889" width="16.875" style="153" customWidth="1"/>
    <col min="15890" max="15890" width="10.75" style="153" customWidth="1"/>
    <col min="15891" max="15891" width="12.5" style="153" customWidth="1"/>
    <col min="15892" max="15893" width="5" style="153" customWidth="1"/>
    <col min="15894" max="15894" width="3.875" style="153" customWidth="1"/>
    <col min="15895" max="15895" width="14.375" style="153" customWidth="1"/>
    <col min="15896" max="15896" width="17.875" style="153" customWidth="1"/>
    <col min="15897" max="15897" width="2" style="153" customWidth="1"/>
    <col min="15898" max="15898" width="13.875" style="153" customWidth="1"/>
    <col min="15899" max="15899" width="13.625" style="153" customWidth="1"/>
    <col min="15900" max="15900" width="15.125" style="153" customWidth="1"/>
    <col min="15901" max="15901" width="15.25" style="153" customWidth="1"/>
    <col min="15902" max="15903" width="12.875" style="153" customWidth="1"/>
    <col min="15904" max="15904" width="12.75" style="153" customWidth="1"/>
    <col min="15905" max="15905" width="15.75" style="153" customWidth="1"/>
    <col min="15906" max="15906" width="14.5" style="153" customWidth="1"/>
    <col min="15907" max="15909" width="21" style="153" customWidth="1"/>
    <col min="15910" max="16128" width="10.75" style="153"/>
    <col min="16129" max="16129" width="0.75" style="153" customWidth="1"/>
    <col min="16130" max="16130" width="2.5" style="153" customWidth="1"/>
    <col min="16131" max="16131" width="8" style="153" customWidth="1"/>
    <col min="16132" max="16132" width="10" style="153" customWidth="1"/>
    <col min="16133" max="16133" width="8.375" style="153" customWidth="1"/>
    <col min="16134" max="16134" width="11" style="153" customWidth="1"/>
    <col min="16135" max="16135" width="8" style="153" customWidth="1"/>
    <col min="16136" max="16136" width="19.375" style="153" customWidth="1"/>
    <col min="16137" max="16137" width="12.375" style="153" customWidth="1"/>
    <col min="16138" max="16138" width="10.5" style="153" customWidth="1"/>
    <col min="16139" max="16142" width="6.375" style="153" customWidth="1"/>
    <col min="16143" max="16143" width="23.125" style="153" customWidth="1"/>
    <col min="16144" max="16144" width="6" style="153" customWidth="1"/>
    <col min="16145" max="16145" width="16.875" style="153" customWidth="1"/>
    <col min="16146" max="16146" width="10.75" style="153" customWidth="1"/>
    <col min="16147" max="16147" width="12.5" style="153" customWidth="1"/>
    <col min="16148" max="16149" width="5" style="153" customWidth="1"/>
    <col min="16150" max="16150" width="3.875" style="153" customWidth="1"/>
    <col min="16151" max="16151" width="14.375" style="153" customWidth="1"/>
    <col min="16152" max="16152" width="17.875" style="153" customWidth="1"/>
    <col min="16153" max="16153" width="2" style="153" customWidth="1"/>
    <col min="16154" max="16154" width="13.875" style="153" customWidth="1"/>
    <col min="16155" max="16155" width="13.625" style="153" customWidth="1"/>
    <col min="16156" max="16156" width="15.125" style="153" customWidth="1"/>
    <col min="16157" max="16157" width="15.25" style="153" customWidth="1"/>
    <col min="16158" max="16159" width="12.875" style="153" customWidth="1"/>
    <col min="16160" max="16160" width="12.75" style="153" customWidth="1"/>
    <col min="16161" max="16161" width="15.75" style="153" customWidth="1"/>
    <col min="16162" max="16162" width="14.5" style="153" customWidth="1"/>
    <col min="16163" max="16165" width="21" style="153" customWidth="1"/>
    <col min="16166" max="16384" width="10.75" style="153"/>
  </cols>
  <sheetData>
    <row r="1" spans="2:38" hidden="1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151"/>
      <c r="U1" s="151"/>
      <c r="W1" s="154"/>
      <c r="AL1" s="157"/>
    </row>
    <row r="2" spans="2:38" hidden="1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8" t="s">
        <v>329</v>
      </c>
      <c r="S2" s="152"/>
      <c r="T2" s="151"/>
      <c r="U2" s="151"/>
      <c r="W2" s="154"/>
      <c r="AL2" s="157"/>
    </row>
    <row r="3" spans="2:38" ht="21" hidden="1" customHeight="1">
      <c r="B3" s="547" t="s">
        <v>330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W3" s="548" t="s">
        <v>331</v>
      </c>
      <c r="X3" s="548"/>
      <c r="Z3" s="549" t="s">
        <v>332</v>
      </c>
      <c r="AA3" s="549"/>
      <c r="AB3" s="549"/>
      <c r="AC3" s="549"/>
      <c r="AD3" s="159"/>
      <c r="AL3" s="157"/>
    </row>
    <row r="4" spans="2:38" hidden="1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  <c r="T4" s="151"/>
      <c r="U4" s="151"/>
      <c r="W4" s="154"/>
      <c r="Z4" s="160"/>
      <c r="AA4" s="160"/>
      <c r="AB4" s="160"/>
      <c r="AC4" s="160"/>
      <c r="AD4" s="159"/>
      <c r="AL4" s="157"/>
    </row>
    <row r="5" spans="2:38" ht="21" customHeight="1">
      <c r="B5" s="535" t="s">
        <v>333</v>
      </c>
      <c r="C5" s="535" t="s">
        <v>334</v>
      </c>
      <c r="D5" s="535" t="s">
        <v>335</v>
      </c>
      <c r="E5" s="535" t="s">
        <v>336</v>
      </c>
      <c r="F5" s="531" t="s">
        <v>337</v>
      </c>
      <c r="G5" s="535" t="s">
        <v>338</v>
      </c>
      <c r="H5" s="550" t="s">
        <v>339</v>
      </c>
      <c r="I5" s="531" t="s">
        <v>340</v>
      </c>
      <c r="J5" s="531" t="s">
        <v>341</v>
      </c>
      <c r="K5" s="533" t="s">
        <v>342</v>
      </c>
      <c r="L5" s="534"/>
      <c r="M5" s="534"/>
      <c r="N5" s="534"/>
      <c r="O5" s="535" t="s">
        <v>343</v>
      </c>
      <c r="P5" s="535" t="s">
        <v>344</v>
      </c>
      <c r="Q5" s="535" t="s">
        <v>345</v>
      </c>
      <c r="R5" s="535" t="s">
        <v>346</v>
      </c>
      <c r="S5" s="535" t="s">
        <v>347</v>
      </c>
      <c r="T5" s="535" t="s">
        <v>348</v>
      </c>
      <c r="U5" s="535" t="s">
        <v>349</v>
      </c>
      <c r="W5" s="540" t="s">
        <v>350</v>
      </c>
      <c r="X5" s="540" t="s">
        <v>351</v>
      </c>
      <c r="Z5" s="530">
        <v>44075</v>
      </c>
      <c r="AA5" s="530">
        <v>44105</v>
      </c>
      <c r="AB5" s="530">
        <v>44136</v>
      </c>
      <c r="AC5" s="530">
        <v>44166</v>
      </c>
      <c r="AD5" s="536" t="s">
        <v>352</v>
      </c>
      <c r="AL5" s="157"/>
    </row>
    <row r="6" spans="2:38" ht="41.25" customHeight="1" thickBot="1">
      <c r="B6" s="531"/>
      <c r="C6" s="531"/>
      <c r="D6" s="531"/>
      <c r="E6" s="531"/>
      <c r="F6" s="532"/>
      <c r="G6" s="531"/>
      <c r="H6" s="551"/>
      <c r="I6" s="532"/>
      <c r="J6" s="532"/>
      <c r="K6" s="161" t="s">
        <v>353</v>
      </c>
      <c r="L6" s="161" t="s">
        <v>354</v>
      </c>
      <c r="M6" s="161" t="s">
        <v>355</v>
      </c>
      <c r="N6" s="161" t="s">
        <v>356</v>
      </c>
      <c r="O6" s="531"/>
      <c r="P6" s="531"/>
      <c r="Q6" s="531"/>
      <c r="R6" s="531"/>
      <c r="S6" s="531"/>
      <c r="T6" s="531"/>
      <c r="U6" s="531"/>
      <c r="W6" s="541"/>
      <c r="X6" s="541"/>
      <c r="Z6" s="531"/>
      <c r="AA6" s="531"/>
      <c r="AB6" s="531"/>
      <c r="AC6" s="531"/>
      <c r="AD6" s="536"/>
      <c r="AL6" s="157"/>
    </row>
    <row r="7" spans="2:38" ht="21.75" hidden="1" customHeight="1">
      <c r="B7" s="426">
        <v>1</v>
      </c>
      <c r="C7" s="430" t="s">
        <v>357</v>
      </c>
      <c r="D7" s="434" t="s">
        <v>358</v>
      </c>
      <c r="E7" s="438" t="s">
        <v>359</v>
      </c>
      <c r="F7" s="442">
        <v>668480000</v>
      </c>
      <c r="G7" s="446" t="s">
        <v>360</v>
      </c>
      <c r="H7" s="450">
        <v>183480000</v>
      </c>
      <c r="I7" s="523" t="s">
        <v>361</v>
      </c>
      <c r="J7" s="442">
        <f>+H7-J14-J15</f>
        <v>71650000</v>
      </c>
      <c r="K7" s="162" t="s">
        <v>362</v>
      </c>
      <c r="L7" s="162" t="s">
        <v>362</v>
      </c>
      <c r="M7" s="162" t="s">
        <v>362</v>
      </c>
      <c r="N7" s="162" t="s">
        <v>362</v>
      </c>
      <c r="O7" s="163" t="s">
        <v>363</v>
      </c>
      <c r="P7" s="164" t="s">
        <v>364</v>
      </c>
      <c r="Q7" s="165">
        <f>5000000*4</f>
        <v>20000000</v>
      </c>
      <c r="R7" s="164" t="s">
        <v>365</v>
      </c>
      <c r="S7" s="166" t="s">
        <v>366</v>
      </c>
      <c r="T7" s="167" t="s">
        <v>367</v>
      </c>
      <c r="U7" s="168" t="s">
        <v>368</v>
      </c>
      <c r="W7" s="525">
        <f>+H7-SUM(Q7:Q16)</f>
        <v>11830000</v>
      </c>
      <c r="X7" s="542">
        <f>+J7-SUM(Q7:Q13)</f>
        <v>0</v>
      </c>
      <c r="Z7" s="169">
        <f>+(5000000/30)*11</f>
        <v>1833333.3333333333</v>
      </c>
      <c r="AA7" s="169">
        <v>5000000</v>
      </c>
      <c r="AB7" s="169">
        <v>5000000</v>
      </c>
      <c r="AC7" s="169">
        <f>+((5000000/30)*19)+5000000</f>
        <v>8166666.666666666</v>
      </c>
      <c r="AD7" s="170">
        <f>+Q7-SUM(Z7:AC7)</f>
        <v>0</v>
      </c>
      <c r="AL7" s="157"/>
    </row>
    <row r="8" spans="2:38" ht="21.75" hidden="1" customHeight="1">
      <c r="B8" s="428"/>
      <c r="C8" s="432"/>
      <c r="D8" s="436"/>
      <c r="E8" s="440"/>
      <c r="F8" s="444"/>
      <c r="G8" s="448"/>
      <c r="H8" s="452"/>
      <c r="I8" s="524"/>
      <c r="J8" s="444"/>
      <c r="K8" s="171" t="s">
        <v>362</v>
      </c>
      <c r="L8" s="171" t="s">
        <v>362</v>
      </c>
      <c r="M8" s="171" t="s">
        <v>362</v>
      </c>
      <c r="N8" s="171" t="s">
        <v>362</v>
      </c>
      <c r="O8" s="172" t="s">
        <v>369</v>
      </c>
      <c r="P8" s="173" t="s">
        <v>370</v>
      </c>
      <c r="Q8" s="174">
        <f>2000000*4</f>
        <v>8000000</v>
      </c>
      <c r="R8" s="173" t="s">
        <v>371</v>
      </c>
      <c r="S8" s="175" t="s">
        <v>366</v>
      </c>
      <c r="T8" s="176" t="s">
        <v>367</v>
      </c>
      <c r="U8" s="177" t="s">
        <v>368</v>
      </c>
      <c r="W8" s="526"/>
      <c r="X8" s="543"/>
      <c r="Z8" s="169">
        <f>+(2000000/30)*11</f>
        <v>733333.33333333337</v>
      </c>
      <c r="AA8" s="169">
        <v>2000000</v>
      </c>
      <c r="AB8" s="169">
        <v>2000000</v>
      </c>
      <c r="AC8" s="169">
        <f>+((2000000/30)*19)+2000000</f>
        <v>3266666.666666667</v>
      </c>
      <c r="AD8" s="170">
        <f t="shared" ref="AD8:AD57" si="0">+Q8-SUM(Z8:AC8)</f>
        <v>0</v>
      </c>
      <c r="AL8" s="157"/>
    </row>
    <row r="9" spans="2:38" ht="21.75" hidden="1" customHeight="1">
      <c r="B9" s="428"/>
      <c r="C9" s="432"/>
      <c r="D9" s="436"/>
      <c r="E9" s="440"/>
      <c r="F9" s="444"/>
      <c r="G9" s="448"/>
      <c r="H9" s="452"/>
      <c r="I9" s="524"/>
      <c r="J9" s="444"/>
      <c r="K9" s="171" t="s">
        <v>362</v>
      </c>
      <c r="L9" s="171" t="s">
        <v>362</v>
      </c>
      <c r="M9" s="171" t="s">
        <v>362</v>
      </c>
      <c r="N9" s="171" t="s">
        <v>362</v>
      </c>
      <c r="O9" s="172" t="s">
        <v>372</v>
      </c>
      <c r="P9" s="173" t="s">
        <v>373</v>
      </c>
      <c r="Q9" s="174">
        <f>2000000*4</f>
        <v>8000000</v>
      </c>
      <c r="R9" s="173" t="s">
        <v>374</v>
      </c>
      <c r="S9" s="175" t="s">
        <v>366</v>
      </c>
      <c r="T9" s="176" t="s">
        <v>367</v>
      </c>
      <c r="U9" s="177" t="s">
        <v>368</v>
      </c>
      <c r="W9" s="526"/>
      <c r="X9" s="543"/>
      <c r="Z9" s="169">
        <f>+(2000000/30)*11</f>
        <v>733333.33333333337</v>
      </c>
      <c r="AA9" s="169">
        <v>2000000</v>
      </c>
      <c r="AB9" s="169">
        <v>2000000</v>
      </c>
      <c r="AC9" s="169">
        <f>+((2000000/30)*19)+2000000</f>
        <v>3266666.666666667</v>
      </c>
      <c r="AD9" s="170">
        <f t="shared" si="0"/>
        <v>0</v>
      </c>
      <c r="AL9" s="157"/>
    </row>
    <row r="10" spans="2:38" ht="21.75" hidden="1" customHeight="1">
      <c r="B10" s="428"/>
      <c r="C10" s="432"/>
      <c r="D10" s="436"/>
      <c r="E10" s="440"/>
      <c r="F10" s="444"/>
      <c r="G10" s="448"/>
      <c r="H10" s="452"/>
      <c r="I10" s="524"/>
      <c r="J10" s="444"/>
      <c r="K10" s="178" t="s">
        <v>362</v>
      </c>
      <c r="L10" s="178" t="s">
        <v>362</v>
      </c>
      <c r="M10" s="178" t="s">
        <v>362</v>
      </c>
      <c r="N10" s="178" t="s">
        <v>362</v>
      </c>
      <c r="O10" s="172" t="s">
        <v>375</v>
      </c>
      <c r="P10" s="173" t="s">
        <v>376</v>
      </c>
      <c r="Q10" s="174">
        <f>3000000*4</f>
        <v>12000000</v>
      </c>
      <c r="R10" s="173" t="s">
        <v>377</v>
      </c>
      <c r="S10" s="175" t="s">
        <v>366</v>
      </c>
      <c r="T10" s="176" t="s">
        <v>367</v>
      </c>
      <c r="U10" s="177" t="s">
        <v>368</v>
      </c>
      <c r="W10" s="526"/>
      <c r="X10" s="543"/>
      <c r="Z10" s="169">
        <f>+(3000000/30)*11</f>
        <v>1100000</v>
      </c>
      <c r="AA10" s="169">
        <v>3000000</v>
      </c>
      <c r="AB10" s="169">
        <v>3000000</v>
      </c>
      <c r="AC10" s="169">
        <f>+((3000000/30)*19)+3000000</f>
        <v>4900000</v>
      </c>
      <c r="AD10" s="170">
        <f t="shared" si="0"/>
        <v>0</v>
      </c>
      <c r="AL10" s="157"/>
    </row>
    <row r="11" spans="2:38" ht="21.75" hidden="1" customHeight="1">
      <c r="B11" s="428"/>
      <c r="C11" s="432"/>
      <c r="D11" s="436"/>
      <c r="E11" s="440"/>
      <c r="F11" s="444"/>
      <c r="G11" s="448"/>
      <c r="H11" s="452"/>
      <c r="I11" s="524"/>
      <c r="J11" s="444"/>
      <c r="K11" s="178" t="s">
        <v>362</v>
      </c>
      <c r="L11" s="178" t="s">
        <v>362</v>
      </c>
      <c r="M11" s="178" t="s">
        <v>362</v>
      </c>
      <c r="N11" s="178" t="s">
        <v>378</v>
      </c>
      <c r="O11" s="172" t="s">
        <v>379</v>
      </c>
      <c r="P11" s="173" t="s">
        <v>380</v>
      </c>
      <c r="Q11" s="174">
        <f>3000000*4</f>
        <v>12000000</v>
      </c>
      <c r="R11" s="173" t="s">
        <v>381</v>
      </c>
      <c r="S11" s="175" t="s">
        <v>366</v>
      </c>
      <c r="T11" s="179" t="s">
        <v>382</v>
      </c>
      <c r="U11" s="180" t="s">
        <v>383</v>
      </c>
      <c r="W11" s="526"/>
      <c r="X11" s="543"/>
      <c r="Z11" s="169"/>
      <c r="AA11" s="169">
        <v>3000000</v>
      </c>
      <c r="AB11" s="169">
        <v>3000000</v>
      </c>
      <c r="AC11" s="169">
        <v>6000000</v>
      </c>
      <c r="AD11" s="170">
        <f t="shared" si="0"/>
        <v>0</v>
      </c>
      <c r="AL11" s="157"/>
    </row>
    <row r="12" spans="2:38" ht="21.75" hidden="1" customHeight="1">
      <c r="B12" s="428"/>
      <c r="C12" s="432"/>
      <c r="D12" s="436"/>
      <c r="E12" s="440"/>
      <c r="F12" s="444"/>
      <c r="G12" s="448"/>
      <c r="H12" s="452"/>
      <c r="I12" s="524"/>
      <c r="J12" s="444"/>
      <c r="K12" s="178" t="s">
        <v>362</v>
      </c>
      <c r="L12" s="178" t="s">
        <v>362</v>
      </c>
      <c r="M12" s="178" t="s">
        <v>378</v>
      </c>
      <c r="N12" s="178" t="s">
        <v>378</v>
      </c>
      <c r="O12" s="181"/>
      <c r="P12" s="173" t="s">
        <v>380</v>
      </c>
      <c r="Q12" s="182">
        <f>3060000*2.5</f>
        <v>7650000</v>
      </c>
      <c r="R12" s="183" t="s">
        <v>384</v>
      </c>
      <c r="S12" s="175" t="s">
        <v>385</v>
      </c>
      <c r="T12" s="173"/>
      <c r="U12" s="180"/>
      <c r="W12" s="526"/>
      <c r="X12" s="543"/>
      <c r="Z12" s="169">
        <v>0</v>
      </c>
      <c r="AA12" s="169">
        <f>+(3060000/30)*18</f>
        <v>1836000</v>
      </c>
      <c r="AB12" s="169">
        <v>3060000</v>
      </c>
      <c r="AC12" s="169">
        <f>+((3060000/30)*12)+(3060000/2)</f>
        <v>2754000</v>
      </c>
      <c r="AD12" s="170">
        <f t="shared" si="0"/>
        <v>0</v>
      </c>
      <c r="AL12" s="157"/>
    </row>
    <row r="13" spans="2:38" ht="21.75" hidden="1" customHeight="1">
      <c r="B13" s="428"/>
      <c r="C13" s="432"/>
      <c r="D13" s="436"/>
      <c r="E13" s="440"/>
      <c r="F13" s="444"/>
      <c r="G13" s="448"/>
      <c r="H13" s="452"/>
      <c r="I13" s="524"/>
      <c r="J13" s="444"/>
      <c r="K13" s="178" t="s">
        <v>362</v>
      </c>
      <c r="L13" s="178" t="s">
        <v>362</v>
      </c>
      <c r="M13" s="178" t="s">
        <v>378</v>
      </c>
      <c r="N13" s="178" t="s">
        <v>378</v>
      </c>
      <c r="O13" s="184" t="s">
        <v>386</v>
      </c>
      <c r="P13" s="173" t="s">
        <v>380</v>
      </c>
      <c r="Q13" s="174">
        <f>2000000*2</f>
        <v>4000000</v>
      </c>
      <c r="R13" s="173" t="s">
        <v>387</v>
      </c>
      <c r="S13" s="175" t="s">
        <v>388</v>
      </c>
      <c r="T13" s="185">
        <v>44089</v>
      </c>
      <c r="U13" s="186">
        <v>44149</v>
      </c>
      <c r="W13" s="526"/>
      <c r="X13" s="544"/>
      <c r="Z13" s="169"/>
      <c r="AA13" s="169">
        <f>+(2000000/30)*16</f>
        <v>1066666.6666666667</v>
      </c>
      <c r="AB13" s="169">
        <f>2000000+(2000000/30)*14</f>
        <v>2933333.3333333335</v>
      </c>
      <c r="AC13" s="169"/>
      <c r="AD13" s="170">
        <f t="shared" si="0"/>
        <v>0</v>
      </c>
      <c r="AL13" s="157"/>
    </row>
    <row r="14" spans="2:38" ht="72" hidden="1" customHeight="1">
      <c r="B14" s="428"/>
      <c r="C14" s="432"/>
      <c r="D14" s="436"/>
      <c r="E14" s="440"/>
      <c r="F14" s="444"/>
      <c r="G14" s="448"/>
      <c r="H14" s="452"/>
      <c r="I14" s="187" t="s">
        <v>389</v>
      </c>
      <c r="J14" s="188">
        <v>18000000</v>
      </c>
      <c r="K14" s="178" t="s">
        <v>362</v>
      </c>
      <c r="L14" s="178" t="s">
        <v>362</v>
      </c>
      <c r="M14" s="178" t="s">
        <v>378</v>
      </c>
      <c r="N14" s="178" t="s">
        <v>378</v>
      </c>
      <c r="O14" s="189" t="s">
        <v>390</v>
      </c>
      <c r="P14" s="173" t="s">
        <v>380</v>
      </c>
      <c r="Q14" s="174">
        <f>4000000*3.5</f>
        <v>14000000</v>
      </c>
      <c r="R14" s="173" t="s">
        <v>391</v>
      </c>
      <c r="S14" s="175" t="s">
        <v>392</v>
      </c>
      <c r="T14" s="173"/>
      <c r="U14" s="180"/>
      <c r="W14" s="527"/>
      <c r="X14" s="190">
        <f>+J14-Q14</f>
        <v>4000000</v>
      </c>
      <c r="Z14" s="169">
        <v>0</v>
      </c>
      <c r="AA14" s="169">
        <f>+(4000000/30)*18</f>
        <v>2400000</v>
      </c>
      <c r="AB14" s="169">
        <v>4000000</v>
      </c>
      <c r="AC14" s="169">
        <f>+((4000000/30)*12)+(4000000)+(4000000/30)*15</f>
        <v>7600000</v>
      </c>
      <c r="AD14" s="170">
        <f t="shared" si="0"/>
        <v>0</v>
      </c>
      <c r="AL14" s="157"/>
    </row>
    <row r="15" spans="2:38" ht="40.5" hidden="1" customHeight="1">
      <c r="B15" s="537"/>
      <c r="C15" s="500"/>
      <c r="D15" s="538"/>
      <c r="E15" s="539"/>
      <c r="F15" s="423"/>
      <c r="G15" s="521"/>
      <c r="H15" s="522"/>
      <c r="I15" s="545" t="s">
        <v>393</v>
      </c>
      <c r="J15" s="423">
        <v>93830000</v>
      </c>
      <c r="K15" s="191" t="s">
        <v>378</v>
      </c>
      <c r="L15" s="191" t="s">
        <v>378</v>
      </c>
      <c r="M15" s="191" t="s">
        <v>378</v>
      </c>
      <c r="N15" s="191" t="s">
        <v>378</v>
      </c>
      <c r="O15" s="192" t="s">
        <v>378</v>
      </c>
      <c r="P15" s="192" t="s">
        <v>378</v>
      </c>
      <c r="Q15" s="193">
        <v>77000000</v>
      </c>
      <c r="R15" s="194" t="s">
        <v>394</v>
      </c>
      <c r="S15" s="195" t="s">
        <v>395</v>
      </c>
      <c r="T15" s="196"/>
      <c r="U15" s="197"/>
      <c r="W15" s="527"/>
      <c r="X15" s="529">
        <f>+J15-Q15-Q16</f>
        <v>7830000</v>
      </c>
      <c r="Z15" s="169"/>
      <c r="AA15" s="169"/>
      <c r="AB15" s="169"/>
      <c r="AC15" s="169"/>
      <c r="AD15" s="170"/>
      <c r="AL15" s="157"/>
    </row>
    <row r="16" spans="2:38" ht="28.5" hidden="1" customHeight="1" thickBot="1">
      <c r="B16" s="429"/>
      <c r="C16" s="433"/>
      <c r="D16" s="437"/>
      <c r="E16" s="441"/>
      <c r="F16" s="445"/>
      <c r="G16" s="449"/>
      <c r="H16" s="453"/>
      <c r="I16" s="546"/>
      <c r="J16" s="425"/>
      <c r="K16" s="198" t="s">
        <v>378</v>
      </c>
      <c r="L16" s="198" t="s">
        <v>378</v>
      </c>
      <c r="M16" s="198" t="s">
        <v>378</v>
      </c>
      <c r="N16" s="198" t="s">
        <v>378</v>
      </c>
      <c r="O16" s="199" t="s">
        <v>378</v>
      </c>
      <c r="P16" s="199" t="s">
        <v>378</v>
      </c>
      <c r="Q16" s="174">
        <v>9000000</v>
      </c>
      <c r="R16" s="200" t="s">
        <v>396</v>
      </c>
      <c r="S16" s="201"/>
      <c r="T16" s="202"/>
      <c r="U16" s="203"/>
      <c r="W16" s="528"/>
      <c r="X16" s="516"/>
      <c r="Z16" s="204"/>
      <c r="AA16" s="204"/>
      <c r="AB16" s="204"/>
      <c r="AC16" s="204"/>
      <c r="AD16" s="170">
        <f t="shared" si="0"/>
        <v>9000000</v>
      </c>
      <c r="AL16" s="157"/>
    </row>
    <row r="17" spans="2:38" s="212" customFormat="1" ht="21.75" customHeight="1">
      <c r="B17" s="496">
        <v>2</v>
      </c>
      <c r="C17" s="430" t="s">
        <v>397</v>
      </c>
      <c r="D17" s="501" t="s">
        <v>398</v>
      </c>
      <c r="E17" s="504" t="s">
        <v>399</v>
      </c>
      <c r="F17" s="507">
        <v>7747137281</v>
      </c>
      <c r="G17" s="510" t="s">
        <v>400</v>
      </c>
      <c r="H17" s="470">
        <v>952137281</v>
      </c>
      <c r="I17" s="473" t="s">
        <v>401</v>
      </c>
      <c r="J17" s="477">
        <f>494290000+81277740</f>
        <v>575567740</v>
      </c>
      <c r="K17" s="205" t="s">
        <v>402</v>
      </c>
      <c r="L17" s="205" t="s">
        <v>362</v>
      </c>
      <c r="M17" s="205" t="s">
        <v>362</v>
      </c>
      <c r="N17" s="206" t="s">
        <v>362</v>
      </c>
      <c r="O17" s="207" t="s">
        <v>403</v>
      </c>
      <c r="P17" s="207" t="s">
        <v>404</v>
      </c>
      <c r="Q17" s="208">
        <f>4500000*4</f>
        <v>18000000</v>
      </c>
      <c r="R17" s="209" t="s">
        <v>405</v>
      </c>
      <c r="S17" s="210"/>
      <c r="T17" s="210"/>
      <c r="U17" s="211"/>
      <c r="W17" s="481">
        <f>H17-SUM(Q17:Q46)</f>
        <v>180487886.33333325</v>
      </c>
      <c r="X17" s="517">
        <f>+J17-SUM(Q17:Q34)</f>
        <v>108118345.33333331</v>
      </c>
      <c r="Y17" s="155"/>
      <c r="Z17" s="213">
        <v>0</v>
      </c>
      <c r="AA17" s="213">
        <v>4500000</v>
      </c>
      <c r="AB17" s="213">
        <v>4500000</v>
      </c>
      <c r="AC17" s="213">
        <f>4500000*2</f>
        <v>9000000</v>
      </c>
      <c r="AD17" s="170">
        <f t="shared" si="0"/>
        <v>0</v>
      </c>
      <c r="AE17" s="155"/>
      <c r="AF17" s="155"/>
      <c r="AG17" s="155"/>
      <c r="AH17" s="155"/>
      <c r="AI17" s="155"/>
      <c r="AJ17" s="155"/>
      <c r="AK17" s="155"/>
      <c r="AL17" s="154"/>
    </row>
    <row r="18" spans="2:38" s="212" customFormat="1" ht="21.75" customHeight="1">
      <c r="B18" s="497"/>
      <c r="C18" s="432"/>
      <c r="D18" s="502"/>
      <c r="E18" s="505"/>
      <c r="F18" s="508"/>
      <c r="G18" s="511"/>
      <c r="H18" s="471"/>
      <c r="I18" s="474"/>
      <c r="J18" s="478"/>
      <c r="K18" s="214" t="s">
        <v>402</v>
      </c>
      <c r="L18" s="214" t="s">
        <v>362</v>
      </c>
      <c r="M18" s="214" t="s">
        <v>362</v>
      </c>
      <c r="N18" s="215" t="s">
        <v>362</v>
      </c>
      <c r="O18" s="216" t="s">
        <v>406</v>
      </c>
      <c r="P18" s="217" t="s">
        <v>407</v>
      </c>
      <c r="Q18" s="218">
        <v>24950000</v>
      </c>
      <c r="R18" s="217" t="s">
        <v>408</v>
      </c>
      <c r="S18" s="175"/>
      <c r="T18" s="185">
        <v>44075</v>
      </c>
      <c r="U18" s="219" t="s">
        <v>409</v>
      </c>
      <c r="W18" s="482"/>
      <c r="X18" s="518"/>
      <c r="Y18" s="155"/>
      <c r="Z18" s="213">
        <v>0</v>
      </c>
      <c r="AA18" s="213">
        <v>12000000</v>
      </c>
      <c r="AB18" s="213">
        <v>8000000</v>
      </c>
      <c r="AC18" s="213">
        <v>4950000</v>
      </c>
      <c r="AD18" s="170">
        <f t="shared" si="0"/>
        <v>0</v>
      </c>
      <c r="AE18" s="155"/>
      <c r="AF18" s="155"/>
      <c r="AG18" s="155"/>
      <c r="AH18" s="155"/>
      <c r="AI18" s="155"/>
      <c r="AJ18" s="155"/>
      <c r="AK18" s="155"/>
      <c r="AL18" s="154"/>
    </row>
    <row r="19" spans="2:38" s="212" customFormat="1" ht="21.75" customHeight="1">
      <c r="B19" s="497"/>
      <c r="C19" s="432"/>
      <c r="D19" s="502"/>
      <c r="E19" s="505"/>
      <c r="F19" s="508"/>
      <c r="G19" s="511"/>
      <c r="H19" s="471"/>
      <c r="I19" s="474"/>
      <c r="J19" s="478"/>
      <c r="K19" s="214" t="s">
        <v>402</v>
      </c>
      <c r="L19" s="214" t="s">
        <v>362</v>
      </c>
      <c r="M19" s="214"/>
      <c r="N19" s="215"/>
      <c r="O19" s="216" t="s">
        <v>410</v>
      </c>
      <c r="P19" s="217"/>
      <c r="Q19" s="218">
        <f>4000000*3</f>
        <v>12000000</v>
      </c>
      <c r="R19" s="220" t="s">
        <v>411</v>
      </c>
      <c r="S19" s="175"/>
      <c r="T19" s="173"/>
      <c r="U19" s="219"/>
      <c r="W19" s="482"/>
      <c r="X19" s="518"/>
      <c r="Y19" s="155"/>
      <c r="Z19" s="213"/>
      <c r="AA19" s="213"/>
      <c r="AB19" s="213"/>
      <c r="AC19" s="213"/>
      <c r="AD19" s="170"/>
      <c r="AE19" s="155"/>
      <c r="AF19" s="155"/>
      <c r="AG19" s="155"/>
      <c r="AH19" s="155"/>
      <c r="AI19" s="155"/>
      <c r="AJ19" s="155"/>
      <c r="AK19" s="155"/>
      <c r="AL19" s="154"/>
    </row>
    <row r="20" spans="2:38" s="212" customFormat="1" ht="21.75" customHeight="1">
      <c r="B20" s="497"/>
      <c r="C20" s="432"/>
      <c r="D20" s="502"/>
      <c r="E20" s="505"/>
      <c r="F20" s="508"/>
      <c r="G20" s="511"/>
      <c r="H20" s="471"/>
      <c r="I20" s="474"/>
      <c r="J20" s="478"/>
      <c r="K20" s="215" t="s">
        <v>378</v>
      </c>
      <c r="L20" s="215" t="s">
        <v>378</v>
      </c>
      <c r="M20" s="215" t="s">
        <v>378</v>
      </c>
      <c r="N20" s="215" t="s">
        <v>378</v>
      </c>
      <c r="O20" s="216" t="s">
        <v>412</v>
      </c>
      <c r="P20" s="183" t="s">
        <v>380</v>
      </c>
      <c r="Q20" s="221">
        <f>(3500000*3)</f>
        <v>10500000</v>
      </c>
      <c r="R20" s="220" t="s">
        <v>413</v>
      </c>
      <c r="S20" s="222"/>
      <c r="T20" s="173"/>
      <c r="U20" s="219"/>
      <c r="W20" s="482"/>
      <c r="X20" s="518"/>
      <c r="Y20" s="155"/>
      <c r="Z20" s="213">
        <v>0</v>
      </c>
      <c r="AA20" s="213">
        <f>+(3500000/30)*18</f>
        <v>2100000</v>
      </c>
      <c r="AB20" s="213">
        <v>3500000</v>
      </c>
      <c r="AC20" s="213">
        <f>+((3500000/30)*12)+(3500000)+(3500000/30)*20</f>
        <v>7233333.333333334</v>
      </c>
      <c r="AD20" s="170">
        <f t="shared" si="0"/>
        <v>-2333333.333333334</v>
      </c>
      <c r="AE20" s="155"/>
      <c r="AF20" s="155"/>
      <c r="AG20" s="155"/>
      <c r="AH20" s="155"/>
      <c r="AI20" s="155"/>
      <c r="AJ20" s="155"/>
      <c r="AK20" s="155"/>
      <c r="AL20" s="154"/>
    </row>
    <row r="21" spans="2:38" s="212" customFormat="1" ht="21.75" customHeight="1">
      <c r="B21" s="497"/>
      <c r="C21" s="432"/>
      <c r="D21" s="502"/>
      <c r="E21" s="505"/>
      <c r="F21" s="508"/>
      <c r="G21" s="511"/>
      <c r="H21" s="471"/>
      <c r="I21" s="474"/>
      <c r="J21" s="478"/>
      <c r="K21" s="215"/>
      <c r="L21" s="215"/>
      <c r="M21" s="215"/>
      <c r="N21" s="215"/>
      <c r="O21" s="216" t="s">
        <v>414</v>
      </c>
      <c r="P21" s="183" t="s">
        <v>380</v>
      </c>
      <c r="Q21" s="221">
        <f>2500000*2</f>
        <v>5000000</v>
      </c>
      <c r="R21" s="220" t="s">
        <v>415</v>
      </c>
      <c r="S21" s="222"/>
      <c r="T21" s="173"/>
      <c r="U21" s="219"/>
      <c r="W21" s="482"/>
      <c r="X21" s="518"/>
      <c r="Y21" s="155"/>
      <c r="Z21" s="213"/>
      <c r="AA21" s="213"/>
      <c r="AB21" s="213"/>
      <c r="AC21" s="213"/>
      <c r="AD21" s="170"/>
      <c r="AE21" s="155"/>
      <c r="AF21" s="155"/>
      <c r="AG21" s="155"/>
      <c r="AH21" s="155"/>
      <c r="AI21" s="155"/>
      <c r="AJ21" s="155"/>
      <c r="AK21" s="155"/>
      <c r="AL21" s="154"/>
    </row>
    <row r="22" spans="2:38" s="212" customFormat="1" ht="21.75" customHeight="1">
      <c r="B22" s="497"/>
      <c r="C22" s="432"/>
      <c r="D22" s="502"/>
      <c r="E22" s="505"/>
      <c r="F22" s="508"/>
      <c r="G22" s="511"/>
      <c r="H22" s="471"/>
      <c r="I22" s="474"/>
      <c r="J22" s="478"/>
      <c r="K22" s="215" t="s">
        <v>378</v>
      </c>
      <c r="L22" s="215" t="s">
        <v>378</v>
      </c>
      <c r="M22" s="215" t="s">
        <v>378</v>
      </c>
      <c r="N22" s="215" t="s">
        <v>378</v>
      </c>
      <c r="O22" s="216" t="s">
        <v>416</v>
      </c>
      <c r="P22" s="183" t="s">
        <v>380</v>
      </c>
      <c r="Q22" s="221">
        <f>(3500000*3)</f>
        <v>10500000</v>
      </c>
      <c r="R22" s="220" t="s">
        <v>417</v>
      </c>
      <c r="S22" s="175"/>
      <c r="T22" s="173"/>
      <c r="U22" s="219"/>
      <c r="W22" s="482"/>
      <c r="X22" s="518"/>
      <c r="Y22" s="155"/>
      <c r="Z22" s="213">
        <v>0</v>
      </c>
      <c r="AA22" s="213">
        <f>+(3500000/30)*18</f>
        <v>2100000</v>
      </c>
      <c r="AB22" s="213">
        <v>3500000</v>
      </c>
      <c r="AC22" s="213">
        <f>+((3500000/30)*12)+(3500000)+(3500000/30)*20</f>
        <v>7233333.333333334</v>
      </c>
      <c r="AD22" s="170">
        <f t="shared" si="0"/>
        <v>-2333333.333333334</v>
      </c>
      <c r="AE22" s="155"/>
      <c r="AF22" s="155"/>
      <c r="AG22" s="155"/>
      <c r="AH22" s="155"/>
      <c r="AI22" s="155"/>
      <c r="AJ22" s="155"/>
      <c r="AK22" s="155"/>
      <c r="AL22" s="154"/>
    </row>
    <row r="23" spans="2:38" s="212" customFormat="1" ht="21.75" customHeight="1">
      <c r="B23" s="497"/>
      <c r="C23" s="432"/>
      <c r="D23" s="502"/>
      <c r="E23" s="505"/>
      <c r="F23" s="508"/>
      <c r="G23" s="511"/>
      <c r="H23" s="471"/>
      <c r="I23" s="474"/>
      <c r="J23" s="478"/>
      <c r="K23" s="215" t="s">
        <v>378</v>
      </c>
      <c r="L23" s="215" t="s">
        <v>378</v>
      </c>
      <c r="M23" s="215" t="s">
        <v>378</v>
      </c>
      <c r="N23" s="215" t="s">
        <v>378</v>
      </c>
      <c r="O23" s="216" t="s">
        <v>418</v>
      </c>
      <c r="P23" s="183" t="s">
        <v>380</v>
      </c>
      <c r="Q23" s="221">
        <f>(3500000*3)</f>
        <v>10500000</v>
      </c>
      <c r="R23" s="220" t="s">
        <v>419</v>
      </c>
      <c r="S23" s="175"/>
      <c r="T23" s="173"/>
      <c r="U23" s="219"/>
      <c r="W23" s="482"/>
      <c r="X23" s="518"/>
      <c r="Y23" s="155"/>
      <c r="Z23" s="213">
        <v>0</v>
      </c>
      <c r="AA23" s="213">
        <f>+(3500000/30)*18</f>
        <v>2100000</v>
      </c>
      <c r="AB23" s="213">
        <v>3500000</v>
      </c>
      <c r="AC23" s="213">
        <f>+((3500000/30)*12)+(3500000)+(3500000/30)*20</f>
        <v>7233333.333333334</v>
      </c>
      <c r="AD23" s="170">
        <f t="shared" si="0"/>
        <v>-2333333.333333334</v>
      </c>
      <c r="AE23" s="155"/>
      <c r="AF23" s="155"/>
      <c r="AG23" s="155"/>
      <c r="AH23" s="155"/>
      <c r="AI23" s="155"/>
      <c r="AJ23" s="155"/>
      <c r="AK23" s="155"/>
      <c r="AL23" s="154"/>
    </row>
    <row r="24" spans="2:38" s="212" customFormat="1" ht="21.75" customHeight="1">
      <c r="B24" s="497"/>
      <c r="C24" s="432"/>
      <c r="D24" s="502"/>
      <c r="E24" s="505"/>
      <c r="F24" s="508"/>
      <c r="G24" s="511"/>
      <c r="H24" s="471"/>
      <c r="I24" s="474"/>
      <c r="J24" s="478"/>
      <c r="K24" s="215" t="s">
        <v>378</v>
      </c>
      <c r="L24" s="215" t="s">
        <v>378</v>
      </c>
      <c r="M24" s="215" t="s">
        <v>378</v>
      </c>
      <c r="N24" s="215" t="s">
        <v>378</v>
      </c>
      <c r="O24" s="216" t="s">
        <v>420</v>
      </c>
      <c r="P24" s="183" t="s">
        <v>380</v>
      </c>
      <c r="Q24" s="221">
        <f>(2100000*3)</f>
        <v>6300000</v>
      </c>
      <c r="R24" s="220" t="s">
        <v>421</v>
      </c>
      <c r="S24" s="175"/>
      <c r="T24" s="173"/>
      <c r="U24" s="219"/>
      <c r="W24" s="482"/>
      <c r="X24" s="518"/>
      <c r="Y24" s="155"/>
      <c r="Z24" s="213">
        <v>0</v>
      </c>
      <c r="AA24" s="213">
        <f>+(2100000/30)*18</f>
        <v>1260000</v>
      </c>
      <c r="AB24" s="213">
        <v>2100000</v>
      </c>
      <c r="AC24" s="213">
        <f>+((2100000/30)*12)+(2100000)+(2100000/30)*20</f>
        <v>4340000</v>
      </c>
      <c r="AD24" s="170">
        <f t="shared" si="0"/>
        <v>-1400000</v>
      </c>
      <c r="AE24" s="155"/>
      <c r="AF24" s="155"/>
      <c r="AG24" s="155"/>
      <c r="AH24" s="155"/>
      <c r="AI24" s="155"/>
      <c r="AJ24" s="155"/>
      <c r="AK24" s="155"/>
      <c r="AL24" s="154"/>
    </row>
    <row r="25" spans="2:38" s="212" customFormat="1" ht="21.75" customHeight="1">
      <c r="B25" s="497"/>
      <c r="C25" s="432"/>
      <c r="D25" s="502"/>
      <c r="E25" s="505"/>
      <c r="F25" s="508"/>
      <c r="G25" s="511"/>
      <c r="H25" s="471"/>
      <c r="I25" s="474"/>
      <c r="J25" s="478"/>
      <c r="K25" s="215" t="s">
        <v>362</v>
      </c>
      <c r="L25" s="215" t="s">
        <v>362</v>
      </c>
      <c r="M25" s="223" t="s">
        <v>378</v>
      </c>
      <c r="N25" s="223" t="s">
        <v>378</v>
      </c>
      <c r="O25" s="216" t="s">
        <v>422</v>
      </c>
      <c r="P25" s="217" t="s">
        <v>380</v>
      </c>
      <c r="Q25" s="218">
        <f>(1600000*3)+((1600000/30)*8)</f>
        <v>5226666.666666667</v>
      </c>
      <c r="R25" s="217" t="s">
        <v>423</v>
      </c>
      <c r="S25" s="224"/>
      <c r="T25" s="173"/>
      <c r="U25" s="219"/>
      <c r="W25" s="482"/>
      <c r="X25" s="518"/>
      <c r="Y25" s="155"/>
      <c r="Z25" s="213">
        <v>0</v>
      </c>
      <c r="AA25" s="213">
        <f>+(1600000/30)*18</f>
        <v>960000</v>
      </c>
      <c r="AB25" s="213">
        <v>1600000</v>
      </c>
      <c r="AC25" s="213">
        <f>+((1600000/30)*12)+(1600000)+(1600000/30)*15</f>
        <v>3040000</v>
      </c>
      <c r="AD25" s="170">
        <f>+Q25-SUM(Z25:AC25)</f>
        <v>-373333.33333333302</v>
      </c>
      <c r="AE25" s="155"/>
      <c r="AF25" s="155"/>
      <c r="AG25" s="155"/>
      <c r="AH25" s="155"/>
      <c r="AI25" s="155"/>
      <c r="AJ25" s="155"/>
      <c r="AK25" s="155"/>
      <c r="AL25" s="154"/>
    </row>
    <row r="26" spans="2:38" s="212" customFormat="1" ht="21.75" customHeight="1">
      <c r="B26" s="497"/>
      <c r="C26" s="432"/>
      <c r="D26" s="502"/>
      <c r="E26" s="505"/>
      <c r="F26" s="508"/>
      <c r="G26" s="511"/>
      <c r="H26" s="471"/>
      <c r="I26" s="474"/>
      <c r="J26" s="478"/>
      <c r="K26" s="214" t="s">
        <v>424</v>
      </c>
      <c r="L26" s="214" t="s">
        <v>424</v>
      </c>
      <c r="M26" s="214" t="s">
        <v>424</v>
      </c>
      <c r="N26" s="214" t="s">
        <v>424</v>
      </c>
      <c r="O26" s="216" t="s">
        <v>425</v>
      </c>
      <c r="P26" s="217" t="s">
        <v>424</v>
      </c>
      <c r="Q26" s="218">
        <v>2080000</v>
      </c>
      <c r="R26" s="225" t="s">
        <v>424</v>
      </c>
      <c r="S26" s="175"/>
      <c r="T26" s="173"/>
      <c r="U26" s="219"/>
      <c r="W26" s="482"/>
      <c r="X26" s="518"/>
      <c r="Y26" s="155"/>
      <c r="Z26" s="213">
        <v>0</v>
      </c>
      <c r="AA26" s="213"/>
      <c r="AB26" s="213">
        <f>2080000/4</f>
        <v>520000</v>
      </c>
      <c r="AC26" s="213">
        <f>520000*3</f>
        <v>1560000</v>
      </c>
      <c r="AD26" s="170">
        <f t="shared" si="0"/>
        <v>0</v>
      </c>
      <c r="AE26" s="155"/>
      <c r="AF26" s="155"/>
      <c r="AG26" s="155"/>
      <c r="AH26" s="155"/>
      <c r="AI26" s="155"/>
      <c r="AJ26" s="155"/>
      <c r="AK26" s="155"/>
      <c r="AL26" s="154"/>
    </row>
    <row r="27" spans="2:38" s="212" customFormat="1" ht="21.75" customHeight="1">
      <c r="B27" s="497"/>
      <c r="C27" s="432"/>
      <c r="D27" s="502"/>
      <c r="E27" s="505"/>
      <c r="F27" s="508"/>
      <c r="G27" s="511"/>
      <c r="H27" s="471"/>
      <c r="I27" s="474"/>
      <c r="J27" s="478"/>
      <c r="K27" s="226" t="s">
        <v>402</v>
      </c>
      <c r="L27" s="226" t="s">
        <v>362</v>
      </c>
      <c r="M27" s="215" t="s">
        <v>362</v>
      </c>
      <c r="N27" s="215" t="s">
        <v>362</v>
      </c>
      <c r="O27" s="216" t="s">
        <v>426</v>
      </c>
      <c r="P27" s="217" t="s">
        <v>407</v>
      </c>
      <c r="Q27" s="218">
        <v>58392728</v>
      </c>
      <c r="R27" s="217" t="s">
        <v>427</v>
      </c>
      <c r="S27" s="175"/>
      <c r="T27" s="185">
        <v>44075</v>
      </c>
      <c r="U27" s="219" t="s">
        <v>409</v>
      </c>
      <c r="W27" s="482"/>
      <c r="X27" s="518"/>
      <c r="Y27" s="155"/>
      <c r="Z27" s="213">
        <v>0</v>
      </c>
      <c r="AA27" s="213">
        <v>24000000</v>
      </c>
      <c r="AB27" s="213">
        <v>18000000</v>
      </c>
      <c r="AC27" s="213">
        <v>16392728</v>
      </c>
      <c r="AD27" s="170">
        <f t="shared" si="0"/>
        <v>0</v>
      </c>
      <c r="AE27" s="155"/>
      <c r="AF27" s="155"/>
      <c r="AG27" s="155"/>
      <c r="AH27" s="155"/>
      <c r="AI27" s="155"/>
      <c r="AJ27" s="155"/>
      <c r="AK27" s="155"/>
      <c r="AL27" s="154"/>
    </row>
    <row r="28" spans="2:38" s="212" customFormat="1" ht="21.75" customHeight="1">
      <c r="B28" s="497"/>
      <c r="C28" s="432"/>
      <c r="D28" s="502"/>
      <c r="E28" s="505"/>
      <c r="F28" s="508"/>
      <c r="G28" s="511"/>
      <c r="H28" s="471"/>
      <c r="I28" s="474"/>
      <c r="J28" s="478"/>
      <c r="K28" s="226" t="s">
        <v>402</v>
      </c>
      <c r="L28" s="223" t="s">
        <v>378</v>
      </c>
      <c r="M28" s="223" t="s">
        <v>378</v>
      </c>
      <c r="N28" s="223" t="s">
        <v>378</v>
      </c>
      <c r="O28" s="216" t="s">
        <v>428</v>
      </c>
      <c r="P28" s="173" t="s">
        <v>380</v>
      </c>
      <c r="Q28" s="221">
        <f>(3500000*3)</f>
        <v>10500000</v>
      </c>
      <c r="R28" s="220" t="s">
        <v>429</v>
      </c>
      <c r="S28" s="175"/>
      <c r="T28" s="173"/>
      <c r="U28" s="219"/>
      <c r="W28" s="482"/>
      <c r="X28" s="518"/>
      <c r="Y28" s="155"/>
      <c r="Z28" s="213">
        <v>0</v>
      </c>
      <c r="AA28" s="213">
        <f>+(3500000/30)*18</f>
        <v>2100000</v>
      </c>
      <c r="AB28" s="213">
        <v>3500000</v>
      </c>
      <c r="AC28" s="213">
        <f>+((3500000/30)*12)+(3500000)+(3500000/30)*20</f>
        <v>7233333.333333334</v>
      </c>
      <c r="AD28" s="170">
        <f t="shared" si="0"/>
        <v>-2333333.333333334</v>
      </c>
      <c r="AE28" s="155"/>
      <c r="AF28" s="155"/>
      <c r="AG28" s="155"/>
      <c r="AH28" s="155"/>
      <c r="AI28" s="155"/>
      <c r="AJ28" s="155"/>
      <c r="AK28" s="155"/>
      <c r="AL28" s="154"/>
    </row>
    <row r="29" spans="2:38" s="212" customFormat="1" ht="21.75" customHeight="1">
      <c r="B29" s="497"/>
      <c r="C29" s="432"/>
      <c r="D29" s="502"/>
      <c r="E29" s="505"/>
      <c r="F29" s="508"/>
      <c r="G29" s="511"/>
      <c r="H29" s="471"/>
      <c r="I29" s="474"/>
      <c r="J29" s="478"/>
      <c r="K29" s="226" t="s">
        <v>402</v>
      </c>
      <c r="L29" s="223" t="s">
        <v>378</v>
      </c>
      <c r="M29" s="223" t="s">
        <v>378</v>
      </c>
      <c r="N29" s="223" t="s">
        <v>378</v>
      </c>
      <c r="O29" s="216" t="s">
        <v>430</v>
      </c>
      <c r="P29" s="173" t="s">
        <v>380</v>
      </c>
      <c r="Q29" s="221">
        <f>(3500000*3)</f>
        <v>10500000</v>
      </c>
      <c r="R29" s="220" t="s">
        <v>431</v>
      </c>
      <c r="S29" s="175"/>
      <c r="T29" s="173"/>
      <c r="U29" s="219"/>
      <c r="W29" s="482"/>
      <c r="X29" s="518"/>
      <c r="Y29" s="155"/>
      <c r="Z29" s="213">
        <v>0</v>
      </c>
      <c r="AA29" s="213">
        <f>+(3500000/30)*18</f>
        <v>2100000</v>
      </c>
      <c r="AB29" s="213">
        <v>3500000</v>
      </c>
      <c r="AC29" s="213">
        <f>+((3500000/30)*12)+(3500000)+(3500000/30)*20</f>
        <v>7233333.333333334</v>
      </c>
      <c r="AD29" s="170">
        <f t="shared" si="0"/>
        <v>-2333333.333333334</v>
      </c>
      <c r="AE29" s="155"/>
      <c r="AF29" s="155"/>
      <c r="AG29" s="155"/>
      <c r="AH29" s="155"/>
      <c r="AI29" s="155"/>
      <c r="AJ29" s="155"/>
      <c r="AK29" s="155"/>
      <c r="AL29" s="154"/>
    </row>
    <row r="30" spans="2:38" s="212" customFormat="1" ht="21.75" customHeight="1">
      <c r="B30" s="497"/>
      <c r="C30" s="432"/>
      <c r="D30" s="502"/>
      <c r="E30" s="505"/>
      <c r="F30" s="508"/>
      <c r="G30" s="511"/>
      <c r="H30" s="471"/>
      <c r="I30" s="474"/>
      <c r="J30" s="478"/>
      <c r="K30" s="226" t="s">
        <v>402</v>
      </c>
      <c r="L30" s="223" t="s">
        <v>378</v>
      </c>
      <c r="M30" s="223" t="s">
        <v>378</v>
      </c>
      <c r="N30" s="223" t="s">
        <v>378</v>
      </c>
      <c r="O30" s="216" t="s">
        <v>432</v>
      </c>
      <c r="P30" s="173" t="s">
        <v>380</v>
      </c>
      <c r="Q30" s="221">
        <f>(3500000*3)</f>
        <v>10500000</v>
      </c>
      <c r="R30" s="220" t="s">
        <v>433</v>
      </c>
      <c r="S30" s="175"/>
      <c r="T30" s="173"/>
      <c r="U30" s="219"/>
      <c r="W30" s="482"/>
      <c r="X30" s="518"/>
      <c r="Y30" s="155"/>
      <c r="Z30" s="213">
        <v>0</v>
      </c>
      <c r="AA30" s="213">
        <f>+(3500000/30)*18</f>
        <v>2100000</v>
      </c>
      <c r="AB30" s="213">
        <v>3500000</v>
      </c>
      <c r="AC30" s="213">
        <f>+((3500000/30)*12)+(3500000)+(3500000/30)*20</f>
        <v>7233333.333333334</v>
      </c>
      <c r="AD30" s="170"/>
      <c r="AE30" s="155"/>
      <c r="AF30" s="155"/>
      <c r="AG30" s="155"/>
      <c r="AH30" s="155"/>
      <c r="AI30" s="155"/>
      <c r="AJ30" s="155"/>
      <c r="AK30" s="155"/>
      <c r="AL30" s="154"/>
    </row>
    <row r="31" spans="2:38" s="212" customFormat="1" ht="21.75" customHeight="1">
      <c r="B31" s="497"/>
      <c r="C31" s="432"/>
      <c r="D31" s="502"/>
      <c r="E31" s="505"/>
      <c r="F31" s="508"/>
      <c r="G31" s="511"/>
      <c r="H31" s="471"/>
      <c r="I31" s="474"/>
      <c r="J31" s="478"/>
      <c r="K31" s="226" t="s">
        <v>402</v>
      </c>
      <c r="L31" s="223" t="s">
        <v>378</v>
      </c>
      <c r="M31" s="223" t="s">
        <v>378</v>
      </c>
      <c r="N31" s="223" t="s">
        <v>378</v>
      </c>
      <c r="O31" s="216" t="s">
        <v>434</v>
      </c>
      <c r="P31" s="173" t="s">
        <v>380</v>
      </c>
      <c r="Q31" s="221">
        <f>(3500000*3)</f>
        <v>10500000</v>
      </c>
      <c r="R31" s="220" t="s">
        <v>435</v>
      </c>
      <c r="S31" s="175"/>
      <c r="T31" s="173"/>
      <c r="U31" s="180"/>
      <c r="W31" s="482"/>
      <c r="X31" s="518"/>
      <c r="Y31" s="155"/>
      <c r="Z31" s="213">
        <v>0</v>
      </c>
      <c r="AA31" s="213">
        <f>+(3500000/30)*18</f>
        <v>2100000</v>
      </c>
      <c r="AB31" s="213">
        <v>3500000</v>
      </c>
      <c r="AC31" s="213">
        <f>+((3500000/30)*12)+(3500000)+(3500000/30)*20</f>
        <v>7233333.333333334</v>
      </c>
      <c r="AD31" s="170">
        <f t="shared" si="0"/>
        <v>-2333333.333333334</v>
      </c>
      <c r="AE31" s="155"/>
      <c r="AF31" s="155"/>
      <c r="AG31" s="155"/>
      <c r="AH31" s="155"/>
      <c r="AI31" s="155"/>
      <c r="AJ31" s="155"/>
      <c r="AK31" s="155"/>
      <c r="AL31" s="154"/>
    </row>
    <row r="32" spans="2:38" s="212" customFormat="1" ht="21.75" customHeight="1">
      <c r="B32" s="497"/>
      <c r="C32" s="432"/>
      <c r="D32" s="502"/>
      <c r="E32" s="505"/>
      <c r="F32" s="508"/>
      <c r="G32" s="511"/>
      <c r="H32" s="471"/>
      <c r="I32" s="474"/>
      <c r="J32" s="478"/>
      <c r="K32" s="214" t="s">
        <v>424</v>
      </c>
      <c r="L32" s="214" t="s">
        <v>424</v>
      </c>
      <c r="M32" s="214" t="s">
        <v>424</v>
      </c>
      <c r="N32" s="214" t="s">
        <v>424</v>
      </c>
      <c r="O32" s="216" t="s">
        <v>436</v>
      </c>
      <c r="P32" s="217" t="s">
        <v>424</v>
      </c>
      <c r="Q32" s="218">
        <v>2000000</v>
      </c>
      <c r="R32" s="217" t="s">
        <v>437</v>
      </c>
      <c r="S32" s="175"/>
      <c r="T32" s="173"/>
      <c r="U32" s="180"/>
      <c r="W32" s="482"/>
      <c r="X32" s="518"/>
      <c r="Y32" s="155"/>
      <c r="Z32" s="213">
        <v>0</v>
      </c>
      <c r="AA32" s="213">
        <f>+Q32/4</f>
        <v>500000</v>
      </c>
      <c r="AB32" s="213">
        <v>500000</v>
      </c>
      <c r="AC32" s="213">
        <v>1000000</v>
      </c>
      <c r="AD32" s="170">
        <f t="shared" si="0"/>
        <v>0</v>
      </c>
      <c r="AE32" s="155"/>
      <c r="AF32" s="155"/>
      <c r="AG32" s="155"/>
      <c r="AH32" s="155"/>
      <c r="AI32" s="155"/>
      <c r="AJ32" s="155"/>
      <c r="AK32" s="155"/>
      <c r="AL32" s="154"/>
    </row>
    <row r="33" spans="2:38" s="212" customFormat="1" ht="21.75" customHeight="1">
      <c r="B33" s="497"/>
      <c r="C33" s="432"/>
      <c r="D33" s="502"/>
      <c r="E33" s="505"/>
      <c r="F33" s="508"/>
      <c r="G33" s="511"/>
      <c r="H33" s="471"/>
      <c r="I33" s="475"/>
      <c r="J33" s="479"/>
      <c r="K33" s="227"/>
      <c r="L33" s="227"/>
      <c r="M33" s="227"/>
      <c r="N33" s="227"/>
      <c r="O33" s="228"/>
      <c r="P33" s="229"/>
      <c r="Q33" s="230">
        <v>15000000</v>
      </c>
      <c r="R33" s="231" t="s">
        <v>438</v>
      </c>
      <c r="S33" s="232"/>
      <c r="T33" s="229"/>
      <c r="U33" s="233"/>
      <c r="W33" s="482"/>
      <c r="X33" s="519"/>
      <c r="Y33" s="155"/>
      <c r="Z33" s="213"/>
      <c r="AA33" s="213">
        <f>+Q33/4</f>
        <v>3750000</v>
      </c>
      <c r="AB33" s="213"/>
      <c r="AC33" s="213"/>
      <c r="AD33" s="170"/>
      <c r="AE33" s="155"/>
      <c r="AF33" s="155"/>
      <c r="AG33" s="155"/>
      <c r="AH33" s="155"/>
      <c r="AI33" s="155"/>
      <c r="AJ33" s="155"/>
      <c r="AK33" s="155"/>
      <c r="AL33" s="154"/>
    </row>
    <row r="34" spans="2:38" s="212" customFormat="1" ht="21.75" customHeight="1" thickBot="1">
      <c r="B34" s="497"/>
      <c r="C34" s="432"/>
      <c r="D34" s="502"/>
      <c r="E34" s="505"/>
      <c r="F34" s="508"/>
      <c r="G34" s="511"/>
      <c r="H34" s="471"/>
      <c r="I34" s="476"/>
      <c r="J34" s="480"/>
      <c r="K34" s="234" t="s">
        <v>378</v>
      </c>
      <c r="L34" s="234" t="s">
        <v>378</v>
      </c>
      <c r="M34" s="234" t="s">
        <v>378</v>
      </c>
      <c r="N34" s="234" t="s">
        <v>378</v>
      </c>
      <c r="O34" s="235" t="s">
        <v>439</v>
      </c>
      <c r="P34" s="236" t="s">
        <v>440</v>
      </c>
      <c r="Q34" s="237">
        <v>245000000</v>
      </c>
      <c r="R34" s="238" t="s">
        <v>441</v>
      </c>
      <c r="S34" s="239" t="s">
        <v>442</v>
      </c>
      <c r="T34" s="240"/>
      <c r="U34" s="241"/>
      <c r="W34" s="482"/>
      <c r="X34" s="520"/>
      <c r="Y34" s="155"/>
      <c r="Z34" s="242"/>
      <c r="AA34" s="242"/>
      <c r="AB34" s="242"/>
      <c r="AC34" s="242"/>
      <c r="AD34" s="170">
        <f t="shared" si="0"/>
        <v>245000000</v>
      </c>
      <c r="AE34" s="155"/>
      <c r="AF34" s="155"/>
      <c r="AG34" s="155"/>
      <c r="AH34" s="155"/>
      <c r="AI34" s="155"/>
      <c r="AJ34" s="155"/>
      <c r="AK34" s="155"/>
      <c r="AL34" s="154"/>
    </row>
    <row r="35" spans="2:38" s="212" customFormat="1" ht="21.75" customHeight="1">
      <c r="B35" s="497"/>
      <c r="C35" s="432"/>
      <c r="D35" s="502"/>
      <c r="E35" s="505"/>
      <c r="F35" s="508"/>
      <c r="G35" s="511"/>
      <c r="H35" s="471"/>
      <c r="I35" s="484" t="s">
        <v>443</v>
      </c>
      <c r="J35" s="487">
        <v>98000000</v>
      </c>
      <c r="K35" s="243" t="s">
        <v>362</v>
      </c>
      <c r="L35" s="243" t="s">
        <v>362</v>
      </c>
      <c r="M35" s="243" t="s">
        <v>378</v>
      </c>
      <c r="N35" s="243" t="s">
        <v>378</v>
      </c>
      <c r="O35" s="244" t="s">
        <v>444</v>
      </c>
      <c r="P35" s="164" t="s">
        <v>380</v>
      </c>
      <c r="Q35" s="245">
        <f>(4800000*3)+((4800000/30)*16)</f>
        <v>16960000</v>
      </c>
      <c r="R35" s="246" t="s">
        <v>445</v>
      </c>
      <c r="S35" s="166"/>
      <c r="T35" s="164"/>
      <c r="U35" s="247"/>
      <c r="W35" s="482"/>
      <c r="X35" s="462">
        <f>+J35-SUM(Q35:Q43)</f>
        <v>-6200000</v>
      </c>
      <c r="Y35" s="155"/>
      <c r="Z35" s="213">
        <v>0</v>
      </c>
      <c r="AA35" s="213">
        <f>+(4800000/30)*18</f>
        <v>2880000</v>
      </c>
      <c r="AB35" s="213">
        <v>4800000</v>
      </c>
      <c r="AC35" s="213">
        <f>+((4800000/30)*12)+(4800000)+(4800000/30)*20</f>
        <v>9920000</v>
      </c>
      <c r="AD35" s="170">
        <f t="shared" si="0"/>
        <v>-640000</v>
      </c>
      <c r="AE35" s="155"/>
      <c r="AF35" s="155"/>
      <c r="AG35" s="155"/>
      <c r="AH35" s="155"/>
      <c r="AI35" s="155"/>
      <c r="AJ35" s="155"/>
      <c r="AK35" s="155"/>
      <c r="AL35" s="154"/>
    </row>
    <row r="36" spans="2:38" s="212" customFormat="1" ht="21.75" customHeight="1">
      <c r="B36" s="497"/>
      <c r="C36" s="432"/>
      <c r="D36" s="502"/>
      <c r="E36" s="505"/>
      <c r="F36" s="508"/>
      <c r="G36" s="511"/>
      <c r="H36" s="471"/>
      <c r="I36" s="485"/>
      <c r="J36" s="488"/>
      <c r="K36" s="214" t="s">
        <v>402</v>
      </c>
      <c r="L36" s="214" t="s">
        <v>362</v>
      </c>
      <c r="M36" s="214" t="s">
        <v>362</v>
      </c>
      <c r="N36" s="214" t="s">
        <v>362</v>
      </c>
      <c r="O36" s="196" t="s">
        <v>446</v>
      </c>
      <c r="P36" s="173" t="s">
        <v>380</v>
      </c>
      <c r="Q36" s="221">
        <f>4000000*4</f>
        <v>16000000</v>
      </c>
      <c r="R36" s="217" t="s">
        <v>447</v>
      </c>
      <c r="S36" s="175" t="s">
        <v>448</v>
      </c>
      <c r="T36" s="185">
        <v>44075</v>
      </c>
      <c r="U36" s="186">
        <v>44195</v>
      </c>
      <c r="W36" s="482"/>
      <c r="X36" s="463"/>
      <c r="Y36" s="155"/>
      <c r="Z36" s="213">
        <v>0</v>
      </c>
      <c r="AA36" s="213">
        <v>4000000</v>
      </c>
      <c r="AB36" s="213">
        <v>4000000</v>
      </c>
      <c r="AC36" s="213">
        <f>4000000*2</f>
        <v>8000000</v>
      </c>
      <c r="AD36" s="170">
        <f t="shared" si="0"/>
        <v>0</v>
      </c>
      <c r="AE36" s="155"/>
      <c r="AF36" s="155"/>
      <c r="AG36" s="155"/>
      <c r="AH36" s="155"/>
      <c r="AI36" s="155"/>
      <c r="AJ36" s="155"/>
      <c r="AK36" s="155"/>
      <c r="AL36" s="154"/>
    </row>
    <row r="37" spans="2:38" s="212" customFormat="1" ht="21.75" customHeight="1">
      <c r="B37" s="497"/>
      <c r="C37" s="432"/>
      <c r="D37" s="502"/>
      <c r="E37" s="505"/>
      <c r="F37" s="508"/>
      <c r="G37" s="511"/>
      <c r="H37" s="471"/>
      <c r="I37" s="485"/>
      <c r="J37" s="488"/>
      <c r="K37" s="214" t="s">
        <v>402</v>
      </c>
      <c r="L37" s="214" t="s">
        <v>362</v>
      </c>
      <c r="M37" s="214" t="s">
        <v>378</v>
      </c>
      <c r="N37" s="214" t="s">
        <v>378</v>
      </c>
      <c r="O37" s="196" t="s">
        <v>449</v>
      </c>
      <c r="P37" s="173" t="s">
        <v>380</v>
      </c>
      <c r="Q37" s="221">
        <f>(4000000*3)+((4000000/30)*16)</f>
        <v>14133333.333333334</v>
      </c>
      <c r="R37" s="217" t="s">
        <v>450</v>
      </c>
      <c r="S37" s="175" t="s">
        <v>451</v>
      </c>
      <c r="T37" s="173"/>
      <c r="U37" s="180"/>
      <c r="W37" s="482"/>
      <c r="X37" s="463"/>
      <c r="Y37" s="155"/>
      <c r="Z37" s="213">
        <v>0</v>
      </c>
      <c r="AA37" s="213">
        <f>+(4000000/30)*18</f>
        <v>2400000</v>
      </c>
      <c r="AB37" s="213">
        <v>4000000</v>
      </c>
      <c r="AC37" s="213">
        <f>+((4000000/30)*12)+(4000000)+(4000000/30)*20</f>
        <v>8266666.666666667</v>
      </c>
      <c r="AD37" s="170">
        <f t="shared" si="0"/>
        <v>-533333.33333333395</v>
      </c>
      <c r="AE37" s="155"/>
      <c r="AF37" s="155"/>
      <c r="AG37" s="155"/>
      <c r="AH37" s="155"/>
      <c r="AI37" s="155"/>
      <c r="AJ37" s="155"/>
      <c r="AK37" s="155"/>
      <c r="AL37" s="154"/>
    </row>
    <row r="38" spans="2:38" s="212" customFormat="1" ht="21.75" customHeight="1">
      <c r="B38" s="497"/>
      <c r="C38" s="432"/>
      <c r="D38" s="502"/>
      <c r="E38" s="505"/>
      <c r="F38" s="508"/>
      <c r="G38" s="511"/>
      <c r="H38" s="471"/>
      <c r="I38" s="485"/>
      <c r="J38" s="488"/>
      <c r="K38" s="214" t="s">
        <v>402</v>
      </c>
      <c r="L38" s="214" t="s">
        <v>362</v>
      </c>
      <c r="M38" s="214" t="s">
        <v>378</v>
      </c>
      <c r="N38" s="214" t="s">
        <v>378</v>
      </c>
      <c r="O38" s="196" t="s">
        <v>452</v>
      </c>
      <c r="P38" s="173" t="s">
        <v>380</v>
      </c>
      <c r="Q38" s="221">
        <f>(2500000*3)+((2500000/30)*20)</f>
        <v>9166666.666666666</v>
      </c>
      <c r="R38" s="217" t="s">
        <v>453</v>
      </c>
      <c r="S38" s="175" t="s">
        <v>454</v>
      </c>
      <c r="T38" s="173"/>
      <c r="U38" s="180"/>
      <c r="W38" s="482"/>
      <c r="X38" s="463"/>
      <c r="Y38" s="155"/>
      <c r="Z38" s="213">
        <v>0</v>
      </c>
      <c r="AA38" s="213">
        <f>+(2500000/30)*18</f>
        <v>1500000</v>
      </c>
      <c r="AB38" s="213">
        <v>2500000</v>
      </c>
      <c r="AC38" s="213">
        <f>+((2500000/30)*12)+(2500000)+(2500000/30)*20</f>
        <v>5166666.666666666</v>
      </c>
      <c r="AD38" s="170">
        <f t="shared" si="0"/>
        <v>0</v>
      </c>
      <c r="AE38" s="155"/>
      <c r="AF38" s="155"/>
      <c r="AG38" s="155"/>
      <c r="AH38" s="155"/>
      <c r="AI38" s="155"/>
      <c r="AJ38" s="155"/>
      <c r="AK38" s="155"/>
      <c r="AL38" s="154"/>
    </row>
    <row r="39" spans="2:38" s="212" customFormat="1" ht="21.75" customHeight="1">
      <c r="B39" s="497"/>
      <c r="C39" s="432"/>
      <c r="D39" s="502"/>
      <c r="E39" s="505"/>
      <c r="F39" s="508"/>
      <c r="G39" s="511"/>
      <c r="H39" s="471"/>
      <c r="I39" s="485"/>
      <c r="J39" s="488"/>
      <c r="K39" s="214" t="s">
        <v>402</v>
      </c>
      <c r="L39" s="214" t="s">
        <v>362</v>
      </c>
      <c r="M39" s="214" t="s">
        <v>378</v>
      </c>
      <c r="N39" s="214" t="s">
        <v>378</v>
      </c>
      <c r="O39" s="196" t="s">
        <v>455</v>
      </c>
      <c r="P39" s="173" t="s">
        <v>380</v>
      </c>
      <c r="Q39" s="221">
        <f>2300000*3.5</f>
        <v>8050000</v>
      </c>
      <c r="R39" s="217" t="s">
        <v>456</v>
      </c>
      <c r="S39" s="175" t="s">
        <v>454</v>
      </c>
      <c r="T39" s="248"/>
      <c r="U39" s="180"/>
      <c r="W39" s="482"/>
      <c r="X39" s="463"/>
      <c r="Y39" s="155"/>
      <c r="Z39" s="213">
        <v>0</v>
      </c>
      <c r="AA39" s="213">
        <f>+(2300000/30)*18</f>
        <v>1380000</v>
      </c>
      <c r="AB39" s="213">
        <v>2300000</v>
      </c>
      <c r="AC39" s="213">
        <f>+((2300000/30)*12)+(2300000)+(2300000/30)*15</f>
        <v>4370000</v>
      </c>
      <c r="AD39" s="170">
        <f t="shared" si="0"/>
        <v>0</v>
      </c>
      <c r="AE39" s="155"/>
      <c r="AF39" s="155"/>
      <c r="AG39" s="155"/>
      <c r="AH39" s="155"/>
      <c r="AI39" s="155"/>
      <c r="AJ39" s="155"/>
      <c r="AK39" s="155"/>
      <c r="AL39" s="154"/>
    </row>
    <row r="40" spans="2:38" s="212" customFormat="1" ht="21.75" customHeight="1">
      <c r="B40" s="497"/>
      <c r="C40" s="432"/>
      <c r="D40" s="502"/>
      <c r="E40" s="505"/>
      <c r="F40" s="508"/>
      <c r="G40" s="511"/>
      <c r="H40" s="471"/>
      <c r="I40" s="485"/>
      <c r="J40" s="488"/>
      <c r="K40" s="214" t="s">
        <v>402</v>
      </c>
      <c r="L40" s="214" t="s">
        <v>362</v>
      </c>
      <c r="M40" s="214" t="s">
        <v>378</v>
      </c>
      <c r="N40" s="214" t="s">
        <v>378</v>
      </c>
      <c r="O40" s="196" t="s">
        <v>455</v>
      </c>
      <c r="P40" s="173" t="s">
        <v>380</v>
      </c>
      <c r="Q40" s="221">
        <f>(2300000*3)+((2300000/30)*7)</f>
        <v>7436666.666666667</v>
      </c>
      <c r="R40" s="217" t="s">
        <v>457</v>
      </c>
      <c r="S40" s="175" t="s">
        <v>458</v>
      </c>
      <c r="T40" s="248"/>
      <c r="U40" s="180"/>
      <c r="W40" s="482"/>
      <c r="X40" s="463"/>
      <c r="Y40" s="155"/>
      <c r="Z40" s="213">
        <v>0</v>
      </c>
      <c r="AA40" s="213">
        <f>+(2300000/30)*18</f>
        <v>1380000</v>
      </c>
      <c r="AB40" s="213">
        <v>2300000</v>
      </c>
      <c r="AC40" s="213">
        <f>+((2300000/30)*12)+(2300000)+(2300000/30)*15</f>
        <v>4370000</v>
      </c>
      <c r="AD40" s="170">
        <f t="shared" si="0"/>
        <v>-613333.33333333302</v>
      </c>
      <c r="AE40" s="155"/>
      <c r="AF40" s="155"/>
      <c r="AG40" s="155"/>
      <c r="AH40" s="155"/>
      <c r="AI40" s="155"/>
      <c r="AJ40" s="155"/>
      <c r="AK40" s="155"/>
      <c r="AL40" s="154"/>
    </row>
    <row r="41" spans="2:38" s="212" customFormat="1" ht="21.75" customHeight="1">
      <c r="B41" s="497"/>
      <c r="C41" s="432"/>
      <c r="D41" s="502"/>
      <c r="E41" s="505"/>
      <c r="F41" s="508"/>
      <c r="G41" s="511"/>
      <c r="H41" s="471"/>
      <c r="I41" s="485"/>
      <c r="J41" s="488"/>
      <c r="K41" s="227" t="s">
        <v>362</v>
      </c>
      <c r="L41" s="249" t="s">
        <v>362</v>
      </c>
      <c r="M41" s="223" t="s">
        <v>378</v>
      </c>
      <c r="N41" s="249" t="s">
        <v>378</v>
      </c>
      <c r="O41" s="196" t="s">
        <v>455</v>
      </c>
      <c r="P41" s="250" t="s">
        <v>380</v>
      </c>
      <c r="Q41" s="221">
        <f>(2300000*3)+((2300000/30)*8)</f>
        <v>7513333.333333333</v>
      </c>
      <c r="R41" s="220" t="s">
        <v>459</v>
      </c>
      <c r="S41" s="251" t="s">
        <v>458</v>
      </c>
      <c r="T41" s="252"/>
      <c r="U41" s="233"/>
      <c r="W41" s="482"/>
      <c r="X41" s="463"/>
      <c r="Y41" s="155"/>
      <c r="Z41" s="213"/>
      <c r="AA41" s="213"/>
      <c r="AB41" s="213"/>
      <c r="AC41" s="213"/>
      <c r="AD41" s="170"/>
      <c r="AE41" s="155"/>
      <c r="AF41" s="155"/>
      <c r="AG41" s="155"/>
      <c r="AH41" s="155"/>
      <c r="AI41" s="155"/>
      <c r="AJ41" s="155"/>
      <c r="AK41" s="155"/>
      <c r="AL41" s="154"/>
    </row>
    <row r="42" spans="2:38" s="212" customFormat="1" ht="21.75" customHeight="1">
      <c r="B42" s="497"/>
      <c r="C42" s="432"/>
      <c r="D42" s="502"/>
      <c r="E42" s="505"/>
      <c r="F42" s="508"/>
      <c r="G42" s="511"/>
      <c r="H42" s="471"/>
      <c r="I42" s="485"/>
      <c r="J42" s="488"/>
      <c r="K42" s="227"/>
      <c r="L42" s="249"/>
      <c r="M42" s="253"/>
      <c r="N42" s="249" t="s">
        <v>378</v>
      </c>
      <c r="O42" s="228" t="s">
        <v>460</v>
      </c>
      <c r="P42" s="250" t="s">
        <v>380</v>
      </c>
      <c r="Q42" s="254">
        <v>12250000</v>
      </c>
      <c r="R42" s="220" t="s">
        <v>461</v>
      </c>
      <c r="S42" s="251" t="s">
        <v>462</v>
      </c>
      <c r="T42" s="252"/>
      <c r="U42" s="233"/>
      <c r="W42" s="482"/>
      <c r="X42" s="463"/>
      <c r="Y42" s="155"/>
      <c r="Z42" s="213"/>
      <c r="AA42" s="213"/>
      <c r="AB42" s="213"/>
      <c r="AC42" s="213"/>
      <c r="AD42" s="170"/>
      <c r="AE42" s="155"/>
      <c r="AF42" s="155"/>
      <c r="AG42" s="155"/>
      <c r="AH42" s="155"/>
      <c r="AI42" s="155"/>
      <c r="AJ42" s="155"/>
      <c r="AK42" s="155"/>
      <c r="AL42" s="154"/>
    </row>
    <row r="43" spans="2:38" ht="32.25" customHeight="1" thickBot="1">
      <c r="B43" s="497"/>
      <c r="C43" s="432"/>
      <c r="D43" s="502"/>
      <c r="E43" s="505"/>
      <c r="F43" s="508"/>
      <c r="G43" s="511"/>
      <c r="H43" s="471"/>
      <c r="I43" s="486"/>
      <c r="J43" s="489"/>
      <c r="K43" s="255" t="s">
        <v>402</v>
      </c>
      <c r="L43" s="255" t="s">
        <v>362</v>
      </c>
      <c r="M43" s="255" t="s">
        <v>362</v>
      </c>
      <c r="N43" s="255"/>
      <c r="O43" s="256" t="s">
        <v>463</v>
      </c>
      <c r="P43" s="240"/>
      <c r="Q43" s="257">
        <v>12690000</v>
      </c>
      <c r="R43" s="258" t="s">
        <v>464</v>
      </c>
      <c r="S43" s="259"/>
      <c r="T43" s="260"/>
      <c r="U43" s="261"/>
      <c r="W43" s="482"/>
      <c r="X43" s="466"/>
      <c r="Y43" s="262"/>
      <c r="Z43" s="213">
        <v>0</v>
      </c>
      <c r="AA43" s="213">
        <f>+(3500000/30)*18</f>
        <v>2100000</v>
      </c>
      <c r="AB43" s="213">
        <v>3500000</v>
      </c>
      <c r="AC43" s="213">
        <f>+((3500000/30)*12)+(3500000)+(3500000/30)*15</f>
        <v>6650000</v>
      </c>
      <c r="AD43" s="170">
        <f t="shared" si="0"/>
        <v>440000</v>
      </c>
    </row>
    <row r="44" spans="2:38" ht="80.25" customHeight="1">
      <c r="B44" s="498"/>
      <c r="C44" s="500"/>
      <c r="D44" s="502"/>
      <c r="E44" s="505"/>
      <c r="F44" s="508"/>
      <c r="G44" s="511"/>
      <c r="H44" s="471"/>
      <c r="I44" s="263" t="s">
        <v>465</v>
      </c>
      <c r="J44" s="264">
        <v>78569541</v>
      </c>
      <c r="K44" s="265" t="s">
        <v>378</v>
      </c>
      <c r="L44" s="265" t="s">
        <v>378</v>
      </c>
      <c r="M44" s="265" t="s">
        <v>378</v>
      </c>
      <c r="N44" s="265" t="s">
        <v>378</v>
      </c>
      <c r="O44" s="491"/>
      <c r="P44" s="266"/>
      <c r="Q44" s="267"/>
      <c r="R44" s="268"/>
      <c r="S44" s="269"/>
      <c r="T44" s="270"/>
      <c r="U44" s="271"/>
      <c r="W44" s="482"/>
      <c r="X44" s="272">
        <f>+J44-Q44</f>
        <v>78569541</v>
      </c>
      <c r="Z44" s="213"/>
      <c r="AA44" s="242"/>
      <c r="AB44" s="242">
        <f>+X44/2</f>
        <v>39284770.5</v>
      </c>
      <c r="AC44" s="242">
        <f>+X44/2</f>
        <v>39284770.5</v>
      </c>
      <c r="AD44" s="170">
        <f t="shared" si="0"/>
        <v>-78569541</v>
      </c>
    </row>
    <row r="45" spans="2:38" ht="62.25" customHeight="1">
      <c r="B45" s="498"/>
      <c r="C45" s="500"/>
      <c r="D45" s="502"/>
      <c r="E45" s="505"/>
      <c r="F45" s="508"/>
      <c r="G45" s="511"/>
      <c r="H45" s="471"/>
      <c r="I45" s="494" t="s">
        <v>466</v>
      </c>
      <c r="J45" s="513">
        <v>200000000</v>
      </c>
      <c r="K45" s="273" t="s">
        <v>378</v>
      </c>
      <c r="L45" s="273" t="s">
        <v>378</v>
      </c>
      <c r="M45" s="273" t="s">
        <v>378</v>
      </c>
      <c r="N45" s="273" t="s">
        <v>378</v>
      </c>
      <c r="O45" s="492"/>
      <c r="P45" s="229"/>
      <c r="Q45" s="274">
        <v>200000000</v>
      </c>
      <c r="R45" s="275" t="s">
        <v>467</v>
      </c>
      <c r="S45" s="232"/>
      <c r="T45" s="276"/>
      <c r="U45" s="277"/>
      <c r="W45" s="482"/>
      <c r="X45" s="515">
        <f>+J45-Q45</f>
        <v>0</v>
      </c>
      <c r="Z45" s="242"/>
      <c r="AA45" s="242"/>
      <c r="AB45" s="242">
        <f>+X45/2</f>
        <v>0</v>
      </c>
      <c r="AC45" s="242">
        <f>+X45/2</f>
        <v>0</v>
      </c>
      <c r="AD45" s="170">
        <f t="shared" si="0"/>
        <v>200000000</v>
      </c>
    </row>
    <row r="46" spans="2:38" ht="30.75" customHeight="1" thickBot="1">
      <c r="B46" s="499"/>
      <c r="C46" s="433"/>
      <c r="D46" s="503"/>
      <c r="E46" s="506"/>
      <c r="F46" s="509"/>
      <c r="G46" s="512"/>
      <c r="H46" s="472"/>
      <c r="I46" s="495"/>
      <c r="J46" s="514"/>
      <c r="K46" s="278" t="s">
        <v>378</v>
      </c>
      <c r="L46" s="278" t="s">
        <v>378</v>
      </c>
      <c r="M46" s="278" t="s">
        <v>378</v>
      </c>
      <c r="N46" s="278" t="s">
        <v>378</v>
      </c>
      <c r="O46" s="493"/>
      <c r="P46" s="256"/>
      <c r="Q46" s="279"/>
      <c r="R46" s="235"/>
      <c r="S46" s="280"/>
      <c r="T46" s="260"/>
      <c r="U46" s="261"/>
      <c r="W46" s="483"/>
      <c r="X46" s="516"/>
      <c r="Z46" s="242"/>
      <c r="AA46" s="242"/>
      <c r="AB46" s="242"/>
      <c r="AC46" s="242"/>
      <c r="AD46" s="170">
        <f t="shared" si="0"/>
        <v>0</v>
      </c>
      <c r="AG46" s="155" t="s">
        <v>468</v>
      </c>
    </row>
    <row r="47" spans="2:38" ht="21.75" hidden="1" customHeight="1">
      <c r="B47" s="426">
        <v>1</v>
      </c>
      <c r="C47" s="430" t="s">
        <v>357</v>
      </c>
      <c r="D47" s="434" t="s">
        <v>469</v>
      </c>
      <c r="E47" s="438" t="s">
        <v>470</v>
      </c>
      <c r="F47" s="442">
        <v>1184271069</v>
      </c>
      <c r="G47" s="446" t="s">
        <v>471</v>
      </c>
      <c r="H47" s="450">
        <f>1184271068.71-30000000-125164671</f>
        <v>1029106397.71</v>
      </c>
      <c r="I47" s="281" t="s">
        <v>472</v>
      </c>
      <c r="J47" s="282">
        <f>1529106397.71-510500000</f>
        <v>1018606397.71</v>
      </c>
      <c r="K47" s="265" t="s">
        <v>378</v>
      </c>
      <c r="L47" s="265" t="s">
        <v>378</v>
      </c>
      <c r="M47" s="265" t="s">
        <v>378</v>
      </c>
      <c r="N47" s="265" t="s">
        <v>378</v>
      </c>
      <c r="O47" s="163"/>
      <c r="P47" s="164"/>
      <c r="Q47" s="283">
        <v>1000000000</v>
      </c>
      <c r="R47" s="284" t="s">
        <v>472</v>
      </c>
      <c r="S47" s="166"/>
      <c r="T47" s="167"/>
      <c r="U47" s="168"/>
      <c r="W47" s="467">
        <f>+H47-SUM(Q47:Q50)</f>
        <v>18606397.710000038</v>
      </c>
      <c r="X47" s="417">
        <f>+W47</f>
        <v>18606397.710000038</v>
      </c>
      <c r="Z47" s="285"/>
      <c r="AA47" s="285"/>
      <c r="AB47" s="285">
        <f>+J47-125000000</f>
        <v>893606397.71000004</v>
      </c>
      <c r="AC47" s="285"/>
      <c r="AD47" s="170">
        <f t="shared" si="0"/>
        <v>106393602.28999996</v>
      </c>
      <c r="AL47" s="157"/>
    </row>
    <row r="48" spans="2:38" ht="21.75" hidden="1" customHeight="1">
      <c r="B48" s="428"/>
      <c r="C48" s="432"/>
      <c r="D48" s="436"/>
      <c r="E48" s="440"/>
      <c r="F48" s="444"/>
      <c r="G48" s="448"/>
      <c r="H48" s="452"/>
      <c r="I48" s="420" t="s">
        <v>473</v>
      </c>
      <c r="J48" s="423">
        <f>3500000*3</f>
        <v>10500000</v>
      </c>
      <c r="K48" s="191" t="s">
        <v>378</v>
      </c>
      <c r="L48" s="191" t="s">
        <v>378</v>
      </c>
      <c r="M48" s="191" t="s">
        <v>378</v>
      </c>
      <c r="N48" s="191" t="s">
        <v>378</v>
      </c>
      <c r="O48" s="172"/>
      <c r="P48" s="173" t="s">
        <v>380</v>
      </c>
      <c r="Q48" s="283">
        <f>3*3500000</f>
        <v>10500000</v>
      </c>
      <c r="R48" s="286" t="s">
        <v>474</v>
      </c>
      <c r="S48" s="287" t="s">
        <v>475</v>
      </c>
      <c r="T48" s="176"/>
      <c r="U48" s="177"/>
      <c r="W48" s="468"/>
      <c r="X48" s="418"/>
      <c r="Z48" s="285"/>
      <c r="AA48" s="288"/>
      <c r="AB48" s="288"/>
      <c r="AC48" s="288"/>
      <c r="AD48" s="170">
        <f>+Q48-SUM(Z48:AC48)</f>
        <v>10500000</v>
      </c>
      <c r="AL48" s="157"/>
    </row>
    <row r="49" spans="2:38" ht="21.75" hidden="1" customHeight="1">
      <c r="B49" s="428"/>
      <c r="C49" s="432"/>
      <c r="D49" s="436"/>
      <c r="E49" s="440"/>
      <c r="F49" s="444"/>
      <c r="G49" s="448"/>
      <c r="H49" s="452"/>
      <c r="I49" s="421"/>
      <c r="J49" s="424"/>
      <c r="K49" s="191" t="s">
        <v>378</v>
      </c>
      <c r="L49" s="191" t="s">
        <v>378</v>
      </c>
      <c r="M49" s="191" t="s">
        <v>378</v>
      </c>
      <c r="N49" s="191"/>
      <c r="O49" s="172"/>
      <c r="P49" s="173"/>
      <c r="Q49" s="283"/>
      <c r="R49" s="286"/>
      <c r="S49" s="287"/>
      <c r="T49" s="176"/>
      <c r="U49" s="177"/>
      <c r="W49" s="468"/>
      <c r="X49" s="418"/>
      <c r="Z49" s="285"/>
      <c r="AA49" s="288"/>
      <c r="AB49" s="288"/>
      <c r="AC49" s="288"/>
      <c r="AD49" s="170">
        <f t="shared" si="0"/>
        <v>0</v>
      </c>
      <c r="AL49" s="157"/>
    </row>
    <row r="50" spans="2:38" ht="15" hidden="1" customHeight="1" thickBot="1">
      <c r="B50" s="429"/>
      <c r="C50" s="433"/>
      <c r="D50" s="437"/>
      <c r="E50" s="441"/>
      <c r="F50" s="445"/>
      <c r="G50" s="449"/>
      <c r="H50" s="453"/>
      <c r="I50" s="422"/>
      <c r="J50" s="425"/>
      <c r="K50" s="198"/>
      <c r="L50" s="198"/>
      <c r="M50" s="198"/>
      <c r="N50" s="198"/>
      <c r="O50" s="199"/>
      <c r="P50" s="199"/>
      <c r="Q50" s="289"/>
      <c r="R50" s="290"/>
      <c r="S50" s="291"/>
      <c r="T50" s="202"/>
      <c r="U50" s="203"/>
      <c r="W50" s="469"/>
      <c r="X50" s="419"/>
      <c r="Z50" s="292"/>
      <c r="AA50" s="292"/>
      <c r="AB50" s="292"/>
      <c r="AC50" s="292"/>
      <c r="AD50" s="170">
        <f t="shared" si="0"/>
        <v>0</v>
      </c>
      <c r="AL50" s="157"/>
    </row>
    <row r="51" spans="2:38" ht="28.5" hidden="1" customHeight="1">
      <c r="B51" s="426">
        <v>1</v>
      </c>
      <c r="C51" s="430" t="s">
        <v>357</v>
      </c>
      <c r="D51" s="434" t="s">
        <v>469</v>
      </c>
      <c r="E51" s="438" t="s">
        <v>470</v>
      </c>
      <c r="F51" s="442">
        <v>1184271069</v>
      </c>
      <c r="G51" s="446" t="s">
        <v>471</v>
      </c>
      <c r="H51" s="450">
        <v>250000000</v>
      </c>
      <c r="I51" s="454" t="s">
        <v>476</v>
      </c>
      <c r="J51" s="457">
        <f>+(3*4*4000000)</f>
        <v>48000000</v>
      </c>
      <c r="K51" s="265" t="s">
        <v>378</v>
      </c>
      <c r="L51" s="265" t="s">
        <v>378</v>
      </c>
      <c r="M51" s="265" t="s">
        <v>378</v>
      </c>
      <c r="N51" s="265" t="s">
        <v>378</v>
      </c>
      <c r="O51" s="163"/>
      <c r="P51" s="164"/>
      <c r="Q51" s="293">
        <f>4000000*3</f>
        <v>12000000</v>
      </c>
      <c r="R51" s="294" t="s">
        <v>477</v>
      </c>
      <c r="S51" s="166"/>
      <c r="T51" s="167"/>
      <c r="U51" s="168"/>
      <c r="W51" s="458">
        <v>0</v>
      </c>
      <c r="X51" s="462">
        <f>+J51-SUM(Q51:Q54)</f>
        <v>0</v>
      </c>
      <c r="Z51" s="285"/>
      <c r="AA51" s="285"/>
      <c r="AB51" s="285"/>
      <c r="AC51" s="285"/>
      <c r="AD51" s="170">
        <f t="shared" si="0"/>
        <v>12000000</v>
      </c>
      <c r="AL51" s="157"/>
    </row>
    <row r="52" spans="2:38" ht="28.5" hidden="1" customHeight="1">
      <c r="B52" s="427"/>
      <c r="C52" s="431"/>
      <c r="D52" s="435"/>
      <c r="E52" s="439"/>
      <c r="F52" s="443"/>
      <c r="G52" s="447"/>
      <c r="H52" s="451"/>
      <c r="I52" s="455"/>
      <c r="J52" s="424"/>
      <c r="K52" s="265"/>
      <c r="L52" s="265"/>
      <c r="M52" s="265"/>
      <c r="N52" s="265"/>
      <c r="O52" s="295"/>
      <c r="P52" s="296"/>
      <c r="Q52" s="297">
        <f>4000000*3</f>
        <v>12000000</v>
      </c>
      <c r="R52" s="224" t="s">
        <v>478</v>
      </c>
      <c r="S52" s="298"/>
      <c r="T52" s="299"/>
      <c r="U52" s="300"/>
      <c r="W52" s="459"/>
      <c r="X52" s="463"/>
      <c r="Z52" s="169"/>
      <c r="AA52" s="301"/>
      <c r="AB52" s="169"/>
      <c r="AC52" s="169"/>
      <c r="AD52" s="170"/>
      <c r="AL52" s="157"/>
    </row>
    <row r="53" spans="2:38" ht="28.5" hidden="1" customHeight="1">
      <c r="B53" s="427"/>
      <c r="C53" s="431"/>
      <c r="D53" s="435"/>
      <c r="E53" s="439"/>
      <c r="F53" s="443"/>
      <c r="G53" s="447"/>
      <c r="H53" s="451"/>
      <c r="I53" s="455"/>
      <c r="J53" s="424"/>
      <c r="K53" s="265"/>
      <c r="L53" s="265"/>
      <c r="M53" s="265"/>
      <c r="N53" s="265"/>
      <c r="O53" s="295"/>
      <c r="P53" s="296"/>
      <c r="Q53" s="297">
        <f>4000000*3</f>
        <v>12000000</v>
      </c>
      <c r="R53" s="224" t="s">
        <v>479</v>
      </c>
      <c r="S53" s="298"/>
      <c r="T53" s="299"/>
      <c r="U53" s="300"/>
      <c r="W53" s="459"/>
      <c r="X53" s="464"/>
      <c r="Z53" s="169"/>
      <c r="AA53" s="301"/>
      <c r="AB53" s="169"/>
      <c r="AC53" s="169"/>
      <c r="AD53" s="170"/>
      <c r="AL53" s="157"/>
    </row>
    <row r="54" spans="2:38" ht="21.75" hidden="1" customHeight="1">
      <c r="B54" s="428"/>
      <c r="C54" s="432"/>
      <c r="D54" s="436"/>
      <c r="E54" s="440"/>
      <c r="F54" s="444"/>
      <c r="G54" s="448"/>
      <c r="H54" s="452"/>
      <c r="I54" s="456"/>
      <c r="J54" s="443"/>
      <c r="K54" s="191" t="s">
        <v>378</v>
      </c>
      <c r="L54" s="191" t="s">
        <v>378</v>
      </c>
      <c r="M54" s="191" t="s">
        <v>378</v>
      </c>
      <c r="N54" s="191" t="s">
        <v>378</v>
      </c>
      <c r="O54" s="172"/>
      <c r="P54" s="173"/>
      <c r="Q54" s="302">
        <f>4000000*3</f>
        <v>12000000</v>
      </c>
      <c r="R54" s="303" t="s">
        <v>480</v>
      </c>
      <c r="S54" s="175"/>
      <c r="T54" s="176"/>
      <c r="U54" s="177"/>
      <c r="W54" s="460"/>
      <c r="X54" s="465">
        <v>0</v>
      </c>
      <c r="Z54" s="169"/>
      <c r="AA54" s="213"/>
      <c r="AB54" s="213"/>
      <c r="AC54" s="213"/>
      <c r="AD54" s="170">
        <f t="shared" si="0"/>
        <v>12000000</v>
      </c>
      <c r="AL54" s="157"/>
    </row>
    <row r="55" spans="2:38" ht="21.75" hidden="1" customHeight="1">
      <c r="B55" s="428"/>
      <c r="C55" s="432"/>
      <c r="D55" s="436"/>
      <c r="E55" s="440"/>
      <c r="F55" s="444"/>
      <c r="G55" s="448"/>
      <c r="H55" s="452"/>
      <c r="I55" s="304"/>
      <c r="J55" s="423">
        <f>+H51-J51</f>
        <v>202000000</v>
      </c>
      <c r="K55" s="191"/>
      <c r="L55" s="191"/>
      <c r="M55" s="191"/>
      <c r="N55" s="191"/>
      <c r="O55" s="172"/>
      <c r="P55" s="173"/>
      <c r="Q55" s="297">
        <v>108222728</v>
      </c>
      <c r="R55" s="305" t="s">
        <v>481</v>
      </c>
      <c r="S55" s="175"/>
      <c r="T55" s="176"/>
      <c r="U55" s="177"/>
      <c r="W55" s="460"/>
      <c r="X55" s="463"/>
      <c r="Z55" s="169"/>
      <c r="AA55" s="213"/>
      <c r="AB55" s="242">
        <f>+X54/2</f>
        <v>0</v>
      </c>
      <c r="AC55" s="242">
        <f>+X54/2</f>
        <v>0</v>
      </c>
      <c r="AD55" s="170"/>
      <c r="AL55" s="157"/>
    </row>
    <row r="56" spans="2:38" ht="21.75" hidden="1" customHeight="1">
      <c r="B56" s="428"/>
      <c r="C56" s="432"/>
      <c r="D56" s="436"/>
      <c r="E56" s="440"/>
      <c r="F56" s="444"/>
      <c r="G56" s="448"/>
      <c r="H56" s="452"/>
      <c r="I56" s="455" t="s">
        <v>482</v>
      </c>
      <c r="J56" s="424"/>
      <c r="K56" s="191" t="s">
        <v>378</v>
      </c>
      <c r="L56" s="191" t="s">
        <v>378</v>
      </c>
      <c r="M56" s="191" t="s">
        <v>378</v>
      </c>
      <c r="N56" s="191" t="s">
        <v>378</v>
      </c>
      <c r="O56" s="172"/>
      <c r="P56" s="173"/>
      <c r="Q56" s="297">
        <f>4000000*3</f>
        <v>12000000</v>
      </c>
      <c r="R56" s="224" t="s">
        <v>483</v>
      </c>
      <c r="S56" s="175"/>
      <c r="T56" s="176"/>
      <c r="U56" s="177"/>
      <c r="W56" s="460"/>
      <c r="X56" s="463"/>
      <c r="Z56" s="169"/>
      <c r="AA56" s="213"/>
      <c r="AB56" s="213"/>
      <c r="AC56" s="213"/>
      <c r="AD56" s="170">
        <f t="shared" si="0"/>
        <v>12000000</v>
      </c>
      <c r="AL56" s="157"/>
    </row>
    <row r="57" spans="2:38" ht="18" hidden="1" customHeight="1" thickBot="1">
      <c r="B57" s="429"/>
      <c r="C57" s="433"/>
      <c r="D57" s="437"/>
      <c r="E57" s="441"/>
      <c r="F57" s="445"/>
      <c r="G57" s="449"/>
      <c r="H57" s="453"/>
      <c r="I57" s="490"/>
      <c r="J57" s="425"/>
      <c r="K57" s="198"/>
      <c r="L57" s="198"/>
      <c r="M57" s="198"/>
      <c r="N57" s="198"/>
      <c r="O57" s="199"/>
      <c r="P57" s="199"/>
      <c r="Q57" s="306">
        <f>2500000*3</f>
        <v>7500000</v>
      </c>
      <c r="R57" s="200" t="s">
        <v>484</v>
      </c>
      <c r="S57" s="201"/>
      <c r="T57" s="202"/>
      <c r="U57" s="203"/>
      <c r="W57" s="461"/>
      <c r="X57" s="466"/>
      <c r="Z57" s="204"/>
      <c r="AA57" s="204"/>
      <c r="AB57" s="204"/>
      <c r="AC57" s="204"/>
      <c r="AD57" s="170">
        <f t="shared" si="0"/>
        <v>7500000</v>
      </c>
      <c r="AL57" s="157"/>
    </row>
    <row r="58" spans="2:38">
      <c r="H58" s="307">
        <f>SUM(H7:H57)</f>
        <v>2414723678.71</v>
      </c>
      <c r="Q58" s="308">
        <f>SUM(Q7:Q57)</f>
        <v>2129522122.6666667</v>
      </c>
      <c r="W58" s="309">
        <f>SUM(W7:W57)</f>
        <v>210924284.04333329</v>
      </c>
      <c r="X58" s="310">
        <f>SUM(X7:X57)</f>
        <v>210924284.04333335</v>
      </c>
    </row>
    <row r="63" spans="2:38">
      <c r="J63" s="153" t="s">
        <v>485</v>
      </c>
    </row>
    <row r="64" spans="2:38">
      <c r="Q64" s="307">
        <f>+H17</f>
        <v>952137281</v>
      </c>
    </row>
    <row r="65" spans="15:19">
      <c r="Q65" s="307">
        <f>+SUM(Q17:Q33)</f>
        <v>222449394.66666669</v>
      </c>
    </row>
    <row r="66" spans="15:19">
      <c r="Q66" s="311">
        <f>+SUM(Q35:Q43)</f>
        <v>104200000</v>
      </c>
    </row>
    <row r="67" spans="15:19">
      <c r="O67" s="153" t="s">
        <v>486</v>
      </c>
      <c r="Q67" s="312">
        <f>+Q64-Q65-Q66</f>
        <v>625487886.33333325</v>
      </c>
    </row>
    <row r="68" spans="15:19">
      <c r="O68" s="153" t="s">
        <v>487</v>
      </c>
      <c r="Q68" s="313">
        <v>100000000</v>
      </c>
    </row>
    <row r="69" spans="15:19">
      <c r="O69" s="153" t="s">
        <v>488</v>
      </c>
      <c r="Q69" s="307">
        <f>+Q67-Q68</f>
        <v>525487886.33333325</v>
      </c>
      <c r="R69" s="153">
        <v>500000000</v>
      </c>
      <c r="S69" s="314">
        <f>+Q69-R69</f>
        <v>25487886.333333254</v>
      </c>
    </row>
    <row r="70" spans="15:19">
      <c r="O70" s="153" t="s">
        <v>489</v>
      </c>
    </row>
    <row r="71" spans="15:19">
      <c r="O71" s="153" t="s">
        <v>325</v>
      </c>
      <c r="Q71" s="153">
        <v>40000000</v>
      </c>
    </row>
  </sheetData>
  <mergeCells count="84">
    <mergeCell ref="B3:U3"/>
    <mergeCell ref="W3:X3"/>
    <mergeCell ref="Z3:AC3"/>
    <mergeCell ref="B5:B6"/>
    <mergeCell ref="C5:C6"/>
    <mergeCell ref="D5:D6"/>
    <mergeCell ref="E5:E6"/>
    <mergeCell ref="F5:F6"/>
    <mergeCell ref="G5:G6"/>
    <mergeCell ref="H5:H6"/>
    <mergeCell ref="AA5:AA6"/>
    <mergeCell ref="AB5:AB6"/>
    <mergeCell ref="AC5:AC6"/>
    <mergeCell ref="AD5:AD6"/>
    <mergeCell ref="B7:B16"/>
    <mergeCell ref="C7:C16"/>
    <mergeCell ref="D7:D16"/>
    <mergeCell ref="E7:E16"/>
    <mergeCell ref="F7:F16"/>
    <mergeCell ref="R5:R6"/>
    <mergeCell ref="S5:S6"/>
    <mergeCell ref="T5:T6"/>
    <mergeCell ref="U5:U6"/>
    <mergeCell ref="W5:W6"/>
    <mergeCell ref="X5:X6"/>
    <mergeCell ref="I5:I6"/>
    <mergeCell ref="X7:X13"/>
    <mergeCell ref="I15:I16"/>
    <mergeCell ref="J15:J16"/>
    <mergeCell ref="X15:X16"/>
    <mergeCell ref="Z5:Z6"/>
    <mergeCell ref="J5:J6"/>
    <mergeCell ref="K5:N5"/>
    <mergeCell ref="O5:O6"/>
    <mergeCell ref="P5:P6"/>
    <mergeCell ref="Q5:Q6"/>
    <mergeCell ref="G7:G16"/>
    <mergeCell ref="H7:H16"/>
    <mergeCell ref="I7:I13"/>
    <mergeCell ref="J7:J13"/>
    <mergeCell ref="W7:W16"/>
    <mergeCell ref="X35:X43"/>
    <mergeCell ref="O44:O46"/>
    <mergeCell ref="I45:I46"/>
    <mergeCell ref="B17:B46"/>
    <mergeCell ref="C17:C46"/>
    <mergeCell ref="D17:D46"/>
    <mergeCell ref="E17:E46"/>
    <mergeCell ref="F17:F46"/>
    <mergeCell ref="G17:G46"/>
    <mergeCell ref="J45:J46"/>
    <mergeCell ref="X45:X46"/>
    <mergeCell ref="X17:X34"/>
    <mergeCell ref="I56:I57"/>
    <mergeCell ref="B47:B50"/>
    <mergeCell ref="C47:C50"/>
    <mergeCell ref="D47:D50"/>
    <mergeCell ref="E47:E50"/>
    <mergeCell ref="F47:F50"/>
    <mergeCell ref="G47:G50"/>
    <mergeCell ref="H47:H50"/>
    <mergeCell ref="W47:W50"/>
    <mergeCell ref="H17:H46"/>
    <mergeCell ref="I17:I34"/>
    <mergeCell ref="J17:J34"/>
    <mergeCell ref="W17:W46"/>
    <mergeCell ref="I35:I43"/>
    <mergeCell ref="J35:J43"/>
    <mergeCell ref="X47:X50"/>
    <mergeCell ref="I48:I50"/>
    <mergeCell ref="J48:J50"/>
    <mergeCell ref="B51:B57"/>
    <mergeCell ref="C51:C57"/>
    <mergeCell ref="D51:D57"/>
    <mergeCell ref="E51:E57"/>
    <mergeCell ref="F51:F57"/>
    <mergeCell ref="G51:G57"/>
    <mergeCell ref="H51:H57"/>
    <mergeCell ref="I51:I54"/>
    <mergeCell ref="J51:J54"/>
    <mergeCell ref="W51:W57"/>
    <mergeCell ref="X51:X53"/>
    <mergeCell ref="X54:X57"/>
    <mergeCell ref="J55:J57"/>
  </mergeCells>
  <conditionalFormatting sqref="D17 D7">
    <cfRule type="duplicateValues" dxfId="107" priority="73"/>
  </conditionalFormatting>
  <conditionalFormatting sqref="D17 D7">
    <cfRule type="duplicateValues" dxfId="106" priority="74"/>
  </conditionalFormatting>
  <conditionalFormatting sqref="D17 D7">
    <cfRule type="duplicateValues" dxfId="105" priority="75"/>
    <cfRule type="duplicateValues" dxfId="104" priority="76"/>
  </conditionalFormatting>
  <conditionalFormatting sqref="D17 D7">
    <cfRule type="duplicateValues" dxfId="103" priority="77"/>
  </conditionalFormatting>
  <conditionalFormatting sqref="D17 D7">
    <cfRule type="duplicateValues" dxfId="102" priority="78"/>
    <cfRule type="duplicateValues" dxfId="101" priority="79"/>
    <cfRule type="duplicateValues" dxfId="100" priority="80"/>
  </conditionalFormatting>
  <conditionalFormatting sqref="D17 D7">
    <cfRule type="duplicateValues" dxfId="99" priority="81"/>
    <cfRule type="duplicateValues" dxfId="98" priority="82"/>
    <cfRule type="duplicateValues" dxfId="97" priority="83"/>
  </conditionalFormatting>
  <conditionalFormatting sqref="D17 D7">
    <cfRule type="duplicateValues" dxfId="96" priority="84"/>
    <cfRule type="duplicateValues" dxfId="95" priority="85"/>
  </conditionalFormatting>
  <conditionalFormatting sqref="D17 D7">
    <cfRule type="duplicateValues" dxfId="94" priority="86"/>
    <cfRule type="duplicateValues" dxfId="93" priority="87"/>
  </conditionalFormatting>
  <conditionalFormatting sqref="D7">
    <cfRule type="duplicateValues" dxfId="92" priority="88"/>
  </conditionalFormatting>
  <conditionalFormatting sqref="C17 C7">
    <cfRule type="duplicateValues" dxfId="91" priority="89"/>
  </conditionalFormatting>
  <conditionalFormatting sqref="C17 C7">
    <cfRule type="duplicateValues" dxfId="90" priority="90"/>
  </conditionalFormatting>
  <conditionalFormatting sqref="C17 C7">
    <cfRule type="duplicateValues" dxfId="89" priority="91"/>
  </conditionalFormatting>
  <conditionalFormatting sqref="C17 C7">
    <cfRule type="duplicateValues" dxfId="88" priority="92"/>
    <cfRule type="duplicateValues" dxfId="87" priority="93"/>
  </conditionalFormatting>
  <conditionalFormatting sqref="D17 D7">
    <cfRule type="duplicateValues" dxfId="86" priority="94"/>
    <cfRule type="duplicateValues" dxfId="85" priority="95"/>
    <cfRule type="duplicateValues" dxfId="84" priority="96"/>
    <cfRule type="duplicateValues" dxfId="83" priority="97"/>
  </conditionalFormatting>
  <conditionalFormatting sqref="D7">
    <cfRule type="duplicateValues" dxfId="82" priority="98"/>
  </conditionalFormatting>
  <conditionalFormatting sqref="D17 D7">
    <cfRule type="duplicateValues" dxfId="81" priority="99"/>
    <cfRule type="duplicateValues" dxfId="80" priority="100"/>
  </conditionalFormatting>
  <conditionalFormatting sqref="D17 D7">
    <cfRule type="duplicateValues" dxfId="79" priority="101"/>
    <cfRule type="duplicateValues" dxfId="78" priority="102"/>
  </conditionalFormatting>
  <conditionalFormatting sqref="D7">
    <cfRule type="duplicateValues" dxfId="77" priority="103"/>
  </conditionalFormatting>
  <conditionalFormatting sqref="D7">
    <cfRule type="duplicateValues" dxfId="76" priority="104"/>
    <cfRule type="duplicateValues" dxfId="75" priority="105"/>
  </conditionalFormatting>
  <conditionalFormatting sqref="C7">
    <cfRule type="duplicateValues" dxfId="74" priority="106"/>
  </conditionalFormatting>
  <conditionalFormatting sqref="C17 C7">
    <cfRule type="duplicateValues" dxfId="73" priority="107"/>
    <cfRule type="duplicateValues" dxfId="72" priority="108"/>
  </conditionalFormatting>
  <conditionalFormatting sqref="D47">
    <cfRule type="duplicateValues" dxfId="71" priority="37"/>
  </conditionalFormatting>
  <conditionalFormatting sqref="D47">
    <cfRule type="duplicateValues" dxfId="70" priority="38"/>
  </conditionalFormatting>
  <conditionalFormatting sqref="D47">
    <cfRule type="duplicateValues" dxfId="69" priority="39"/>
    <cfRule type="duplicateValues" dxfId="68" priority="40"/>
  </conditionalFormatting>
  <conditionalFormatting sqref="D47">
    <cfRule type="duplicateValues" dxfId="67" priority="41"/>
  </conditionalFormatting>
  <conditionalFormatting sqref="D47">
    <cfRule type="duplicateValues" dxfId="66" priority="42"/>
    <cfRule type="duplicateValues" dxfId="65" priority="43"/>
    <cfRule type="duplicateValues" dxfId="64" priority="44"/>
  </conditionalFormatting>
  <conditionalFormatting sqref="D47">
    <cfRule type="duplicateValues" dxfId="63" priority="45"/>
    <cfRule type="duplicateValues" dxfId="62" priority="46"/>
    <cfRule type="duplicateValues" dxfId="61" priority="47"/>
  </conditionalFormatting>
  <conditionalFormatting sqref="D47">
    <cfRule type="duplicateValues" dxfId="60" priority="48"/>
    <cfRule type="duplicateValues" dxfId="59" priority="49"/>
  </conditionalFormatting>
  <conditionalFormatting sqref="D47">
    <cfRule type="duplicateValues" dxfId="58" priority="50"/>
    <cfRule type="duplicateValues" dxfId="57" priority="51"/>
  </conditionalFormatting>
  <conditionalFormatting sqref="D47">
    <cfRule type="duplicateValues" dxfId="56" priority="52"/>
  </conditionalFormatting>
  <conditionalFormatting sqref="C47">
    <cfRule type="duplicateValues" dxfId="55" priority="53"/>
  </conditionalFormatting>
  <conditionalFormatting sqref="C47">
    <cfRule type="duplicateValues" dxfId="54" priority="54"/>
  </conditionalFormatting>
  <conditionalFormatting sqref="C47">
    <cfRule type="duplicateValues" dxfId="53" priority="55"/>
  </conditionalFormatting>
  <conditionalFormatting sqref="C47">
    <cfRule type="duplicateValues" dxfId="52" priority="56"/>
    <cfRule type="duplicateValues" dxfId="51" priority="57"/>
  </conditionalFormatting>
  <conditionalFormatting sqref="D47">
    <cfRule type="duplicateValues" dxfId="50" priority="58"/>
    <cfRule type="duplicateValues" dxfId="49" priority="59"/>
    <cfRule type="duplicateValues" dxfId="48" priority="60"/>
    <cfRule type="duplicateValues" dxfId="47" priority="61"/>
  </conditionalFormatting>
  <conditionalFormatting sqref="D47">
    <cfRule type="duplicateValues" dxfId="46" priority="62"/>
  </conditionalFormatting>
  <conditionalFormatting sqref="D47">
    <cfRule type="duplicateValues" dxfId="45" priority="63"/>
    <cfRule type="duplicateValues" dxfId="44" priority="64"/>
  </conditionalFormatting>
  <conditionalFormatting sqref="D47">
    <cfRule type="duplicateValues" dxfId="43" priority="65"/>
    <cfRule type="duplicateValues" dxfId="42" priority="66"/>
  </conditionalFormatting>
  <conditionalFormatting sqref="D47">
    <cfRule type="duplicateValues" dxfId="41" priority="67"/>
  </conditionalFormatting>
  <conditionalFormatting sqref="D47">
    <cfRule type="duplicateValues" dxfId="40" priority="68"/>
    <cfRule type="duplicateValues" dxfId="39" priority="69"/>
  </conditionalFormatting>
  <conditionalFormatting sqref="C47">
    <cfRule type="duplicateValues" dxfId="38" priority="70"/>
  </conditionalFormatting>
  <conditionalFormatting sqref="C47">
    <cfRule type="duplicateValues" dxfId="37" priority="71"/>
    <cfRule type="duplicateValues" dxfId="36" priority="72"/>
  </conditionalFormatting>
  <conditionalFormatting sqref="D51:D53">
    <cfRule type="duplicateValues" dxfId="35" priority="1"/>
  </conditionalFormatting>
  <conditionalFormatting sqref="D51:D53">
    <cfRule type="duplicateValues" dxfId="34" priority="2"/>
  </conditionalFormatting>
  <conditionalFormatting sqref="D51:D53">
    <cfRule type="duplicateValues" dxfId="33" priority="3"/>
    <cfRule type="duplicateValues" dxfId="32" priority="4"/>
  </conditionalFormatting>
  <conditionalFormatting sqref="D51:D53">
    <cfRule type="duplicateValues" dxfId="31" priority="5"/>
  </conditionalFormatting>
  <conditionalFormatting sqref="D51:D53">
    <cfRule type="duplicateValues" dxfId="30" priority="6"/>
    <cfRule type="duplicateValues" dxfId="29" priority="7"/>
    <cfRule type="duplicateValues" dxfId="28" priority="8"/>
  </conditionalFormatting>
  <conditionalFormatting sqref="D51:D53">
    <cfRule type="duplicateValues" dxfId="27" priority="9"/>
    <cfRule type="duplicateValues" dxfId="26" priority="10"/>
    <cfRule type="duplicateValues" dxfId="25" priority="11"/>
  </conditionalFormatting>
  <conditionalFormatting sqref="D51:D53">
    <cfRule type="duplicateValues" dxfId="24" priority="12"/>
    <cfRule type="duplicateValues" dxfId="23" priority="13"/>
  </conditionalFormatting>
  <conditionalFormatting sqref="D51:D53">
    <cfRule type="duplicateValues" dxfId="22" priority="14"/>
    <cfRule type="duplicateValues" dxfId="21" priority="15"/>
  </conditionalFormatting>
  <conditionalFormatting sqref="D51:D53">
    <cfRule type="duplicateValues" dxfId="20" priority="16"/>
  </conditionalFormatting>
  <conditionalFormatting sqref="C51:C53">
    <cfRule type="duplicateValues" dxfId="19" priority="17"/>
  </conditionalFormatting>
  <conditionalFormatting sqref="C51:C53">
    <cfRule type="duplicateValues" dxfId="18" priority="18"/>
  </conditionalFormatting>
  <conditionalFormatting sqref="C51:C53">
    <cfRule type="duplicateValues" dxfId="17" priority="19"/>
  </conditionalFormatting>
  <conditionalFormatting sqref="C51:C53">
    <cfRule type="duplicateValues" dxfId="16" priority="20"/>
    <cfRule type="duplicateValues" dxfId="15" priority="21"/>
  </conditionalFormatting>
  <conditionalFormatting sqref="D51:D53">
    <cfRule type="duplicateValues" dxfId="14" priority="22"/>
    <cfRule type="duplicateValues" dxfId="13" priority="23"/>
    <cfRule type="duplicateValues" dxfId="12" priority="24"/>
    <cfRule type="duplicateValues" dxfId="11" priority="25"/>
  </conditionalFormatting>
  <conditionalFormatting sqref="D51:D53">
    <cfRule type="duplicateValues" dxfId="10" priority="26"/>
  </conditionalFormatting>
  <conditionalFormatting sqref="D51:D53">
    <cfRule type="duplicateValues" dxfId="9" priority="27"/>
    <cfRule type="duplicateValues" dxfId="8" priority="28"/>
  </conditionalFormatting>
  <conditionalFormatting sqref="D51:D53">
    <cfRule type="duplicateValues" dxfId="7" priority="29"/>
    <cfRule type="duplicateValues" dxfId="6" priority="30"/>
  </conditionalFormatting>
  <conditionalFormatting sqref="D51:D53">
    <cfRule type="duplicateValues" dxfId="5" priority="31"/>
  </conditionalFormatting>
  <conditionalFormatting sqref="D51:D53">
    <cfRule type="duplicateValues" dxfId="4" priority="32"/>
    <cfRule type="duplicateValues" dxfId="3" priority="33"/>
  </conditionalFormatting>
  <conditionalFormatting sqref="C51:C53">
    <cfRule type="duplicateValues" dxfId="2" priority="34"/>
  </conditionalFormatting>
  <conditionalFormatting sqref="C51:C53">
    <cfRule type="duplicateValues" dxfId="1" priority="35"/>
    <cfRule type="duplicateValues" dxfId="0" priority="36"/>
  </conditionalFormatting>
  <pageMargins left="0.75" right="0.75" top="1" bottom="1" header="0.5" footer="0.5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5"/>
  <sheetViews>
    <sheetView topLeftCell="A8" zoomScale="70" zoomScaleNormal="70" workbookViewId="0">
      <pane xSplit="1" ySplit="5" topLeftCell="J13" activePane="bottomRight" state="frozen"/>
      <selection activeCell="A8" sqref="A8"/>
      <selection pane="topRight" activeCell="B8" sqref="B8"/>
      <selection pane="bottomLeft" activeCell="A11" sqref="A11"/>
      <selection pane="bottomRight" activeCell="AX15" sqref="AX15"/>
    </sheetView>
  </sheetViews>
  <sheetFormatPr baseColWidth="10" defaultColWidth="10.75" defaultRowHeight="15"/>
  <cols>
    <col min="1" max="1" width="30.5" style="61" customWidth="1"/>
    <col min="2" max="2" width="29.75" style="61" hidden="1" customWidth="1"/>
    <col min="3" max="3" width="10.75" style="61" hidden="1" customWidth="1"/>
    <col min="4" max="4" width="13.625" style="61" hidden="1" customWidth="1"/>
    <col min="5" max="8" width="10.75" style="61" hidden="1" customWidth="1"/>
    <col min="9" max="9" width="21.75" style="61" hidden="1" customWidth="1"/>
    <col min="10" max="10" width="14.375" style="146" customWidth="1"/>
    <col min="11" max="11" width="55.75" style="61" customWidth="1"/>
    <col min="12" max="12" width="11.625" style="61" hidden="1" customWidth="1"/>
    <col min="13" max="13" width="55.75" style="61" hidden="1" customWidth="1"/>
    <col min="14" max="14" width="11.125" style="61" hidden="1" customWidth="1"/>
    <col min="15" max="15" width="9" style="61" customWidth="1"/>
    <col min="16" max="16" width="7.875" style="61" customWidth="1"/>
    <col min="17" max="17" width="10.25" style="61" customWidth="1"/>
    <col min="18" max="18" width="8.75" style="61" customWidth="1"/>
    <col min="19" max="19" width="8.5" style="61" customWidth="1"/>
    <col min="20" max="20" width="9.125" style="61" customWidth="1"/>
    <col min="21" max="23" width="11.875" style="61" hidden="1" customWidth="1"/>
    <col min="24" max="24" width="12.75" style="61" hidden="1" customWidth="1"/>
    <col min="25" max="25" width="9.625" style="61" hidden="1" customWidth="1"/>
    <col min="26" max="26" width="9.875" style="61" hidden="1" customWidth="1"/>
    <col min="27" max="27" width="14.25" style="61" hidden="1" customWidth="1"/>
    <col min="28" max="28" width="17.125" style="61" customWidth="1"/>
    <col min="29" max="30" width="14.25" style="61" customWidth="1"/>
    <col min="31" max="31" width="15.25" style="61" hidden="1" customWidth="1"/>
    <col min="32" max="33" width="10.75" style="61" hidden="1" customWidth="1"/>
    <col min="34" max="34" width="19.5" style="61" hidden="1" customWidth="1"/>
    <col min="35" max="35" width="13.375" style="61" hidden="1" customWidth="1"/>
    <col min="36" max="36" width="16.625" style="61" hidden="1" customWidth="1"/>
    <col min="37" max="39" width="10.75" style="61" hidden="1" customWidth="1"/>
    <col min="40" max="40" width="11.125" style="61" hidden="1" customWidth="1"/>
    <col min="41" max="43" width="10.75" style="61" hidden="1" customWidth="1"/>
    <col min="44" max="44" width="11.125" style="61" hidden="1" customWidth="1"/>
    <col min="45" max="45" width="12.375" style="61" hidden="1" customWidth="1"/>
    <col min="46" max="46" width="16.75" style="61" hidden="1" customWidth="1"/>
    <col min="47" max="47" width="21.25" style="61" hidden="1" customWidth="1"/>
    <col min="48" max="48" width="20.75" style="61" hidden="1" customWidth="1"/>
    <col min="49" max="16384" width="10.75" style="61"/>
  </cols>
  <sheetData>
    <row r="1" spans="1:51" ht="15.75">
      <c r="A1" s="59"/>
      <c r="B1" s="59"/>
      <c r="C1" s="59"/>
      <c r="D1" s="59"/>
      <c r="E1" s="59"/>
      <c r="F1" s="59"/>
      <c r="G1" s="59"/>
      <c r="H1" s="59"/>
      <c r="I1" s="59"/>
      <c r="J1" s="60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</row>
    <row r="2" spans="1:51" ht="15.75">
      <c r="A2" s="59"/>
      <c r="B2" s="59"/>
      <c r="C2" s="59"/>
      <c r="D2" s="59"/>
      <c r="E2" s="59"/>
      <c r="F2" s="59"/>
      <c r="G2" s="59"/>
      <c r="H2" s="59"/>
      <c r="I2" s="59"/>
      <c r="J2" s="60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</row>
    <row r="3" spans="1:51" ht="20.100000000000001" customHeight="1">
      <c r="A3" s="579"/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79"/>
      <c r="AE3" s="579"/>
      <c r="AF3" s="579"/>
      <c r="AG3" s="579"/>
      <c r="AH3" s="579"/>
      <c r="AI3" s="579"/>
      <c r="AJ3" s="579"/>
      <c r="AK3" s="579"/>
      <c r="AL3" s="579"/>
      <c r="AM3" s="579"/>
      <c r="AN3" s="579"/>
      <c r="AO3" s="579"/>
      <c r="AP3" s="579"/>
      <c r="AQ3" s="579"/>
      <c r="AR3" s="579"/>
      <c r="AS3" s="579"/>
      <c r="AT3" s="579"/>
      <c r="AU3" s="579"/>
      <c r="AV3" s="579"/>
    </row>
    <row r="4" spans="1:51" ht="20.100000000000001" customHeight="1">
      <c r="A4" s="579"/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579"/>
      <c r="AU4" s="579"/>
      <c r="AV4" s="579"/>
    </row>
    <row r="5" spans="1:51" ht="20.100000000000001" customHeight="1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79"/>
      <c r="AH5" s="579"/>
      <c r="AI5" s="579"/>
      <c r="AJ5" s="579"/>
      <c r="AK5" s="579"/>
      <c r="AL5" s="579"/>
      <c r="AM5" s="579"/>
      <c r="AN5" s="579"/>
      <c r="AO5" s="579"/>
      <c r="AP5" s="579"/>
      <c r="AQ5" s="579"/>
      <c r="AR5" s="579"/>
      <c r="AS5" s="579"/>
      <c r="AT5" s="579"/>
      <c r="AU5" s="579"/>
      <c r="AV5" s="579"/>
    </row>
    <row r="6" spans="1:51" ht="14.25" customHeight="1">
      <c r="A6" s="62"/>
      <c r="B6" s="62"/>
      <c r="C6" s="62"/>
      <c r="D6" s="62"/>
      <c r="E6" s="62"/>
      <c r="F6" s="62"/>
      <c r="G6" s="62"/>
      <c r="H6" s="62"/>
      <c r="I6" s="62"/>
      <c r="J6" s="63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51" ht="14.25" customHeight="1" thickBot="1">
      <c r="A7" s="64"/>
      <c r="B7" s="65"/>
      <c r="C7" s="65"/>
      <c r="D7" s="65"/>
      <c r="E7" s="65"/>
      <c r="F7" s="65"/>
      <c r="G7" s="65"/>
      <c r="H7" s="65"/>
      <c r="I7" s="65"/>
      <c r="J7" s="66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7"/>
      <c r="Y7" s="67"/>
      <c r="Z7" s="64"/>
      <c r="AA7" s="64"/>
      <c r="AB7" s="64"/>
      <c r="AC7" s="64"/>
      <c r="AD7" s="64"/>
      <c r="AE7" s="67"/>
      <c r="AF7" s="67"/>
      <c r="AG7" s="67"/>
      <c r="AH7" s="67"/>
      <c r="AI7" s="67"/>
      <c r="AJ7" s="64"/>
      <c r="AK7" s="67"/>
      <c r="AL7" s="67"/>
      <c r="AM7" s="67"/>
      <c r="AN7" s="64"/>
      <c r="AO7" s="67"/>
      <c r="AP7" s="67"/>
      <c r="AQ7" s="67"/>
      <c r="AR7" s="64"/>
      <c r="AS7" s="64"/>
      <c r="AT7" s="64"/>
      <c r="AU7" s="64"/>
    </row>
    <row r="8" spans="1:51" ht="15" hidden="1" customHeight="1" thickBot="1">
      <c r="A8" s="68"/>
      <c r="B8" s="580" t="s">
        <v>262</v>
      </c>
      <c r="C8" s="580" t="s">
        <v>263</v>
      </c>
      <c r="D8" s="580" t="s">
        <v>264</v>
      </c>
      <c r="E8" s="580" t="s">
        <v>265</v>
      </c>
      <c r="F8" s="580"/>
      <c r="G8" s="580"/>
      <c r="H8" s="580"/>
      <c r="I8" s="580" t="s">
        <v>18</v>
      </c>
      <c r="J8" s="69"/>
      <c r="K8" s="70"/>
      <c r="L8" s="580" t="s">
        <v>266</v>
      </c>
      <c r="M8" s="580" t="s">
        <v>267</v>
      </c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5" t="s">
        <v>268</v>
      </c>
      <c r="Y8" s="585"/>
      <c r="Z8" s="585"/>
      <c r="AA8" s="585"/>
      <c r="AB8" s="585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5"/>
      <c r="AQ8" s="585"/>
      <c r="AR8" s="585"/>
      <c r="AS8" s="586"/>
      <c r="AT8" s="587" t="s">
        <v>269</v>
      </c>
      <c r="AU8" s="589" t="s">
        <v>270</v>
      </c>
    </row>
    <row r="9" spans="1:51" ht="15" hidden="1" customHeight="1" thickBot="1">
      <c r="A9" s="71"/>
      <c r="B9" s="565"/>
      <c r="C9" s="565"/>
      <c r="D9" s="565"/>
      <c r="E9" s="565"/>
      <c r="F9" s="565"/>
      <c r="G9" s="565"/>
      <c r="H9" s="565"/>
      <c r="I9" s="565"/>
      <c r="J9" s="72"/>
      <c r="K9" s="73"/>
      <c r="L9" s="565"/>
      <c r="M9" s="565"/>
      <c r="N9" s="565"/>
      <c r="O9" s="581"/>
      <c r="P9" s="581"/>
      <c r="Q9" s="581"/>
      <c r="R9" s="581"/>
      <c r="S9" s="581"/>
      <c r="T9" s="581"/>
      <c r="U9" s="565"/>
      <c r="V9" s="565"/>
      <c r="W9" s="565"/>
      <c r="X9" s="572">
        <v>2020</v>
      </c>
      <c r="Y9" s="572"/>
      <c r="Z9" s="572"/>
      <c r="AA9" s="572"/>
      <c r="AB9" s="591"/>
      <c r="AC9" s="591"/>
      <c r="AD9" s="591"/>
      <c r="AE9" s="572">
        <v>2021</v>
      </c>
      <c r="AF9" s="572"/>
      <c r="AG9" s="572"/>
      <c r="AH9" s="572"/>
      <c r="AI9" s="572"/>
      <c r="AJ9" s="572"/>
      <c r="AK9" s="572">
        <v>2022</v>
      </c>
      <c r="AL9" s="572"/>
      <c r="AM9" s="572"/>
      <c r="AN9" s="572"/>
      <c r="AO9" s="572">
        <v>2023</v>
      </c>
      <c r="AP9" s="572"/>
      <c r="AQ9" s="572"/>
      <c r="AR9" s="572"/>
      <c r="AS9" s="573" t="s">
        <v>271</v>
      </c>
      <c r="AT9" s="588"/>
      <c r="AU9" s="590"/>
    </row>
    <row r="10" spans="1:51" ht="15" customHeight="1">
      <c r="A10" s="563" t="s">
        <v>17</v>
      </c>
      <c r="B10" s="565"/>
      <c r="C10" s="565"/>
      <c r="D10" s="565"/>
      <c r="E10" s="74"/>
      <c r="F10" s="74"/>
      <c r="G10" s="74"/>
      <c r="H10" s="74"/>
      <c r="I10" s="565"/>
      <c r="J10" s="564" t="s">
        <v>0</v>
      </c>
      <c r="K10" s="565" t="s">
        <v>272</v>
      </c>
      <c r="L10" s="565"/>
      <c r="M10" s="565" t="s">
        <v>273</v>
      </c>
      <c r="N10" s="75"/>
      <c r="O10" s="566" t="s">
        <v>274</v>
      </c>
      <c r="P10" s="567"/>
      <c r="Q10" s="568"/>
      <c r="R10" s="582" t="s">
        <v>275</v>
      </c>
      <c r="S10" s="580"/>
      <c r="T10" s="583"/>
      <c r="U10" s="76"/>
      <c r="V10" s="74"/>
      <c r="W10" s="74"/>
      <c r="X10" s="77"/>
      <c r="Y10" s="77"/>
      <c r="Z10" s="77"/>
      <c r="AA10" s="78"/>
      <c r="AB10" s="574" t="s">
        <v>276</v>
      </c>
      <c r="AC10" s="575"/>
      <c r="AD10" s="576"/>
      <c r="AE10" s="79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573"/>
      <c r="AT10" s="588"/>
      <c r="AU10" s="590"/>
    </row>
    <row r="11" spans="1:51" ht="15" customHeight="1" thickBot="1">
      <c r="A11" s="563"/>
      <c r="B11" s="565"/>
      <c r="C11" s="565"/>
      <c r="D11" s="565"/>
      <c r="E11" s="74"/>
      <c r="F11" s="74"/>
      <c r="G11" s="74"/>
      <c r="H11" s="74"/>
      <c r="I11" s="565"/>
      <c r="J11" s="564"/>
      <c r="K11" s="565"/>
      <c r="L11" s="565"/>
      <c r="M11" s="565"/>
      <c r="N11" s="75"/>
      <c r="O11" s="569"/>
      <c r="P11" s="570"/>
      <c r="Q11" s="571"/>
      <c r="R11" s="563" t="s">
        <v>277</v>
      </c>
      <c r="S11" s="565"/>
      <c r="T11" s="584"/>
      <c r="U11" s="76"/>
      <c r="V11" s="74"/>
      <c r="W11" s="74"/>
      <c r="X11" s="77"/>
      <c r="Y11" s="77"/>
      <c r="Z11" s="77"/>
      <c r="AA11" s="78"/>
      <c r="AB11" s="577" t="s">
        <v>277</v>
      </c>
      <c r="AC11" s="572"/>
      <c r="AD11" s="578"/>
      <c r="AE11" s="79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573"/>
      <c r="AT11" s="588"/>
      <c r="AU11" s="590"/>
    </row>
    <row r="12" spans="1:51" ht="30" customHeight="1" thickBot="1">
      <c r="A12" s="563"/>
      <c r="B12" s="565"/>
      <c r="C12" s="565"/>
      <c r="D12" s="565"/>
      <c r="E12" s="74">
        <v>2020</v>
      </c>
      <c r="F12" s="74">
        <v>2021</v>
      </c>
      <c r="G12" s="74">
        <v>2022</v>
      </c>
      <c r="H12" s="74">
        <v>2023</v>
      </c>
      <c r="I12" s="565"/>
      <c r="J12" s="564"/>
      <c r="K12" s="565"/>
      <c r="L12" s="565"/>
      <c r="M12" s="565"/>
      <c r="N12" s="75" t="s">
        <v>263</v>
      </c>
      <c r="O12" s="80" t="s">
        <v>1</v>
      </c>
      <c r="P12" s="74" t="s">
        <v>8</v>
      </c>
      <c r="Q12" s="81" t="s">
        <v>278</v>
      </c>
      <c r="R12" s="80" t="s">
        <v>1</v>
      </c>
      <c r="S12" s="74" t="s">
        <v>8</v>
      </c>
      <c r="T12" s="81" t="s">
        <v>278</v>
      </c>
      <c r="U12" s="76">
        <v>2021</v>
      </c>
      <c r="V12" s="74">
        <v>2022</v>
      </c>
      <c r="W12" s="74">
        <v>2023</v>
      </c>
      <c r="X12" s="82" t="s">
        <v>279</v>
      </c>
      <c r="Y12" s="82" t="s">
        <v>280</v>
      </c>
      <c r="Z12" s="82" t="s">
        <v>281</v>
      </c>
      <c r="AA12" s="75" t="s">
        <v>282</v>
      </c>
      <c r="AB12" s="80" t="s">
        <v>283</v>
      </c>
      <c r="AC12" s="74" t="s">
        <v>284</v>
      </c>
      <c r="AD12" s="83" t="s">
        <v>285</v>
      </c>
      <c r="AE12" s="84" t="s">
        <v>279</v>
      </c>
      <c r="AF12" s="82" t="s">
        <v>280</v>
      </c>
      <c r="AG12" s="82" t="s">
        <v>281</v>
      </c>
      <c r="AH12" s="74" t="s">
        <v>283</v>
      </c>
      <c r="AI12" s="74" t="s">
        <v>284</v>
      </c>
      <c r="AJ12" s="85" t="s">
        <v>285</v>
      </c>
      <c r="AK12" s="82" t="s">
        <v>279</v>
      </c>
      <c r="AL12" s="82" t="s">
        <v>280</v>
      </c>
      <c r="AM12" s="82" t="s">
        <v>281</v>
      </c>
      <c r="AN12" s="82" t="s">
        <v>286</v>
      </c>
      <c r="AO12" s="82" t="s">
        <v>279</v>
      </c>
      <c r="AP12" s="82" t="s">
        <v>280</v>
      </c>
      <c r="AQ12" s="82" t="s">
        <v>281</v>
      </c>
      <c r="AR12" s="82" t="s">
        <v>286</v>
      </c>
      <c r="AS12" s="573"/>
      <c r="AT12" s="588"/>
      <c r="AU12" s="590"/>
      <c r="AV12" s="86" t="s">
        <v>287</v>
      </c>
    </row>
    <row r="13" spans="1:51" ht="88.5" customHeight="1" thickBot="1">
      <c r="A13" s="559" t="s">
        <v>46</v>
      </c>
      <c r="B13" s="560" t="s">
        <v>288</v>
      </c>
      <c r="C13" s="558">
        <v>1985</v>
      </c>
      <c r="D13" s="558">
        <v>5000</v>
      </c>
      <c r="E13" s="558">
        <v>500</v>
      </c>
      <c r="F13" s="558">
        <v>1500</v>
      </c>
      <c r="G13" s="558">
        <v>3000</v>
      </c>
      <c r="H13" s="558">
        <v>5000</v>
      </c>
      <c r="I13" s="561" t="s">
        <v>45</v>
      </c>
      <c r="J13" s="562" t="s">
        <v>40</v>
      </c>
      <c r="K13" s="87" t="s">
        <v>289</v>
      </c>
      <c r="L13" s="88"/>
      <c r="M13" s="87" t="s">
        <v>27</v>
      </c>
      <c r="N13" s="89">
        <v>1000</v>
      </c>
      <c r="O13" s="90">
        <v>5000</v>
      </c>
      <c r="P13" s="91">
        <f>+S13</f>
        <v>0</v>
      </c>
      <c r="Q13" s="92">
        <f>+P13/O13</f>
        <v>0</v>
      </c>
      <c r="R13" s="93">
        <v>100</v>
      </c>
      <c r="S13" s="94">
        <v>0</v>
      </c>
      <c r="T13" s="95">
        <f>+S13/R13</f>
        <v>0</v>
      </c>
      <c r="U13" s="96">
        <v>1000</v>
      </c>
      <c r="V13" s="94">
        <v>1600</v>
      </c>
      <c r="W13" s="94">
        <v>2300</v>
      </c>
      <c r="X13" s="94">
        <v>250000</v>
      </c>
      <c r="Y13" s="94">
        <v>0</v>
      </c>
      <c r="Z13" s="94">
        <v>0</v>
      </c>
      <c r="AA13" s="97">
        <f t="shared" ref="AA13:AA24" si="0">SUM(X13:Z13)</f>
        <v>250000</v>
      </c>
      <c r="AB13" s="93">
        <f>+'[1]Resu Gastos'!F9</f>
        <v>250000</v>
      </c>
      <c r="AC13" s="94">
        <f>+'[1]Resu Gastos'!G9</f>
        <v>0</v>
      </c>
      <c r="AD13" s="98">
        <f t="shared" ref="AD13:AD23" si="1">+AC13/AB13</f>
        <v>0</v>
      </c>
      <c r="AE13" s="99">
        <v>410000</v>
      </c>
      <c r="AF13" s="94">
        <v>0</v>
      </c>
      <c r="AG13" s="94">
        <v>0</v>
      </c>
      <c r="AH13" s="94">
        <f t="shared" ref="AH13:AH24" si="2">SUM(AE13:AG13)</f>
        <v>410000</v>
      </c>
      <c r="AI13" s="94"/>
      <c r="AJ13" s="100">
        <f>+AI13/AH13</f>
        <v>0</v>
      </c>
      <c r="AK13" s="94">
        <v>430000</v>
      </c>
      <c r="AL13" s="94">
        <v>0</v>
      </c>
      <c r="AM13" s="94">
        <v>0</v>
      </c>
      <c r="AN13" s="101">
        <f t="shared" ref="AN13:AN20" si="3">SUM(AK13:AM13)</f>
        <v>430000</v>
      </c>
      <c r="AO13" s="94">
        <v>452000</v>
      </c>
      <c r="AP13" s="94">
        <v>0</v>
      </c>
      <c r="AQ13" s="94">
        <v>0</v>
      </c>
      <c r="AR13" s="101">
        <f t="shared" ref="AR13:AR20" si="4">SUM(AO13:AQ13)</f>
        <v>452000</v>
      </c>
      <c r="AS13" s="102">
        <f t="shared" ref="AS13:AS24" si="5">+AA13+AH13+AN13+AR13</f>
        <v>1542000</v>
      </c>
      <c r="AT13" s="103" t="s">
        <v>290</v>
      </c>
      <c r="AU13" s="104" t="s">
        <v>291</v>
      </c>
      <c r="AV13" s="105" t="s">
        <v>292</v>
      </c>
      <c r="AX13" s="61" t="s">
        <v>293</v>
      </c>
      <c r="AY13" s="61" t="s">
        <v>294</v>
      </c>
    </row>
    <row r="14" spans="1:51" ht="48" hidden="1" thickBot="1">
      <c r="A14" s="559"/>
      <c r="B14" s="560"/>
      <c r="C14" s="558"/>
      <c r="D14" s="558"/>
      <c r="E14" s="558"/>
      <c r="F14" s="558"/>
      <c r="G14" s="558"/>
      <c r="H14" s="558"/>
      <c r="I14" s="561"/>
      <c r="J14" s="562"/>
      <c r="K14" s="106" t="s">
        <v>295</v>
      </c>
      <c r="L14" s="107"/>
      <c r="M14" s="108" t="s">
        <v>296</v>
      </c>
      <c r="N14" s="109">
        <v>0</v>
      </c>
      <c r="O14" s="90">
        <v>1</v>
      </c>
      <c r="P14" s="91">
        <f t="shared" ref="P14:P23" si="6">+S14</f>
        <v>0</v>
      </c>
      <c r="Q14" s="92">
        <f t="shared" ref="Q14:Q24" si="7">+P14/O14</f>
        <v>0</v>
      </c>
      <c r="R14" s="93">
        <v>1</v>
      </c>
      <c r="S14" s="94"/>
      <c r="T14" s="95">
        <f t="shared" ref="T14:T23" si="8">+S14/R14</f>
        <v>0</v>
      </c>
      <c r="U14" s="99">
        <v>1</v>
      </c>
      <c r="V14" s="94">
        <v>1</v>
      </c>
      <c r="W14" s="94">
        <v>1</v>
      </c>
      <c r="X14" s="94">
        <v>3000000</v>
      </c>
      <c r="Y14" s="94">
        <v>0</v>
      </c>
      <c r="Z14" s="94">
        <v>0</v>
      </c>
      <c r="AA14" s="97">
        <f t="shared" si="0"/>
        <v>3000000</v>
      </c>
      <c r="AB14" s="93">
        <v>3000000</v>
      </c>
      <c r="AC14" s="94"/>
      <c r="AD14" s="98">
        <f t="shared" si="1"/>
        <v>0</v>
      </c>
      <c r="AE14" s="99">
        <v>11000000</v>
      </c>
      <c r="AF14" s="94">
        <v>0</v>
      </c>
      <c r="AG14" s="94">
        <v>0</v>
      </c>
      <c r="AH14" s="94">
        <f t="shared" si="2"/>
        <v>11000000</v>
      </c>
      <c r="AI14" s="94"/>
      <c r="AJ14" s="100"/>
      <c r="AK14" s="94">
        <v>6000000</v>
      </c>
      <c r="AL14" s="94">
        <v>0</v>
      </c>
      <c r="AM14" s="94">
        <v>0</v>
      </c>
      <c r="AN14" s="101">
        <f t="shared" si="3"/>
        <v>6000000</v>
      </c>
      <c r="AO14" s="94">
        <v>6000000</v>
      </c>
      <c r="AP14" s="94">
        <v>0</v>
      </c>
      <c r="AQ14" s="94">
        <v>0</v>
      </c>
      <c r="AR14" s="101">
        <f t="shared" si="4"/>
        <v>6000000</v>
      </c>
      <c r="AS14" s="102">
        <f t="shared" si="5"/>
        <v>26000000</v>
      </c>
      <c r="AT14" s="110" t="s">
        <v>297</v>
      </c>
      <c r="AU14" s="111" t="s">
        <v>291</v>
      </c>
      <c r="AV14" s="112" t="s">
        <v>292</v>
      </c>
    </row>
    <row r="15" spans="1:51" ht="45" customHeight="1">
      <c r="A15" s="559"/>
      <c r="B15" s="560"/>
      <c r="C15" s="558"/>
      <c r="D15" s="558"/>
      <c r="E15" s="558"/>
      <c r="F15" s="558"/>
      <c r="G15" s="558"/>
      <c r="H15" s="558"/>
      <c r="I15" s="561"/>
      <c r="J15" s="562" t="s">
        <v>41</v>
      </c>
      <c r="K15" s="87" t="s">
        <v>298</v>
      </c>
      <c r="L15" s="88"/>
      <c r="M15" s="87" t="s">
        <v>299</v>
      </c>
      <c r="N15" s="89">
        <v>1</v>
      </c>
      <c r="O15" s="90">
        <v>1</v>
      </c>
      <c r="P15" s="91">
        <f t="shared" si="6"/>
        <v>3</v>
      </c>
      <c r="Q15" s="92">
        <v>1</v>
      </c>
      <c r="R15" s="93">
        <v>1</v>
      </c>
      <c r="S15" s="94">
        <v>3</v>
      </c>
      <c r="T15" s="95">
        <v>1</v>
      </c>
      <c r="U15" s="99">
        <v>1</v>
      </c>
      <c r="V15" s="94">
        <v>1</v>
      </c>
      <c r="W15" s="94">
        <v>1</v>
      </c>
      <c r="X15" s="94">
        <v>131500</v>
      </c>
      <c r="Y15" s="94">
        <v>0</v>
      </c>
      <c r="Z15" s="94">
        <v>0</v>
      </c>
      <c r="AA15" s="97">
        <f t="shared" si="0"/>
        <v>131500</v>
      </c>
      <c r="AB15" s="93">
        <f>(207449395/1000)+(15000000/1000)</f>
        <v>222449.39499999999</v>
      </c>
      <c r="AC15" s="94">
        <f>207449395/1000</f>
        <v>207449.39499999999</v>
      </c>
      <c r="AD15" s="98">
        <f>+AC15/AB15</f>
        <v>0.93256893326232693</v>
      </c>
      <c r="AE15" s="99">
        <v>150000</v>
      </c>
      <c r="AF15" s="94">
        <v>0</v>
      </c>
      <c r="AG15" s="94">
        <v>0</v>
      </c>
      <c r="AH15" s="94">
        <f t="shared" si="2"/>
        <v>150000</v>
      </c>
      <c r="AI15" s="94"/>
      <c r="AJ15" s="100"/>
      <c r="AK15" s="94">
        <v>300000</v>
      </c>
      <c r="AL15" s="94">
        <v>0</v>
      </c>
      <c r="AM15" s="94">
        <v>0</v>
      </c>
      <c r="AN15" s="101">
        <f t="shared" si="3"/>
        <v>300000</v>
      </c>
      <c r="AO15" s="94">
        <v>320000</v>
      </c>
      <c r="AP15" s="94">
        <v>0</v>
      </c>
      <c r="AQ15" s="94">
        <v>0</v>
      </c>
      <c r="AR15" s="101">
        <f t="shared" si="4"/>
        <v>320000</v>
      </c>
      <c r="AS15" s="102">
        <f t="shared" si="5"/>
        <v>901500</v>
      </c>
      <c r="AT15" s="103" t="s">
        <v>300</v>
      </c>
      <c r="AU15" s="104" t="s">
        <v>291</v>
      </c>
      <c r="AV15" s="105" t="s">
        <v>292</v>
      </c>
      <c r="AX15" s="61" t="s">
        <v>301</v>
      </c>
      <c r="AY15" s="61" t="s">
        <v>302</v>
      </c>
    </row>
    <row r="16" spans="1:51" ht="30">
      <c r="A16" s="559"/>
      <c r="B16" s="560"/>
      <c r="C16" s="558"/>
      <c r="D16" s="558"/>
      <c r="E16" s="558"/>
      <c r="F16" s="558"/>
      <c r="G16" s="558"/>
      <c r="H16" s="558"/>
      <c r="I16" s="561"/>
      <c r="J16" s="562"/>
      <c r="K16" s="87" t="s">
        <v>303</v>
      </c>
      <c r="L16" s="88"/>
      <c r="M16" s="87" t="s">
        <v>28</v>
      </c>
      <c r="N16" s="113">
        <v>0</v>
      </c>
      <c r="O16" s="114">
        <v>1</v>
      </c>
      <c r="P16" s="91">
        <f t="shared" si="6"/>
        <v>0</v>
      </c>
      <c r="Q16" s="92">
        <f t="shared" si="7"/>
        <v>0</v>
      </c>
      <c r="R16" s="115">
        <v>0.1</v>
      </c>
      <c r="S16" s="116">
        <v>0</v>
      </c>
      <c r="T16" s="95">
        <f>+S16/R16</f>
        <v>0</v>
      </c>
      <c r="U16" s="117">
        <v>0.25</v>
      </c>
      <c r="V16" s="116">
        <v>0.35</v>
      </c>
      <c r="W16" s="116">
        <v>0.3</v>
      </c>
      <c r="X16" s="94">
        <v>255000</v>
      </c>
      <c r="Y16" s="94">
        <v>0</v>
      </c>
      <c r="Z16" s="94">
        <v>0</v>
      </c>
      <c r="AA16" s="97">
        <f t="shared" si="0"/>
        <v>255000</v>
      </c>
      <c r="AB16" s="93">
        <v>250000</v>
      </c>
      <c r="AC16" s="94">
        <v>0</v>
      </c>
      <c r="AD16" s="98">
        <f t="shared" si="1"/>
        <v>0</v>
      </c>
      <c r="AE16" s="99">
        <v>200000</v>
      </c>
      <c r="AF16" s="94">
        <v>0</v>
      </c>
      <c r="AG16" s="94">
        <v>0</v>
      </c>
      <c r="AH16" s="94">
        <f t="shared" si="2"/>
        <v>200000</v>
      </c>
      <c r="AI16" s="94"/>
      <c r="AJ16" s="100"/>
      <c r="AK16" s="94">
        <v>850000</v>
      </c>
      <c r="AL16" s="94">
        <v>0</v>
      </c>
      <c r="AM16" s="94">
        <v>0</v>
      </c>
      <c r="AN16" s="101">
        <f t="shared" si="3"/>
        <v>850000</v>
      </c>
      <c r="AO16" s="94">
        <v>750000</v>
      </c>
      <c r="AP16" s="94">
        <v>0</v>
      </c>
      <c r="AQ16" s="94">
        <v>0</v>
      </c>
      <c r="AR16" s="101">
        <f t="shared" si="4"/>
        <v>750000</v>
      </c>
      <c r="AS16" s="102">
        <f t="shared" si="5"/>
        <v>2055000</v>
      </c>
      <c r="AT16" s="118" t="s">
        <v>300</v>
      </c>
      <c r="AU16" s="119" t="s">
        <v>291</v>
      </c>
      <c r="AV16" s="120" t="s">
        <v>292</v>
      </c>
    </row>
    <row r="17" spans="1:50" ht="75">
      <c r="A17" s="559"/>
      <c r="B17" s="560"/>
      <c r="C17" s="558"/>
      <c r="D17" s="558"/>
      <c r="E17" s="558"/>
      <c r="F17" s="558"/>
      <c r="G17" s="558"/>
      <c r="H17" s="558"/>
      <c r="I17" s="561"/>
      <c r="J17" s="562"/>
      <c r="K17" s="87" t="s">
        <v>304</v>
      </c>
      <c r="L17" s="88"/>
      <c r="M17" s="87" t="s">
        <v>29</v>
      </c>
      <c r="N17" s="89">
        <v>1503</v>
      </c>
      <c r="O17" s="90">
        <v>7000</v>
      </c>
      <c r="P17" s="91">
        <f t="shared" si="6"/>
        <v>662</v>
      </c>
      <c r="Q17" s="92">
        <f t="shared" si="7"/>
        <v>9.457142857142857E-2</v>
      </c>
      <c r="R17" s="93">
        <v>800</v>
      </c>
      <c r="S17" s="94">
        <v>662</v>
      </c>
      <c r="T17" s="95">
        <f t="shared" si="8"/>
        <v>0.82750000000000001</v>
      </c>
      <c r="U17" s="99">
        <v>1200</v>
      </c>
      <c r="V17" s="94">
        <v>2600</v>
      </c>
      <c r="W17" s="94">
        <v>2400</v>
      </c>
      <c r="X17" s="94">
        <v>65750</v>
      </c>
      <c r="Y17" s="94">
        <v>0</v>
      </c>
      <c r="Z17" s="94">
        <v>0</v>
      </c>
      <c r="AA17" s="97">
        <f t="shared" si="0"/>
        <v>65750</v>
      </c>
      <c r="AB17" s="93">
        <f>+(('[1]Resu Gastos'!B7/1000)-AB16-AB15)/2</f>
        <v>305836.973</v>
      </c>
      <c r="AC17" s="94">
        <f>+(('[1]Resu Gastos'!C7/1000)-AC15-AC16)/2</f>
        <v>108671.8655</v>
      </c>
      <c r="AD17" s="98">
        <f t="shared" si="1"/>
        <v>0.35532612173741335</v>
      </c>
      <c r="AE17" s="99">
        <v>258000</v>
      </c>
      <c r="AF17" s="94">
        <v>0</v>
      </c>
      <c r="AG17" s="94">
        <v>0</v>
      </c>
      <c r="AH17" s="94">
        <f t="shared" si="2"/>
        <v>258000</v>
      </c>
      <c r="AI17" s="94"/>
      <c r="AJ17" s="100"/>
      <c r="AK17" s="94">
        <v>950000</v>
      </c>
      <c r="AL17" s="94">
        <v>0</v>
      </c>
      <c r="AM17" s="94">
        <v>0</v>
      </c>
      <c r="AN17" s="101">
        <f t="shared" si="3"/>
        <v>950000</v>
      </c>
      <c r="AO17" s="94">
        <v>904500</v>
      </c>
      <c r="AP17" s="94">
        <v>0</v>
      </c>
      <c r="AQ17" s="94">
        <v>0</v>
      </c>
      <c r="AR17" s="101">
        <f t="shared" si="4"/>
        <v>904500</v>
      </c>
      <c r="AS17" s="102">
        <f t="shared" si="5"/>
        <v>2178250</v>
      </c>
      <c r="AT17" s="118" t="s">
        <v>305</v>
      </c>
      <c r="AU17" s="119" t="s">
        <v>291</v>
      </c>
      <c r="AV17" s="120" t="s">
        <v>292</v>
      </c>
      <c r="AX17" s="61" t="s">
        <v>306</v>
      </c>
    </row>
    <row r="18" spans="1:50" ht="45" customHeight="1" thickBot="1">
      <c r="A18" s="559"/>
      <c r="B18" s="561" t="s">
        <v>307</v>
      </c>
      <c r="C18" s="557">
        <v>1503</v>
      </c>
      <c r="D18" s="557">
        <v>2000</v>
      </c>
      <c r="E18" s="557">
        <v>200</v>
      </c>
      <c r="F18" s="557">
        <v>700</v>
      </c>
      <c r="G18" s="557">
        <v>1300</v>
      </c>
      <c r="H18" s="557">
        <v>2000</v>
      </c>
      <c r="I18" s="561"/>
      <c r="J18" s="562"/>
      <c r="K18" s="87" t="s">
        <v>308</v>
      </c>
      <c r="L18" s="88"/>
      <c r="M18" s="87" t="s">
        <v>30</v>
      </c>
      <c r="N18" s="89">
        <v>862</v>
      </c>
      <c r="O18" s="90">
        <v>4000</v>
      </c>
      <c r="P18" s="91">
        <f t="shared" si="6"/>
        <v>130</v>
      </c>
      <c r="Q18" s="92">
        <f t="shared" si="7"/>
        <v>3.2500000000000001E-2</v>
      </c>
      <c r="R18" s="93">
        <v>300</v>
      </c>
      <c r="S18" s="94">
        <v>130</v>
      </c>
      <c r="T18" s="95">
        <f t="shared" si="8"/>
        <v>0.43333333333333335</v>
      </c>
      <c r="U18" s="99">
        <v>500</v>
      </c>
      <c r="V18" s="94">
        <v>1600</v>
      </c>
      <c r="W18" s="94">
        <v>1600</v>
      </c>
      <c r="X18" s="94">
        <v>65750</v>
      </c>
      <c r="Y18" s="94">
        <v>0</v>
      </c>
      <c r="Z18" s="94">
        <v>0</v>
      </c>
      <c r="AA18" s="97">
        <f t="shared" si="0"/>
        <v>65750</v>
      </c>
      <c r="AB18" s="93">
        <v>305836.973</v>
      </c>
      <c r="AC18" s="94">
        <v>108671.8655</v>
      </c>
      <c r="AD18" s="98">
        <f t="shared" si="1"/>
        <v>0.35532612173741335</v>
      </c>
      <c r="AE18" s="99">
        <v>258000</v>
      </c>
      <c r="AF18" s="94">
        <v>0</v>
      </c>
      <c r="AG18" s="94">
        <v>0</v>
      </c>
      <c r="AH18" s="94">
        <f t="shared" si="2"/>
        <v>258000</v>
      </c>
      <c r="AI18" s="94"/>
      <c r="AJ18" s="100"/>
      <c r="AK18" s="94">
        <v>950000</v>
      </c>
      <c r="AL18" s="94">
        <v>0</v>
      </c>
      <c r="AM18" s="94">
        <v>0</v>
      </c>
      <c r="AN18" s="101">
        <f t="shared" si="3"/>
        <v>950000</v>
      </c>
      <c r="AO18" s="94">
        <v>904500</v>
      </c>
      <c r="AP18" s="94">
        <v>0</v>
      </c>
      <c r="AQ18" s="94">
        <v>0</v>
      </c>
      <c r="AR18" s="101">
        <f t="shared" si="4"/>
        <v>904500</v>
      </c>
      <c r="AS18" s="102">
        <f t="shared" si="5"/>
        <v>2178250</v>
      </c>
      <c r="AT18" s="121" t="s">
        <v>309</v>
      </c>
      <c r="AU18" s="122" t="s">
        <v>291</v>
      </c>
      <c r="AV18" s="123" t="s">
        <v>292</v>
      </c>
    </row>
    <row r="19" spans="1:50" ht="60">
      <c r="A19" s="559"/>
      <c r="B19" s="561"/>
      <c r="C19" s="557"/>
      <c r="D19" s="557">
        <v>2000</v>
      </c>
      <c r="E19" s="557">
        <v>200</v>
      </c>
      <c r="F19" s="557">
        <v>700</v>
      </c>
      <c r="G19" s="557">
        <v>1300</v>
      </c>
      <c r="H19" s="557">
        <v>2000</v>
      </c>
      <c r="I19" s="561"/>
      <c r="J19" s="562" t="s">
        <v>42</v>
      </c>
      <c r="K19" s="87" t="s">
        <v>310</v>
      </c>
      <c r="L19" s="88"/>
      <c r="M19" s="87" t="s">
        <v>31</v>
      </c>
      <c r="N19" s="89">
        <v>0</v>
      </c>
      <c r="O19" s="90">
        <v>4000</v>
      </c>
      <c r="P19" s="91">
        <f t="shared" si="6"/>
        <v>0</v>
      </c>
      <c r="Q19" s="92">
        <f t="shared" si="7"/>
        <v>0</v>
      </c>
      <c r="R19" s="93">
        <v>200</v>
      </c>
      <c r="S19" s="94">
        <v>0</v>
      </c>
      <c r="T19" s="95">
        <f t="shared" si="8"/>
        <v>0</v>
      </c>
      <c r="U19" s="99">
        <v>600</v>
      </c>
      <c r="V19" s="94">
        <v>1600</v>
      </c>
      <c r="W19" s="94">
        <v>1600</v>
      </c>
      <c r="X19" s="94">
        <v>250000</v>
      </c>
      <c r="Y19" s="94">
        <v>0</v>
      </c>
      <c r="Z19" s="94">
        <v>0</v>
      </c>
      <c r="AA19" s="97">
        <f t="shared" si="0"/>
        <v>250000</v>
      </c>
      <c r="AB19" s="93">
        <v>0</v>
      </c>
      <c r="AC19" s="94">
        <v>0</v>
      </c>
      <c r="AD19" s="98">
        <v>0</v>
      </c>
      <c r="AE19" s="99">
        <v>5000</v>
      </c>
      <c r="AF19" s="94">
        <v>0</v>
      </c>
      <c r="AG19" s="94">
        <v>0</v>
      </c>
      <c r="AH19" s="94">
        <f t="shared" si="2"/>
        <v>5000</v>
      </c>
      <c r="AI19" s="94"/>
      <c r="AJ19" s="100"/>
      <c r="AK19" s="94">
        <v>5000</v>
      </c>
      <c r="AL19" s="94">
        <v>0</v>
      </c>
      <c r="AM19" s="94">
        <v>0</v>
      </c>
      <c r="AN19" s="101">
        <f t="shared" si="3"/>
        <v>5000</v>
      </c>
      <c r="AO19" s="94">
        <v>5000</v>
      </c>
      <c r="AP19" s="94">
        <v>0</v>
      </c>
      <c r="AQ19" s="94">
        <v>0</v>
      </c>
      <c r="AR19" s="101">
        <f t="shared" si="4"/>
        <v>5000</v>
      </c>
      <c r="AS19" s="102">
        <f t="shared" si="5"/>
        <v>265000</v>
      </c>
      <c r="AT19" s="103" t="s">
        <v>305</v>
      </c>
      <c r="AU19" s="104" t="s">
        <v>291</v>
      </c>
      <c r="AV19" s="105" t="s">
        <v>292</v>
      </c>
    </row>
    <row r="20" spans="1:50" ht="60.75" thickBot="1">
      <c r="A20" s="559"/>
      <c r="B20" s="561"/>
      <c r="C20" s="557"/>
      <c r="D20" s="557">
        <v>2000</v>
      </c>
      <c r="E20" s="557">
        <v>200</v>
      </c>
      <c r="F20" s="557">
        <v>700</v>
      </c>
      <c r="G20" s="557">
        <v>1300</v>
      </c>
      <c r="H20" s="557">
        <v>2000</v>
      </c>
      <c r="I20" s="561"/>
      <c r="J20" s="562"/>
      <c r="K20" s="87" t="s">
        <v>311</v>
      </c>
      <c r="L20" s="88"/>
      <c r="M20" s="87" t="s">
        <v>32</v>
      </c>
      <c r="N20" s="89">
        <v>5349</v>
      </c>
      <c r="O20" s="90">
        <v>6000</v>
      </c>
      <c r="P20" s="91">
        <f t="shared" si="6"/>
        <v>1434</v>
      </c>
      <c r="Q20" s="92">
        <f t="shared" si="7"/>
        <v>0.23899999999999999</v>
      </c>
      <c r="R20" s="93">
        <v>1200</v>
      </c>
      <c r="S20" s="94">
        <v>1434</v>
      </c>
      <c r="T20" s="95">
        <v>1</v>
      </c>
      <c r="U20" s="99">
        <v>1600</v>
      </c>
      <c r="V20" s="94">
        <v>1600</v>
      </c>
      <c r="W20" s="94">
        <v>1600</v>
      </c>
      <c r="X20" s="94">
        <v>250000</v>
      </c>
      <c r="Y20" s="94">
        <v>0</v>
      </c>
      <c r="Z20" s="94">
        <v>0</v>
      </c>
      <c r="AA20" s="97">
        <f t="shared" si="0"/>
        <v>250000</v>
      </c>
      <c r="AB20" s="93">
        <f>+('[1]Resu Gastos'!B10)/1000</f>
        <v>1529106.3977099999</v>
      </c>
      <c r="AC20" s="94">
        <f>+('[1]Resu Gastos'!C10)/1000</f>
        <v>510500</v>
      </c>
      <c r="AD20" s="98">
        <f>+AC20/AB20</f>
        <v>0.33385512006524087</v>
      </c>
      <c r="AE20" s="99">
        <v>5000</v>
      </c>
      <c r="AF20" s="94">
        <v>0</v>
      </c>
      <c r="AG20" s="94">
        <v>0</v>
      </c>
      <c r="AH20" s="94">
        <f t="shared" si="2"/>
        <v>5000</v>
      </c>
      <c r="AI20" s="94"/>
      <c r="AJ20" s="100"/>
      <c r="AK20" s="94">
        <v>5000</v>
      </c>
      <c r="AL20" s="94">
        <v>0</v>
      </c>
      <c r="AM20" s="94">
        <v>0</v>
      </c>
      <c r="AN20" s="101">
        <f t="shared" si="3"/>
        <v>5000</v>
      </c>
      <c r="AO20" s="94">
        <v>5000</v>
      </c>
      <c r="AP20" s="94">
        <v>0</v>
      </c>
      <c r="AQ20" s="94">
        <v>0</v>
      </c>
      <c r="AR20" s="101">
        <f t="shared" si="4"/>
        <v>5000</v>
      </c>
      <c r="AS20" s="102">
        <f t="shared" si="5"/>
        <v>265000</v>
      </c>
      <c r="AT20" s="121" t="s">
        <v>305</v>
      </c>
      <c r="AU20" s="122" t="s">
        <v>291</v>
      </c>
      <c r="AV20" s="123" t="s">
        <v>292</v>
      </c>
    </row>
    <row r="21" spans="1:50" ht="45">
      <c r="A21" s="559"/>
      <c r="B21" s="561"/>
      <c r="C21" s="557"/>
      <c r="D21" s="557">
        <v>2000</v>
      </c>
      <c r="E21" s="557">
        <v>200</v>
      </c>
      <c r="F21" s="557">
        <v>700</v>
      </c>
      <c r="G21" s="557">
        <v>1300</v>
      </c>
      <c r="H21" s="557">
        <v>2000</v>
      </c>
      <c r="I21" s="561" t="s">
        <v>44</v>
      </c>
      <c r="J21" s="562" t="s">
        <v>43</v>
      </c>
      <c r="K21" s="87" t="s">
        <v>312</v>
      </c>
      <c r="L21" s="88"/>
      <c r="M21" s="87" t="s">
        <v>33</v>
      </c>
      <c r="N21" s="89">
        <v>4159</v>
      </c>
      <c r="O21" s="90">
        <v>5000</v>
      </c>
      <c r="P21" s="91">
        <f t="shared" si="6"/>
        <v>1358</v>
      </c>
      <c r="Q21" s="92">
        <f t="shared" si="7"/>
        <v>0.27160000000000001</v>
      </c>
      <c r="R21" s="93">
        <v>1000</v>
      </c>
      <c r="S21" s="94">
        <v>1358</v>
      </c>
      <c r="T21" s="95">
        <v>1</v>
      </c>
      <c r="U21" s="99">
        <v>1200</v>
      </c>
      <c r="V21" s="94">
        <v>1300</v>
      </c>
      <c r="W21" s="94">
        <v>1500</v>
      </c>
      <c r="X21" s="94">
        <v>27000</v>
      </c>
      <c r="Y21" s="94">
        <v>0</v>
      </c>
      <c r="Z21" s="94">
        <v>0</v>
      </c>
      <c r="AA21" s="97">
        <f t="shared" si="0"/>
        <v>27000</v>
      </c>
      <c r="AB21" s="93">
        <f>+'[1]Resu Gastos'!$F$8</f>
        <v>91076.666666666672</v>
      </c>
      <c r="AC21" s="94">
        <f>+'[1]Resu Gastos'!$G$8</f>
        <v>58466.666333333334</v>
      </c>
      <c r="AD21" s="98">
        <f t="shared" si="1"/>
        <v>0.64195000182996009</v>
      </c>
      <c r="AE21" s="99">
        <v>28000</v>
      </c>
      <c r="AF21" s="94">
        <v>0</v>
      </c>
      <c r="AG21" s="94">
        <v>0</v>
      </c>
      <c r="AH21" s="94">
        <f t="shared" si="2"/>
        <v>28000</v>
      </c>
      <c r="AI21" s="94"/>
      <c r="AJ21" s="100"/>
      <c r="AK21" s="94">
        <v>29000</v>
      </c>
      <c r="AL21" s="94">
        <v>0</v>
      </c>
      <c r="AM21" s="94">
        <v>0</v>
      </c>
      <c r="AN21" s="101">
        <f>SUM(AK21:AM21)</f>
        <v>29000</v>
      </c>
      <c r="AO21" s="94">
        <v>31000</v>
      </c>
      <c r="AP21" s="94">
        <v>0</v>
      </c>
      <c r="AQ21" s="94">
        <v>0</v>
      </c>
      <c r="AR21" s="101">
        <f>SUM(AO21:AQ21)</f>
        <v>31000</v>
      </c>
      <c r="AS21" s="102">
        <f t="shared" si="5"/>
        <v>115000</v>
      </c>
      <c r="AT21" s="124" t="s">
        <v>305</v>
      </c>
      <c r="AU21" s="125" t="s">
        <v>313</v>
      </c>
      <c r="AV21" s="126" t="s">
        <v>292</v>
      </c>
    </row>
    <row r="22" spans="1:50" ht="45" customHeight="1">
      <c r="A22" s="559"/>
      <c r="B22" s="557" t="s">
        <v>314</v>
      </c>
      <c r="C22" s="558">
        <v>11</v>
      </c>
      <c r="D22" s="558">
        <v>4</v>
      </c>
      <c r="E22" s="558">
        <v>9</v>
      </c>
      <c r="F22" s="558">
        <v>7</v>
      </c>
      <c r="G22" s="558">
        <v>5</v>
      </c>
      <c r="H22" s="558">
        <v>4</v>
      </c>
      <c r="I22" s="561"/>
      <c r="J22" s="562"/>
      <c r="K22" s="87" t="s">
        <v>315</v>
      </c>
      <c r="L22" s="88"/>
      <c r="M22" s="87" t="s">
        <v>34</v>
      </c>
      <c r="N22" s="89">
        <v>1643</v>
      </c>
      <c r="O22" s="90">
        <v>3000</v>
      </c>
      <c r="P22" s="127">
        <f t="shared" si="6"/>
        <v>130</v>
      </c>
      <c r="Q22" s="128">
        <f t="shared" si="7"/>
        <v>4.3333333333333335E-2</v>
      </c>
      <c r="R22" s="93">
        <v>600</v>
      </c>
      <c r="S22" s="94">
        <v>130</v>
      </c>
      <c r="T22" s="95">
        <f t="shared" si="8"/>
        <v>0.21666666666666667</v>
      </c>
      <c r="U22" s="99">
        <v>700</v>
      </c>
      <c r="V22" s="94">
        <v>800</v>
      </c>
      <c r="W22" s="94">
        <v>900</v>
      </c>
      <c r="X22" s="94">
        <v>35000</v>
      </c>
      <c r="Y22" s="94">
        <v>0</v>
      </c>
      <c r="Z22" s="94">
        <v>0</v>
      </c>
      <c r="AA22" s="97">
        <f t="shared" si="0"/>
        <v>35000</v>
      </c>
      <c r="AB22" s="93">
        <f>+'[1]Resu Gastos'!$F$8</f>
        <v>91076.666666666672</v>
      </c>
      <c r="AC22" s="94">
        <f>+'[1]Resu Gastos'!$G$8</f>
        <v>58466.666333333334</v>
      </c>
      <c r="AD22" s="98">
        <f t="shared" si="1"/>
        <v>0.64195000182996009</v>
      </c>
      <c r="AE22" s="99">
        <v>36000</v>
      </c>
      <c r="AF22" s="94">
        <v>0</v>
      </c>
      <c r="AG22" s="94">
        <v>0</v>
      </c>
      <c r="AH22" s="94">
        <f t="shared" si="2"/>
        <v>36000</v>
      </c>
      <c r="AI22" s="94"/>
      <c r="AJ22" s="100"/>
      <c r="AK22" s="94">
        <v>37000</v>
      </c>
      <c r="AL22" s="94">
        <v>0</v>
      </c>
      <c r="AM22" s="94">
        <v>0</v>
      </c>
      <c r="AN22" s="101">
        <f>SUM(AK22:AM22)</f>
        <v>37000</v>
      </c>
      <c r="AO22" s="94">
        <v>39000</v>
      </c>
      <c r="AP22" s="94">
        <v>0</v>
      </c>
      <c r="AQ22" s="94">
        <v>0</v>
      </c>
      <c r="AR22" s="101">
        <f>SUM(AO22:AQ22)</f>
        <v>39000</v>
      </c>
      <c r="AS22" s="102">
        <f t="shared" si="5"/>
        <v>147000</v>
      </c>
      <c r="AT22" s="118" t="s">
        <v>305</v>
      </c>
      <c r="AU22" s="119" t="s">
        <v>313</v>
      </c>
      <c r="AV22" s="120" t="s">
        <v>292</v>
      </c>
    </row>
    <row r="23" spans="1:50" ht="45.75" thickBot="1">
      <c r="A23" s="559"/>
      <c r="B23" s="557" t="s">
        <v>314</v>
      </c>
      <c r="C23" s="558">
        <v>11</v>
      </c>
      <c r="D23" s="558">
        <v>4</v>
      </c>
      <c r="E23" s="558">
        <v>9</v>
      </c>
      <c r="F23" s="558">
        <v>7</v>
      </c>
      <c r="G23" s="558">
        <v>5</v>
      </c>
      <c r="H23" s="558"/>
      <c r="I23" s="561"/>
      <c r="J23" s="562"/>
      <c r="K23" s="87" t="s">
        <v>316</v>
      </c>
      <c r="L23" s="88"/>
      <c r="M23" s="87" t="s">
        <v>35</v>
      </c>
      <c r="N23" s="89">
        <v>1173</v>
      </c>
      <c r="O23" s="90">
        <v>1500</v>
      </c>
      <c r="P23" s="127">
        <f t="shared" si="6"/>
        <v>299</v>
      </c>
      <c r="Q23" s="128">
        <f t="shared" si="7"/>
        <v>0.19933333333333333</v>
      </c>
      <c r="R23" s="93">
        <v>330</v>
      </c>
      <c r="S23" s="94">
        <v>299</v>
      </c>
      <c r="T23" s="95">
        <f t="shared" si="8"/>
        <v>0.90606060606060601</v>
      </c>
      <c r="U23" s="99">
        <v>370</v>
      </c>
      <c r="V23" s="94">
        <v>390</v>
      </c>
      <c r="W23" s="94">
        <v>410</v>
      </c>
      <c r="X23" s="94">
        <v>88000</v>
      </c>
      <c r="Y23" s="94">
        <v>0</v>
      </c>
      <c r="Z23" s="94">
        <v>0</v>
      </c>
      <c r="AA23" s="97">
        <f t="shared" si="0"/>
        <v>88000</v>
      </c>
      <c r="AB23" s="93">
        <f>+'[1]Resu Gastos'!$F$8</f>
        <v>91076.666666666672</v>
      </c>
      <c r="AC23" s="94">
        <f>+'[1]Resu Gastos'!$G$8</f>
        <v>58466.666333333334</v>
      </c>
      <c r="AD23" s="98">
        <f t="shared" si="1"/>
        <v>0.64195000182996009</v>
      </c>
      <c r="AE23" s="99">
        <v>91000</v>
      </c>
      <c r="AF23" s="94">
        <v>0</v>
      </c>
      <c r="AG23" s="94">
        <v>0</v>
      </c>
      <c r="AH23" s="94">
        <f t="shared" si="2"/>
        <v>91000</v>
      </c>
      <c r="AI23" s="94"/>
      <c r="AJ23" s="100"/>
      <c r="AK23" s="94">
        <v>94000</v>
      </c>
      <c r="AL23" s="94">
        <v>0</v>
      </c>
      <c r="AM23" s="94">
        <v>0</v>
      </c>
      <c r="AN23" s="101">
        <f>SUM(AK23:AM23)</f>
        <v>94000</v>
      </c>
      <c r="AO23" s="94">
        <v>100000</v>
      </c>
      <c r="AP23" s="94">
        <v>0</v>
      </c>
      <c r="AQ23" s="94">
        <v>0</v>
      </c>
      <c r="AR23" s="101">
        <f>SUM(AO23:AQ23)</f>
        <v>100000</v>
      </c>
      <c r="AS23" s="102">
        <f t="shared" si="5"/>
        <v>373000</v>
      </c>
      <c r="AT23" s="121" t="s">
        <v>317</v>
      </c>
      <c r="AU23" s="122" t="s">
        <v>313</v>
      </c>
      <c r="AV23" s="123" t="s">
        <v>292</v>
      </c>
    </row>
    <row r="24" spans="1:50" ht="75.75" thickBot="1">
      <c r="A24" s="129" t="s">
        <v>39</v>
      </c>
      <c r="B24" s="130" t="s">
        <v>318</v>
      </c>
      <c r="C24" s="131">
        <v>97</v>
      </c>
      <c r="D24" s="131">
        <v>98</v>
      </c>
      <c r="E24" s="131">
        <v>97</v>
      </c>
      <c r="F24" s="131">
        <v>97.3</v>
      </c>
      <c r="G24" s="131">
        <v>97.6</v>
      </c>
      <c r="H24" s="131">
        <v>98</v>
      </c>
      <c r="I24" s="132" t="s">
        <v>38</v>
      </c>
      <c r="J24" s="133" t="s">
        <v>37</v>
      </c>
      <c r="K24" s="87" t="s">
        <v>319</v>
      </c>
      <c r="L24" s="88"/>
      <c r="M24" s="87" t="s">
        <v>36</v>
      </c>
      <c r="N24" s="113">
        <v>0.78</v>
      </c>
      <c r="O24" s="114">
        <v>1</v>
      </c>
      <c r="P24" s="100">
        <v>0.1875</v>
      </c>
      <c r="Q24" s="92">
        <f t="shared" si="7"/>
        <v>0.1875</v>
      </c>
      <c r="R24" s="115">
        <v>1</v>
      </c>
      <c r="S24" s="116">
        <v>0.75</v>
      </c>
      <c r="T24" s="95">
        <f>+S24/R24</f>
        <v>0.75</v>
      </c>
      <c r="U24" s="117">
        <v>1</v>
      </c>
      <c r="V24" s="116">
        <v>1</v>
      </c>
      <c r="W24" s="116">
        <v>1</v>
      </c>
      <c r="X24" s="94">
        <v>2582000</v>
      </c>
      <c r="Y24" s="94">
        <v>0</v>
      </c>
      <c r="Z24" s="94">
        <v>0</v>
      </c>
      <c r="AA24" s="97">
        <f t="shared" si="0"/>
        <v>2582000</v>
      </c>
      <c r="AB24" s="93">
        <f>+'[1]Resu Gastos'!F4</f>
        <v>2347639.2689999999</v>
      </c>
      <c r="AC24" s="94">
        <f>+'[1]Resu Gastos'!G4</f>
        <v>1494960.9180000001</v>
      </c>
      <c r="AD24" s="98">
        <f>+AC24/AB24</f>
        <v>0.63679328325292217</v>
      </c>
      <c r="AE24" s="96">
        <v>2559000</v>
      </c>
      <c r="AF24" s="94">
        <v>0</v>
      </c>
      <c r="AG24" s="94">
        <v>0</v>
      </c>
      <c r="AH24" s="94">
        <f t="shared" si="2"/>
        <v>2559000</v>
      </c>
      <c r="AI24" s="94"/>
      <c r="AJ24" s="100"/>
      <c r="AK24" s="94">
        <v>2846655</v>
      </c>
      <c r="AL24" s="94">
        <v>0</v>
      </c>
      <c r="AM24" s="94">
        <v>0</v>
      </c>
      <c r="AN24" s="101">
        <f>SUM(AK24:AM24)</f>
        <v>2846655</v>
      </c>
      <c r="AO24" s="94">
        <v>2988987.75</v>
      </c>
      <c r="AP24" s="94">
        <v>0</v>
      </c>
      <c r="AQ24" s="94">
        <v>0</v>
      </c>
      <c r="AR24" s="101">
        <f>SUM(AO24:AQ24)</f>
        <v>2988987.75</v>
      </c>
      <c r="AS24" s="102">
        <f t="shared" si="5"/>
        <v>10976642.75</v>
      </c>
      <c r="AT24" s="121" t="s">
        <v>305</v>
      </c>
      <c r="AU24" s="122" t="s">
        <v>320</v>
      </c>
      <c r="AV24" s="134" t="s">
        <v>292</v>
      </c>
    </row>
    <row r="25" spans="1:50" s="145" customFormat="1" ht="16.5" thickBot="1">
      <c r="A25" s="552" t="s">
        <v>321</v>
      </c>
      <c r="B25" s="553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554"/>
      <c r="N25" s="135"/>
      <c r="O25" s="555" t="s">
        <v>274</v>
      </c>
      <c r="P25" s="556"/>
      <c r="Q25" s="136">
        <f>+AVERAGE(Q13:Q24)</f>
        <v>0.17231984126984123</v>
      </c>
      <c r="R25" s="555" t="s">
        <v>277</v>
      </c>
      <c r="S25" s="556"/>
      <c r="T25" s="136">
        <f>+AVERAGE(T13:T24)</f>
        <v>0.51113005050505056</v>
      </c>
      <c r="U25" s="137"/>
      <c r="V25" s="138"/>
      <c r="W25" s="138"/>
      <c r="X25" s="138"/>
      <c r="Y25" s="138"/>
      <c r="Z25" s="138"/>
      <c r="AA25" s="135"/>
      <c r="AB25" s="139">
        <f>+SUM(AB13+AB15+AB16+AB17+AB18+AB19+AB20+AB21+AB22+AB23+AB24)</f>
        <v>5484099.0077099996</v>
      </c>
      <c r="AC25" s="140">
        <f>+SUM(AC13+AC15+AC16+AC17+AC18+AC19+AC20+AC21+AC22+AC23+AC24)</f>
        <v>2605654.0430000001</v>
      </c>
      <c r="AD25" s="141">
        <f>+AC25/AB25</f>
        <v>0.47512892078293195</v>
      </c>
      <c r="AE25" s="142"/>
      <c r="AF25" s="142"/>
      <c r="AG25" s="142"/>
      <c r="AH25" s="142"/>
      <c r="AI25" s="142"/>
      <c r="AJ25" s="143"/>
      <c r="AK25" s="142"/>
      <c r="AL25" s="142"/>
      <c r="AM25" s="142"/>
      <c r="AN25" s="142"/>
      <c r="AO25" s="142"/>
      <c r="AP25" s="142"/>
      <c r="AQ25" s="142"/>
      <c r="AR25" s="142"/>
      <c r="AS25" s="144"/>
    </row>
    <row r="27" spans="1:50">
      <c r="W27" s="61" t="s">
        <v>322</v>
      </c>
      <c r="X27" s="147">
        <v>250000</v>
      </c>
      <c r="AE27" s="147">
        <v>410000</v>
      </c>
    </row>
    <row r="28" spans="1:50">
      <c r="W28" s="61" t="s">
        <v>323</v>
      </c>
      <c r="X28" s="147">
        <v>518000</v>
      </c>
      <c r="AE28" s="147">
        <v>866000</v>
      </c>
    </row>
    <row r="29" spans="1:50">
      <c r="W29" s="61" t="s">
        <v>324</v>
      </c>
      <c r="X29" s="147">
        <v>500000</v>
      </c>
      <c r="AE29" s="147">
        <v>10000</v>
      </c>
    </row>
    <row r="30" spans="1:50">
      <c r="W30" s="61" t="s">
        <v>325</v>
      </c>
      <c r="X30" s="147">
        <v>150000</v>
      </c>
      <c r="AE30" s="147">
        <v>155000</v>
      </c>
    </row>
    <row r="31" spans="1:50">
      <c r="X31" s="148">
        <f>SUM(X27:X30)</f>
        <v>1418000</v>
      </c>
      <c r="AE31" s="148">
        <f>SUM(AE27:AE30)</f>
        <v>1441000</v>
      </c>
    </row>
    <row r="32" spans="1:50">
      <c r="W32" s="61" t="s">
        <v>326</v>
      </c>
      <c r="X32" s="149">
        <f>+X24</f>
        <v>2582000</v>
      </c>
      <c r="AE32" s="147">
        <f>+AE24</f>
        <v>2559000</v>
      </c>
    </row>
    <row r="33" spans="23:31" ht="15.75">
      <c r="W33" s="61" t="s">
        <v>327</v>
      </c>
      <c r="X33" s="150">
        <f>SUM(X31:X32)</f>
        <v>4000000</v>
      </c>
      <c r="AE33" s="150">
        <f>SUM(AE31:AE32)</f>
        <v>4000000</v>
      </c>
    </row>
    <row r="34" spans="23:31">
      <c r="W34" s="61" t="s">
        <v>328</v>
      </c>
      <c r="X34" s="61">
        <v>3000000</v>
      </c>
      <c r="AE34" s="147">
        <v>11000000</v>
      </c>
    </row>
    <row r="35" spans="23:31" ht="15.75">
      <c r="X35" s="150">
        <f>SUM(X33:X34)</f>
        <v>7000000</v>
      </c>
      <c r="AE35" s="150">
        <f>SUM(AE33:AE34)</f>
        <v>15000000</v>
      </c>
    </row>
  </sheetData>
  <mergeCells count="58">
    <mergeCell ref="A3:AV3"/>
    <mergeCell ref="A4:AV4"/>
    <mergeCell ref="A5:AV5"/>
    <mergeCell ref="B8:B12"/>
    <mergeCell ref="C8:C12"/>
    <mergeCell ref="D8:D12"/>
    <mergeCell ref="E8:H9"/>
    <mergeCell ref="I8:I12"/>
    <mergeCell ref="L8:L12"/>
    <mergeCell ref="M8:W9"/>
    <mergeCell ref="R10:T10"/>
    <mergeCell ref="R11:T11"/>
    <mergeCell ref="X8:AS8"/>
    <mergeCell ref="AT8:AT12"/>
    <mergeCell ref="AU8:AU12"/>
    <mergeCell ref="X9:AD9"/>
    <mergeCell ref="AE9:AJ9"/>
    <mergeCell ref="AK9:AN9"/>
    <mergeCell ref="AO9:AR9"/>
    <mergeCell ref="AS9:AS12"/>
    <mergeCell ref="AB10:AD10"/>
    <mergeCell ref="AB11:AD11"/>
    <mergeCell ref="A10:A12"/>
    <mergeCell ref="J10:J12"/>
    <mergeCell ref="K10:K12"/>
    <mergeCell ref="M10:M12"/>
    <mergeCell ref="O10:Q11"/>
    <mergeCell ref="B18:B21"/>
    <mergeCell ref="C18:C21"/>
    <mergeCell ref="D18:D21"/>
    <mergeCell ref="E18:E21"/>
    <mergeCell ref="F18:F21"/>
    <mergeCell ref="I13:I20"/>
    <mergeCell ref="J13:J14"/>
    <mergeCell ref="J15:J18"/>
    <mergeCell ref="G18:G21"/>
    <mergeCell ref="H18:H21"/>
    <mergeCell ref="J19:J20"/>
    <mergeCell ref="I21:I23"/>
    <mergeCell ref="J21:J23"/>
    <mergeCell ref="G22:G23"/>
    <mergeCell ref="H22:H23"/>
    <mergeCell ref="A25:M25"/>
    <mergeCell ref="O25:P25"/>
    <mergeCell ref="R25:S25"/>
    <mergeCell ref="B22:B23"/>
    <mergeCell ref="C22:C23"/>
    <mergeCell ref="D22:D23"/>
    <mergeCell ref="E22:E23"/>
    <mergeCell ref="F22:F23"/>
    <mergeCell ref="A13:A23"/>
    <mergeCell ref="B13:B17"/>
    <mergeCell ref="C13:C17"/>
    <mergeCell ref="D13:D17"/>
    <mergeCell ref="E13:E17"/>
    <mergeCell ref="F13:F17"/>
    <mergeCell ref="G13:G17"/>
    <mergeCell ref="H13:H17"/>
  </mergeCells>
  <pageMargins left="0.9055118110236221" right="0.51181102362204722" top="0.74803149606299213" bottom="0.74803149606299213" header="0.31496062992125984" footer="0.31496062992125984"/>
  <pageSetup paperSize="14" scale="8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zoomScale="70" zoomScaleNormal="70" workbookViewId="0"/>
  </sheetViews>
  <sheetFormatPr baseColWidth="10" defaultColWidth="10.75" defaultRowHeight="15"/>
  <cols>
    <col min="1" max="1" width="2.375" style="1" customWidth="1"/>
    <col min="2" max="2" width="20.75" style="1" customWidth="1"/>
    <col min="3" max="3" width="19.75" style="1" customWidth="1"/>
    <col min="4" max="4" width="19.75" style="336" customWidth="1"/>
    <col min="5" max="5" width="11.25" style="336" customWidth="1"/>
    <col min="6" max="6" width="12.25" style="336" customWidth="1"/>
    <col min="7" max="7" width="36.25" style="336" customWidth="1"/>
    <col min="8" max="8" width="13.75" style="336" customWidth="1"/>
    <col min="9" max="10" width="9.625" style="336" customWidth="1"/>
    <col min="11" max="11" width="9.75" style="336" hidden="1" customWidth="1"/>
    <col min="12" max="12" width="10.75" style="336"/>
    <col min="13" max="14" width="13.125" style="336" customWidth="1"/>
    <col min="15" max="15" width="23.625" style="336" customWidth="1"/>
    <col min="16" max="16" width="23.625" style="1" customWidth="1"/>
    <col min="17" max="17" width="23.625" style="336" customWidth="1"/>
    <col min="18" max="19" width="12.625" style="336" customWidth="1"/>
    <col min="20" max="21" width="10.75" style="1"/>
    <col min="22" max="22" width="12.375" style="1" bestFit="1" customWidth="1"/>
    <col min="23" max="23" width="10.75" style="1"/>
    <col min="24" max="24" width="11.25" style="1" bestFit="1" customWidth="1"/>
    <col min="25" max="16384" width="10.75" style="1"/>
  </cols>
  <sheetData>
    <row r="2" spans="2:20" ht="20.100000000000001" customHeight="1">
      <c r="B2" s="610" t="s">
        <v>16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</row>
    <row r="3" spans="2:20" ht="20.100000000000001" customHeight="1">
      <c r="B3" s="610" t="s">
        <v>25</v>
      </c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7"/>
    </row>
    <row r="4" spans="2:20" ht="20.100000000000001" customHeight="1">
      <c r="B4" s="610" t="s">
        <v>26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</row>
    <row r="6" spans="2:20" ht="15.75" thickBot="1"/>
    <row r="7" spans="2:20" ht="18" customHeight="1" thickBot="1">
      <c r="B7" s="2" t="s">
        <v>2</v>
      </c>
      <c r="C7" s="3" t="s">
        <v>13</v>
      </c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4"/>
      <c r="Q7" s="337"/>
      <c r="R7" s="337"/>
      <c r="S7" s="337"/>
    </row>
    <row r="8" spans="2:20" ht="18" customHeight="1" thickBot="1">
      <c r="B8" s="5">
        <v>2020</v>
      </c>
      <c r="C8" s="6">
        <v>44165</v>
      </c>
      <c r="D8" s="611" t="s">
        <v>3</v>
      </c>
      <c r="E8" s="612"/>
      <c r="F8" s="612"/>
      <c r="G8" s="612"/>
      <c r="H8" s="612"/>
      <c r="I8" s="612"/>
      <c r="J8" s="613"/>
      <c r="K8" s="337"/>
      <c r="L8" s="337"/>
      <c r="M8" s="337"/>
      <c r="N8" s="337"/>
      <c r="O8" s="337"/>
      <c r="P8" s="4"/>
      <c r="Q8" s="337"/>
      <c r="R8" s="337"/>
      <c r="S8" s="337"/>
    </row>
    <row r="9" spans="2:20" ht="30" customHeight="1">
      <c r="B9" s="614" t="s">
        <v>17</v>
      </c>
      <c r="C9" s="617" t="s">
        <v>18</v>
      </c>
      <c r="D9" s="619" t="s">
        <v>0</v>
      </c>
      <c r="E9" s="622" t="s">
        <v>4</v>
      </c>
      <c r="F9" s="622"/>
      <c r="G9" s="622" t="s">
        <v>5</v>
      </c>
      <c r="H9" s="622"/>
      <c r="I9" s="622"/>
      <c r="J9" s="624"/>
      <c r="K9" s="338"/>
      <c r="L9" s="619" t="s">
        <v>6</v>
      </c>
      <c r="M9" s="624"/>
      <c r="N9" s="633" t="s">
        <v>23</v>
      </c>
      <c r="O9" s="634"/>
      <c r="P9" s="634"/>
      <c r="Q9" s="634"/>
      <c r="R9" s="634"/>
      <c r="S9" s="635"/>
    </row>
    <row r="10" spans="2:20" ht="17.100000000000001" customHeight="1">
      <c r="B10" s="615"/>
      <c r="C10" s="618"/>
      <c r="D10" s="620"/>
      <c r="E10" s="623"/>
      <c r="F10" s="623"/>
      <c r="G10" s="623" t="s">
        <v>7</v>
      </c>
      <c r="H10" s="592" t="s">
        <v>24</v>
      </c>
      <c r="I10" s="627" t="s">
        <v>1</v>
      </c>
      <c r="J10" s="625" t="s">
        <v>8</v>
      </c>
      <c r="K10" s="339"/>
      <c r="L10" s="629" t="s">
        <v>9</v>
      </c>
      <c r="M10" s="631" t="s">
        <v>10</v>
      </c>
      <c r="N10" s="636"/>
      <c r="O10" s="637"/>
      <c r="P10" s="637"/>
      <c r="Q10" s="637"/>
      <c r="R10" s="637"/>
      <c r="S10" s="638"/>
    </row>
    <row r="11" spans="2:20" ht="37.5" customHeight="1" thickBot="1">
      <c r="B11" s="616"/>
      <c r="C11" s="618"/>
      <c r="D11" s="621"/>
      <c r="E11" s="340" t="s">
        <v>11</v>
      </c>
      <c r="F11" s="340" t="s">
        <v>12</v>
      </c>
      <c r="G11" s="592"/>
      <c r="H11" s="593"/>
      <c r="I11" s="628"/>
      <c r="J11" s="626"/>
      <c r="K11" s="341"/>
      <c r="L11" s="630"/>
      <c r="M11" s="632"/>
      <c r="N11" s="342" t="s">
        <v>22</v>
      </c>
      <c r="O11" s="343" t="s">
        <v>19</v>
      </c>
      <c r="P11" s="11" t="s">
        <v>20</v>
      </c>
      <c r="Q11" s="378" t="s">
        <v>21</v>
      </c>
      <c r="R11" s="378" t="s">
        <v>14</v>
      </c>
      <c r="S11" s="379" t="s">
        <v>15</v>
      </c>
    </row>
    <row r="12" spans="2:20" ht="165.75" thickBot="1">
      <c r="B12" s="594" t="s">
        <v>46</v>
      </c>
      <c r="C12" s="605" t="s">
        <v>45</v>
      </c>
      <c r="D12" s="335" t="s">
        <v>40</v>
      </c>
      <c r="E12" s="344">
        <v>43831</v>
      </c>
      <c r="F12" s="344">
        <v>44196</v>
      </c>
      <c r="G12" s="345" t="s">
        <v>27</v>
      </c>
      <c r="H12" s="346">
        <v>5000</v>
      </c>
      <c r="I12" s="346">
        <v>100</v>
      </c>
      <c r="J12" s="347">
        <v>0</v>
      </c>
      <c r="K12" s="348">
        <f>+J12/I12</f>
        <v>0</v>
      </c>
      <c r="L12" s="349">
        <f>DAYS360(E12,$C$8)/DAYS360(E12,F12)</f>
        <v>0.91388888888888886</v>
      </c>
      <c r="M12" s="350">
        <f>IF(I12=0," -",IF(K12&gt;100%,100%,K12))</f>
        <v>0</v>
      </c>
      <c r="N12" s="351" t="s">
        <v>47</v>
      </c>
      <c r="O12" s="346">
        <v>250000</v>
      </c>
      <c r="P12" s="346">
        <v>0</v>
      </c>
      <c r="Q12" s="346">
        <v>0</v>
      </c>
      <c r="R12" s="380">
        <f>IF(O12=0," -",P12/O12)</f>
        <v>0</v>
      </c>
      <c r="S12" s="350" t="str">
        <f>IF(Q12=0," -",IF(P12=0,100%,Q12/P12))</f>
        <v xml:space="preserve"> -</v>
      </c>
    </row>
    <row r="13" spans="2:20" ht="75">
      <c r="B13" s="595"/>
      <c r="C13" s="596"/>
      <c r="D13" s="602" t="s">
        <v>41</v>
      </c>
      <c r="E13" s="344">
        <v>43831</v>
      </c>
      <c r="F13" s="344">
        <v>44196</v>
      </c>
      <c r="G13" s="345" t="s">
        <v>51</v>
      </c>
      <c r="H13" s="346">
        <v>1</v>
      </c>
      <c r="I13" s="346">
        <v>1</v>
      </c>
      <c r="J13" s="347">
        <v>1</v>
      </c>
      <c r="K13" s="348">
        <f t="shared" ref="K13:K24" si="0">+J13/I13</f>
        <v>1</v>
      </c>
      <c r="L13" s="349">
        <f>DAYS360(E13,$C$8)/DAYS360(E13,F13)</f>
        <v>0.91388888888888886</v>
      </c>
      <c r="M13" s="350">
        <f t="shared" ref="M13:M22" si="1">IF(I13=0," -",IF(K13&gt;100%,100%,K13))</f>
        <v>1</v>
      </c>
      <c r="N13" s="351" t="s">
        <v>48</v>
      </c>
      <c r="O13" s="346">
        <v>222449.39499999999</v>
      </c>
      <c r="P13" s="346">
        <v>222449.39499999999</v>
      </c>
      <c r="Q13" s="346">
        <f>(60704007+63069958+45647500)/1000</f>
        <v>169421.465</v>
      </c>
      <c r="R13" s="380">
        <f t="shared" ref="R13:R25" si="2">IF(O13=0," -",P13/O13)</f>
        <v>1</v>
      </c>
      <c r="S13" s="350">
        <f t="shared" ref="S13:S25" si="3">IF(Q13=0," -",IF(P13=0,100%,Q13/P13))</f>
        <v>0.76161800754728959</v>
      </c>
    </row>
    <row r="14" spans="2:20" ht="45">
      <c r="B14" s="595"/>
      <c r="C14" s="596"/>
      <c r="D14" s="603"/>
      <c r="E14" s="318">
        <v>43831</v>
      </c>
      <c r="F14" s="318">
        <v>44196</v>
      </c>
      <c r="G14" s="9" t="s">
        <v>28</v>
      </c>
      <c r="H14" s="319">
        <v>1</v>
      </c>
      <c r="I14" s="319">
        <v>0.1</v>
      </c>
      <c r="J14" s="352">
        <v>0</v>
      </c>
      <c r="K14" s="320">
        <f t="shared" si="0"/>
        <v>0</v>
      </c>
      <c r="L14" s="321">
        <f t="shared" ref="L14:L24" si="4">DAYS360(E14,$C$8)/DAYS360(E14,F14)</f>
        <v>0.91388888888888886</v>
      </c>
      <c r="M14" s="322">
        <f t="shared" si="1"/>
        <v>0</v>
      </c>
      <c r="N14" s="323" t="s">
        <v>48</v>
      </c>
      <c r="O14" s="324">
        <v>250000</v>
      </c>
      <c r="P14" s="324">
        <v>0</v>
      </c>
      <c r="Q14" s="324">
        <v>0</v>
      </c>
      <c r="R14" s="319">
        <f t="shared" si="2"/>
        <v>0</v>
      </c>
      <c r="S14" s="322" t="str">
        <f t="shared" si="3"/>
        <v xml:space="preserve"> -</v>
      </c>
    </row>
    <row r="15" spans="2:20" ht="120">
      <c r="B15" s="595"/>
      <c r="C15" s="596"/>
      <c r="D15" s="603"/>
      <c r="E15" s="318">
        <v>43831</v>
      </c>
      <c r="F15" s="318">
        <v>44196</v>
      </c>
      <c r="G15" s="9" t="s">
        <v>29</v>
      </c>
      <c r="H15" s="324">
        <v>7000</v>
      </c>
      <c r="I15" s="324">
        <v>800</v>
      </c>
      <c r="J15" s="316">
        <v>1732</v>
      </c>
      <c r="K15" s="320">
        <f t="shared" si="0"/>
        <v>2.165</v>
      </c>
      <c r="L15" s="321">
        <f t="shared" si="4"/>
        <v>0.91388888888888886</v>
      </c>
      <c r="M15" s="322">
        <f t="shared" si="1"/>
        <v>1</v>
      </c>
      <c r="N15" s="323" t="s">
        <v>48</v>
      </c>
      <c r="O15" s="324">
        <v>305836.973</v>
      </c>
      <c r="P15" s="324">
        <f>+'Resu Gastos'!J8</f>
        <v>126314.1755</v>
      </c>
      <c r="Q15" s="324">
        <v>0</v>
      </c>
      <c r="R15" s="319">
        <f t="shared" si="2"/>
        <v>0.41301146248266063</v>
      </c>
      <c r="S15" s="322" t="str">
        <f t="shared" si="3"/>
        <v xml:space="preserve"> -</v>
      </c>
    </row>
    <row r="16" spans="2:20" ht="105.75" thickBot="1">
      <c r="B16" s="595"/>
      <c r="C16" s="596"/>
      <c r="D16" s="604"/>
      <c r="E16" s="353">
        <v>43831</v>
      </c>
      <c r="F16" s="353">
        <v>44196</v>
      </c>
      <c r="G16" s="10" t="s">
        <v>30</v>
      </c>
      <c r="H16" s="325">
        <v>4000</v>
      </c>
      <c r="I16" s="325">
        <v>300</v>
      </c>
      <c r="J16" s="317">
        <v>284</v>
      </c>
      <c r="K16" s="326">
        <f t="shared" si="0"/>
        <v>0.94666666666666666</v>
      </c>
      <c r="L16" s="327">
        <f t="shared" si="4"/>
        <v>0.91388888888888886</v>
      </c>
      <c r="M16" s="328">
        <f t="shared" si="1"/>
        <v>0.94666666666666666</v>
      </c>
      <c r="N16" s="329" t="s">
        <v>48</v>
      </c>
      <c r="O16" s="325">
        <v>305836.973</v>
      </c>
      <c r="P16" s="325">
        <f>+'Resu Gastos'!J8</f>
        <v>126314.1755</v>
      </c>
      <c r="Q16" s="325">
        <v>0</v>
      </c>
      <c r="R16" s="330">
        <f t="shared" si="2"/>
        <v>0.41301146248266063</v>
      </c>
      <c r="S16" s="328" t="str">
        <f t="shared" si="3"/>
        <v xml:space="preserve"> -</v>
      </c>
    </row>
    <row r="17" spans="2:19" ht="90">
      <c r="B17" s="595"/>
      <c r="C17" s="596"/>
      <c r="D17" s="601" t="s">
        <v>42</v>
      </c>
      <c r="E17" s="354">
        <v>43831</v>
      </c>
      <c r="F17" s="354">
        <v>44196</v>
      </c>
      <c r="G17" s="355" t="s">
        <v>31</v>
      </c>
      <c r="H17" s="356">
        <v>4000</v>
      </c>
      <c r="I17" s="356">
        <v>200</v>
      </c>
      <c r="J17" s="357">
        <v>0</v>
      </c>
      <c r="K17" s="358">
        <f t="shared" si="0"/>
        <v>0</v>
      </c>
      <c r="L17" s="359">
        <f t="shared" si="4"/>
        <v>0.91388888888888886</v>
      </c>
      <c r="M17" s="360">
        <f t="shared" si="1"/>
        <v>0</v>
      </c>
      <c r="N17" s="361" t="s">
        <v>49</v>
      </c>
      <c r="O17" s="356">
        <v>0</v>
      </c>
      <c r="P17" s="356">
        <v>0</v>
      </c>
      <c r="Q17" s="356">
        <v>0</v>
      </c>
      <c r="R17" s="381" t="str">
        <f t="shared" si="2"/>
        <v xml:space="preserve"> -</v>
      </c>
      <c r="S17" s="360" t="str">
        <f t="shared" si="3"/>
        <v xml:space="preserve"> -</v>
      </c>
    </row>
    <row r="18" spans="2:19" ht="90.75" thickBot="1">
      <c r="B18" s="595"/>
      <c r="C18" s="606"/>
      <c r="D18" s="600"/>
      <c r="E18" s="331">
        <v>43831</v>
      </c>
      <c r="F18" s="331">
        <v>44196</v>
      </c>
      <c r="G18" s="10" t="s">
        <v>32</v>
      </c>
      <c r="H18" s="325">
        <v>6000</v>
      </c>
      <c r="I18" s="325">
        <v>1200</v>
      </c>
      <c r="J18" s="317">
        <v>1693</v>
      </c>
      <c r="K18" s="326">
        <f t="shared" si="0"/>
        <v>1.4108333333333334</v>
      </c>
      <c r="L18" s="327">
        <f t="shared" si="4"/>
        <v>0.91388888888888886</v>
      </c>
      <c r="M18" s="328">
        <f t="shared" si="1"/>
        <v>1</v>
      </c>
      <c r="N18" s="329" t="s">
        <v>49</v>
      </c>
      <c r="O18" s="325">
        <f>+'Resu Gastos'!F11</f>
        <v>1529106.3977099999</v>
      </c>
      <c r="P18" s="325">
        <f>+'Resu Gastos'!G11</f>
        <v>1510500</v>
      </c>
      <c r="Q18" s="325">
        <f>(8100000000/1000)+16000000</f>
        <v>24100000</v>
      </c>
      <c r="R18" s="330">
        <f t="shared" si="2"/>
        <v>0.98783184889039444</v>
      </c>
      <c r="S18" s="328">
        <f t="shared" si="3"/>
        <v>15.954981794107912</v>
      </c>
    </row>
    <row r="19" spans="2:19" ht="12.95" customHeight="1" thickBot="1">
      <c r="B19" s="596"/>
      <c r="C19" s="12"/>
      <c r="D19" s="13"/>
      <c r="E19" s="14"/>
      <c r="F19" s="14"/>
      <c r="G19" s="15"/>
      <c r="H19" s="16"/>
      <c r="I19" s="16"/>
      <c r="J19" s="16"/>
      <c r="K19" s="17"/>
      <c r="L19" s="18"/>
      <c r="M19" s="18"/>
      <c r="N19" s="19"/>
      <c r="O19" s="16"/>
      <c r="P19" s="16"/>
      <c r="Q19" s="16"/>
      <c r="R19" s="18"/>
      <c r="S19" s="20"/>
    </row>
    <row r="20" spans="2:19" ht="75">
      <c r="B20" s="595"/>
      <c r="C20" s="607" t="s">
        <v>44</v>
      </c>
      <c r="D20" s="598" t="s">
        <v>43</v>
      </c>
      <c r="E20" s="354">
        <v>43831</v>
      </c>
      <c r="F20" s="354">
        <v>44196</v>
      </c>
      <c r="G20" s="345" t="s">
        <v>33</v>
      </c>
      <c r="H20" s="346">
        <v>5000</v>
      </c>
      <c r="I20" s="346">
        <v>1000</v>
      </c>
      <c r="J20" s="347">
        <f>1604+210</f>
        <v>1814</v>
      </c>
      <c r="K20" s="348">
        <f t="shared" si="0"/>
        <v>1.8140000000000001</v>
      </c>
      <c r="L20" s="349">
        <f t="shared" si="4"/>
        <v>0.91388888888888886</v>
      </c>
      <c r="M20" s="350">
        <f t="shared" si="1"/>
        <v>1</v>
      </c>
      <c r="N20" s="351" t="s">
        <v>50</v>
      </c>
      <c r="O20" s="346">
        <f>+'Resu Gastos'!F9</f>
        <v>91076.666666666672</v>
      </c>
      <c r="P20" s="346">
        <f>+'Resu Gastos'!G9</f>
        <v>79334.001999999993</v>
      </c>
      <c r="Q20" s="346">
        <v>0</v>
      </c>
      <c r="R20" s="380">
        <f t="shared" si="2"/>
        <v>0.87106835266991167</v>
      </c>
      <c r="S20" s="350" t="str">
        <f t="shared" si="3"/>
        <v xml:space="preserve"> -</v>
      </c>
    </row>
    <row r="21" spans="2:19" ht="75">
      <c r="B21" s="595"/>
      <c r="C21" s="608"/>
      <c r="D21" s="599"/>
      <c r="E21" s="318">
        <v>43831</v>
      </c>
      <c r="F21" s="318">
        <v>44196</v>
      </c>
      <c r="G21" s="9" t="s">
        <v>34</v>
      </c>
      <c r="H21" s="324">
        <v>3000</v>
      </c>
      <c r="I21" s="324">
        <v>600</v>
      </c>
      <c r="J21" s="316">
        <f>649+136+45+249</f>
        <v>1079</v>
      </c>
      <c r="K21" s="320">
        <f t="shared" si="0"/>
        <v>1.7983333333333333</v>
      </c>
      <c r="L21" s="321">
        <f t="shared" si="4"/>
        <v>0.91388888888888886</v>
      </c>
      <c r="M21" s="322">
        <f t="shared" si="1"/>
        <v>1</v>
      </c>
      <c r="N21" s="323" t="s">
        <v>50</v>
      </c>
      <c r="O21" s="324">
        <f>+'Resu Gastos'!F9</f>
        <v>91076.666666666672</v>
      </c>
      <c r="P21" s="324">
        <f>+'Resu Gastos'!G9</f>
        <v>79334.001999999993</v>
      </c>
      <c r="Q21" s="324">
        <v>0</v>
      </c>
      <c r="R21" s="319">
        <f t="shared" si="2"/>
        <v>0.87106835266991167</v>
      </c>
      <c r="S21" s="322" t="str">
        <f t="shared" si="3"/>
        <v xml:space="preserve"> -</v>
      </c>
    </row>
    <row r="22" spans="2:19" ht="75.75" thickBot="1">
      <c r="B22" s="597"/>
      <c r="C22" s="609"/>
      <c r="D22" s="600"/>
      <c r="E22" s="331">
        <v>43831</v>
      </c>
      <c r="F22" s="331">
        <v>44196</v>
      </c>
      <c r="G22" s="10" t="s">
        <v>35</v>
      </c>
      <c r="H22" s="325">
        <v>1500</v>
      </c>
      <c r="I22" s="325">
        <v>330</v>
      </c>
      <c r="J22" s="317">
        <f>368+32</f>
        <v>400</v>
      </c>
      <c r="K22" s="326">
        <f t="shared" si="0"/>
        <v>1.2121212121212122</v>
      </c>
      <c r="L22" s="327">
        <f t="shared" si="4"/>
        <v>0.91388888888888886</v>
      </c>
      <c r="M22" s="328">
        <f t="shared" si="1"/>
        <v>1</v>
      </c>
      <c r="N22" s="329" t="s">
        <v>50</v>
      </c>
      <c r="O22" s="325">
        <f>+'Resu Gastos'!F9</f>
        <v>91076.666666666672</v>
      </c>
      <c r="P22" s="325">
        <f>+'Resu Gastos'!G9</f>
        <v>79334.001999999993</v>
      </c>
      <c r="Q22" s="325">
        <v>0</v>
      </c>
      <c r="R22" s="330">
        <f t="shared" si="2"/>
        <v>0.87106835266991167</v>
      </c>
      <c r="S22" s="328" t="str">
        <f t="shared" si="3"/>
        <v xml:space="preserve"> -</v>
      </c>
    </row>
    <row r="23" spans="2:19" ht="12.95" customHeight="1" thickBot="1">
      <c r="B23" s="407"/>
      <c r="C23" s="408"/>
      <c r="D23" s="408"/>
      <c r="E23" s="409"/>
      <c r="F23" s="409"/>
      <c r="G23" s="410"/>
      <c r="H23" s="406"/>
      <c r="I23" s="406"/>
      <c r="J23" s="406"/>
      <c r="K23" s="411"/>
      <c r="L23" s="412"/>
      <c r="M23" s="412"/>
      <c r="N23" s="413"/>
      <c r="O23" s="406"/>
      <c r="P23" s="406"/>
      <c r="Q23" s="406"/>
      <c r="R23" s="412"/>
      <c r="S23" s="414"/>
    </row>
    <row r="24" spans="2:19" ht="92.1" customHeight="1" thickBot="1">
      <c r="B24" s="332" t="s">
        <v>39</v>
      </c>
      <c r="C24" s="333" t="s">
        <v>38</v>
      </c>
      <c r="D24" s="334" t="s">
        <v>37</v>
      </c>
      <c r="E24" s="362">
        <v>43831</v>
      </c>
      <c r="F24" s="362">
        <v>44196</v>
      </c>
      <c r="G24" s="363" t="s">
        <v>36</v>
      </c>
      <c r="H24" s="364">
        <v>1</v>
      </c>
      <c r="I24" s="364">
        <v>1</v>
      </c>
      <c r="J24" s="365">
        <v>0.75</v>
      </c>
      <c r="K24" s="366">
        <f t="shared" si="0"/>
        <v>0.75</v>
      </c>
      <c r="L24" s="367">
        <f t="shared" si="4"/>
        <v>0.91388888888888886</v>
      </c>
      <c r="M24" s="368">
        <f>IF(I24=0," -",IF(K24&gt;100%,100%,K24))</f>
        <v>0.75</v>
      </c>
      <c r="N24" s="369" t="s">
        <v>52</v>
      </c>
      <c r="O24" s="370">
        <f>+'Resu Gastos'!B5/1000</f>
        <v>2397639.2689999999</v>
      </c>
      <c r="P24" s="370">
        <f>+'Resu Gastos'!C5/1000</f>
        <v>1917955.477</v>
      </c>
      <c r="Q24" s="370">
        <v>0</v>
      </c>
      <c r="R24" s="364">
        <f t="shared" si="2"/>
        <v>0.79993496177593681</v>
      </c>
      <c r="S24" s="368" t="str">
        <f t="shared" si="3"/>
        <v xml:space="preserve"> -</v>
      </c>
    </row>
    <row r="25" spans="2:19" ht="21" customHeight="1" thickBot="1">
      <c r="E25" s="371"/>
      <c r="F25" s="371"/>
      <c r="H25" s="372"/>
      <c r="I25" s="372"/>
      <c r="J25" s="372"/>
      <c r="K25" s="373"/>
      <c r="L25" s="374">
        <f>+AVERAGE(L12:L18,L20:L22,L24)</f>
        <v>0.91388888888888897</v>
      </c>
      <c r="M25" s="375">
        <f>+AVERAGE(M12:M18,M20:M22,M24)</f>
        <v>0.69969696969696971</v>
      </c>
      <c r="N25" s="21"/>
      <c r="O25" s="376">
        <f>+SUM(O12:O18,O20:O22,O24)</f>
        <v>5534099.0077099996</v>
      </c>
      <c r="P25" s="382">
        <f>+SUM(P12:P18,P20:P22,P24)</f>
        <v>4141535.2289999998</v>
      </c>
      <c r="Q25" s="382">
        <f>+SUM(Q12:Q18,Q20:Q22,Q24)</f>
        <v>24269421.465</v>
      </c>
      <c r="R25" s="383">
        <f t="shared" si="2"/>
        <v>0.74836666695519782</v>
      </c>
      <c r="S25" s="375">
        <f t="shared" si="3"/>
        <v>5.860006041976856</v>
      </c>
    </row>
    <row r="26" spans="2:19">
      <c r="E26" s="371"/>
      <c r="F26" s="371"/>
      <c r="H26" s="372"/>
      <c r="I26" s="372"/>
      <c r="J26" s="372"/>
      <c r="K26" s="373"/>
      <c r="L26" s="373"/>
      <c r="M26" s="373"/>
      <c r="N26" s="377"/>
      <c r="O26" s="372"/>
      <c r="P26" s="8"/>
      <c r="Q26" s="372"/>
      <c r="R26" s="373"/>
      <c r="S26" s="373"/>
    </row>
    <row r="27" spans="2:19">
      <c r="E27" s="371"/>
      <c r="F27" s="371"/>
      <c r="H27" s="372"/>
      <c r="I27" s="372"/>
      <c r="J27" s="372"/>
      <c r="K27" s="373"/>
      <c r="L27" s="373"/>
      <c r="M27" s="373"/>
      <c r="N27" s="377"/>
      <c r="O27" s="372"/>
      <c r="P27" s="8"/>
      <c r="Q27" s="372"/>
      <c r="R27" s="373"/>
      <c r="S27" s="373"/>
    </row>
    <row r="28" spans="2:19">
      <c r="E28" s="371"/>
      <c r="F28" s="371"/>
      <c r="H28" s="372"/>
      <c r="I28" s="372"/>
      <c r="J28" s="372"/>
      <c r="K28" s="373"/>
      <c r="L28" s="373"/>
      <c r="M28" s="373"/>
      <c r="N28" s="377"/>
      <c r="O28" s="372"/>
      <c r="P28" s="8"/>
      <c r="Q28" s="372"/>
      <c r="R28" s="373"/>
      <c r="S28" s="373"/>
    </row>
    <row r="29" spans="2:19">
      <c r="E29" s="371"/>
      <c r="F29" s="371"/>
      <c r="H29" s="372"/>
      <c r="I29" s="372"/>
      <c r="J29" s="372"/>
      <c r="K29" s="373"/>
      <c r="L29" s="373"/>
      <c r="M29" s="373"/>
      <c r="N29" s="377"/>
      <c r="O29" s="372"/>
      <c r="P29" s="8"/>
      <c r="Q29" s="372"/>
      <c r="R29" s="373"/>
      <c r="S29" s="373"/>
    </row>
    <row r="30" spans="2:19">
      <c r="E30" s="371"/>
      <c r="F30" s="371"/>
      <c r="H30" s="372"/>
      <c r="I30" s="372"/>
      <c r="J30" s="372"/>
      <c r="K30" s="373"/>
      <c r="L30" s="373"/>
      <c r="M30" s="373"/>
      <c r="N30" s="377"/>
      <c r="O30" s="372"/>
      <c r="P30" s="8"/>
      <c r="Q30" s="372"/>
      <c r="R30" s="373"/>
      <c r="S30" s="373"/>
    </row>
    <row r="31" spans="2:19">
      <c r="E31" s="371"/>
      <c r="F31" s="371"/>
      <c r="H31" s="372"/>
      <c r="I31" s="372"/>
      <c r="J31" s="372"/>
      <c r="K31" s="373"/>
      <c r="L31" s="373"/>
      <c r="M31" s="373"/>
      <c r="N31" s="377"/>
      <c r="O31" s="372"/>
      <c r="P31" s="8"/>
      <c r="Q31" s="372"/>
      <c r="R31" s="373"/>
      <c r="S31" s="373"/>
    </row>
    <row r="32" spans="2:19">
      <c r="E32" s="371"/>
      <c r="F32" s="371"/>
      <c r="H32" s="372"/>
      <c r="I32" s="372"/>
      <c r="J32" s="372"/>
      <c r="K32" s="373"/>
      <c r="L32" s="373"/>
      <c r="M32" s="373"/>
      <c r="N32" s="377"/>
      <c r="O32" s="372"/>
      <c r="P32" s="8"/>
      <c r="Q32" s="372"/>
      <c r="R32" s="373"/>
      <c r="S32" s="373"/>
    </row>
    <row r="33" spans="5:19">
      <c r="E33" s="371"/>
      <c r="F33" s="371"/>
      <c r="H33" s="372"/>
      <c r="I33" s="372"/>
      <c r="J33" s="372"/>
      <c r="K33" s="373"/>
      <c r="L33" s="373"/>
      <c r="M33" s="373"/>
      <c r="N33" s="377"/>
      <c r="O33" s="372"/>
      <c r="P33" s="8"/>
      <c r="Q33" s="372"/>
      <c r="R33" s="373"/>
      <c r="S33" s="373"/>
    </row>
    <row r="34" spans="5:19">
      <c r="E34" s="371"/>
      <c r="F34" s="371"/>
      <c r="H34" s="372"/>
      <c r="I34" s="372"/>
      <c r="J34" s="372"/>
      <c r="K34" s="373"/>
      <c r="L34" s="373"/>
      <c r="M34" s="373"/>
      <c r="N34" s="377"/>
      <c r="O34" s="372"/>
      <c r="P34" s="8"/>
      <c r="Q34" s="372"/>
      <c r="R34" s="373"/>
      <c r="S34" s="373"/>
    </row>
    <row r="35" spans="5:19">
      <c r="E35" s="371"/>
      <c r="F35" s="371"/>
      <c r="H35" s="372"/>
      <c r="I35" s="372"/>
      <c r="J35" s="372"/>
      <c r="K35" s="373"/>
      <c r="L35" s="373"/>
      <c r="M35" s="373"/>
      <c r="N35" s="377"/>
      <c r="O35" s="372"/>
      <c r="P35" s="8"/>
      <c r="Q35" s="372"/>
      <c r="R35" s="373"/>
      <c r="S35" s="373"/>
    </row>
    <row r="36" spans="5:19">
      <c r="E36" s="371"/>
      <c r="F36" s="371"/>
      <c r="H36" s="372"/>
      <c r="I36" s="372"/>
      <c r="J36" s="372"/>
      <c r="K36" s="373"/>
      <c r="L36" s="373"/>
      <c r="M36" s="373"/>
      <c r="N36" s="377"/>
      <c r="O36" s="372"/>
      <c r="P36" s="8"/>
      <c r="Q36" s="372"/>
      <c r="R36" s="373"/>
      <c r="S36" s="373"/>
    </row>
    <row r="37" spans="5:19">
      <c r="E37" s="371"/>
      <c r="F37" s="371"/>
      <c r="H37" s="372"/>
      <c r="I37" s="372"/>
      <c r="J37" s="372"/>
      <c r="K37" s="373"/>
      <c r="L37" s="373"/>
      <c r="M37" s="373"/>
      <c r="N37" s="377"/>
      <c r="O37" s="372"/>
      <c r="P37" s="8"/>
      <c r="Q37" s="372"/>
      <c r="R37" s="373"/>
      <c r="S37" s="373"/>
    </row>
    <row r="38" spans="5:19">
      <c r="E38" s="371"/>
      <c r="F38" s="371"/>
      <c r="H38" s="372"/>
      <c r="I38" s="372"/>
      <c r="J38" s="372"/>
      <c r="K38" s="373"/>
      <c r="L38" s="373"/>
      <c r="M38" s="373"/>
      <c r="N38" s="377"/>
      <c r="O38" s="372"/>
      <c r="P38" s="8"/>
      <c r="Q38" s="372"/>
      <c r="R38" s="373"/>
      <c r="S38" s="373"/>
    </row>
    <row r="39" spans="5:19">
      <c r="E39" s="371"/>
      <c r="F39" s="371"/>
      <c r="H39" s="372"/>
      <c r="I39" s="372"/>
      <c r="J39" s="372"/>
      <c r="K39" s="373"/>
      <c r="L39" s="373"/>
      <c r="M39" s="373"/>
      <c r="N39" s="377"/>
      <c r="O39" s="372"/>
      <c r="P39" s="8"/>
      <c r="Q39" s="372"/>
      <c r="R39" s="373"/>
      <c r="S39" s="373"/>
    </row>
    <row r="40" spans="5:19">
      <c r="E40" s="371"/>
      <c r="F40" s="371"/>
      <c r="H40" s="372"/>
      <c r="I40" s="372"/>
      <c r="J40" s="372"/>
      <c r="K40" s="373"/>
      <c r="L40" s="373"/>
      <c r="M40" s="373"/>
      <c r="N40" s="377"/>
      <c r="O40" s="372"/>
      <c r="P40" s="8"/>
      <c r="Q40" s="372"/>
      <c r="R40" s="373"/>
      <c r="S40" s="373"/>
    </row>
    <row r="41" spans="5:19">
      <c r="E41" s="371"/>
      <c r="F41" s="371"/>
      <c r="H41" s="372"/>
      <c r="I41" s="372"/>
      <c r="J41" s="372"/>
      <c r="K41" s="373"/>
      <c r="L41" s="373"/>
      <c r="M41" s="373"/>
      <c r="N41" s="377"/>
      <c r="O41" s="372"/>
      <c r="P41" s="8"/>
      <c r="Q41" s="372"/>
      <c r="R41" s="373"/>
      <c r="S41" s="373"/>
    </row>
    <row r="42" spans="5:19">
      <c r="E42" s="371"/>
      <c r="F42" s="371"/>
      <c r="H42" s="372"/>
      <c r="I42" s="372"/>
      <c r="J42" s="372"/>
      <c r="K42" s="373"/>
      <c r="L42" s="373"/>
      <c r="M42" s="373"/>
      <c r="N42" s="377"/>
      <c r="O42" s="372"/>
      <c r="P42" s="8"/>
      <c r="Q42" s="372"/>
      <c r="R42" s="373"/>
      <c r="S42" s="373"/>
    </row>
    <row r="43" spans="5:19">
      <c r="E43" s="371"/>
      <c r="F43" s="371"/>
      <c r="H43" s="372"/>
      <c r="I43" s="372"/>
      <c r="J43" s="372"/>
      <c r="K43" s="373"/>
      <c r="L43" s="373"/>
      <c r="M43" s="373"/>
      <c r="N43" s="377"/>
      <c r="O43" s="372"/>
      <c r="P43" s="8"/>
      <c r="Q43" s="372"/>
      <c r="R43" s="373"/>
      <c r="S43" s="373"/>
    </row>
    <row r="44" spans="5:19">
      <c r="E44" s="371"/>
      <c r="F44" s="371"/>
      <c r="H44" s="372"/>
      <c r="I44" s="372"/>
      <c r="J44" s="372"/>
      <c r="K44" s="373"/>
      <c r="L44" s="373"/>
      <c r="M44" s="373"/>
      <c r="N44" s="377"/>
      <c r="O44" s="372"/>
      <c r="P44" s="8"/>
      <c r="Q44" s="372"/>
      <c r="R44" s="373"/>
      <c r="S44" s="373"/>
    </row>
    <row r="45" spans="5:19">
      <c r="E45" s="371"/>
      <c r="F45" s="371"/>
      <c r="H45" s="372"/>
      <c r="I45" s="372"/>
      <c r="J45" s="372"/>
      <c r="K45" s="373"/>
      <c r="L45" s="373"/>
      <c r="M45" s="373"/>
      <c r="N45" s="377"/>
      <c r="O45" s="372"/>
      <c r="P45" s="8"/>
      <c r="Q45" s="372"/>
      <c r="R45" s="373"/>
      <c r="S45" s="373"/>
    </row>
    <row r="46" spans="5:19">
      <c r="E46" s="371"/>
      <c r="F46" s="371"/>
      <c r="H46" s="372"/>
      <c r="I46" s="372"/>
      <c r="J46" s="372"/>
      <c r="K46" s="373"/>
      <c r="L46" s="373"/>
      <c r="M46" s="373"/>
      <c r="N46" s="377"/>
      <c r="O46" s="372"/>
      <c r="P46" s="8"/>
      <c r="Q46" s="372"/>
      <c r="R46" s="373"/>
      <c r="S46" s="373"/>
    </row>
    <row r="47" spans="5:19">
      <c r="E47" s="371"/>
      <c r="F47" s="371"/>
      <c r="H47" s="372"/>
      <c r="I47" s="372"/>
      <c r="J47" s="372"/>
      <c r="K47" s="373"/>
      <c r="L47" s="373"/>
      <c r="M47" s="373"/>
      <c r="N47" s="377"/>
      <c r="O47" s="372"/>
      <c r="P47" s="8"/>
      <c r="Q47" s="372"/>
      <c r="R47" s="373"/>
      <c r="S47" s="373"/>
    </row>
    <row r="48" spans="5:19">
      <c r="E48" s="371"/>
      <c r="F48" s="371"/>
      <c r="H48" s="372"/>
      <c r="I48" s="372"/>
      <c r="J48" s="372"/>
      <c r="K48" s="373"/>
      <c r="L48" s="373"/>
      <c r="M48" s="373"/>
      <c r="N48" s="377"/>
      <c r="O48" s="372"/>
      <c r="P48" s="8"/>
      <c r="Q48" s="372"/>
      <c r="R48" s="373"/>
      <c r="S48" s="373"/>
    </row>
    <row r="49" spans="5:19">
      <c r="E49" s="371"/>
      <c r="F49" s="371"/>
      <c r="H49" s="372"/>
      <c r="I49" s="372"/>
      <c r="J49" s="372"/>
      <c r="K49" s="373"/>
      <c r="L49" s="373"/>
      <c r="M49" s="373"/>
      <c r="N49" s="377"/>
      <c r="O49" s="372"/>
      <c r="P49" s="8"/>
      <c r="Q49" s="372"/>
      <c r="R49" s="373"/>
      <c r="S49" s="373"/>
    </row>
    <row r="50" spans="5:19">
      <c r="E50" s="371"/>
      <c r="F50" s="371"/>
      <c r="H50" s="372"/>
      <c r="I50" s="372"/>
      <c r="J50" s="372"/>
      <c r="K50" s="373"/>
      <c r="L50" s="373"/>
      <c r="M50" s="373"/>
      <c r="N50" s="377"/>
      <c r="O50" s="372"/>
      <c r="P50" s="8"/>
      <c r="Q50" s="372"/>
      <c r="R50" s="373"/>
      <c r="S50" s="373"/>
    </row>
    <row r="51" spans="5:19">
      <c r="E51" s="371"/>
      <c r="F51" s="371"/>
      <c r="H51" s="372"/>
      <c r="I51" s="372"/>
      <c r="J51" s="372"/>
      <c r="K51" s="373"/>
      <c r="L51" s="373"/>
      <c r="M51" s="373"/>
      <c r="N51" s="377"/>
      <c r="O51" s="372"/>
      <c r="P51" s="8"/>
      <c r="Q51" s="372"/>
      <c r="R51" s="373"/>
      <c r="S51" s="373"/>
    </row>
    <row r="52" spans="5:19">
      <c r="E52" s="371"/>
      <c r="F52" s="371"/>
      <c r="H52" s="372"/>
      <c r="I52" s="372"/>
      <c r="J52" s="372"/>
      <c r="K52" s="373"/>
      <c r="L52" s="373"/>
      <c r="M52" s="373"/>
      <c r="N52" s="377"/>
      <c r="O52" s="372"/>
      <c r="P52" s="8"/>
      <c r="Q52" s="372"/>
      <c r="R52" s="373"/>
      <c r="S52" s="373"/>
    </row>
    <row r="53" spans="5:19">
      <c r="E53" s="371"/>
      <c r="F53" s="371"/>
      <c r="H53" s="372"/>
      <c r="I53" s="372"/>
      <c r="J53" s="372"/>
      <c r="K53" s="373"/>
      <c r="L53" s="373"/>
      <c r="M53" s="373"/>
      <c r="N53" s="377"/>
      <c r="O53" s="372"/>
      <c r="P53" s="8"/>
      <c r="Q53" s="372"/>
      <c r="R53" s="373"/>
      <c r="S53" s="373"/>
    </row>
    <row r="54" spans="5:19">
      <c r="E54" s="371"/>
      <c r="F54" s="371"/>
      <c r="H54" s="372"/>
      <c r="I54" s="372"/>
      <c r="J54" s="372"/>
      <c r="K54" s="373"/>
      <c r="L54" s="373"/>
      <c r="M54" s="373"/>
      <c r="N54" s="377"/>
      <c r="O54" s="372"/>
      <c r="P54" s="8"/>
      <c r="Q54" s="372"/>
      <c r="R54" s="373"/>
      <c r="S54" s="373"/>
    </row>
    <row r="55" spans="5:19">
      <c r="E55" s="371"/>
      <c r="F55" s="371"/>
      <c r="H55" s="372"/>
      <c r="I55" s="372"/>
      <c r="J55" s="372"/>
      <c r="K55" s="373"/>
      <c r="L55" s="373"/>
      <c r="M55" s="373"/>
      <c r="N55" s="377"/>
      <c r="O55" s="372"/>
      <c r="P55" s="8"/>
      <c r="Q55" s="372"/>
      <c r="R55" s="373"/>
      <c r="S55" s="373"/>
    </row>
    <row r="56" spans="5:19">
      <c r="E56" s="371"/>
      <c r="F56" s="371"/>
      <c r="H56" s="372"/>
      <c r="I56" s="372"/>
      <c r="J56" s="372"/>
      <c r="K56" s="373"/>
      <c r="L56" s="373"/>
      <c r="M56" s="373"/>
      <c r="N56" s="377"/>
      <c r="O56" s="372"/>
      <c r="P56" s="8"/>
      <c r="Q56" s="372"/>
      <c r="R56" s="373"/>
      <c r="S56" s="373"/>
    </row>
    <row r="57" spans="5:19">
      <c r="E57" s="371"/>
      <c r="F57" s="371"/>
      <c r="H57" s="372"/>
      <c r="I57" s="372"/>
      <c r="J57" s="372"/>
      <c r="K57" s="373"/>
      <c r="L57" s="373"/>
      <c r="M57" s="373"/>
      <c r="N57" s="377"/>
      <c r="O57" s="372"/>
      <c r="P57" s="8"/>
      <c r="Q57" s="372"/>
      <c r="R57" s="373"/>
      <c r="S57" s="373"/>
    </row>
    <row r="58" spans="5:19">
      <c r="E58" s="371"/>
      <c r="F58" s="371"/>
      <c r="H58" s="372"/>
      <c r="I58" s="372"/>
      <c r="J58" s="372"/>
      <c r="K58" s="373"/>
      <c r="L58" s="373"/>
      <c r="M58" s="373"/>
      <c r="N58" s="377"/>
      <c r="O58" s="372"/>
      <c r="P58" s="8"/>
      <c r="Q58" s="372"/>
      <c r="R58" s="373"/>
      <c r="S58" s="373"/>
    </row>
    <row r="59" spans="5:19">
      <c r="E59" s="371"/>
      <c r="F59" s="371"/>
      <c r="H59" s="372"/>
      <c r="I59" s="372"/>
      <c r="J59" s="372"/>
      <c r="K59" s="373"/>
      <c r="L59" s="373"/>
      <c r="M59" s="373"/>
      <c r="N59" s="377"/>
      <c r="O59" s="372"/>
      <c r="P59" s="8"/>
      <c r="Q59" s="372"/>
      <c r="R59" s="373"/>
      <c r="S59" s="373"/>
    </row>
    <row r="60" spans="5:19">
      <c r="E60" s="371"/>
      <c r="F60" s="371"/>
      <c r="H60" s="372"/>
      <c r="I60" s="372"/>
      <c r="J60" s="372"/>
      <c r="K60" s="373"/>
      <c r="L60" s="373"/>
      <c r="M60" s="373"/>
      <c r="N60" s="377"/>
      <c r="O60" s="372"/>
      <c r="P60" s="8"/>
      <c r="Q60" s="372"/>
      <c r="R60" s="373"/>
      <c r="S60" s="373"/>
    </row>
    <row r="61" spans="5:19">
      <c r="E61" s="371"/>
      <c r="F61" s="371"/>
      <c r="H61" s="372"/>
      <c r="I61" s="372"/>
      <c r="J61" s="372"/>
      <c r="K61" s="373"/>
      <c r="L61" s="373"/>
      <c r="M61" s="373"/>
      <c r="N61" s="377"/>
      <c r="O61" s="372"/>
      <c r="P61" s="8"/>
      <c r="Q61" s="372"/>
      <c r="R61" s="373"/>
      <c r="S61" s="373"/>
    </row>
    <row r="62" spans="5:19">
      <c r="E62" s="371"/>
      <c r="F62" s="371"/>
      <c r="H62" s="372"/>
      <c r="I62" s="372"/>
      <c r="J62" s="372"/>
      <c r="K62" s="373"/>
      <c r="L62" s="373"/>
      <c r="M62" s="373"/>
      <c r="N62" s="377"/>
      <c r="O62" s="372"/>
      <c r="P62" s="8"/>
      <c r="Q62" s="372"/>
      <c r="R62" s="373"/>
      <c r="S62" s="373"/>
    </row>
    <row r="63" spans="5:19">
      <c r="E63" s="371"/>
      <c r="F63" s="371"/>
      <c r="H63" s="372"/>
      <c r="I63" s="372"/>
      <c r="J63" s="372"/>
      <c r="K63" s="373"/>
      <c r="L63" s="373"/>
      <c r="M63" s="373"/>
      <c r="N63" s="377"/>
      <c r="O63" s="372"/>
      <c r="P63" s="8"/>
      <c r="Q63" s="372"/>
      <c r="R63" s="373"/>
      <c r="S63" s="373"/>
    </row>
    <row r="64" spans="5:19">
      <c r="E64" s="371"/>
      <c r="F64" s="371"/>
      <c r="H64" s="372"/>
      <c r="I64" s="372"/>
      <c r="J64" s="372"/>
      <c r="K64" s="373"/>
      <c r="L64" s="373"/>
      <c r="M64" s="373"/>
      <c r="N64" s="377"/>
      <c r="O64" s="372"/>
      <c r="P64" s="8"/>
      <c r="Q64" s="372"/>
      <c r="R64" s="373"/>
      <c r="S64" s="373"/>
    </row>
    <row r="65" spans="5:19">
      <c r="E65" s="371"/>
      <c r="F65" s="371"/>
      <c r="H65" s="372"/>
      <c r="I65" s="372"/>
      <c r="J65" s="372"/>
      <c r="K65" s="373"/>
      <c r="L65" s="373"/>
      <c r="M65" s="373"/>
      <c r="N65" s="377"/>
      <c r="O65" s="372"/>
      <c r="P65" s="8"/>
      <c r="Q65" s="372"/>
      <c r="R65" s="373"/>
      <c r="S65" s="373"/>
    </row>
    <row r="66" spans="5:19">
      <c r="E66" s="371"/>
      <c r="F66" s="371"/>
      <c r="H66" s="372"/>
      <c r="I66" s="372"/>
      <c r="J66" s="372"/>
      <c r="K66" s="373"/>
      <c r="L66" s="373"/>
      <c r="M66" s="373"/>
      <c r="N66" s="377"/>
      <c r="O66" s="372"/>
      <c r="P66" s="8"/>
      <c r="Q66" s="372"/>
      <c r="R66" s="373"/>
      <c r="S66" s="373"/>
    </row>
    <row r="67" spans="5:19">
      <c r="E67" s="371"/>
      <c r="F67" s="371"/>
      <c r="H67" s="372"/>
      <c r="I67" s="372"/>
      <c r="J67" s="372"/>
      <c r="K67" s="373"/>
      <c r="L67" s="373"/>
      <c r="M67" s="373"/>
      <c r="N67" s="377"/>
      <c r="O67" s="372"/>
      <c r="P67" s="8"/>
      <c r="Q67" s="372"/>
      <c r="R67" s="373"/>
      <c r="S67" s="373"/>
    </row>
    <row r="68" spans="5:19">
      <c r="E68" s="371"/>
      <c r="F68" s="371"/>
      <c r="H68" s="372"/>
      <c r="I68" s="372"/>
      <c r="J68" s="372"/>
      <c r="K68" s="373"/>
      <c r="L68" s="373"/>
      <c r="M68" s="373"/>
      <c r="N68" s="377"/>
      <c r="O68" s="372"/>
      <c r="P68" s="8"/>
      <c r="Q68" s="372"/>
      <c r="R68" s="373"/>
      <c r="S68" s="373"/>
    </row>
    <row r="69" spans="5:19">
      <c r="E69" s="371"/>
      <c r="F69" s="371"/>
      <c r="H69" s="372"/>
      <c r="I69" s="372"/>
      <c r="J69" s="372"/>
      <c r="K69" s="373"/>
      <c r="L69" s="373"/>
      <c r="M69" s="373"/>
      <c r="N69" s="377"/>
      <c r="O69" s="372"/>
      <c r="P69" s="8"/>
      <c r="Q69" s="372"/>
      <c r="R69" s="373"/>
      <c r="S69" s="373"/>
    </row>
    <row r="70" spans="5:19">
      <c r="E70" s="371"/>
      <c r="F70" s="371"/>
      <c r="H70" s="372"/>
      <c r="I70" s="372"/>
      <c r="J70" s="372"/>
      <c r="K70" s="373"/>
      <c r="L70" s="373"/>
      <c r="M70" s="373"/>
      <c r="N70" s="377"/>
      <c r="O70" s="372"/>
      <c r="P70" s="8"/>
      <c r="Q70" s="372"/>
      <c r="R70" s="373"/>
      <c r="S70" s="373"/>
    </row>
    <row r="71" spans="5:19">
      <c r="E71" s="371"/>
      <c r="F71" s="371"/>
      <c r="H71" s="372"/>
      <c r="I71" s="372"/>
      <c r="J71" s="372"/>
      <c r="K71" s="373"/>
      <c r="L71" s="373"/>
      <c r="M71" s="373"/>
      <c r="N71" s="377"/>
      <c r="O71" s="372"/>
      <c r="P71" s="8"/>
      <c r="Q71" s="372"/>
      <c r="R71" s="373"/>
      <c r="S71" s="373"/>
    </row>
    <row r="72" spans="5:19">
      <c r="E72" s="371"/>
      <c r="F72" s="371"/>
      <c r="H72" s="372"/>
      <c r="I72" s="372"/>
      <c r="J72" s="372"/>
      <c r="K72" s="373"/>
      <c r="L72" s="373"/>
      <c r="M72" s="373"/>
      <c r="N72" s="377"/>
      <c r="O72" s="372"/>
      <c r="P72" s="8"/>
      <c r="Q72" s="372"/>
      <c r="R72" s="373"/>
      <c r="S72" s="373"/>
    </row>
    <row r="73" spans="5:19">
      <c r="E73" s="371"/>
      <c r="F73" s="371"/>
      <c r="H73" s="372"/>
      <c r="I73" s="372"/>
      <c r="J73" s="372"/>
      <c r="K73" s="373"/>
      <c r="L73" s="373"/>
      <c r="M73" s="373"/>
      <c r="N73" s="377"/>
      <c r="O73" s="372"/>
      <c r="P73" s="8"/>
      <c r="Q73" s="372"/>
      <c r="R73" s="373"/>
      <c r="S73" s="373"/>
    </row>
    <row r="74" spans="5:19">
      <c r="E74" s="371"/>
      <c r="F74" s="371"/>
      <c r="H74" s="372"/>
      <c r="I74" s="372"/>
      <c r="J74" s="372"/>
      <c r="K74" s="373"/>
      <c r="L74" s="373"/>
      <c r="M74" s="373"/>
      <c r="N74" s="377"/>
      <c r="O74" s="372"/>
      <c r="P74" s="8"/>
      <c r="Q74" s="372"/>
      <c r="R74" s="373"/>
      <c r="S74" s="373"/>
    </row>
    <row r="75" spans="5:19">
      <c r="E75" s="371"/>
      <c r="F75" s="371"/>
      <c r="H75" s="372"/>
      <c r="I75" s="372"/>
      <c r="J75" s="372"/>
      <c r="K75" s="373"/>
      <c r="L75" s="373"/>
      <c r="M75" s="373"/>
      <c r="N75" s="377"/>
      <c r="O75" s="372"/>
      <c r="P75" s="8"/>
      <c r="Q75" s="372"/>
      <c r="R75" s="373"/>
      <c r="S75" s="373"/>
    </row>
    <row r="76" spans="5:19">
      <c r="E76" s="371"/>
      <c r="F76" s="371"/>
      <c r="H76" s="372"/>
      <c r="I76" s="372"/>
      <c r="J76" s="372"/>
      <c r="K76" s="373"/>
      <c r="L76" s="373"/>
      <c r="M76" s="373"/>
      <c r="N76" s="377"/>
      <c r="O76" s="372"/>
      <c r="P76" s="8"/>
      <c r="Q76" s="372"/>
      <c r="R76" s="373"/>
      <c r="S76" s="373"/>
    </row>
    <row r="77" spans="5:19">
      <c r="E77" s="371"/>
      <c r="F77" s="371"/>
      <c r="H77" s="372"/>
      <c r="I77" s="372"/>
      <c r="J77" s="372"/>
      <c r="K77" s="373"/>
      <c r="L77" s="373"/>
      <c r="M77" s="373"/>
      <c r="N77" s="377"/>
      <c r="O77" s="372"/>
      <c r="P77" s="8"/>
      <c r="Q77" s="372"/>
      <c r="R77" s="373"/>
      <c r="S77" s="373"/>
    </row>
    <row r="78" spans="5:19">
      <c r="E78" s="371"/>
      <c r="F78" s="371"/>
      <c r="H78" s="372"/>
      <c r="I78" s="372"/>
      <c r="J78" s="372"/>
      <c r="K78" s="373"/>
      <c r="L78" s="373"/>
      <c r="M78" s="373"/>
      <c r="N78" s="377"/>
      <c r="O78" s="372"/>
      <c r="P78" s="8"/>
      <c r="Q78" s="372"/>
      <c r="R78" s="373"/>
      <c r="S78" s="373"/>
    </row>
    <row r="79" spans="5:19">
      <c r="E79" s="371"/>
      <c r="F79" s="371"/>
      <c r="H79" s="372"/>
      <c r="I79" s="372"/>
      <c r="J79" s="372"/>
      <c r="K79" s="373"/>
      <c r="L79" s="373"/>
      <c r="M79" s="373"/>
      <c r="N79" s="377"/>
      <c r="O79" s="372"/>
      <c r="P79" s="8"/>
      <c r="Q79" s="372"/>
      <c r="R79" s="373"/>
      <c r="S79" s="373"/>
    </row>
    <row r="80" spans="5:19">
      <c r="E80" s="371"/>
      <c r="F80" s="371"/>
      <c r="H80" s="372"/>
      <c r="I80" s="372"/>
      <c r="J80" s="372"/>
      <c r="K80" s="373"/>
      <c r="L80" s="373"/>
      <c r="M80" s="373"/>
      <c r="N80" s="377"/>
      <c r="O80" s="372"/>
      <c r="P80" s="8"/>
      <c r="Q80" s="372"/>
      <c r="R80" s="373"/>
      <c r="S80" s="373"/>
    </row>
    <row r="81" spans="5:19">
      <c r="E81" s="371"/>
      <c r="F81" s="371"/>
      <c r="H81" s="372"/>
      <c r="I81" s="372"/>
      <c r="J81" s="372"/>
      <c r="K81" s="373"/>
      <c r="L81" s="373"/>
      <c r="M81" s="373"/>
      <c r="N81" s="377"/>
      <c r="O81" s="372"/>
      <c r="P81" s="8"/>
      <c r="Q81" s="372"/>
      <c r="R81" s="373"/>
      <c r="S81" s="373"/>
    </row>
    <row r="82" spans="5:19">
      <c r="E82" s="371"/>
      <c r="F82" s="371"/>
      <c r="H82" s="372"/>
      <c r="I82" s="372"/>
      <c r="J82" s="372"/>
      <c r="K82" s="373"/>
      <c r="L82" s="373"/>
      <c r="M82" s="373"/>
      <c r="N82" s="377"/>
      <c r="O82" s="372"/>
      <c r="P82" s="8"/>
      <c r="Q82" s="372"/>
      <c r="R82" s="373"/>
      <c r="S82" s="373"/>
    </row>
    <row r="83" spans="5:19">
      <c r="E83" s="371"/>
      <c r="F83" s="371"/>
      <c r="H83" s="372"/>
      <c r="I83" s="372"/>
      <c r="J83" s="372"/>
      <c r="K83" s="373"/>
      <c r="L83" s="373"/>
      <c r="M83" s="373"/>
      <c r="N83" s="377"/>
      <c r="O83" s="372"/>
      <c r="P83" s="8"/>
      <c r="Q83" s="372"/>
      <c r="R83" s="373"/>
      <c r="S83" s="373"/>
    </row>
    <row r="84" spans="5:19">
      <c r="E84" s="371"/>
      <c r="F84" s="371"/>
      <c r="H84" s="372"/>
      <c r="I84" s="372"/>
      <c r="J84" s="372"/>
      <c r="K84" s="373"/>
      <c r="L84" s="373"/>
      <c r="M84" s="373"/>
      <c r="N84" s="377"/>
      <c r="O84" s="372"/>
      <c r="P84" s="8"/>
      <c r="Q84" s="372"/>
      <c r="R84" s="373"/>
      <c r="S84" s="373"/>
    </row>
    <row r="85" spans="5:19">
      <c r="E85" s="371"/>
      <c r="F85" s="371"/>
      <c r="H85" s="372"/>
      <c r="I85" s="372"/>
      <c r="J85" s="372"/>
      <c r="K85" s="373"/>
      <c r="L85" s="373"/>
      <c r="M85" s="373"/>
      <c r="N85" s="377"/>
      <c r="O85" s="372"/>
      <c r="P85" s="8"/>
      <c r="Q85" s="372"/>
      <c r="R85" s="373"/>
      <c r="S85" s="373"/>
    </row>
    <row r="86" spans="5:19">
      <c r="E86" s="371"/>
      <c r="F86" s="371"/>
      <c r="H86" s="372"/>
      <c r="I86" s="372"/>
      <c r="J86" s="372"/>
      <c r="K86" s="373"/>
      <c r="L86" s="373"/>
      <c r="M86" s="373"/>
      <c r="N86" s="377"/>
      <c r="O86" s="372"/>
      <c r="P86" s="8"/>
      <c r="Q86" s="372"/>
      <c r="R86" s="373"/>
      <c r="S86" s="373"/>
    </row>
    <row r="87" spans="5:19">
      <c r="E87" s="371"/>
      <c r="F87" s="371"/>
      <c r="H87" s="372"/>
      <c r="I87" s="372"/>
      <c r="J87" s="372"/>
      <c r="K87" s="373"/>
      <c r="L87" s="373"/>
      <c r="M87" s="373"/>
      <c r="N87" s="377"/>
      <c r="O87" s="372"/>
      <c r="P87" s="8"/>
      <c r="Q87" s="372"/>
      <c r="R87" s="373"/>
      <c r="S87" s="373"/>
    </row>
    <row r="88" spans="5:19">
      <c r="E88" s="371"/>
      <c r="F88" s="371"/>
      <c r="H88" s="372"/>
      <c r="I88" s="372"/>
      <c r="J88" s="372"/>
      <c r="K88" s="373"/>
      <c r="L88" s="373"/>
      <c r="M88" s="373"/>
      <c r="N88" s="377"/>
      <c r="O88" s="372"/>
      <c r="P88" s="8"/>
      <c r="Q88" s="372"/>
      <c r="R88" s="373"/>
      <c r="S88" s="373"/>
    </row>
    <row r="89" spans="5:19">
      <c r="E89" s="371"/>
      <c r="F89" s="371"/>
      <c r="H89" s="372"/>
      <c r="I89" s="372"/>
      <c r="J89" s="372"/>
      <c r="K89" s="373"/>
      <c r="L89" s="373"/>
      <c r="M89" s="373"/>
      <c r="N89" s="377"/>
      <c r="O89" s="372"/>
      <c r="P89" s="8"/>
      <c r="Q89" s="372"/>
      <c r="R89" s="373"/>
      <c r="S89" s="373"/>
    </row>
    <row r="90" spans="5:19">
      <c r="E90" s="371"/>
      <c r="F90" s="371"/>
      <c r="H90" s="372"/>
      <c r="I90" s="372"/>
      <c r="J90" s="372"/>
      <c r="K90" s="373"/>
      <c r="L90" s="373"/>
      <c r="M90" s="373"/>
      <c r="N90" s="377"/>
      <c r="O90" s="372"/>
      <c r="P90" s="8"/>
      <c r="Q90" s="372"/>
      <c r="R90" s="373"/>
      <c r="S90" s="373"/>
    </row>
    <row r="91" spans="5:19">
      <c r="E91" s="371"/>
      <c r="F91" s="371"/>
      <c r="H91" s="372"/>
      <c r="I91" s="372"/>
      <c r="J91" s="372"/>
      <c r="K91" s="373"/>
      <c r="L91" s="373"/>
      <c r="M91" s="373"/>
      <c r="N91" s="377"/>
      <c r="O91" s="372"/>
      <c r="P91" s="8"/>
      <c r="Q91" s="372"/>
      <c r="R91" s="373"/>
      <c r="S91" s="373"/>
    </row>
    <row r="92" spans="5:19">
      <c r="E92" s="371"/>
      <c r="F92" s="371"/>
      <c r="H92" s="372"/>
      <c r="I92" s="372"/>
      <c r="J92" s="372"/>
      <c r="K92" s="373"/>
      <c r="L92" s="373"/>
      <c r="M92" s="373"/>
      <c r="N92" s="377"/>
      <c r="O92" s="372"/>
      <c r="P92" s="8"/>
      <c r="Q92" s="372"/>
      <c r="R92" s="373"/>
      <c r="S92" s="373"/>
    </row>
    <row r="93" spans="5:19">
      <c r="E93" s="371"/>
      <c r="F93" s="371"/>
      <c r="H93" s="372"/>
      <c r="I93" s="372"/>
      <c r="J93" s="372"/>
      <c r="K93" s="373"/>
      <c r="L93" s="373"/>
      <c r="M93" s="373"/>
      <c r="N93" s="377"/>
      <c r="O93" s="372"/>
      <c r="P93" s="8"/>
      <c r="Q93" s="372"/>
      <c r="R93" s="373"/>
      <c r="S93" s="373"/>
    </row>
    <row r="94" spans="5:19">
      <c r="E94" s="371"/>
      <c r="F94" s="371"/>
      <c r="H94" s="372"/>
      <c r="I94" s="372"/>
      <c r="J94" s="372"/>
      <c r="K94" s="373"/>
      <c r="L94" s="373"/>
      <c r="M94" s="373"/>
      <c r="N94" s="377"/>
      <c r="O94" s="372"/>
      <c r="P94" s="8"/>
      <c r="Q94" s="372"/>
      <c r="R94" s="373"/>
      <c r="S94" s="373"/>
    </row>
    <row r="95" spans="5:19">
      <c r="E95" s="371"/>
      <c r="F95" s="371"/>
      <c r="H95" s="372"/>
      <c r="I95" s="372"/>
      <c r="J95" s="372"/>
      <c r="K95" s="373"/>
      <c r="L95" s="373"/>
      <c r="M95" s="373"/>
      <c r="N95" s="377"/>
      <c r="O95" s="372"/>
      <c r="P95" s="8"/>
      <c r="Q95" s="372"/>
      <c r="R95" s="373"/>
      <c r="S95" s="373"/>
    </row>
    <row r="96" spans="5:19">
      <c r="E96" s="371"/>
      <c r="F96" s="371"/>
      <c r="H96" s="372"/>
      <c r="I96" s="372"/>
      <c r="J96" s="372"/>
      <c r="K96" s="373"/>
      <c r="L96" s="373"/>
      <c r="M96" s="373"/>
      <c r="N96" s="377"/>
      <c r="O96" s="372"/>
      <c r="P96" s="8"/>
      <c r="Q96" s="372"/>
      <c r="R96" s="373"/>
      <c r="S96" s="373"/>
    </row>
    <row r="97" spans="5:19">
      <c r="E97" s="371"/>
      <c r="F97" s="371"/>
      <c r="H97" s="372"/>
      <c r="I97" s="372"/>
      <c r="J97" s="372"/>
      <c r="K97" s="373"/>
      <c r="L97" s="373"/>
      <c r="M97" s="373"/>
      <c r="N97" s="377"/>
      <c r="O97" s="372"/>
      <c r="P97" s="8"/>
      <c r="Q97" s="372"/>
      <c r="R97" s="373"/>
      <c r="S97" s="373"/>
    </row>
    <row r="98" spans="5:19">
      <c r="E98" s="371"/>
      <c r="F98" s="371"/>
      <c r="H98" s="372"/>
      <c r="I98" s="372"/>
      <c r="J98" s="372"/>
      <c r="K98" s="373"/>
      <c r="L98" s="373"/>
      <c r="M98" s="373"/>
      <c r="N98" s="377"/>
      <c r="O98" s="372"/>
      <c r="P98" s="8"/>
      <c r="Q98" s="372"/>
      <c r="R98" s="373"/>
      <c r="S98" s="373"/>
    </row>
  </sheetData>
  <sheetProtection algorithmName="SHA-512" hashValue="QcBMTyPPRVO+vP3EUvT1puQEREpngOBOa60jxQGOIe4DJAulJ64G5H5S2TG+tWKpGT5Dky5UKucI0ojV9au/rQ==" saltValue="LgCaMq164Ay4Btk1ulfHoQ==" spinCount="100000" sheet="1" objects="1" scenarios="1"/>
  <dataConsolidate link="1"/>
  <mergeCells count="23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12:B22"/>
    <mergeCell ref="D20:D22"/>
    <mergeCell ref="D17:D18"/>
    <mergeCell ref="D13:D16"/>
    <mergeCell ref="C12:C18"/>
    <mergeCell ref="C20:C2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J9" sqref="J9"/>
    </sheetView>
  </sheetViews>
  <sheetFormatPr baseColWidth="10" defaultRowHeight="12.75"/>
  <cols>
    <col min="1" max="1" width="43" style="50" customWidth="1"/>
    <col min="2" max="2" width="17" style="29" bestFit="1" customWidth="1"/>
    <col min="3" max="3" width="20.625" style="29" bestFit="1" customWidth="1"/>
    <col min="4" max="4" width="11" style="29"/>
    <col min="5" max="5" width="2.375" style="29" customWidth="1"/>
    <col min="6" max="7" width="14.125" style="29" bestFit="1" customWidth="1"/>
    <col min="8" max="16384" width="11" style="29"/>
  </cols>
  <sheetData>
    <row r="1" spans="1:10" ht="25.5">
      <c r="A1" s="28" t="s">
        <v>250</v>
      </c>
      <c r="B1" s="28" t="s">
        <v>251</v>
      </c>
      <c r="C1" s="28" t="s">
        <v>252</v>
      </c>
      <c r="D1" s="28" t="s">
        <v>253</v>
      </c>
    </row>
    <row r="2" spans="1:10" ht="16.5" customHeight="1">
      <c r="A2" s="30" t="s">
        <v>254</v>
      </c>
      <c r="B2" s="31">
        <f>+EJE_X_01!M10</f>
        <v>1861771344</v>
      </c>
      <c r="C2" s="31">
        <v>1644936831</v>
      </c>
      <c r="D2" s="32">
        <f>+C2/B2</f>
        <v>0.88353322028572379</v>
      </c>
      <c r="F2" s="33">
        <f t="shared" ref="F2:G2" si="0">+B2/1000</f>
        <v>1861771.344</v>
      </c>
      <c r="G2" s="33">
        <f t="shared" si="0"/>
        <v>1644936.831</v>
      </c>
    </row>
    <row r="3" spans="1:10" ht="16.5" customHeight="1">
      <c r="A3" s="30" t="s">
        <v>255</v>
      </c>
      <c r="B3" s="31">
        <f>+EJE_X_01!M40</f>
        <v>485867925</v>
      </c>
      <c r="C3" s="31">
        <v>273018646</v>
      </c>
      <c r="D3" s="32">
        <f>+C3/B3</f>
        <v>0.56191946813529625</v>
      </c>
      <c r="F3" s="33">
        <f t="shared" ref="F3:G5" si="1">+B3/1000</f>
        <v>485867.92499999999</v>
      </c>
      <c r="G3" s="33">
        <f t="shared" si="1"/>
        <v>273018.64600000001</v>
      </c>
    </row>
    <row r="4" spans="1:10" ht="16.5" customHeight="1">
      <c r="A4" s="30" t="s">
        <v>490</v>
      </c>
      <c r="B4" s="31">
        <v>50000000</v>
      </c>
      <c r="C4" s="31">
        <v>0</v>
      </c>
      <c r="D4" s="32"/>
      <c r="F4" s="33">
        <f t="shared" si="1"/>
        <v>50000</v>
      </c>
      <c r="G4" s="33">
        <f t="shared" si="1"/>
        <v>0</v>
      </c>
    </row>
    <row r="5" spans="1:10" s="37" customFormat="1" ht="16.5" customHeight="1">
      <c r="A5" s="34" t="s">
        <v>256</v>
      </c>
      <c r="B5" s="35">
        <f>+SUM(B2:B4)</f>
        <v>2397639269</v>
      </c>
      <c r="C5" s="35">
        <f>+SUM(C2:C4)</f>
        <v>1917955477</v>
      </c>
      <c r="D5" s="36">
        <f>+C5/B5</f>
        <v>0.79993496177593681</v>
      </c>
      <c r="F5" s="33">
        <f t="shared" si="1"/>
        <v>2397639.2689999999</v>
      </c>
      <c r="G5" s="33">
        <f t="shared" si="1"/>
        <v>1917955.477</v>
      </c>
    </row>
    <row r="6" spans="1:10" ht="16.5" customHeight="1">
      <c r="A6" s="38"/>
      <c r="B6" s="39"/>
      <c r="C6" s="40"/>
      <c r="D6" s="41"/>
    </row>
    <row r="7" spans="1:10" ht="25.5">
      <c r="A7" s="28" t="s">
        <v>250</v>
      </c>
      <c r="B7" s="28" t="s">
        <v>251</v>
      </c>
      <c r="C7" s="28" t="s">
        <v>252</v>
      </c>
      <c r="D7" s="28" t="s">
        <v>253</v>
      </c>
      <c r="F7" s="42" t="s">
        <v>257</v>
      </c>
      <c r="G7" s="42" t="s">
        <v>258</v>
      </c>
    </row>
    <row r="8" spans="1:10">
      <c r="A8" s="30" t="s">
        <v>259</v>
      </c>
      <c r="B8" s="31">
        <f>+EJE_X_01!M65</f>
        <v>1084123341</v>
      </c>
      <c r="C8" s="31">
        <v>475077746</v>
      </c>
      <c r="D8" s="32">
        <f>+C8/B8</f>
        <v>0.43821374195466195</v>
      </c>
      <c r="F8" s="33">
        <f>+(B8)/1000</f>
        <v>1084123.341</v>
      </c>
      <c r="G8" s="33">
        <f>+(C8)/1000</f>
        <v>475077.74599999998</v>
      </c>
      <c r="H8" s="315">
        <f>+G8-'2020'!P13</f>
        <v>252628.351</v>
      </c>
      <c r="I8" s="29">
        <v>252628.351</v>
      </c>
      <c r="J8" s="29">
        <f>+I8/2</f>
        <v>126314.1755</v>
      </c>
    </row>
    <row r="9" spans="1:10" ht="16.5" customHeight="1">
      <c r="A9" s="30" t="s">
        <v>243</v>
      </c>
      <c r="B9" s="31">
        <f>+EJE_X_01!M67</f>
        <v>273230000</v>
      </c>
      <c r="C9" s="31">
        <v>238002006</v>
      </c>
      <c r="D9" s="32">
        <f>+C9/B9</f>
        <v>0.87106835266991178</v>
      </c>
      <c r="F9" s="33">
        <f>+(B9/3)/1000</f>
        <v>91076.666666666672</v>
      </c>
      <c r="G9" s="33">
        <f>+(C9/3)/1000</f>
        <v>79334.001999999993</v>
      </c>
    </row>
    <row r="10" spans="1:10" ht="16.5" customHeight="1">
      <c r="A10" s="30" t="s">
        <v>235</v>
      </c>
      <c r="B10" s="31">
        <f>+EJE_X_01!M63</f>
        <v>250000000</v>
      </c>
      <c r="C10" s="31">
        <v>0</v>
      </c>
      <c r="D10" s="32">
        <f>+C10/B10</f>
        <v>0</v>
      </c>
      <c r="F10" s="33">
        <f>+(B10/1)/1000</f>
        <v>250000</v>
      </c>
      <c r="G10" s="33">
        <f>+(C10/1)/1000</f>
        <v>0</v>
      </c>
    </row>
    <row r="11" spans="1:10" ht="16.5" customHeight="1">
      <c r="A11" s="30" t="s">
        <v>260</v>
      </c>
      <c r="B11" s="31">
        <f>+EJE_X_01!M64</f>
        <v>1529106397.71</v>
      </c>
      <c r="C11" s="31">
        <f>+EJE_X_01!P64</f>
        <v>1510500000</v>
      </c>
      <c r="D11" s="32">
        <f>+C11/B11</f>
        <v>0.98783184889039433</v>
      </c>
      <c r="F11" s="33">
        <f>+(B11)/1000</f>
        <v>1529106.3977099999</v>
      </c>
      <c r="G11" s="33">
        <f>+(C11)/1000</f>
        <v>1510500</v>
      </c>
    </row>
    <row r="12" spans="1:10" s="37" customFormat="1">
      <c r="A12" s="43" t="s">
        <v>261</v>
      </c>
      <c r="B12" s="44">
        <f>+SUM(B8:B11)</f>
        <v>3136459738.71</v>
      </c>
      <c r="C12" s="44">
        <f>+SUM(C8:C11)</f>
        <v>2223579752</v>
      </c>
      <c r="D12" s="45">
        <f>+C12/B12</f>
        <v>0.70894573412077022</v>
      </c>
      <c r="G12" s="46"/>
    </row>
    <row r="14" spans="1:10" s="37" customFormat="1">
      <c r="A14" s="47" t="s">
        <v>88</v>
      </c>
      <c r="B14" s="48">
        <f>+B5+B12</f>
        <v>5534099007.71</v>
      </c>
      <c r="C14" s="48">
        <f>+C5+C12</f>
        <v>4141535229</v>
      </c>
      <c r="D14" s="49">
        <f>+C14/B14</f>
        <v>0.74836666695519771</v>
      </c>
    </row>
  </sheetData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topLeftCell="A2" workbookViewId="0">
      <selection activeCell="M10" sqref="M10:M40"/>
    </sheetView>
  </sheetViews>
  <sheetFormatPr baseColWidth="10" defaultRowHeight="15"/>
  <cols>
    <col min="1" max="1" width="13.25" style="22" bestFit="1" customWidth="1"/>
    <col min="2" max="2" width="14.875" style="22" bestFit="1" customWidth="1"/>
    <col min="3" max="3" width="12.875" style="22" bestFit="1" customWidth="1"/>
    <col min="4" max="4" width="40" style="22" bestFit="1" customWidth="1"/>
    <col min="5" max="5" width="5.75" style="22" hidden="1" customWidth="1"/>
    <col min="6" max="6" width="14.5" style="22" hidden="1" customWidth="1"/>
    <col min="7" max="7" width="13.875" style="22" hidden="1" customWidth="1"/>
    <col min="8" max="8" width="11.375" style="22" hidden="1" customWidth="1"/>
    <col min="9" max="9" width="13.125" style="22" hidden="1" customWidth="1"/>
    <col min="10" max="10" width="12.375" style="22" hidden="1" customWidth="1"/>
    <col min="11" max="12" width="13.875" style="22" hidden="1" customWidth="1"/>
    <col min="13" max="13" width="17" style="22" bestFit="1" customWidth="1"/>
    <col min="14" max="14" width="13.75" style="22" hidden="1" customWidth="1"/>
    <col min="15" max="15" width="13.875" style="22" hidden="1" customWidth="1"/>
    <col min="16" max="16" width="20.625" style="22" bestFit="1" customWidth="1"/>
    <col min="17" max="17" width="13.875" style="22" hidden="1" customWidth="1"/>
    <col min="18" max="18" width="20.25" style="22" hidden="1" customWidth="1"/>
    <col min="19" max="19" width="23.125" style="22" hidden="1" customWidth="1"/>
    <col min="20" max="20" width="14.625" style="22" hidden="1" customWidth="1"/>
    <col min="21" max="21" width="17.875" style="22" hidden="1" customWidth="1"/>
    <col min="22" max="22" width="13.875" style="22" hidden="1" customWidth="1"/>
    <col min="23" max="23" width="14.75" style="22" hidden="1" customWidth="1"/>
    <col min="24" max="24" width="15" style="22" hidden="1" customWidth="1"/>
    <col min="25" max="25" width="13.875" style="22" hidden="1" customWidth="1"/>
    <col min="26" max="26" width="12.375" style="22" hidden="1" customWidth="1"/>
    <col min="27" max="16384" width="11" style="22"/>
  </cols>
  <sheetData>
    <row r="1" spans="1:27">
      <c r="A1" s="640" t="s">
        <v>53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</row>
    <row r="2" spans="1:27">
      <c r="A2" s="639" t="s">
        <v>54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23"/>
    </row>
    <row r="3" spans="1:27">
      <c r="A3" s="639" t="s">
        <v>55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9"/>
      <c r="V3" s="639"/>
      <c r="W3" s="639"/>
      <c r="X3" s="639"/>
      <c r="Y3" s="639"/>
      <c r="Z3" s="639"/>
      <c r="AA3" s="23"/>
    </row>
    <row r="4" spans="1:27">
      <c r="A4" s="639" t="s">
        <v>56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39"/>
      <c r="W4" s="639"/>
      <c r="X4" s="639"/>
      <c r="Y4" s="639"/>
      <c r="Z4" s="639"/>
    </row>
    <row r="5" spans="1:27">
      <c r="A5" s="639" t="s">
        <v>57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23"/>
    </row>
    <row r="6" spans="1:27">
      <c r="A6" s="639" t="s">
        <v>58</v>
      </c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23"/>
    </row>
    <row r="7" spans="1:27" ht="21" customHeight="1">
      <c r="A7" s="24" t="s">
        <v>59</v>
      </c>
      <c r="B7" s="24" t="s">
        <v>60</v>
      </c>
      <c r="C7" s="24" t="s">
        <v>61</v>
      </c>
      <c r="D7" s="24" t="s">
        <v>62</v>
      </c>
      <c r="E7" s="24" t="s">
        <v>63</v>
      </c>
      <c r="F7" s="24" t="s">
        <v>64</v>
      </c>
      <c r="G7" s="24" t="s">
        <v>65</v>
      </c>
      <c r="H7" s="24" t="s">
        <v>66</v>
      </c>
      <c r="I7" s="24" t="s">
        <v>67</v>
      </c>
      <c r="J7" s="24" t="s">
        <v>68</v>
      </c>
      <c r="K7" s="24" t="s">
        <v>69</v>
      </c>
      <c r="L7" s="24" t="s">
        <v>70</v>
      </c>
      <c r="M7" s="24" t="s">
        <v>71</v>
      </c>
      <c r="N7" s="24" t="s">
        <v>72</v>
      </c>
      <c r="O7" s="24" t="s">
        <v>73</v>
      </c>
      <c r="P7" s="24" t="s">
        <v>74</v>
      </c>
      <c r="Q7" s="24" t="s">
        <v>75</v>
      </c>
      <c r="R7" s="24" t="s">
        <v>76</v>
      </c>
      <c r="S7" s="24" t="s">
        <v>77</v>
      </c>
      <c r="T7" s="24" t="s">
        <v>78</v>
      </c>
      <c r="U7" s="24" t="s">
        <v>79</v>
      </c>
      <c r="V7" s="24" t="s">
        <v>80</v>
      </c>
      <c r="W7" s="24" t="s">
        <v>81</v>
      </c>
      <c r="X7" s="24" t="s">
        <v>82</v>
      </c>
      <c r="Y7" s="24" t="s">
        <v>83</v>
      </c>
      <c r="Z7" s="24" t="s">
        <v>84</v>
      </c>
    </row>
    <row r="8" spans="1:27" ht="16.5" customHeight="1">
      <c r="A8" s="25" t="s">
        <v>85</v>
      </c>
      <c r="B8" s="25" t="s">
        <v>86</v>
      </c>
      <c r="C8" s="25" t="s">
        <v>87</v>
      </c>
      <c r="D8" s="25" t="s">
        <v>88</v>
      </c>
      <c r="E8" s="25" t="s">
        <v>85</v>
      </c>
      <c r="F8" s="26">
        <v>4378805187</v>
      </c>
      <c r="G8" s="26">
        <v>1447299007.71</v>
      </c>
      <c r="H8" s="27">
        <v>0</v>
      </c>
      <c r="I8" s="27">
        <v>0</v>
      </c>
      <c r="J8" s="26">
        <v>342005187</v>
      </c>
      <c r="K8" s="26">
        <v>1085668334</v>
      </c>
      <c r="L8" s="26">
        <v>1085668334</v>
      </c>
      <c r="M8" s="26">
        <v>5484099007.71</v>
      </c>
      <c r="N8" s="27">
        <v>0</v>
      </c>
      <c r="O8" s="26">
        <v>4085587036</v>
      </c>
      <c r="P8" s="26">
        <v>4085587036</v>
      </c>
      <c r="Q8" s="26">
        <v>1398511971.71</v>
      </c>
      <c r="R8" s="27">
        <v>0</v>
      </c>
      <c r="S8" s="26">
        <v>2805579416</v>
      </c>
      <c r="T8" s="26">
        <v>2805579416</v>
      </c>
      <c r="U8" s="26">
        <v>2678519591.71</v>
      </c>
      <c r="V8" s="26">
        <v>2229314725.6700001</v>
      </c>
      <c r="W8" s="27">
        <v>0</v>
      </c>
      <c r="X8" s="26">
        <v>2195906572.6700001</v>
      </c>
      <c r="Y8" s="26">
        <v>2195906572.6700001</v>
      </c>
      <c r="Z8" s="26">
        <v>609672843.33000004</v>
      </c>
    </row>
    <row r="9" spans="1:27" s="54" customFormat="1" ht="16.5" customHeight="1">
      <c r="A9" s="51" t="s">
        <v>85</v>
      </c>
      <c r="B9" s="51" t="s">
        <v>89</v>
      </c>
      <c r="C9" s="51" t="s">
        <v>87</v>
      </c>
      <c r="D9" s="51" t="s">
        <v>90</v>
      </c>
      <c r="E9" s="51" t="s">
        <v>85</v>
      </c>
      <c r="F9" s="52">
        <v>2359455786</v>
      </c>
      <c r="G9" s="53">
        <v>0</v>
      </c>
      <c r="H9" s="53">
        <v>0</v>
      </c>
      <c r="I9" s="53">
        <v>0</v>
      </c>
      <c r="J9" s="52">
        <v>11816517</v>
      </c>
      <c r="K9" s="52">
        <v>301772932</v>
      </c>
      <c r="L9" s="52">
        <v>301772932</v>
      </c>
      <c r="M9" s="52">
        <v>2347639269</v>
      </c>
      <c r="N9" s="53">
        <v>0</v>
      </c>
      <c r="O9" s="52">
        <v>1682865729</v>
      </c>
      <c r="P9" s="52">
        <v>1682865729</v>
      </c>
      <c r="Q9" s="52">
        <v>664773540</v>
      </c>
      <c r="R9" s="53">
        <v>0</v>
      </c>
      <c r="S9" s="52">
        <v>1660543942</v>
      </c>
      <c r="T9" s="52">
        <v>1660543942</v>
      </c>
      <c r="U9" s="52">
        <v>687095327</v>
      </c>
      <c r="V9" s="52">
        <v>1435400798.6700001</v>
      </c>
      <c r="W9" s="53">
        <v>0</v>
      </c>
      <c r="X9" s="52">
        <v>1405025978.6700001</v>
      </c>
      <c r="Y9" s="52">
        <v>1405025978.6700001</v>
      </c>
      <c r="Z9" s="52">
        <v>255517963.33000001</v>
      </c>
    </row>
    <row r="10" spans="1:27" s="58" customFormat="1" ht="16.5" customHeight="1">
      <c r="A10" s="55" t="s">
        <v>85</v>
      </c>
      <c r="B10" s="55" t="s">
        <v>91</v>
      </c>
      <c r="C10" s="55" t="s">
        <v>87</v>
      </c>
      <c r="D10" s="55" t="s">
        <v>92</v>
      </c>
      <c r="E10" s="55" t="s">
        <v>85</v>
      </c>
      <c r="F10" s="56">
        <v>1796878165</v>
      </c>
      <c r="G10" s="57">
        <v>0</v>
      </c>
      <c r="H10" s="57">
        <v>0</v>
      </c>
      <c r="I10" s="57">
        <v>0</v>
      </c>
      <c r="J10" s="57">
        <v>0</v>
      </c>
      <c r="K10" s="56">
        <v>148789095</v>
      </c>
      <c r="L10" s="56">
        <v>83895916</v>
      </c>
      <c r="M10" s="56">
        <v>1861771344</v>
      </c>
      <c r="N10" s="57">
        <v>0</v>
      </c>
      <c r="O10" s="56">
        <v>1493900276</v>
      </c>
      <c r="P10" s="56">
        <v>1493900276</v>
      </c>
      <c r="Q10" s="56">
        <v>367871068</v>
      </c>
      <c r="R10" s="57">
        <v>0</v>
      </c>
      <c r="S10" s="56">
        <v>1480655346</v>
      </c>
      <c r="T10" s="56">
        <v>1480655346</v>
      </c>
      <c r="U10" s="56">
        <v>381115998</v>
      </c>
      <c r="V10" s="56">
        <v>1292694257.6700001</v>
      </c>
      <c r="W10" s="57">
        <v>0</v>
      </c>
      <c r="X10" s="56">
        <v>1274379869.6700001</v>
      </c>
      <c r="Y10" s="56">
        <v>1274379869.6700001</v>
      </c>
      <c r="Z10" s="56">
        <v>206275476.33000001</v>
      </c>
    </row>
    <row r="11" spans="1:27" ht="16.5" hidden="1" customHeight="1">
      <c r="A11" s="25" t="s">
        <v>93</v>
      </c>
      <c r="B11" s="25" t="s">
        <v>94</v>
      </c>
      <c r="C11" s="25" t="s">
        <v>87</v>
      </c>
      <c r="D11" s="25" t="s">
        <v>95</v>
      </c>
      <c r="E11" s="25" t="s">
        <v>96</v>
      </c>
      <c r="F11" s="26">
        <v>729770472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6">
        <v>24053851</v>
      </c>
      <c r="M11" s="26">
        <v>705716621</v>
      </c>
      <c r="N11" s="27">
        <v>0</v>
      </c>
      <c r="O11" s="26">
        <v>583805567</v>
      </c>
      <c r="P11" s="26">
        <v>583805567</v>
      </c>
      <c r="Q11" s="26">
        <v>121911054</v>
      </c>
      <c r="R11" s="27">
        <v>0</v>
      </c>
      <c r="S11" s="26">
        <v>583805567</v>
      </c>
      <c r="T11" s="26">
        <v>583805567</v>
      </c>
      <c r="U11" s="26">
        <v>121911054</v>
      </c>
      <c r="V11" s="26">
        <v>583805567</v>
      </c>
      <c r="W11" s="27">
        <v>0</v>
      </c>
      <c r="X11" s="26">
        <v>583805567</v>
      </c>
      <c r="Y11" s="26">
        <v>583805567</v>
      </c>
      <c r="Z11" s="27">
        <v>0</v>
      </c>
    </row>
    <row r="12" spans="1:27" ht="16.5" hidden="1" customHeight="1">
      <c r="A12" s="25" t="s">
        <v>85</v>
      </c>
      <c r="B12" s="25" t="s">
        <v>97</v>
      </c>
      <c r="C12" s="25" t="s">
        <v>87</v>
      </c>
      <c r="D12" s="25" t="s">
        <v>98</v>
      </c>
      <c r="E12" s="25" t="s">
        <v>85</v>
      </c>
      <c r="F12" s="26">
        <v>235541313</v>
      </c>
      <c r="G12" s="27">
        <v>0</v>
      </c>
      <c r="H12" s="27">
        <v>0</v>
      </c>
      <c r="I12" s="27">
        <v>0</v>
      </c>
      <c r="J12" s="27">
        <v>0</v>
      </c>
      <c r="K12" s="26">
        <v>16802699</v>
      </c>
      <c r="L12" s="26">
        <v>12893562</v>
      </c>
      <c r="M12" s="26">
        <v>239450450</v>
      </c>
      <c r="N12" s="27">
        <v>0</v>
      </c>
      <c r="O12" s="26">
        <v>124429632</v>
      </c>
      <c r="P12" s="26">
        <v>124429632</v>
      </c>
      <c r="Q12" s="26">
        <v>115020818</v>
      </c>
      <c r="R12" s="27">
        <v>0</v>
      </c>
      <c r="S12" s="26">
        <v>124429632</v>
      </c>
      <c r="T12" s="26">
        <v>124429632</v>
      </c>
      <c r="U12" s="26">
        <v>115020818</v>
      </c>
      <c r="V12" s="26">
        <v>97683812</v>
      </c>
      <c r="W12" s="27">
        <v>0</v>
      </c>
      <c r="X12" s="26">
        <v>97683812</v>
      </c>
      <c r="Y12" s="26">
        <v>97683812</v>
      </c>
      <c r="Z12" s="26">
        <v>26745820</v>
      </c>
    </row>
    <row r="13" spans="1:27" ht="16.5" hidden="1" customHeight="1">
      <c r="A13" s="25" t="s">
        <v>99</v>
      </c>
      <c r="B13" s="25" t="s">
        <v>100</v>
      </c>
      <c r="C13" s="25" t="s">
        <v>87</v>
      </c>
      <c r="D13" s="25" t="s">
        <v>101</v>
      </c>
      <c r="E13" s="25" t="s">
        <v>96</v>
      </c>
      <c r="F13" s="26">
        <v>21284971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6">
        <v>685045</v>
      </c>
      <c r="M13" s="26">
        <v>20599926</v>
      </c>
      <c r="N13" s="27">
        <v>0</v>
      </c>
      <c r="O13" s="26">
        <v>18936434</v>
      </c>
      <c r="P13" s="26">
        <v>18936434</v>
      </c>
      <c r="Q13" s="26">
        <v>1663492</v>
      </c>
      <c r="R13" s="27">
        <v>0</v>
      </c>
      <c r="S13" s="26">
        <v>18936434</v>
      </c>
      <c r="T13" s="26">
        <v>18936434</v>
      </c>
      <c r="U13" s="26">
        <v>1663492</v>
      </c>
      <c r="V13" s="26">
        <v>18936434</v>
      </c>
      <c r="W13" s="27">
        <v>0</v>
      </c>
      <c r="X13" s="26">
        <v>18936434</v>
      </c>
      <c r="Y13" s="26">
        <v>18936434</v>
      </c>
      <c r="Z13" s="27">
        <v>0</v>
      </c>
    </row>
    <row r="14" spans="1:27" ht="16.5" hidden="1" customHeight="1">
      <c r="A14" s="25" t="s">
        <v>102</v>
      </c>
      <c r="B14" s="25" t="s">
        <v>103</v>
      </c>
      <c r="C14" s="25" t="s">
        <v>87</v>
      </c>
      <c r="D14" s="25" t="s">
        <v>104</v>
      </c>
      <c r="E14" s="25" t="s">
        <v>96</v>
      </c>
      <c r="F14" s="26">
        <v>4054280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6">
        <v>96423</v>
      </c>
      <c r="M14" s="26">
        <v>3957857</v>
      </c>
      <c r="N14" s="27">
        <v>0</v>
      </c>
      <c r="O14" s="26">
        <v>3299480</v>
      </c>
      <c r="P14" s="26">
        <v>3299480</v>
      </c>
      <c r="Q14" s="26">
        <v>658377</v>
      </c>
      <c r="R14" s="27">
        <v>0</v>
      </c>
      <c r="S14" s="26">
        <v>3299480</v>
      </c>
      <c r="T14" s="26">
        <v>3299480</v>
      </c>
      <c r="U14" s="26">
        <v>658377</v>
      </c>
      <c r="V14" s="26">
        <v>2055740</v>
      </c>
      <c r="W14" s="27">
        <v>0</v>
      </c>
      <c r="X14" s="26">
        <v>2055740</v>
      </c>
      <c r="Y14" s="26">
        <v>2055740</v>
      </c>
      <c r="Z14" s="26">
        <v>1243740</v>
      </c>
    </row>
    <row r="15" spans="1:27" ht="16.5" hidden="1" customHeight="1">
      <c r="A15" s="25" t="s">
        <v>105</v>
      </c>
      <c r="B15" s="25" t="s">
        <v>106</v>
      </c>
      <c r="C15" s="25" t="s">
        <v>87</v>
      </c>
      <c r="D15" s="25" t="s">
        <v>107</v>
      </c>
      <c r="E15" s="25" t="s">
        <v>96</v>
      </c>
      <c r="F15" s="26">
        <v>62587951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6">
        <v>2480953</v>
      </c>
      <c r="M15" s="26">
        <v>60106998</v>
      </c>
      <c r="N15" s="27">
        <v>0</v>
      </c>
      <c r="O15" s="26">
        <v>29338721</v>
      </c>
      <c r="P15" s="26">
        <v>29338721</v>
      </c>
      <c r="Q15" s="26">
        <v>30768277</v>
      </c>
      <c r="R15" s="27">
        <v>0</v>
      </c>
      <c r="S15" s="26">
        <v>29338721</v>
      </c>
      <c r="T15" s="26">
        <v>29338721</v>
      </c>
      <c r="U15" s="26">
        <v>30768277</v>
      </c>
      <c r="V15" s="26">
        <v>29338721</v>
      </c>
      <c r="W15" s="27">
        <v>0</v>
      </c>
      <c r="X15" s="26">
        <v>29338721</v>
      </c>
      <c r="Y15" s="26">
        <v>29338721</v>
      </c>
      <c r="Z15" s="27">
        <v>0</v>
      </c>
    </row>
    <row r="16" spans="1:27" ht="16.5" hidden="1" customHeight="1">
      <c r="A16" s="25" t="s">
        <v>108</v>
      </c>
      <c r="B16" s="25" t="s">
        <v>109</v>
      </c>
      <c r="C16" s="25" t="s">
        <v>87</v>
      </c>
      <c r="D16" s="25" t="s">
        <v>110</v>
      </c>
      <c r="E16" s="25" t="s">
        <v>96</v>
      </c>
      <c r="F16" s="26">
        <v>70628761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6">
        <v>4737882</v>
      </c>
      <c r="M16" s="26">
        <v>65890879</v>
      </c>
      <c r="N16" s="27">
        <v>0</v>
      </c>
      <c r="O16" s="26">
        <v>5563108</v>
      </c>
      <c r="P16" s="26">
        <v>5563108</v>
      </c>
      <c r="Q16" s="26">
        <v>60327771</v>
      </c>
      <c r="R16" s="27">
        <v>0</v>
      </c>
      <c r="S16" s="26">
        <v>5563108</v>
      </c>
      <c r="T16" s="26">
        <v>5563108</v>
      </c>
      <c r="U16" s="26">
        <v>60327771</v>
      </c>
      <c r="V16" s="26">
        <v>5563108</v>
      </c>
      <c r="W16" s="27">
        <v>0</v>
      </c>
      <c r="X16" s="26">
        <v>5563108</v>
      </c>
      <c r="Y16" s="26">
        <v>5563108</v>
      </c>
      <c r="Z16" s="27">
        <v>0</v>
      </c>
    </row>
    <row r="17" spans="1:26" ht="16.5" hidden="1" customHeight="1">
      <c r="A17" s="25" t="s">
        <v>111</v>
      </c>
      <c r="B17" s="25" t="s">
        <v>112</v>
      </c>
      <c r="C17" s="25" t="s">
        <v>87</v>
      </c>
      <c r="D17" s="25" t="s">
        <v>113</v>
      </c>
      <c r="E17" s="25" t="s">
        <v>96</v>
      </c>
      <c r="F17" s="26">
        <v>33901807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6">
        <v>1585958</v>
      </c>
      <c r="M17" s="26">
        <v>32315849</v>
      </c>
      <c r="N17" s="27">
        <v>0</v>
      </c>
      <c r="O17" s="26">
        <v>26688573</v>
      </c>
      <c r="P17" s="26">
        <v>26688573</v>
      </c>
      <c r="Q17" s="26">
        <v>5627276</v>
      </c>
      <c r="R17" s="27">
        <v>0</v>
      </c>
      <c r="S17" s="26">
        <v>26688573</v>
      </c>
      <c r="T17" s="26">
        <v>26688573</v>
      </c>
      <c r="U17" s="26">
        <v>5627276</v>
      </c>
      <c r="V17" s="26">
        <v>16308496</v>
      </c>
      <c r="W17" s="27">
        <v>0</v>
      </c>
      <c r="X17" s="26">
        <v>16308496</v>
      </c>
      <c r="Y17" s="26">
        <v>16308496</v>
      </c>
      <c r="Z17" s="26">
        <v>10380077</v>
      </c>
    </row>
    <row r="18" spans="1:26" ht="16.5" hidden="1" customHeight="1">
      <c r="A18" s="25" t="s">
        <v>114</v>
      </c>
      <c r="B18" s="25" t="s">
        <v>115</v>
      </c>
      <c r="C18" s="25" t="s">
        <v>87</v>
      </c>
      <c r="D18" s="25" t="s">
        <v>116</v>
      </c>
      <c r="E18" s="25" t="s">
        <v>96</v>
      </c>
      <c r="F18" s="26">
        <v>33901807</v>
      </c>
      <c r="G18" s="27">
        <v>0</v>
      </c>
      <c r="H18" s="27">
        <v>0</v>
      </c>
      <c r="I18" s="27">
        <v>0</v>
      </c>
      <c r="J18" s="27">
        <v>0</v>
      </c>
      <c r="K18" s="26">
        <v>16802699</v>
      </c>
      <c r="L18" s="26">
        <v>2580188</v>
      </c>
      <c r="M18" s="26">
        <v>48124318</v>
      </c>
      <c r="N18" s="27">
        <v>0</v>
      </c>
      <c r="O18" s="26">
        <v>39938711</v>
      </c>
      <c r="P18" s="26">
        <v>39938711</v>
      </c>
      <c r="Q18" s="26">
        <v>8185607</v>
      </c>
      <c r="R18" s="27">
        <v>0</v>
      </c>
      <c r="S18" s="26">
        <v>39938711</v>
      </c>
      <c r="T18" s="26">
        <v>39938711</v>
      </c>
      <c r="U18" s="26">
        <v>8185607</v>
      </c>
      <c r="V18" s="26">
        <v>24816708</v>
      </c>
      <c r="W18" s="27">
        <v>0</v>
      </c>
      <c r="X18" s="26">
        <v>24816708</v>
      </c>
      <c r="Y18" s="26">
        <v>24816708</v>
      </c>
      <c r="Z18" s="26">
        <v>15122003</v>
      </c>
    </row>
    <row r="19" spans="1:26" ht="16.5" hidden="1" customHeight="1">
      <c r="A19" s="25" t="s">
        <v>117</v>
      </c>
      <c r="B19" s="25" t="s">
        <v>118</v>
      </c>
      <c r="C19" s="25" t="s">
        <v>87</v>
      </c>
      <c r="D19" s="25" t="s">
        <v>119</v>
      </c>
      <c r="E19" s="25" t="s">
        <v>120</v>
      </c>
      <c r="F19" s="26">
        <v>9181736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6">
        <v>727113</v>
      </c>
      <c r="M19" s="26">
        <v>8454623</v>
      </c>
      <c r="N19" s="27">
        <v>0</v>
      </c>
      <c r="O19" s="26">
        <v>664605</v>
      </c>
      <c r="P19" s="26">
        <v>664605</v>
      </c>
      <c r="Q19" s="26">
        <v>7790018</v>
      </c>
      <c r="R19" s="27">
        <v>0</v>
      </c>
      <c r="S19" s="26">
        <v>664605</v>
      </c>
      <c r="T19" s="26">
        <v>664605</v>
      </c>
      <c r="U19" s="26">
        <v>7790018</v>
      </c>
      <c r="V19" s="26">
        <v>664605</v>
      </c>
      <c r="W19" s="27">
        <v>0</v>
      </c>
      <c r="X19" s="26">
        <v>664605</v>
      </c>
      <c r="Y19" s="26">
        <v>664605</v>
      </c>
      <c r="Z19" s="27">
        <v>0</v>
      </c>
    </row>
    <row r="20" spans="1:26" ht="16.5" hidden="1" customHeight="1">
      <c r="A20" s="25" t="s">
        <v>85</v>
      </c>
      <c r="B20" s="25" t="s">
        <v>121</v>
      </c>
      <c r="C20" s="25" t="s">
        <v>87</v>
      </c>
      <c r="D20" s="25" t="s">
        <v>122</v>
      </c>
      <c r="E20" s="25" t="s">
        <v>85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6">
        <v>16144447</v>
      </c>
      <c r="L20" s="27">
        <v>0</v>
      </c>
      <c r="M20" s="26">
        <v>16144447</v>
      </c>
      <c r="N20" s="27">
        <v>0</v>
      </c>
      <c r="O20" s="26">
        <v>16144280</v>
      </c>
      <c r="P20" s="26">
        <v>16144280</v>
      </c>
      <c r="Q20" s="27">
        <v>167</v>
      </c>
      <c r="R20" s="27">
        <v>0</v>
      </c>
      <c r="S20" s="26">
        <v>16144280</v>
      </c>
      <c r="T20" s="26">
        <v>16144280</v>
      </c>
      <c r="U20" s="27">
        <v>167</v>
      </c>
      <c r="V20" s="26">
        <v>16144280</v>
      </c>
      <c r="W20" s="27">
        <v>0</v>
      </c>
      <c r="X20" s="26">
        <v>16144280</v>
      </c>
      <c r="Y20" s="26">
        <v>16144280</v>
      </c>
      <c r="Z20" s="27">
        <v>0</v>
      </c>
    </row>
    <row r="21" spans="1:26" ht="16.5" hidden="1" customHeight="1">
      <c r="A21" s="25" t="s">
        <v>123</v>
      </c>
      <c r="B21" s="25" t="s">
        <v>124</v>
      </c>
      <c r="C21" s="25" t="s">
        <v>87</v>
      </c>
      <c r="D21" s="25" t="s">
        <v>125</v>
      </c>
      <c r="E21" s="25" t="s">
        <v>96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6">
        <v>16144447</v>
      </c>
      <c r="L21" s="27">
        <v>0</v>
      </c>
      <c r="M21" s="26">
        <v>16144447</v>
      </c>
      <c r="N21" s="27">
        <v>0</v>
      </c>
      <c r="O21" s="26">
        <v>16144280</v>
      </c>
      <c r="P21" s="26">
        <v>16144280</v>
      </c>
      <c r="Q21" s="27">
        <v>167</v>
      </c>
      <c r="R21" s="27">
        <v>0</v>
      </c>
      <c r="S21" s="26">
        <v>16144280</v>
      </c>
      <c r="T21" s="26">
        <v>16144280</v>
      </c>
      <c r="U21" s="27">
        <v>167</v>
      </c>
      <c r="V21" s="26">
        <v>16144280</v>
      </c>
      <c r="W21" s="27">
        <v>0</v>
      </c>
      <c r="X21" s="26">
        <v>16144280</v>
      </c>
      <c r="Y21" s="26">
        <v>16144280</v>
      </c>
      <c r="Z21" s="27">
        <v>0</v>
      </c>
    </row>
    <row r="22" spans="1:26" ht="16.5" hidden="1" customHeight="1">
      <c r="A22" s="25" t="s">
        <v>85</v>
      </c>
      <c r="B22" s="25" t="s">
        <v>126</v>
      </c>
      <c r="C22" s="25" t="s">
        <v>87</v>
      </c>
      <c r="D22" s="25" t="s">
        <v>127</v>
      </c>
      <c r="E22" s="25" t="s">
        <v>85</v>
      </c>
      <c r="F22" s="26">
        <v>469200000</v>
      </c>
      <c r="G22" s="27">
        <v>0</v>
      </c>
      <c r="H22" s="27">
        <v>0</v>
      </c>
      <c r="I22" s="27">
        <v>0</v>
      </c>
      <c r="J22" s="27">
        <v>0</v>
      </c>
      <c r="K22" s="26">
        <v>100272735</v>
      </c>
      <c r="L22" s="27">
        <v>0</v>
      </c>
      <c r="M22" s="26">
        <v>569472735</v>
      </c>
      <c r="N22" s="27">
        <v>0</v>
      </c>
      <c r="O22" s="26">
        <v>564699400</v>
      </c>
      <c r="P22" s="26">
        <v>564699400</v>
      </c>
      <c r="Q22" s="26">
        <v>4773335</v>
      </c>
      <c r="R22" s="27">
        <v>0</v>
      </c>
      <c r="S22" s="26">
        <v>558032734</v>
      </c>
      <c r="T22" s="26">
        <v>558032734</v>
      </c>
      <c r="U22" s="26">
        <v>11440001</v>
      </c>
      <c r="V22" s="26">
        <v>404392732.67000002</v>
      </c>
      <c r="W22" s="27">
        <v>0</v>
      </c>
      <c r="X22" s="26">
        <v>404392732.67000002</v>
      </c>
      <c r="Y22" s="26">
        <v>404392732.67000002</v>
      </c>
      <c r="Z22" s="26">
        <v>153640001.33000001</v>
      </c>
    </row>
    <row r="23" spans="1:26" ht="16.5" hidden="1" customHeight="1">
      <c r="A23" s="25" t="s">
        <v>128</v>
      </c>
      <c r="B23" s="25" t="s">
        <v>129</v>
      </c>
      <c r="C23" s="25" t="s">
        <v>87</v>
      </c>
      <c r="D23" s="25" t="s">
        <v>130</v>
      </c>
      <c r="E23" s="25" t="s">
        <v>96</v>
      </c>
      <c r="F23" s="26">
        <v>469200000</v>
      </c>
      <c r="G23" s="27">
        <v>0</v>
      </c>
      <c r="H23" s="27">
        <v>0</v>
      </c>
      <c r="I23" s="27">
        <v>0</v>
      </c>
      <c r="J23" s="27">
        <v>0</v>
      </c>
      <c r="K23" s="26">
        <v>100272735</v>
      </c>
      <c r="L23" s="27">
        <v>0</v>
      </c>
      <c r="M23" s="26">
        <v>569472735</v>
      </c>
      <c r="N23" s="27">
        <v>0</v>
      </c>
      <c r="O23" s="26">
        <v>564699400</v>
      </c>
      <c r="P23" s="26">
        <v>564699400</v>
      </c>
      <c r="Q23" s="26">
        <v>4773335</v>
      </c>
      <c r="R23" s="27">
        <v>0</v>
      </c>
      <c r="S23" s="26">
        <v>558032734</v>
      </c>
      <c r="T23" s="26">
        <v>558032734</v>
      </c>
      <c r="U23" s="26">
        <v>11440001</v>
      </c>
      <c r="V23" s="26">
        <v>404392732.67000002</v>
      </c>
      <c r="W23" s="27">
        <v>0</v>
      </c>
      <c r="X23" s="26">
        <v>404392732.67000002</v>
      </c>
      <c r="Y23" s="26">
        <v>404392732.67000002</v>
      </c>
      <c r="Z23" s="26">
        <v>153640001.33000001</v>
      </c>
    </row>
    <row r="24" spans="1:26" ht="16.5" hidden="1" customHeight="1">
      <c r="A24" s="25" t="s">
        <v>85</v>
      </c>
      <c r="B24" s="25" t="s">
        <v>131</v>
      </c>
      <c r="C24" s="25" t="s">
        <v>87</v>
      </c>
      <c r="D24" s="25" t="s">
        <v>132</v>
      </c>
      <c r="E24" s="25" t="s">
        <v>85</v>
      </c>
      <c r="F24" s="26">
        <v>154734772</v>
      </c>
      <c r="G24" s="27">
        <v>0</v>
      </c>
      <c r="H24" s="27">
        <v>0</v>
      </c>
      <c r="I24" s="27">
        <v>0</v>
      </c>
      <c r="J24" s="27">
        <v>0</v>
      </c>
      <c r="K24" s="26">
        <v>5736124</v>
      </c>
      <c r="L24" s="26">
        <v>21833468</v>
      </c>
      <c r="M24" s="26">
        <v>138637428</v>
      </c>
      <c r="N24" s="27">
        <v>0</v>
      </c>
      <c r="O24" s="26">
        <v>100270748</v>
      </c>
      <c r="P24" s="26">
        <v>100270748</v>
      </c>
      <c r="Q24" s="26">
        <v>38366680</v>
      </c>
      <c r="R24" s="27">
        <v>0</v>
      </c>
      <c r="S24" s="26">
        <v>100270748</v>
      </c>
      <c r="T24" s="26">
        <v>100270748</v>
      </c>
      <c r="U24" s="26">
        <v>38366680</v>
      </c>
      <c r="V24" s="26">
        <v>100270748</v>
      </c>
      <c r="W24" s="27">
        <v>0</v>
      </c>
      <c r="X24" s="26">
        <v>90252461</v>
      </c>
      <c r="Y24" s="26">
        <v>90252461</v>
      </c>
      <c r="Z24" s="26">
        <v>10018287</v>
      </c>
    </row>
    <row r="25" spans="1:26" ht="16.5" hidden="1" customHeight="1">
      <c r="A25" s="25" t="s">
        <v>133</v>
      </c>
      <c r="B25" s="25" t="s">
        <v>134</v>
      </c>
      <c r="C25" s="25" t="s">
        <v>87</v>
      </c>
      <c r="D25" s="25" t="s">
        <v>135</v>
      </c>
      <c r="E25" s="25" t="s">
        <v>96</v>
      </c>
      <c r="F25" s="26">
        <v>58838452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6">
        <v>456987</v>
      </c>
      <c r="M25" s="26">
        <v>58381465</v>
      </c>
      <c r="N25" s="27">
        <v>0</v>
      </c>
      <c r="O25" s="26">
        <v>47143153</v>
      </c>
      <c r="P25" s="26">
        <v>47143153</v>
      </c>
      <c r="Q25" s="26">
        <v>11238312</v>
      </c>
      <c r="R25" s="27">
        <v>0</v>
      </c>
      <c r="S25" s="26">
        <v>47143153</v>
      </c>
      <c r="T25" s="26">
        <v>47143153</v>
      </c>
      <c r="U25" s="26">
        <v>11238312</v>
      </c>
      <c r="V25" s="26">
        <v>47143153</v>
      </c>
      <c r="W25" s="27">
        <v>0</v>
      </c>
      <c r="X25" s="26">
        <v>42395946</v>
      </c>
      <c r="Y25" s="26">
        <v>42395946</v>
      </c>
      <c r="Z25" s="26">
        <v>4747207</v>
      </c>
    </row>
    <row r="26" spans="1:26" ht="16.5" hidden="1" customHeight="1">
      <c r="A26" s="25" t="s">
        <v>136</v>
      </c>
      <c r="B26" s="25" t="s">
        <v>137</v>
      </c>
      <c r="C26" s="25" t="s">
        <v>87</v>
      </c>
      <c r="D26" s="25" t="s">
        <v>138</v>
      </c>
      <c r="E26" s="25" t="s">
        <v>96</v>
      </c>
      <c r="F26" s="26">
        <v>51640441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6">
        <v>19096242</v>
      </c>
      <c r="M26" s="26">
        <v>32544199</v>
      </c>
      <c r="N26" s="27">
        <v>0</v>
      </c>
      <c r="O26" s="26">
        <v>25983095</v>
      </c>
      <c r="P26" s="26">
        <v>25983095</v>
      </c>
      <c r="Q26" s="26">
        <v>6561104</v>
      </c>
      <c r="R26" s="27">
        <v>0</v>
      </c>
      <c r="S26" s="26">
        <v>25983095</v>
      </c>
      <c r="T26" s="26">
        <v>25983095</v>
      </c>
      <c r="U26" s="26">
        <v>6561104</v>
      </c>
      <c r="V26" s="26">
        <v>25983095</v>
      </c>
      <c r="W26" s="27">
        <v>0</v>
      </c>
      <c r="X26" s="26">
        <v>23190815</v>
      </c>
      <c r="Y26" s="26">
        <v>23190815</v>
      </c>
      <c r="Z26" s="26">
        <v>2792280</v>
      </c>
    </row>
    <row r="27" spans="1:26" ht="16.5" hidden="1" customHeight="1">
      <c r="A27" s="25" t="s">
        <v>139</v>
      </c>
      <c r="B27" s="25" t="s">
        <v>140</v>
      </c>
      <c r="C27" s="25" t="s">
        <v>87</v>
      </c>
      <c r="D27" s="25" t="s">
        <v>141</v>
      </c>
      <c r="E27" s="25" t="s">
        <v>96</v>
      </c>
      <c r="F27" s="26">
        <v>38254400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6">
        <v>2280239</v>
      </c>
      <c r="M27" s="26">
        <v>35974161</v>
      </c>
      <c r="N27" s="27">
        <v>0</v>
      </c>
      <c r="O27" s="26">
        <v>27144500</v>
      </c>
      <c r="P27" s="26">
        <v>27144500</v>
      </c>
      <c r="Q27" s="26">
        <v>8829661</v>
      </c>
      <c r="R27" s="27">
        <v>0</v>
      </c>
      <c r="S27" s="26">
        <v>27144500</v>
      </c>
      <c r="T27" s="26">
        <v>27144500</v>
      </c>
      <c r="U27" s="26">
        <v>8829661</v>
      </c>
      <c r="V27" s="26">
        <v>27144500</v>
      </c>
      <c r="W27" s="27">
        <v>0</v>
      </c>
      <c r="X27" s="26">
        <v>24665700</v>
      </c>
      <c r="Y27" s="26">
        <v>24665700</v>
      </c>
      <c r="Z27" s="26">
        <v>2478800</v>
      </c>
    </row>
    <row r="28" spans="1:26" ht="16.5" hidden="1" customHeight="1">
      <c r="A28" s="25" t="s">
        <v>142</v>
      </c>
      <c r="B28" s="25" t="s">
        <v>143</v>
      </c>
      <c r="C28" s="25" t="s">
        <v>87</v>
      </c>
      <c r="D28" s="25" t="s">
        <v>144</v>
      </c>
      <c r="E28" s="25" t="s">
        <v>96</v>
      </c>
      <c r="F28" s="26">
        <v>6001479</v>
      </c>
      <c r="G28" s="27">
        <v>0</v>
      </c>
      <c r="H28" s="27">
        <v>0</v>
      </c>
      <c r="I28" s="27">
        <v>0</v>
      </c>
      <c r="J28" s="27">
        <v>0</v>
      </c>
      <c r="K28" s="26">
        <v>5736124</v>
      </c>
      <c r="L28" s="27">
        <v>0</v>
      </c>
      <c r="M28" s="26">
        <v>11737603</v>
      </c>
      <c r="N28" s="27">
        <v>0</v>
      </c>
      <c r="O28" s="27">
        <v>0</v>
      </c>
      <c r="P28" s="27">
        <v>0</v>
      </c>
      <c r="Q28" s="26">
        <v>11737603</v>
      </c>
      <c r="R28" s="27">
        <v>0</v>
      </c>
      <c r="S28" s="27">
        <v>0</v>
      </c>
      <c r="T28" s="27">
        <v>0</v>
      </c>
      <c r="U28" s="26">
        <v>11737603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</row>
    <row r="29" spans="1:26" ht="16.5" hidden="1" customHeight="1">
      <c r="A29" s="25" t="s">
        <v>85</v>
      </c>
      <c r="B29" s="25" t="s">
        <v>145</v>
      </c>
      <c r="C29" s="25" t="s">
        <v>87</v>
      </c>
      <c r="D29" s="25" t="s">
        <v>146</v>
      </c>
      <c r="E29" s="25" t="s">
        <v>85</v>
      </c>
      <c r="F29" s="26">
        <v>28692400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6">
        <v>1711180</v>
      </c>
      <c r="M29" s="26">
        <v>26981220</v>
      </c>
      <c r="N29" s="27">
        <v>0</v>
      </c>
      <c r="O29" s="26">
        <v>20358800</v>
      </c>
      <c r="P29" s="26">
        <v>20358800</v>
      </c>
      <c r="Q29" s="26">
        <v>6622420</v>
      </c>
      <c r="R29" s="27">
        <v>0</v>
      </c>
      <c r="S29" s="26">
        <v>20358800</v>
      </c>
      <c r="T29" s="26">
        <v>20358800</v>
      </c>
      <c r="U29" s="26">
        <v>6622420</v>
      </c>
      <c r="V29" s="26">
        <v>20358800</v>
      </c>
      <c r="W29" s="27">
        <v>0</v>
      </c>
      <c r="X29" s="26">
        <v>18499700</v>
      </c>
      <c r="Y29" s="26">
        <v>18499700</v>
      </c>
      <c r="Z29" s="26">
        <v>1859100</v>
      </c>
    </row>
    <row r="30" spans="1:26" ht="16.5" hidden="1" customHeight="1">
      <c r="A30" s="25" t="s">
        <v>147</v>
      </c>
      <c r="B30" s="25" t="s">
        <v>148</v>
      </c>
      <c r="C30" s="25" t="s">
        <v>87</v>
      </c>
      <c r="D30" s="25" t="s">
        <v>149</v>
      </c>
      <c r="E30" s="25" t="s">
        <v>96</v>
      </c>
      <c r="F30" s="26">
        <v>28692400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6">
        <v>1711180</v>
      </c>
      <c r="M30" s="26">
        <v>26981220</v>
      </c>
      <c r="N30" s="27">
        <v>0</v>
      </c>
      <c r="O30" s="26">
        <v>20358800</v>
      </c>
      <c r="P30" s="26">
        <v>20358800</v>
      </c>
      <c r="Q30" s="26">
        <v>6622420</v>
      </c>
      <c r="R30" s="27">
        <v>0</v>
      </c>
      <c r="S30" s="26">
        <v>20358800</v>
      </c>
      <c r="T30" s="26">
        <v>20358800</v>
      </c>
      <c r="U30" s="26">
        <v>6622420</v>
      </c>
      <c r="V30" s="26">
        <v>20358800</v>
      </c>
      <c r="W30" s="27">
        <v>0</v>
      </c>
      <c r="X30" s="26">
        <v>18499700</v>
      </c>
      <c r="Y30" s="26">
        <v>18499700</v>
      </c>
      <c r="Z30" s="26">
        <v>1859100</v>
      </c>
    </row>
    <row r="31" spans="1:26" ht="16.5" hidden="1" customHeight="1">
      <c r="A31" s="25" t="s">
        <v>85</v>
      </c>
      <c r="B31" s="25" t="s">
        <v>150</v>
      </c>
      <c r="C31" s="25" t="s">
        <v>87</v>
      </c>
      <c r="D31" s="25" t="s">
        <v>151</v>
      </c>
      <c r="E31" s="25" t="s">
        <v>85</v>
      </c>
      <c r="F31" s="26">
        <v>19132800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6">
        <v>1143819</v>
      </c>
      <c r="M31" s="26">
        <v>17988981</v>
      </c>
      <c r="N31" s="27">
        <v>0</v>
      </c>
      <c r="O31" s="26">
        <v>13575100</v>
      </c>
      <c r="P31" s="26">
        <v>13575100</v>
      </c>
      <c r="Q31" s="26">
        <v>4413881</v>
      </c>
      <c r="R31" s="27">
        <v>0</v>
      </c>
      <c r="S31" s="26">
        <v>13575100</v>
      </c>
      <c r="T31" s="26">
        <v>13575100</v>
      </c>
      <c r="U31" s="26">
        <v>4413881</v>
      </c>
      <c r="V31" s="26">
        <v>13575100</v>
      </c>
      <c r="W31" s="27">
        <v>0</v>
      </c>
      <c r="X31" s="26">
        <v>12335400</v>
      </c>
      <c r="Y31" s="26">
        <v>12335400</v>
      </c>
      <c r="Z31" s="26">
        <v>1239700</v>
      </c>
    </row>
    <row r="32" spans="1:26" ht="16.5" hidden="1" customHeight="1">
      <c r="A32" s="25" t="s">
        <v>152</v>
      </c>
      <c r="B32" s="25" t="s">
        <v>153</v>
      </c>
      <c r="C32" s="25" t="s">
        <v>87</v>
      </c>
      <c r="D32" s="25" t="s">
        <v>154</v>
      </c>
      <c r="E32" s="25" t="s">
        <v>96</v>
      </c>
      <c r="F32" s="26">
        <v>19132800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6">
        <v>1143819</v>
      </c>
      <c r="M32" s="26">
        <v>17988981</v>
      </c>
      <c r="N32" s="27">
        <v>0</v>
      </c>
      <c r="O32" s="26">
        <v>13575100</v>
      </c>
      <c r="P32" s="26">
        <v>13575100</v>
      </c>
      <c r="Q32" s="26">
        <v>4413881</v>
      </c>
      <c r="R32" s="27">
        <v>0</v>
      </c>
      <c r="S32" s="26">
        <v>13575100</v>
      </c>
      <c r="T32" s="26">
        <v>13575100</v>
      </c>
      <c r="U32" s="26">
        <v>4413881</v>
      </c>
      <c r="V32" s="26">
        <v>13575100</v>
      </c>
      <c r="W32" s="27">
        <v>0</v>
      </c>
      <c r="X32" s="26">
        <v>12335400</v>
      </c>
      <c r="Y32" s="26">
        <v>12335400</v>
      </c>
      <c r="Z32" s="26">
        <v>1239700</v>
      </c>
    </row>
    <row r="33" spans="1:26" ht="16.5" hidden="1" customHeight="1">
      <c r="A33" s="25" t="s">
        <v>85</v>
      </c>
      <c r="B33" s="25" t="s">
        <v>155</v>
      </c>
      <c r="C33" s="25" t="s">
        <v>87</v>
      </c>
      <c r="D33" s="25" t="s">
        <v>156</v>
      </c>
      <c r="E33" s="25" t="s">
        <v>85</v>
      </c>
      <c r="F33" s="26">
        <v>121131408</v>
      </c>
      <c r="G33" s="27">
        <v>0</v>
      </c>
      <c r="H33" s="27">
        <v>0</v>
      </c>
      <c r="I33" s="27">
        <v>0</v>
      </c>
      <c r="J33" s="27">
        <v>0</v>
      </c>
      <c r="K33" s="26">
        <v>9833090</v>
      </c>
      <c r="L33" s="26">
        <v>14760036</v>
      </c>
      <c r="M33" s="26">
        <v>116204462</v>
      </c>
      <c r="N33" s="27">
        <v>0</v>
      </c>
      <c r="O33" s="26">
        <v>50563485</v>
      </c>
      <c r="P33" s="26">
        <v>50563485</v>
      </c>
      <c r="Q33" s="26">
        <v>65640977</v>
      </c>
      <c r="R33" s="27">
        <v>0</v>
      </c>
      <c r="S33" s="26">
        <v>50563485</v>
      </c>
      <c r="T33" s="26">
        <v>50563485</v>
      </c>
      <c r="U33" s="26">
        <v>65640977</v>
      </c>
      <c r="V33" s="26">
        <v>50489885</v>
      </c>
      <c r="W33" s="27">
        <v>0</v>
      </c>
      <c r="X33" s="26">
        <v>45292584</v>
      </c>
      <c r="Y33" s="26">
        <v>45292584</v>
      </c>
      <c r="Z33" s="26">
        <v>5270901</v>
      </c>
    </row>
    <row r="34" spans="1:26" ht="16.5" hidden="1" customHeight="1">
      <c r="A34" s="25" t="s">
        <v>157</v>
      </c>
      <c r="B34" s="25" t="s">
        <v>158</v>
      </c>
      <c r="C34" s="25" t="s">
        <v>87</v>
      </c>
      <c r="D34" s="25" t="s">
        <v>159</v>
      </c>
      <c r="E34" s="25" t="s">
        <v>96</v>
      </c>
      <c r="F34" s="26">
        <v>5007908</v>
      </c>
      <c r="G34" s="27">
        <v>0</v>
      </c>
      <c r="H34" s="27">
        <v>0</v>
      </c>
      <c r="I34" s="27">
        <v>0</v>
      </c>
      <c r="J34" s="27">
        <v>0</v>
      </c>
      <c r="K34" s="26">
        <v>123113</v>
      </c>
      <c r="L34" s="27">
        <v>0</v>
      </c>
      <c r="M34" s="26">
        <v>5131021</v>
      </c>
      <c r="N34" s="27">
        <v>0</v>
      </c>
      <c r="O34" s="26">
        <v>4182028</v>
      </c>
      <c r="P34" s="26">
        <v>4182028</v>
      </c>
      <c r="Q34" s="26">
        <v>948993</v>
      </c>
      <c r="R34" s="27">
        <v>0</v>
      </c>
      <c r="S34" s="26">
        <v>4182028</v>
      </c>
      <c r="T34" s="26">
        <v>4182028</v>
      </c>
      <c r="U34" s="26">
        <v>948993</v>
      </c>
      <c r="V34" s="26">
        <v>4182028</v>
      </c>
      <c r="W34" s="27">
        <v>0</v>
      </c>
      <c r="X34" s="26">
        <v>3777941</v>
      </c>
      <c r="Y34" s="26">
        <v>3777941</v>
      </c>
      <c r="Z34" s="26">
        <v>404087</v>
      </c>
    </row>
    <row r="35" spans="1:26" ht="16.5" hidden="1" customHeight="1">
      <c r="A35" s="25" t="s">
        <v>160</v>
      </c>
      <c r="B35" s="25" t="s">
        <v>161</v>
      </c>
      <c r="C35" s="25" t="s">
        <v>87</v>
      </c>
      <c r="D35" s="25" t="s">
        <v>162</v>
      </c>
      <c r="E35" s="25" t="s">
        <v>96</v>
      </c>
      <c r="F35" s="26">
        <v>38494289</v>
      </c>
      <c r="G35" s="27">
        <v>0</v>
      </c>
      <c r="H35" s="27">
        <v>0</v>
      </c>
      <c r="I35" s="27">
        <v>0</v>
      </c>
      <c r="J35" s="27">
        <v>0</v>
      </c>
      <c r="K35" s="26">
        <v>9709977</v>
      </c>
      <c r="L35" s="27">
        <v>0</v>
      </c>
      <c r="M35" s="26">
        <v>48204266</v>
      </c>
      <c r="N35" s="27">
        <v>0</v>
      </c>
      <c r="O35" s="26">
        <v>37557091</v>
      </c>
      <c r="P35" s="26">
        <v>37557091</v>
      </c>
      <c r="Q35" s="26">
        <v>10647175</v>
      </c>
      <c r="R35" s="27">
        <v>0</v>
      </c>
      <c r="S35" s="26">
        <v>37557091</v>
      </c>
      <c r="T35" s="26">
        <v>37557091</v>
      </c>
      <c r="U35" s="26">
        <v>10647175</v>
      </c>
      <c r="V35" s="26">
        <v>37557091</v>
      </c>
      <c r="W35" s="27">
        <v>0</v>
      </c>
      <c r="X35" s="26">
        <v>33077577</v>
      </c>
      <c r="Y35" s="26">
        <v>33077577</v>
      </c>
      <c r="Z35" s="26">
        <v>4479514</v>
      </c>
    </row>
    <row r="36" spans="1:26" ht="16.5" hidden="1" customHeight="1">
      <c r="A36" s="25" t="s">
        <v>163</v>
      </c>
      <c r="B36" s="25" t="s">
        <v>164</v>
      </c>
      <c r="C36" s="25" t="s">
        <v>87</v>
      </c>
      <c r="D36" s="25" t="s">
        <v>165</v>
      </c>
      <c r="E36" s="25" t="s">
        <v>96</v>
      </c>
      <c r="F36" s="26">
        <v>70513011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6">
        <v>11795427</v>
      </c>
      <c r="M36" s="26">
        <v>58717584</v>
      </c>
      <c r="N36" s="27">
        <v>0</v>
      </c>
      <c r="O36" s="26">
        <v>5538366</v>
      </c>
      <c r="P36" s="26">
        <v>5538366</v>
      </c>
      <c r="Q36" s="26">
        <v>53179218</v>
      </c>
      <c r="R36" s="27">
        <v>0</v>
      </c>
      <c r="S36" s="26">
        <v>5538366</v>
      </c>
      <c r="T36" s="26">
        <v>5538366</v>
      </c>
      <c r="U36" s="26">
        <v>53179218</v>
      </c>
      <c r="V36" s="26">
        <v>5538366</v>
      </c>
      <c r="W36" s="27">
        <v>0</v>
      </c>
      <c r="X36" s="26">
        <v>5538366</v>
      </c>
      <c r="Y36" s="26">
        <v>5538366</v>
      </c>
      <c r="Z36" s="27">
        <v>0</v>
      </c>
    </row>
    <row r="37" spans="1:26" ht="16.5" hidden="1" customHeight="1">
      <c r="A37" s="25" t="s">
        <v>166</v>
      </c>
      <c r="B37" s="25" t="s">
        <v>167</v>
      </c>
      <c r="C37" s="25" t="s">
        <v>87</v>
      </c>
      <c r="D37" s="25" t="s">
        <v>168</v>
      </c>
      <c r="E37" s="25" t="s">
        <v>96</v>
      </c>
      <c r="F37" s="26">
        <v>7116200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6">
        <v>2964609</v>
      </c>
      <c r="M37" s="26">
        <v>4151591</v>
      </c>
      <c r="N37" s="27">
        <v>0</v>
      </c>
      <c r="O37" s="26">
        <v>3286000</v>
      </c>
      <c r="P37" s="26">
        <v>3286000</v>
      </c>
      <c r="Q37" s="26">
        <v>865591</v>
      </c>
      <c r="R37" s="27">
        <v>0</v>
      </c>
      <c r="S37" s="26">
        <v>3286000</v>
      </c>
      <c r="T37" s="26">
        <v>3286000</v>
      </c>
      <c r="U37" s="26">
        <v>865591</v>
      </c>
      <c r="V37" s="26">
        <v>3212400</v>
      </c>
      <c r="W37" s="27">
        <v>0</v>
      </c>
      <c r="X37" s="26">
        <v>2898700</v>
      </c>
      <c r="Y37" s="26">
        <v>2898700</v>
      </c>
      <c r="Z37" s="26">
        <v>387300</v>
      </c>
    </row>
    <row r="38" spans="1:26" ht="16.5" hidden="1" customHeight="1">
      <c r="A38" s="25" t="s">
        <v>85</v>
      </c>
      <c r="B38" s="25" t="s">
        <v>169</v>
      </c>
      <c r="C38" s="25" t="s">
        <v>87</v>
      </c>
      <c r="D38" s="25" t="s">
        <v>170</v>
      </c>
      <c r="E38" s="25" t="s">
        <v>85</v>
      </c>
      <c r="F38" s="26">
        <v>38675000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6">
        <v>7500000</v>
      </c>
      <c r="M38" s="26">
        <v>31175000</v>
      </c>
      <c r="N38" s="27">
        <v>0</v>
      </c>
      <c r="O38" s="26">
        <v>20053264</v>
      </c>
      <c r="P38" s="26">
        <v>20053264</v>
      </c>
      <c r="Q38" s="26">
        <v>11121736</v>
      </c>
      <c r="R38" s="27">
        <v>0</v>
      </c>
      <c r="S38" s="26">
        <v>13475000</v>
      </c>
      <c r="T38" s="26">
        <v>13475000</v>
      </c>
      <c r="U38" s="26">
        <v>17700000</v>
      </c>
      <c r="V38" s="26">
        <v>5973333</v>
      </c>
      <c r="W38" s="27">
        <v>0</v>
      </c>
      <c r="X38" s="26">
        <v>5973333</v>
      </c>
      <c r="Y38" s="26">
        <v>5973333</v>
      </c>
      <c r="Z38" s="26">
        <v>7501667</v>
      </c>
    </row>
    <row r="39" spans="1:26" ht="16.5" hidden="1" customHeight="1">
      <c r="A39" s="25" t="s">
        <v>171</v>
      </c>
      <c r="B39" s="25" t="s">
        <v>172</v>
      </c>
      <c r="C39" s="25" t="s">
        <v>87</v>
      </c>
      <c r="D39" s="25" t="s">
        <v>173</v>
      </c>
      <c r="E39" s="25" t="s">
        <v>96</v>
      </c>
      <c r="F39" s="26">
        <v>38675000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6">
        <v>7500000</v>
      </c>
      <c r="M39" s="26">
        <v>31175000</v>
      </c>
      <c r="N39" s="27">
        <v>0</v>
      </c>
      <c r="O39" s="26">
        <v>20053264</v>
      </c>
      <c r="P39" s="26">
        <v>20053264</v>
      </c>
      <c r="Q39" s="26">
        <v>11121736</v>
      </c>
      <c r="R39" s="27">
        <v>0</v>
      </c>
      <c r="S39" s="26">
        <v>13475000</v>
      </c>
      <c r="T39" s="26">
        <v>13475000</v>
      </c>
      <c r="U39" s="26">
        <v>17700000</v>
      </c>
      <c r="V39" s="26">
        <v>5973333</v>
      </c>
      <c r="W39" s="27">
        <v>0</v>
      </c>
      <c r="X39" s="26">
        <v>5973333</v>
      </c>
      <c r="Y39" s="26">
        <v>5973333</v>
      </c>
      <c r="Z39" s="26">
        <v>7501667</v>
      </c>
    </row>
    <row r="40" spans="1:26" s="58" customFormat="1" ht="16.5" customHeight="1">
      <c r="A40" s="55" t="s">
        <v>85</v>
      </c>
      <c r="B40" s="55" t="s">
        <v>174</v>
      </c>
      <c r="C40" s="55" t="s">
        <v>87</v>
      </c>
      <c r="D40" s="55" t="s">
        <v>175</v>
      </c>
      <c r="E40" s="55" t="s">
        <v>85</v>
      </c>
      <c r="F40" s="56">
        <v>403241058</v>
      </c>
      <c r="G40" s="57">
        <v>0</v>
      </c>
      <c r="H40" s="57">
        <v>0</v>
      </c>
      <c r="I40" s="57">
        <v>0</v>
      </c>
      <c r="J40" s="56">
        <v>11816517</v>
      </c>
      <c r="K40" s="56">
        <v>152983837</v>
      </c>
      <c r="L40" s="56">
        <v>58540453</v>
      </c>
      <c r="M40" s="56">
        <v>485867925</v>
      </c>
      <c r="N40" s="57">
        <v>0</v>
      </c>
      <c r="O40" s="56">
        <v>188965453</v>
      </c>
      <c r="P40" s="56">
        <v>188965453</v>
      </c>
      <c r="Q40" s="56">
        <v>296902472</v>
      </c>
      <c r="R40" s="57">
        <v>0</v>
      </c>
      <c r="S40" s="56">
        <v>179888596</v>
      </c>
      <c r="T40" s="56">
        <v>179888596</v>
      </c>
      <c r="U40" s="56">
        <v>305979329</v>
      </c>
      <c r="V40" s="56">
        <v>142706541</v>
      </c>
      <c r="W40" s="57">
        <v>0</v>
      </c>
      <c r="X40" s="56">
        <v>130646109</v>
      </c>
      <c r="Y40" s="56">
        <v>130646109</v>
      </c>
      <c r="Z40" s="56">
        <v>49242487</v>
      </c>
    </row>
    <row r="41" spans="1:26" ht="16.5" hidden="1" customHeight="1">
      <c r="A41" s="25" t="s">
        <v>176</v>
      </c>
      <c r="B41" s="25" t="s">
        <v>177</v>
      </c>
      <c r="C41" s="25" t="s">
        <v>87</v>
      </c>
      <c r="D41" s="25" t="s">
        <v>178</v>
      </c>
      <c r="E41" s="25" t="s">
        <v>96</v>
      </c>
      <c r="F41" s="26">
        <v>1000000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6">
        <v>34417</v>
      </c>
      <c r="M41" s="26">
        <v>965583</v>
      </c>
      <c r="N41" s="27">
        <v>0</v>
      </c>
      <c r="O41" s="26">
        <v>965583</v>
      </c>
      <c r="P41" s="26">
        <v>965583</v>
      </c>
      <c r="Q41" s="27">
        <v>0</v>
      </c>
      <c r="R41" s="27">
        <v>0</v>
      </c>
      <c r="S41" s="26">
        <v>965583</v>
      </c>
      <c r="T41" s="26">
        <v>965583</v>
      </c>
      <c r="U41" s="27">
        <v>0</v>
      </c>
      <c r="V41" s="26">
        <v>321862</v>
      </c>
      <c r="W41" s="27">
        <v>0</v>
      </c>
      <c r="X41" s="26">
        <v>321862</v>
      </c>
      <c r="Y41" s="26">
        <v>321862</v>
      </c>
      <c r="Z41" s="26">
        <v>643721</v>
      </c>
    </row>
    <row r="42" spans="1:26" ht="16.5" hidden="1" customHeight="1">
      <c r="A42" s="25" t="s">
        <v>179</v>
      </c>
      <c r="B42" s="25" t="s">
        <v>180</v>
      </c>
      <c r="C42" s="25" t="s">
        <v>87</v>
      </c>
      <c r="D42" s="25" t="s">
        <v>181</v>
      </c>
      <c r="E42" s="25" t="s">
        <v>96</v>
      </c>
      <c r="F42" s="26">
        <v>14200000</v>
      </c>
      <c r="G42" s="27">
        <v>0</v>
      </c>
      <c r="H42" s="27">
        <v>0</v>
      </c>
      <c r="I42" s="27">
        <v>0</v>
      </c>
      <c r="J42" s="27">
        <v>0</v>
      </c>
      <c r="K42" s="26">
        <v>8227133</v>
      </c>
      <c r="L42" s="27">
        <v>0</v>
      </c>
      <c r="M42" s="26">
        <v>22427133</v>
      </c>
      <c r="N42" s="27">
        <v>0</v>
      </c>
      <c r="O42" s="26">
        <v>7780326</v>
      </c>
      <c r="P42" s="26">
        <v>7780326</v>
      </c>
      <c r="Q42" s="26">
        <v>14646807</v>
      </c>
      <c r="R42" s="27">
        <v>0</v>
      </c>
      <c r="S42" s="26">
        <v>7780326</v>
      </c>
      <c r="T42" s="26">
        <v>7780326</v>
      </c>
      <c r="U42" s="26">
        <v>14646807</v>
      </c>
      <c r="V42" s="26">
        <v>7360777</v>
      </c>
      <c r="W42" s="27">
        <v>0</v>
      </c>
      <c r="X42" s="26">
        <v>7360777</v>
      </c>
      <c r="Y42" s="26">
        <v>7360777</v>
      </c>
      <c r="Z42" s="26">
        <v>419549</v>
      </c>
    </row>
    <row r="43" spans="1:26" ht="16.5" hidden="1" customHeight="1">
      <c r="A43" s="25" t="s">
        <v>182</v>
      </c>
      <c r="B43" s="25" t="s">
        <v>183</v>
      </c>
      <c r="C43" s="25" t="s">
        <v>87</v>
      </c>
      <c r="D43" s="25" t="s">
        <v>184</v>
      </c>
      <c r="E43" s="25" t="s">
        <v>96</v>
      </c>
      <c r="F43" s="26">
        <v>40000000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6">
        <v>40000000</v>
      </c>
      <c r="N43" s="27">
        <v>0</v>
      </c>
      <c r="O43" s="27">
        <v>0</v>
      </c>
      <c r="P43" s="27">
        <v>0</v>
      </c>
      <c r="Q43" s="26">
        <v>40000000</v>
      </c>
      <c r="R43" s="27">
        <v>0</v>
      </c>
      <c r="S43" s="27">
        <v>0</v>
      </c>
      <c r="T43" s="27">
        <v>0</v>
      </c>
      <c r="U43" s="26">
        <v>40000000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</row>
    <row r="44" spans="1:26" ht="16.5" hidden="1" customHeight="1">
      <c r="A44" s="25" t="s">
        <v>185</v>
      </c>
      <c r="B44" s="25" t="s">
        <v>186</v>
      </c>
      <c r="C44" s="25" t="s">
        <v>87</v>
      </c>
      <c r="D44" s="25" t="s">
        <v>187</v>
      </c>
      <c r="E44" s="25" t="s">
        <v>96</v>
      </c>
      <c r="F44" s="26">
        <v>48000000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6">
        <v>32728152</v>
      </c>
      <c r="M44" s="26">
        <v>15271848</v>
      </c>
      <c r="N44" s="27">
        <v>0</v>
      </c>
      <c r="O44" s="26">
        <v>15266277</v>
      </c>
      <c r="P44" s="26">
        <v>15266277</v>
      </c>
      <c r="Q44" s="26">
        <v>5571</v>
      </c>
      <c r="R44" s="27">
        <v>0</v>
      </c>
      <c r="S44" s="26">
        <v>7271848</v>
      </c>
      <c r="T44" s="26">
        <v>7271848</v>
      </c>
      <c r="U44" s="26">
        <v>8000000</v>
      </c>
      <c r="V44" s="26">
        <v>5334143</v>
      </c>
      <c r="W44" s="27">
        <v>0</v>
      </c>
      <c r="X44" s="26">
        <v>959045</v>
      </c>
      <c r="Y44" s="26">
        <v>959045</v>
      </c>
      <c r="Z44" s="26">
        <v>6312803</v>
      </c>
    </row>
    <row r="45" spans="1:26" ht="16.5" hidden="1" customHeight="1">
      <c r="A45" s="25" t="s">
        <v>188</v>
      </c>
      <c r="B45" s="25" t="s">
        <v>189</v>
      </c>
      <c r="C45" s="25" t="s">
        <v>87</v>
      </c>
      <c r="D45" s="25" t="s">
        <v>190</v>
      </c>
      <c r="E45" s="25" t="s">
        <v>96</v>
      </c>
      <c r="F45" s="26">
        <v>16800000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6">
        <v>469350</v>
      </c>
      <c r="M45" s="26">
        <v>16330650</v>
      </c>
      <c r="N45" s="27">
        <v>0</v>
      </c>
      <c r="O45" s="26">
        <v>6914683</v>
      </c>
      <c r="P45" s="26">
        <v>6914683</v>
      </c>
      <c r="Q45" s="26">
        <v>9415967</v>
      </c>
      <c r="R45" s="27">
        <v>0</v>
      </c>
      <c r="S45" s="26">
        <v>6914683</v>
      </c>
      <c r="T45" s="26">
        <v>6914683</v>
      </c>
      <c r="U45" s="26">
        <v>9415967</v>
      </c>
      <c r="V45" s="26">
        <v>4121072</v>
      </c>
      <c r="W45" s="27">
        <v>0</v>
      </c>
      <c r="X45" s="26">
        <v>4121072</v>
      </c>
      <c r="Y45" s="26">
        <v>4121072</v>
      </c>
      <c r="Z45" s="26">
        <v>2793611</v>
      </c>
    </row>
    <row r="46" spans="1:26" ht="16.5" hidden="1" customHeight="1">
      <c r="A46" s="25" t="s">
        <v>191</v>
      </c>
      <c r="B46" s="25" t="s">
        <v>192</v>
      </c>
      <c r="C46" s="25" t="s">
        <v>87</v>
      </c>
      <c r="D46" s="25" t="s">
        <v>193</v>
      </c>
      <c r="E46" s="25" t="s">
        <v>96</v>
      </c>
      <c r="F46" s="26">
        <v>8500000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6">
        <v>8500000</v>
      </c>
      <c r="N46" s="27">
        <v>0</v>
      </c>
      <c r="O46" s="26">
        <v>1931167</v>
      </c>
      <c r="P46" s="26">
        <v>1931167</v>
      </c>
      <c r="Q46" s="26">
        <v>6568833</v>
      </c>
      <c r="R46" s="27">
        <v>0</v>
      </c>
      <c r="S46" s="26">
        <v>1931167</v>
      </c>
      <c r="T46" s="26">
        <v>1931167</v>
      </c>
      <c r="U46" s="26">
        <v>6568833</v>
      </c>
      <c r="V46" s="26">
        <v>305480</v>
      </c>
      <c r="W46" s="27">
        <v>0</v>
      </c>
      <c r="X46" s="26">
        <v>305480</v>
      </c>
      <c r="Y46" s="26">
        <v>305480</v>
      </c>
      <c r="Z46" s="26">
        <v>1625687</v>
      </c>
    </row>
    <row r="47" spans="1:26" ht="16.5" hidden="1" customHeight="1">
      <c r="A47" s="25" t="s">
        <v>194</v>
      </c>
      <c r="B47" s="25" t="s">
        <v>195</v>
      </c>
      <c r="C47" s="25" t="s">
        <v>87</v>
      </c>
      <c r="D47" s="25" t="s">
        <v>196</v>
      </c>
      <c r="E47" s="25" t="s">
        <v>96</v>
      </c>
      <c r="F47" s="26">
        <v>85400000</v>
      </c>
      <c r="G47" s="27">
        <v>0</v>
      </c>
      <c r="H47" s="27">
        <v>0</v>
      </c>
      <c r="I47" s="27">
        <v>0</v>
      </c>
      <c r="J47" s="26">
        <v>11816517</v>
      </c>
      <c r="K47" s="27">
        <v>0</v>
      </c>
      <c r="L47" s="26">
        <v>4310320</v>
      </c>
      <c r="M47" s="26">
        <v>69273163</v>
      </c>
      <c r="N47" s="27">
        <v>0</v>
      </c>
      <c r="O47" s="26">
        <v>14151855</v>
      </c>
      <c r="P47" s="26">
        <v>14151855</v>
      </c>
      <c r="Q47" s="26">
        <v>55121308</v>
      </c>
      <c r="R47" s="27">
        <v>0</v>
      </c>
      <c r="S47" s="26">
        <v>14151855</v>
      </c>
      <c r="T47" s="26">
        <v>14151855</v>
      </c>
      <c r="U47" s="26">
        <v>55121308</v>
      </c>
      <c r="V47" s="26">
        <v>9546631</v>
      </c>
      <c r="W47" s="27">
        <v>0</v>
      </c>
      <c r="X47" s="26">
        <v>9546631</v>
      </c>
      <c r="Y47" s="26">
        <v>9546631</v>
      </c>
      <c r="Z47" s="26">
        <v>4605224</v>
      </c>
    </row>
    <row r="48" spans="1:26" ht="16.5" hidden="1" customHeight="1">
      <c r="A48" s="25" t="s">
        <v>197</v>
      </c>
      <c r="B48" s="25" t="s">
        <v>198</v>
      </c>
      <c r="C48" s="25" t="s">
        <v>87</v>
      </c>
      <c r="D48" s="25" t="s">
        <v>199</v>
      </c>
      <c r="E48" s="25" t="s">
        <v>96</v>
      </c>
      <c r="F48" s="26">
        <v>18000000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6">
        <v>1536136</v>
      </c>
      <c r="M48" s="26">
        <v>16463864</v>
      </c>
      <c r="N48" s="27">
        <v>0</v>
      </c>
      <c r="O48" s="26">
        <v>16463864</v>
      </c>
      <c r="P48" s="26">
        <v>16463864</v>
      </c>
      <c r="Q48" s="27">
        <v>0</v>
      </c>
      <c r="R48" s="27">
        <v>0</v>
      </c>
      <c r="S48" s="26">
        <v>16463864</v>
      </c>
      <c r="T48" s="26">
        <v>16463864</v>
      </c>
      <c r="U48" s="27">
        <v>0</v>
      </c>
      <c r="V48" s="26">
        <v>16463864</v>
      </c>
      <c r="W48" s="27">
        <v>0</v>
      </c>
      <c r="X48" s="26">
        <v>16463864</v>
      </c>
      <c r="Y48" s="26">
        <v>16463864</v>
      </c>
      <c r="Z48" s="27">
        <v>0</v>
      </c>
    </row>
    <row r="49" spans="1:26" ht="16.5" hidden="1" customHeight="1">
      <c r="A49" s="25" t="s">
        <v>200</v>
      </c>
      <c r="B49" s="25" t="s">
        <v>201</v>
      </c>
      <c r="C49" s="25" t="s">
        <v>87</v>
      </c>
      <c r="D49" s="25" t="s">
        <v>202</v>
      </c>
      <c r="E49" s="25" t="s">
        <v>96</v>
      </c>
      <c r="F49" s="26">
        <v>122000000</v>
      </c>
      <c r="G49" s="27">
        <v>0</v>
      </c>
      <c r="H49" s="27">
        <v>0</v>
      </c>
      <c r="I49" s="27">
        <v>0</v>
      </c>
      <c r="J49" s="27">
        <v>0</v>
      </c>
      <c r="K49" s="26">
        <v>9557736</v>
      </c>
      <c r="L49" s="26">
        <v>13160368</v>
      </c>
      <c r="M49" s="26">
        <v>118397368</v>
      </c>
      <c r="N49" s="27">
        <v>0</v>
      </c>
      <c r="O49" s="26">
        <v>89969922</v>
      </c>
      <c r="P49" s="26">
        <v>89969922</v>
      </c>
      <c r="Q49" s="26">
        <v>28427446</v>
      </c>
      <c r="R49" s="27">
        <v>0</v>
      </c>
      <c r="S49" s="26">
        <v>89969922</v>
      </c>
      <c r="T49" s="26">
        <v>89969922</v>
      </c>
      <c r="U49" s="26">
        <v>28427446</v>
      </c>
      <c r="V49" s="26">
        <v>89969922</v>
      </c>
      <c r="W49" s="27">
        <v>0</v>
      </c>
      <c r="X49" s="26">
        <v>82284588</v>
      </c>
      <c r="Y49" s="26">
        <v>82284588</v>
      </c>
      <c r="Z49" s="26">
        <v>7685334</v>
      </c>
    </row>
    <row r="50" spans="1:26" ht="16.5" hidden="1" customHeight="1">
      <c r="A50" s="25" t="s">
        <v>203</v>
      </c>
      <c r="B50" s="25" t="s">
        <v>204</v>
      </c>
      <c r="C50" s="25" t="s">
        <v>87</v>
      </c>
      <c r="D50" s="25" t="s">
        <v>205</v>
      </c>
      <c r="E50" s="25" t="s">
        <v>96</v>
      </c>
      <c r="F50" s="26">
        <v>32000000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6">
        <v>32000000</v>
      </c>
      <c r="N50" s="27">
        <v>0</v>
      </c>
      <c r="O50" s="26">
        <v>25400000</v>
      </c>
      <c r="P50" s="26">
        <v>25400000</v>
      </c>
      <c r="Q50" s="26">
        <v>6600000</v>
      </c>
      <c r="R50" s="27">
        <v>0</v>
      </c>
      <c r="S50" s="26">
        <v>25400000</v>
      </c>
      <c r="T50" s="26">
        <v>25400000</v>
      </c>
      <c r="U50" s="26">
        <v>6600000</v>
      </c>
      <c r="V50" s="26">
        <v>1750000</v>
      </c>
      <c r="W50" s="27">
        <v>0</v>
      </c>
      <c r="X50" s="26">
        <v>1750000</v>
      </c>
      <c r="Y50" s="26">
        <v>1750000</v>
      </c>
      <c r="Z50" s="26">
        <v>23650000</v>
      </c>
    </row>
    <row r="51" spans="1:26" ht="16.5" hidden="1" customHeight="1">
      <c r="A51" s="25" t="s">
        <v>206</v>
      </c>
      <c r="B51" s="25" t="s">
        <v>207</v>
      </c>
      <c r="C51" s="25" t="s">
        <v>87</v>
      </c>
      <c r="D51" s="25" t="s">
        <v>208</v>
      </c>
      <c r="E51" s="25" t="s">
        <v>96</v>
      </c>
      <c r="F51" s="26">
        <v>2000000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6">
        <v>2000000</v>
      </c>
      <c r="N51" s="27">
        <v>0</v>
      </c>
      <c r="O51" s="26">
        <v>1082428</v>
      </c>
      <c r="P51" s="26">
        <v>1082428</v>
      </c>
      <c r="Q51" s="26">
        <v>917572</v>
      </c>
      <c r="R51" s="27">
        <v>0</v>
      </c>
      <c r="S51" s="27">
        <v>0</v>
      </c>
      <c r="T51" s="27">
        <v>0</v>
      </c>
      <c r="U51" s="26">
        <v>2000000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</row>
    <row r="52" spans="1:26" ht="16.5" hidden="1" customHeight="1">
      <c r="A52" s="25" t="s">
        <v>85</v>
      </c>
      <c r="B52" s="25" t="s">
        <v>209</v>
      </c>
      <c r="C52" s="25" t="s">
        <v>87</v>
      </c>
      <c r="D52" s="25" t="s">
        <v>210</v>
      </c>
      <c r="E52" s="25" t="s">
        <v>85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6">
        <v>135198968</v>
      </c>
      <c r="L52" s="27">
        <v>0</v>
      </c>
      <c r="M52" s="26">
        <v>135198968</v>
      </c>
      <c r="N52" s="27">
        <v>0</v>
      </c>
      <c r="O52" s="27">
        <v>0</v>
      </c>
      <c r="P52" s="27">
        <v>0</v>
      </c>
      <c r="Q52" s="26">
        <v>135198968</v>
      </c>
      <c r="R52" s="27">
        <v>0</v>
      </c>
      <c r="S52" s="27">
        <v>0</v>
      </c>
      <c r="T52" s="27">
        <v>0</v>
      </c>
      <c r="U52" s="26">
        <v>135198968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</row>
    <row r="53" spans="1:26" ht="16.5" hidden="1" customHeight="1">
      <c r="A53" s="25" t="s">
        <v>211</v>
      </c>
      <c r="B53" s="25" t="s">
        <v>212</v>
      </c>
      <c r="C53" s="25" t="s">
        <v>87</v>
      </c>
      <c r="D53" s="25" t="s">
        <v>210</v>
      </c>
      <c r="E53" s="25" t="s">
        <v>96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6">
        <v>135198968</v>
      </c>
      <c r="L53" s="27">
        <v>0</v>
      </c>
      <c r="M53" s="26">
        <v>135198968</v>
      </c>
      <c r="N53" s="27">
        <v>0</v>
      </c>
      <c r="O53" s="27">
        <v>0</v>
      </c>
      <c r="P53" s="27">
        <v>0</v>
      </c>
      <c r="Q53" s="26">
        <v>135198968</v>
      </c>
      <c r="R53" s="27">
        <v>0</v>
      </c>
      <c r="S53" s="27">
        <v>0</v>
      </c>
      <c r="T53" s="27">
        <v>0</v>
      </c>
      <c r="U53" s="26">
        <v>135198968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</row>
    <row r="54" spans="1:26" ht="16.5" hidden="1" customHeight="1">
      <c r="A54" s="25" t="s">
        <v>85</v>
      </c>
      <c r="B54" s="25" t="s">
        <v>213</v>
      </c>
      <c r="C54" s="25" t="s">
        <v>87</v>
      </c>
      <c r="D54" s="25" t="s">
        <v>214</v>
      </c>
      <c r="E54" s="25" t="s">
        <v>85</v>
      </c>
      <c r="F54" s="26">
        <v>15341058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6">
        <v>6301710</v>
      </c>
      <c r="M54" s="26">
        <v>9039348</v>
      </c>
      <c r="N54" s="27">
        <v>0</v>
      </c>
      <c r="O54" s="26">
        <v>9039348</v>
      </c>
      <c r="P54" s="26">
        <v>9039348</v>
      </c>
      <c r="Q54" s="27">
        <v>0</v>
      </c>
      <c r="R54" s="27">
        <v>0</v>
      </c>
      <c r="S54" s="26">
        <v>9039348</v>
      </c>
      <c r="T54" s="26">
        <v>9039348</v>
      </c>
      <c r="U54" s="27">
        <v>0</v>
      </c>
      <c r="V54" s="26">
        <v>7532790</v>
      </c>
      <c r="W54" s="27">
        <v>0</v>
      </c>
      <c r="X54" s="26">
        <v>7532790</v>
      </c>
      <c r="Y54" s="26">
        <v>7532790</v>
      </c>
      <c r="Z54" s="26">
        <v>1506558</v>
      </c>
    </row>
    <row r="55" spans="1:26" ht="16.5" hidden="1" customHeight="1">
      <c r="A55" s="25" t="s">
        <v>215</v>
      </c>
      <c r="B55" s="25" t="s">
        <v>216</v>
      </c>
      <c r="C55" s="25" t="s">
        <v>87</v>
      </c>
      <c r="D55" s="25" t="s">
        <v>217</v>
      </c>
      <c r="E55" s="25" t="s">
        <v>96</v>
      </c>
      <c r="F55" s="26">
        <v>15341058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6">
        <v>6301710</v>
      </c>
      <c r="M55" s="26">
        <v>9039348</v>
      </c>
      <c r="N55" s="27">
        <v>0</v>
      </c>
      <c r="O55" s="26">
        <v>9039348</v>
      </c>
      <c r="P55" s="26">
        <v>9039348</v>
      </c>
      <c r="Q55" s="27">
        <v>0</v>
      </c>
      <c r="R55" s="27">
        <v>0</v>
      </c>
      <c r="S55" s="26">
        <v>9039348</v>
      </c>
      <c r="T55" s="26">
        <v>9039348</v>
      </c>
      <c r="U55" s="27">
        <v>0</v>
      </c>
      <c r="V55" s="26">
        <v>7532790</v>
      </c>
      <c r="W55" s="27">
        <v>0</v>
      </c>
      <c r="X55" s="26">
        <v>7532790</v>
      </c>
      <c r="Y55" s="26">
        <v>7532790</v>
      </c>
      <c r="Z55" s="26">
        <v>1506558</v>
      </c>
    </row>
    <row r="56" spans="1:26" ht="16.5" hidden="1" customHeight="1">
      <c r="A56" s="25" t="s">
        <v>85</v>
      </c>
      <c r="B56" s="25" t="s">
        <v>218</v>
      </c>
      <c r="C56" s="25" t="s">
        <v>87</v>
      </c>
      <c r="D56" s="25" t="s">
        <v>219</v>
      </c>
      <c r="E56" s="25" t="s">
        <v>85</v>
      </c>
      <c r="F56" s="26">
        <v>159336563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6">
        <v>159336563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</row>
    <row r="57" spans="1:26" ht="16.5" hidden="1" customHeight="1">
      <c r="A57" s="25" t="s">
        <v>220</v>
      </c>
      <c r="B57" s="25" t="s">
        <v>221</v>
      </c>
      <c r="C57" s="25" t="s">
        <v>87</v>
      </c>
      <c r="D57" s="25" t="s">
        <v>222</v>
      </c>
      <c r="E57" s="25" t="s">
        <v>96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</row>
    <row r="58" spans="1:26" ht="16.5" hidden="1" customHeight="1">
      <c r="A58" s="25" t="s">
        <v>223</v>
      </c>
      <c r="B58" s="25" t="s">
        <v>224</v>
      </c>
      <c r="C58" s="25" t="s">
        <v>87</v>
      </c>
      <c r="D58" s="25" t="s">
        <v>225</v>
      </c>
      <c r="E58" s="25" t="s">
        <v>96</v>
      </c>
      <c r="F58" s="26">
        <v>159336563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6">
        <v>159336563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</row>
    <row r="59" spans="1:26" ht="16.5" customHeight="1">
      <c r="A59" s="51" t="s">
        <v>85</v>
      </c>
      <c r="B59" s="51" t="s">
        <v>226</v>
      </c>
      <c r="C59" s="51" t="s">
        <v>87</v>
      </c>
      <c r="D59" s="51" t="s">
        <v>227</v>
      </c>
      <c r="E59" s="51" t="s">
        <v>85</v>
      </c>
      <c r="F59" s="52">
        <v>2019349401</v>
      </c>
      <c r="G59" s="52">
        <v>1447299007.71</v>
      </c>
      <c r="H59" s="53">
        <v>0</v>
      </c>
      <c r="I59" s="53">
        <v>0</v>
      </c>
      <c r="J59" s="52">
        <v>330188670</v>
      </c>
      <c r="K59" s="52">
        <v>783895402</v>
      </c>
      <c r="L59" s="52">
        <v>783895402</v>
      </c>
      <c r="M59" s="52">
        <v>3136459738.71</v>
      </c>
      <c r="N59" s="53">
        <v>0</v>
      </c>
      <c r="O59" s="52">
        <v>2402721307</v>
      </c>
      <c r="P59" s="52">
        <v>2402721307</v>
      </c>
      <c r="Q59" s="26">
        <v>733738431.71000004</v>
      </c>
      <c r="R59" s="27">
        <v>0</v>
      </c>
      <c r="S59" s="26">
        <v>1145035474</v>
      </c>
      <c r="T59" s="26">
        <v>1145035474</v>
      </c>
      <c r="U59" s="26">
        <v>1991424264.71</v>
      </c>
      <c r="V59" s="26">
        <v>793913927</v>
      </c>
      <c r="W59" s="27">
        <v>0</v>
      </c>
      <c r="X59" s="26">
        <v>790880594</v>
      </c>
      <c r="Y59" s="26">
        <v>790880594</v>
      </c>
      <c r="Z59" s="26">
        <v>354154880</v>
      </c>
    </row>
    <row r="60" spans="1:26" ht="16.5" hidden="1" customHeight="1">
      <c r="A60" s="25" t="s">
        <v>85</v>
      </c>
      <c r="B60" s="25" t="s">
        <v>228</v>
      </c>
      <c r="C60" s="25" t="s">
        <v>87</v>
      </c>
      <c r="D60" s="25" t="s">
        <v>229</v>
      </c>
      <c r="E60" s="25" t="s">
        <v>85</v>
      </c>
      <c r="F60" s="26">
        <v>2019349401</v>
      </c>
      <c r="G60" s="26">
        <v>1447299007.71</v>
      </c>
      <c r="H60" s="27">
        <v>0</v>
      </c>
      <c r="I60" s="27">
        <v>0</v>
      </c>
      <c r="J60" s="26">
        <v>330188670</v>
      </c>
      <c r="K60" s="26">
        <v>783895402</v>
      </c>
      <c r="L60" s="26">
        <v>783895402</v>
      </c>
      <c r="M60" s="26">
        <v>3136459738.71</v>
      </c>
      <c r="N60" s="27">
        <v>0</v>
      </c>
      <c r="O60" s="26">
        <v>2402721307</v>
      </c>
      <c r="P60" s="26">
        <v>2402721307</v>
      </c>
      <c r="Q60" s="26">
        <v>733738431.71000004</v>
      </c>
      <c r="R60" s="27">
        <v>0</v>
      </c>
      <c r="S60" s="26">
        <v>1145035474</v>
      </c>
      <c r="T60" s="26">
        <v>1145035474</v>
      </c>
      <c r="U60" s="26">
        <v>1991424264.71</v>
      </c>
      <c r="V60" s="26">
        <v>793913927</v>
      </c>
      <c r="W60" s="27">
        <v>0</v>
      </c>
      <c r="X60" s="26">
        <v>790880594</v>
      </c>
      <c r="Y60" s="26">
        <v>790880594</v>
      </c>
      <c r="Z60" s="26">
        <v>354154880</v>
      </c>
    </row>
    <row r="61" spans="1:26" ht="16.5" hidden="1" customHeight="1">
      <c r="A61" s="25" t="s">
        <v>85</v>
      </c>
      <c r="B61" s="25" t="s">
        <v>230</v>
      </c>
      <c r="C61" s="25" t="s">
        <v>87</v>
      </c>
      <c r="D61" s="25" t="s">
        <v>231</v>
      </c>
      <c r="E61" s="25" t="s">
        <v>85</v>
      </c>
      <c r="F61" s="26">
        <v>2019349401</v>
      </c>
      <c r="G61" s="26">
        <v>1447299007.71</v>
      </c>
      <c r="H61" s="27">
        <v>0</v>
      </c>
      <c r="I61" s="27">
        <v>0</v>
      </c>
      <c r="J61" s="26">
        <v>330188670</v>
      </c>
      <c r="K61" s="26">
        <v>783895402</v>
      </c>
      <c r="L61" s="26">
        <v>783895402</v>
      </c>
      <c r="M61" s="26">
        <v>3136459738.71</v>
      </c>
      <c r="N61" s="27">
        <v>0</v>
      </c>
      <c r="O61" s="26">
        <v>2402721307</v>
      </c>
      <c r="P61" s="26">
        <v>2402721307</v>
      </c>
      <c r="Q61" s="26">
        <v>733738431.71000004</v>
      </c>
      <c r="R61" s="27">
        <v>0</v>
      </c>
      <c r="S61" s="26">
        <v>1145035474</v>
      </c>
      <c r="T61" s="26">
        <v>1145035474</v>
      </c>
      <c r="U61" s="26">
        <v>1991424264.71</v>
      </c>
      <c r="V61" s="26">
        <v>793913927</v>
      </c>
      <c r="W61" s="27">
        <v>0</v>
      </c>
      <c r="X61" s="26">
        <v>790880594</v>
      </c>
      <c r="Y61" s="26">
        <v>790880594</v>
      </c>
      <c r="Z61" s="26">
        <v>354154880</v>
      </c>
    </row>
    <row r="62" spans="1:26" ht="16.5" hidden="1" customHeight="1">
      <c r="A62" s="25" t="s">
        <v>85</v>
      </c>
      <c r="B62" s="25" t="s">
        <v>232</v>
      </c>
      <c r="C62" s="25" t="s">
        <v>87</v>
      </c>
      <c r="D62" s="25" t="s">
        <v>233</v>
      </c>
      <c r="E62" s="25" t="s">
        <v>85</v>
      </c>
      <c r="F62" s="26">
        <v>1742919401</v>
      </c>
      <c r="G62" s="26">
        <v>1377299007.71</v>
      </c>
      <c r="H62" s="27">
        <v>0</v>
      </c>
      <c r="I62" s="27">
        <v>0</v>
      </c>
      <c r="J62" s="26">
        <v>220188670</v>
      </c>
      <c r="K62" s="26">
        <v>747095402</v>
      </c>
      <c r="L62" s="26">
        <v>783895402</v>
      </c>
      <c r="M62" s="26">
        <v>2863229738.71</v>
      </c>
      <c r="N62" s="27">
        <v>0</v>
      </c>
      <c r="O62" s="26">
        <v>2213271308</v>
      </c>
      <c r="P62" s="26">
        <v>2213271308</v>
      </c>
      <c r="Q62" s="26">
        <v>649958430.71000004</v>
      </c>
      <c r="R62" s="27">
        <v>0</v>
      </c>
      <c r="S62" s="26">
        <v>955585475</v>
      </c>
      <c r="T62" s="26">
        <v>955585475</v>
      </c>
      <c r="U62" s="26">
        <v>1907644263.71</v>
      </c>
      <c r="V62" s="26">
        <v>682107930</v>
      </c>
      <c r="W62" s="27">
        <v>0</v>
      </c>
      <c r="X62" s="26">
        <v>681874597</v>
      </c>
      <c r="Y62" s="26">
        <v>681874597</v>
      </c>
      <c r="Z62" s="26">
        <v>273710878</v>
      </c>
    </row>
    <row r="63" spans="1:26" s="58" customFormat="1" ht="16.5" customHeight="1">
      <c r="A63" s="55" t="s">
        <v>234</v>
      </c>
      <c r="B63" s="55" t="s">
        <v>47</v>
      </c>
      <c r="C63" s="55" t="s">
        <v>87</v>
      </c>
      <c r="D63" s="55" t="s">
        <v>235</v>
      </c>
      <c r="E63" s="55" t="s">
        <v>96</v>
      </c>
      <c r="F63" s="56">
        <v>801605000</v>
      </c>
      <c r="G63" s="57">
        <v>0</v>
      </c>
      <c r="H63" s="57">
        <v>0</v>
      </c>
      <c r="I63" s="57">
        <v>0</v>
      </c>
      <c r="J63" s="56">
        <v>95023999</v>
      </c>
      <c r="K63" s="57">
        <v>0</v>
      </c>
      <c r="L63" s="56">
        <v>456581001</v>
      </c>
      <c r="M63" s="56">
        <v>250000000</v>
      </c>
      <c r="N63" s="57">
        <v>0</v>
      </c>
      <c r="O63" s="57">
        <v>0</v>
      </c>
      <c r="P63" s="57">
        <v>0</v>
      </c>
      <c r="Q63" s="56">
        <v>250000000</v>
      </c>
      <c r="R63" s="57">
        <v>0</v>
      </c>
      <c r="S63" s="57">
        <v>0</v>
      </c>
      <c r="T63" s="57">
        <v>0</v>
      </c>
      <c r="U63" s="56">
        <v>250000000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</row>
    <row r="64" spans="1:26" s="58" customFormat="1" ht="16.5" customHeight="1">
      <c r="A64" s="55" t="s">
        <v>236</v>
      </c>
      <c r="B64" s="55" t="s">
        <v>49</v>
      </c>
      <c r="C64" s="55" t="s">
        <v>87</v>
      </c>
      <c r="D64" s="55" t="s">
        <v>237</v>
      </c>
      <c r="E64" s="55" t="s">
        <v>96</v>
      </c>
      <c r="F64" s="56">
        <v>77314401</v>
      </c>
      <c r="G64" s="56">
        <v>1154271068.71</v>
      </c>
      <c r="H64" s="57">
        <v>0</v>
      </c>
      <c r="I64" s="57">
        <v>0</v>
      </c>
      <c r="J64" s="56">
        <v>125164671</v>
      </c>
      <c r="K64" s="56">
        <v>500000000</v>
      </c>
      <c r="L64" s="56">
        <v>77314401</v>
      </c>
      <c r="M64" s="56">
        <v>1529106397.71</v>
      </c>
      <c r="N64" s="57">
        <v>0</v>
      </c>
      <c r="O64" s="56">
        <v>1510500000</v>
      </c>
      <c r="P64" s="56">
        <v>1510500000</v>
      </c>
      <c r="Q64" s="56">
        <v>18606397.710000001</v>
      </c>
      <c r="R64" s="57">
        <v>0</v>
      </c>
      <c r="S64" s="56">
        <v>510500000</v>
      </c>
      <c r="T64" s="56">
        <v>510500000</v>
      </c>
      <c r="U64" s="56">
        <v>1018606397.71</v>
      </c>
      <c r="V64" s="56">
        <v>500816666</v>
      </c>
      <c r="W64" s="57">
        <v>0</v>
      </c>
      <c r="X64" s="56">
        <v>500816666</v>
      </c>
      <c r="Y64" s="56">
        <v>500816666</v>
      </c>
      <c r="Z64" s="56">
        <v>9683334</v>
      </c>
    </row>
    <row r="65" spans="1:26" s="58" customFormat="1" ht="16.5" customHeight="1">
      <c r="A65" s="55" t="s">
        <v>238</v>
      </c>
      <c r="B65" s="55" t="s">
        <v>48</v>
      </c>
      <c r="C65" s="55" t="s">
        <v>87</v>
      </c>
      <c r="D65" s="55" t="s">
        <v>239</v>
      </c>
      <c r="E65" s="55" t="s">
        <v>96</v>
      </c>
      <c r="F65" s="56">
        <v>864000000</v>
      </c>
      <c r="G65" s="56">
        <v>223027939</v>
      </c>
      <c r="H65" s="57">
        <v>0</v>
      </c>
      <c r="I65" s="57">
        <v>0</v>
      </c>
      <c r="J65" s="57">
        <v>0</v>
      </c>
      <c r="K65" s="56">
        <v>247095402</v>
      </c>
      <c r="L65" s="56">
        <v>250000000</v>
      </c>
      <c r="M65" s="56">
        <v>1084123341</v>
      </c>
      <c r="N65" s="57">
        <v>0</v>
      </c>
      <c r="O65" s="56">
        <v>702771308</v>
      </c>
      <c r="P65" s="56">
        <v>702771308</v>
      </c>
      <c r="Q65" s="56">
        <v>381352033</v>
      </c>
      <c r="R65" s="57">
        <v>0</v>
      </c>
      <c r="S65" s="56">
        <v>445085475</v>
      </c>
      <c r="T65" s="56">
        <v>445085475</v>
      </c>
      <c r="U65" s="56">
        <v>639037866</v>
      </c>
      <c r="V65" s="56">
        <v>181291264</v>
      </c>
      <c r="W65" s="57">
        <v>0</v>
      </c>
      <c r="X65" s="56">
        <v>181057931</v>
      </c>
      <c r="Y65" s="56">
        <v>181057931</v>
      </c>
      <c r="Z65" s="56">
        <v>264027544</v>
      </c>
    </row>
    <row r="66" spans="1:26" s="58" customFormat="1" ht="16.5" hidden="1" customHeight="1">
      <c r="A66" s="55" t="s">
        <v>85</v>
      </c>
      <c r="B66" s="55" t="s">
        <v>240</v>
      </c>
      <c r="C66" s="55" t="s">
        <v>87</v>
      </c>
      <c r="D66" s="55" t="s">
        <v>241</v>
      </c>
      <c r="E66" s="55" t="s">
        <v>85</v>
      </c>
      <c r="F66" s="56">
        <v>276430000</v>
      </c>
      <c r="G66" s="56">
        <v>70000000</v>
      </c>
      <c r="H66" s="57">
        <v>0</v>
      </c>
      <c r="I66" s="57">
        <v>0</v>
      </c>
      <c r="J66" s="56">
        <v>110000000</v>
      </c>
      <c r="K66" s="56">
        <v>36800000</v>
      </c>
      <c r="L66" s="57">
        <v>0</v>
      </c>
      <c r="M66" s="56">
        <v>273230000</v>
      </c>
      <c r="N66" s="57">
        <v>0</v>
      </c>
      <c r="O66" s="56">
        <v>189449999</v>
      </c>
      <c r="P66" s="56">
        <v>189449999</v>
      </c>
      <c r="Q66" s="56">
        <v>83780001</v>
      </c>
      <c r="R66" s="57">
        <v>0</v>
      </c>
      <c r="S66" s="56">
        <v>189449999</v>
      </c>
      <c r="T66" s="56">
        <v>189449999</v>
      </c>
      <c r="U66" s="56">
        <v>83780001</v>
      </c>
      <c r="V66" s="56">
        <v>111805997</v>
      </c>
      <c r="W66" s="57">
        <v>0</v>
      </c>
      <c r="X66" s="56">
        <v>109005997</v>
      </c>
      <c r="Y66" s="56">
        <v>109005997</v>
      </c>
      <c r="Z66" s="56">
        <v>80444002</v>
      </c>
    </row>
    <row r="67" spans="1:26" s="58" customFormat="1" ht="16.5" customHeight="1">
      <c r="A67" s="55" t="s">
        <v>242</v>
      </c>
      <c r="B67" s="55" t="s">
        <v>50</v>
      </c>
      <c r="C67" s="55" t="s">
        <v>87</v>
      </c>
      <c r="D67" s="55" t="s">
        <v>243</v>
      </c>
      <c r="E67" s="55" t="s">
        <v>96</v>
      </c>
      <c r="F67" s="56">
        <v>166430000</v>
      </c>
      <c r="G67" s="56">
        <v>70000000</v>
      </c>
      <c r="H67" s="57">
        <v>0</v>
      </c>
      <c r="I67" s="57">
        <v>0</v>
      </c>
      <c r="J67" s="57">
        <v>0</v>
      </c>
      <c r="K67" s="56">
        <v>36800000</v>
      </c>
      <c r="L67" s="57">
        <v>0</v>
      </c>
      <c r="M67" s="56">
        <v>273230000</v>
      </c>
      <c r="N67" s="57">
        <v>0</v>
      </c>
      <c r="O67" s="56">
        <v>189449999</v>
      </c>
      <c r="P67" s="56">
        <v>189449999</v>
      </c>
      <c r="Q67" s="56">
        <v>83780001</v>
      </c>
      <c r="R67" s="57">
        <v>0</v>
      </c>
      <c r="S67" s="56">
        <v>189449999</v>
      </c>
      <c r="T67" s="56">
        <v>189449999</v>
      </c>
      <c r="U67" s="56">
        <v>83780001</v>
      </c>
      <c r="V67" s="56">
        <v>111805997</v>
      </c>
      <c r="W67" s="57">
        <v>0</v>
      </c>
      <c r="X67" s="56">
        <v>109005997</v>
      </c>
      <c r="Y67" s="56">
        <v>109005997</v>
      </c>
      <c r="Z67" s="56">
        <v>80444002</v>
      </c>
    </row>
    <row r="68" spans="1:26" ht="16.5" hidden="1" customHeight="1">
      <c r="A68" s="25" t="s">
        <v>244</v>
      </c>
      <c r="B68" s="25" t="s">
        <v>245</v>
      </c>
      <c r="C68" s="25" t="s">
        <v>87</v>
      </c>
      <c r="D68" s="25" t="s">
        <v>246</v>
      </c>
      <c r="E68" s="25" t="s">
        <v>96</v>
      </c>
      <c r="F68" s="26">
        <v>110000000</v>
      </c>
      <c r="G68" s="27">
        <v>0</v>
      </c>
      <c r="H68" s="27">
        <v>0</v>
      </c>
      <c r="I68" s="27">
        <v>0</v>
      </c>
      <c r="J68" s="26">
        <v>110000000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</row>
    <row r="69" spans="1:26" ht="16.5" hidden="1" customHeight="1">
      <c r="A69" s="25" t="s">
        <v>247</v>
      </c>
      <c r="B69" s="25" t="s">
        <v>248</v>
      </c>
      <c r="C69" s="25" t="s">
        <v>87</v>
      </c>
      <c r="D69" s="25" t="s">
        <v>249</v>
      </c>
      <c r="E69" s="25" t="s">
        <v>96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</row>
    <row r="70" spans="1:26" hidden="1"/>
    <row r="71" spans="1:26" hidden="1"/>
  </sheetData>
  <mergeCells count="6">
    <mergeCell ref="A6:Z6"/>
    <mergeCell ref="A1:Z1"/>
    <mergeCell ref="A2:Z2"/>
    <mergeCell ref="A3:Z3"/>
    <mergeCell ref="A4:Z4"/>
    <mergeCell ref="A5:Z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EJE_X_01 (2)</vt:lpstr>
      <vt:lpstr>Seguimiento contratos proyectos</vt:lpstr>
      <vt:lpstr>Plan de acción Deisy</vt:lpstr>
      <vt:lpstr>2020</vt:lpstr>
      <vt:lpstr>Resu Gastos</vt:lpstr>
      <vt:lpstr>EJE_X_01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2020-12-10T15:03:39Z</dcterms:modified>
</cp:coreProperties>
</file>