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L12" i="12"/>
  <c r="N12" i="12"/>
  <c r="Q12" i="14"/>
  <c r="L14" i="12"/>
  <c r="N14" i="12"/>
  <c r="Q14" i="14"/>
  <c r="L15" i="12"/>
  <c r="N15" i="12"/>
  <c r="Q15" i="14"/>
  <c r="L16" i="12"/>
  <c r="N16" i="12"/>
  <c r="Q16" i="14"/>
  <c r="L18" i="12"/>
  <c r="N18" i="12"/>
  <c r="Q18" i="14"/>
  <c r="L19" i="12"/>
  <c r="N19" i="12"/>
  <c r="Q19" i="14"/>
  <c r="L20" i="12"/>
  <c r="N20" i="12"/>
  <c r="Q20" i="14"/>
  <c r="L21" i="12"/>
  <c r="N21" i="12"/>
  <c r="Q21" i="14"/>
  <c r="L22" i="12"/>
  <c r="N22" i="12"/>
  <c r="Q22" i="14"/>
  <c r="L23" i="12"/>
  <c r="N23" i="12"/>
  <c r="Q23" i="14"/>
  <c r="L24" i="12"/>
  <c r="N24" i="12"/>
  <c r="Q24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N35" i="12"/>
  <c r="Q35" i="14"/>
  <c r="L36" i="12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1" i="12"/>
  <c r="N41" i="12"/>
  <c r="Q41" i="14"/>
  <c r="N42" i="12"/>
  <c r="Q42" i="14"/>
  <c r="N43" i="12"/>
  <c r="Q43" i="14"/>
  <c r="L44" i="12"/>
  <c r="N44" i="12"/>
  <c r="Q44" i="14"/>
  <c r="L45" i="12"/>
  <c r="N45" i="12"/>
  <c r="Q45" i="14"/>
  <c r="L46" i="12"/>
  <c r="N46" i="12"/>
  <c r="Q46" i="14"/>
  <c r="L47" i="12"/>
  <c r="N47" i="12"/>
  <c r="Q47" i="14"/>
  <c r="L48" i="12"/>
  <c r="N48" i="12"/>
  <c r="Q48" i="14"/>
  <c r="N49" i="12"/>
  <c r="Q49" i="14"/>
  <c r="L50" i="12"/>
  <c r="N50" i="12"/>
  <c r="Q50" i="14"/>
  <c r="L51" i="12"/>
  <c r="N51" i="12"/>
  <c r="Q51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3" i="12"/>
  <c r="N63" i="12"/>
  <c r="Q63" i="14"/>
  <c r="L64" i="12"/>
  <c r="N64" i="12"/>
  <c r="Q64" i="14"/>
  <c r="L66" i="12"/>
  <c r="N66" i="12"/>
  <c r="Q66" i="14"/>
  <c r="Q67" i="14"/>
  <c r="L12" i="13"/>
  <c r="N12" i="13"/>
  <c r="R12" i="14"/>
  <c r="L14" i="13"/>
  <c r="N14" i="13"/>
  <c r="R14" i="14"/>
  <c r="L15" i="13"/>
  <c r="N15" i="13"/>
  <c r="R15" i="14"/>
  <c r="L16" i="13"/>
  <c r="N16" i="13"/>
  <c r="R16" i="14"/>
  <c r="L18" i="13"/>
  <c r="N18" i="13"/>
  <c r="R18" i="14"/>
  <c r="L19" i="13"/>
  <c r="N19" i="13"/>
  <c r="R19" i="14"/>
  <c r="L20" i="13"/>
  <c r="N20" i="13"/>
  <c r="R20" i="14"/>
  <c r="L21" i="13"/>
  <c r="N21" i="13"/>
  <c r="R21" i="14"/>
  <c r="L22" i="13"/>
  <c r="N22" i="13"/>
  <c r="R22" i="14"/>
  <c r="L23" i="13"/>
  <c r="N23" i="13"/>
  <c r="R23" i="14"/>
  <c r="L24" i="13"/>
  <c r="N24" i="13"/>
  <c r="R24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N35" i="13"/>
  <c r="R35" i="14"/>
  <c r="L36" i="13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1" i="13"/>
  <c r="N41" i="13"/>
  <c r="R41" i="14"/>
  <c r="N42" i="13"/>
  <c r="R42" i="14"/>
  <c r="N43" i="13"/>
  <c r="R43" i="14"/>
  <c r="L44" i="13"/>
  <c r="N44" i="13"/>
  <c r="R44" i="14"/>
  <c r="L45" i="13"/>
  <c r="N45" i="13"/>
  <c r="R45" i="14"/>
  <c r="L46" i="13"/>
  <c r="N46" i="13"/>
  <c r="R46" i="14"/>
  <c r="L47" i="13"/>
  <c r="N47" i="13"/>
  <c r="R47" i="14"/>
  <c r="L48" i="13"/>
  <c r="N48" i="13"/>
  <c r="R48" i="14"/>
  <c r="N49" i="13"/>
  <c r="R49" i="14"/>
  <c r="L50" i="13"/>
  <c r="N50" i="13"/>
  <c r="R50" i="14"/>
  <c r="L51" i="13"/>
  <c r="N51" i="13"/>
  <c r="R51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N61" i="13"/>
  <c r="R61" i="14"/>
  <c r="N63" i="13"/>
  <c r="R63" i="14"/>
  <c r="L64" i="13"/>
  <c r="N64" i="13"/>
  <c r="R64" i="14"/>
  <c r="L66" i="13"/>
  <c r="N66" i="13"/>
  <c r="R66" i="14"/>
  <c r="R67" i="14"/>
  <c r="L12" i="7"/>
  <c r="N12" i="7"/>
  <c r="O12" i="14"/>
  <c r="L14" i="7"/>
  <c r="N14" i="7"/>
  <c r="O14" i="14"/>
  <c r="L15" i="7"/>
  <c r="N15" i="7"/>
  <c r="O15" i="14"/>
  <c r="L16" i="7"/>
  <c r="N16" i="7"/>
  <c r="O16" i="14"/>
  <c r="N18" i="7"/>
  <c r="O18" i="14"/>
  <c r="L19" i="7"/>
  <c r="N19" i="7"/>
  <c r="O19" i="14"/>
  <c r="L20" i="7"/>
  <c r="N20" i="7"/>
  <c r="O20" i="14"/>
  <c r="L21" i="7"/>
  <c r="N21" i="7"/>
  <c r="O21" i="14"/>
  <c r="L22" i="7"/>
  <c r="N22" i="7"/>
  <c r="O22" i="14"/>
  <c r="L23" i="7"/>
  <c r="N23" i="7"/>
  <c r="O23" i="14"/>
  <c r="L24" i="7"/>
  <c r="N24" i="7"/>
  <c r="O24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L31" i="7"/>
  <c r="N31" i="7"/>
  <c r="O31" i="14"/>
  <c r="L32" i="7"/>
  <c r="N32" i="7"/>
  <c r="O32" i="14"/>
  <c r="L33" i="7"/>
  <c r="N33" i="7"/>
  <c r="O33" i="14"/>
  <c r="L34" i="7"/>
  <c r="N34" i="7"/>
  <c r="O34" i="14"/>
  <c r="N35" i="7"/>
  <c r="O35" i="14"/>
  <c r="L36" i="7"/>
  <c r="N36" i="7"/>
  <c r="O36" i="14"/>
  <c r="L37" i="7"/>
  <c r="N37" i="7"/>
  <c r="O37" i="14"/>
  <c r="N38" i="7"/>
  <c r="O38" i="14"/>
  <c r="N39" i="7"/>
  <c r="O39" i="14"/>
  <c r="L40" i="7"/>
  <c r="N40" i="7"/>
  <c r="O40" i="14"/>
  <c r="L41" i="7"/>
  <c r="N41" i="7"/>
  <c r="O41" i="14"/>
  <c r="N42" i="7"/>
  <c r="O42" i="14"/>
  <c r="N43" i="7"/>
  <c r="O43" i="14"/>
  <c r="L44" i="7"/>
  <c r="N44" i="7"/>
  <c r="O44" i="14"/>
  <c r="L45" i="7"/>
  <c r="N45" i="7"/>
  <c r="O45" i="14"/>
  <c r="N46" i="7"/>
  <c r="O46" i="14"/>
  <c r="N47" i="7"/>
  <c r="O47" i="14"/>
  <c r="N48" i="7"/>
  <c r="O48" i="14"/>
  <c r="N50" i="7"/>
  <c r="O49" i="14"/>
  <c r="N51" i="7"/>
  <c r="O50" i="14"/>
  <c r="L52" i="7"/>
  <c r="N52" i="7"/>
  <c r="O51" i="14"/>
  <c r="L53" i="7"/>
  <c r="N53" i="7"/>
  <c r="O52" i="14"/>
  <c r="N54" i="7"/>
  <c r="O53" i="14"/>
  <c r="L55" i="7"/>
  <c r="N55" i="7"/>
  <c r="O54" i="14"/>
  <c r="N56" i="7"/>
  <c r="O55" i="14"/>
  <c r="L57" i="7"/>
  <c r="N57" i="7"/>
  <c r="O56" i="14"/>
  <c r="L58" i="7"/>
  <c r="N58" i="7"/>
  <c r="O57" i="14"/>
  <c r="L59" i="7"/>
  <c r="N59" i="7"/>
  <c r="O58" i="14"/>
  <c r="L60" i="7"/>
  <c r="N60" i="7"/>
  <c r="O59" i="14"/>
  <c r="L61" i="7"/>
  <c r="N61" i="7"/>
  <c r="O60" i="14"/>
  <c r="N62" i="7"/>
  <c r="O61" i="14"/>
  <c r="N64" i="7"/>
  <c r="O63" i="14"/>
  <c r="L65" i="7"/>
  <c r="N65" i="7"/>
  <c r="O64" i="14"/>
  <c r="O67" i="14"/>
  <c r="L12" i="11"/>
  <c r="N12" i="11"/>
  <c r="P12" i="14"/>
  <c r="L14" i="11"/>
  <c r="N14" i="11"/>
  <c r="P14" i="14"/>
  <c r="L15" i="11"/>
  <c r="N15" i="11"/>
  <c r="P15" i="14"/>
  <c r="L16" i="11"/>
  <c r="N16" i="11"/>
  <c r="P16" i="14"/>
  <c r="L18" i="11"/>
  <c r="N18" i="11"/>
  <c r="P18" i="14"/>
  <c r="L19" i="11"/>
  <c r="N19" i="11"/>
  <c r="P19" i="14"/>
  <c r="L20" i="11"/>
  <c r="N20" i="11"/>
  <c r="P20" i="14"/>
  <c r="L21" i="11"/>
  <c r="N21" i="11"/>
  <c r="P21" i="14"/>
  <c r="L22" i="11"/>
  <c r="N22" i="11"/>
  <c r="P22" i="14"/>
  <c r="L23" i="11"/>
  <c r="N23" i="11"/>
  <c r="P23" i="14"/>
  <c r="L24" i="11"/>
  <c r="N24" i="11"/>
  <c r="P24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1" i="11"/>
  <c r="N41" i="11"/>
  <c r="P41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8" i="11"/>
  <c r="N48" i="11"/>
  <c r="P48" i="14"/>
  <c r="L49" i="11"/>
  <c r="N49" i="11"/>
  <c r="P49" i="14"/>
  <c r="N50" i="11"/>
  <c r="P50" i="14"/>
  <c r="L51" i="11"/>
  <c r="N51" i="11"/>
  <c r="P51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N61" i="11"/>
  <c r="P61" i="14"/>
  <c r="N63" i="11"/>
  <c r="P63" i="14"/>
  <c r="L64" i="11"/>
  <c r="N64" i="11"/>
  <c r="P64" i="14"/>
  <c r="L66" i="11"/>
  <c r="N66" i="11"/>
  <c r="P66" i="14"/>
  <c r="P67" i="14"/>
  <c r="S67" i="14"/>
  <c r="C31" i="15"/>
  <c r="C30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V12" i="14"/>
  <c r="L10" i="15"/>
  <c r="L9" i="15"/>
  <c r="V14" i="14"/>
  <c r="V15" i="14"/>
  <c r="V16" i="14"/>
  <c r="L12" i="15"/>
  <c r="L11" i="15"/>
  <c r="L8" i="15"/>
  <c r="W12" i="14"/>
  <c r="M10" i="15"/>
  <c r="M9" i="15"/>
  <c r="W14" i="14"/>
  <c r="W15" i="14"/>
  <c r="W16" i="14"/>
  <c r="M12" i="15"/>
  <c r="M11" i="15"/>
  <c r="M8" i="15"/>
  <c r="V18" i="14"/>
  <c r="L15" i="15"/>
  <c r="V19" i="14"/>
  <c r="V20" i="14"/>
  <c r="V21" i="14"/>
  <c r="V22" i="14"/>
  <c r="V23" i="14"/>
  <c r="V24" i="14"/>
  <c r="V25" i="14"/>
  <c r="V26" i="14"/>
  <c r="V27" i="14"/>
  <c r="V28" i="14"/>
  <c r="V29" i="14"/>
  <c r="V30" i="14"/>
  <c r="L16" i="15"/>
  <c r="V31" i="14"/>
  <c r="V32" i="14"/>
  <c r="V33" i="14"/>
  <c r="V34" i="14"/>
  <c r="V35" i="14"/>
  <c r="V36" i="14"/>
  <c r="V37" i="14"/>
  <c r="L17" i="15"/>
  <c r="V38" i="14"/>
  <c r="V39" i="14"/>
  <c r="V40" i="14"/>
  <c r="V41" i="14"/>
  <c r="V42" i="14"/>
  <c r="V43" i="14"/>
  <c r="V44" i="14"/>
  <c r="L18" i="15"/>
  <c r="V45" i="14"/>
  <c r="L19" i="15"/>
  <c r="V46" i="14"/>
  <c r="V47" i="14"/>
  <c r="V48" i="14"/>
  <c r="V49" i="14"/>
  <c r="V50" i="14"/>
  <c r="V51" i="14"/>
  <c r="V52" i="14"/>
  <c r="L20" i="15"/>
  <c r="V53" i="14"/>
  <c r="L21" i="15"/>
  <c r="V54" i="14"/>
  <c r="V55" i="14"/>
  <c r="V56" i="14"/>
  <c r="V57" i="14"/>
  <c r="V58" i="14"/>
  <c r="V59" i="14"/>
  <c r="V60" i="14"/>
  <c r="V61" i="14"/>
  <c r="L22" i="15"/>
  <c r="L14" i="15"/>
  <c r="V63" i="14"/>
  <c r="V64" i="14"/>
  <c r="L24" i="15"/>
  <c r="L23" i="15"/>
  <c r="L13" i="15"/>
  <c r="W18" i="14"/>
  <c r="M15" i="15"/>
  <c r="W19" i="14"/>
  <c r="W20" i="14"/>
  <c r="W21" i="14"/>
  <c r="W22" i="14"/>
  <c r="W23" i="14"/>
  <c r="W24" i="14"/>
  <c r="W25" i="14"/>
  <c r="W26" i="14"/>
  <c r="W27" i="14"/>
  <c r="W28" i="14"/>
  <c r="W29" i="14"/>
  <c r="W30" i="14"/>
  <c r="M16" i="15"/>
  <c r="W31" i="14"/>
  <c r="W32" i="14"/>
  <c r="W33" i="14"/>
  <c r="W34" i="14"/>
  <c r="W35" i="14"/>
  <c r="W36" i="14"/>
  <c r="W37" i="14"/>
  <c r="M17" i="15"/>
  <c r="W38" i="14"/>
  <c r="W39" i="14"/>
  <c r="W40" i="14"/>
  <c r="W41" i="14"/>
  <c r="W42" i="14"/>
  <c r="W43" i="14"/>
  <c r="W44" i="14"/>
  <c r="M18" i="15"/>
  <c r="W45" i="14"/>
  <c r="M19" i="15"/>
  <c r="W46" i="14"/>
  <c r="W47" i="14"/>
  <c r="W48" i="14"/>
  <c r="W49" i="14"/>
  <c r="W50" i="14"/>
  <c r="W51" i="14"/>
  <c r="W52" i="14"/>
  <c r="M20" i="15"/>
  <c r="W53" i="14"/>
  <c r="M21" i="15"/>
  <c r="W54" i="14"/>
  <c r="W55" i="14"/>
  <c r="W56" i="14"/>
  <c r="W57" i="14"/>
  <c r="W58" i="14"/>
  <c r="W59" i="14"/>
  <c r="W60" i="14"/>
  <c r="W61" i="14"/>
  <c r="M22" i="15"/>
  <c r="M14" i="15"/>
  <c r="W63" i="14"/>
  <c r="W64" i="14"/>
  <c r="M24" i="15"/>
  <c r="M23" i="15"/>
  <c r="M13" i="15"/>
  <c r="L27" i="15"/>
  <c r="L26" i="15"/>
  <c r="L25" i="15"/>
  <c r="M27" i="15"/>
  <c r="M26" i="15"/>
  <c r="M25" i="15"/>
  <c r="U14" i="14"/>
  <c r="U15" i="14"/>
  <c r="U16" i="14"/>
  <c r="K12" i="15"/>
  <c r="K11" i="15"/>
  <c r="U12" i="14"/>
  <c r="K10" i="15"/>
  <c r="K9" i="15"/>
  <c r="K8" i="15"/>
  <c r="U18" i="14"/>
  <c r="K15" i="15"/>
  <c r="U19" i="14"/>
  <c r="U20" i="14"/>
  <c r="U21" i="14"/>
  <c r="U22" i="14"/>
  <c r="U23" i="14"/>
  <c r="U24" i="14"/>
  <c r="U25" i="14"/>
  <c r="U26" i="14"/>
  <c r="U27" i="14"/>
  <c r="U28" i="14"/>
  <c r="U29" i="14"/>
  <c r="U30" i="14"/>
  <c r="K16" i="15"/>
  <c r="U31" i="14"/>
  <c r="U32" i="14"/>
  <c r="U33" i="14"/>
  <c r="U34" i="14"/>
  <c r="U35" i="14"/>
  <c r="U36" i="14"/>
  <c r="U37" i="14"/>
  <c r="K17" i="15"/>
  <c r="U38" i="14"/>
  <c r="U39" i="14"/>
  <c r="U40" i="14"/>
  <c r="U41" i="14"/>
  <c r="U42" i="14"/>
  <c r="U43" i="14"/>
  <c r="U44" i="14"/>
  <c r="K18" i="15"/>
  <c r="U45" i="14"/>
  <c r="K19" i="15"/>
  <c r="U46" i="14"/>
  <c r="U47" i="14"/>
  <c r="U48" i="14"/>
  <c r="U49" i="14"/>
  <c r="U50" i="14"/>
  <c r="U51" i="14"/>
  <c r="U52" i="14"/>
  <c r="K20" i="15"/>
  <c r="U53" i="14"/>
  <c r="K21" i="15"/>
  <c r="U54" i="14"/>
  <c r="U55" i="14"/>
  <c r="U56" i="14"/>
  <c r="U57" i="14"/>
  <c r="U58" i="14"/>
  <c r="U59" i="14"/>
  <c r="U60" i="14"/>
  <c r="U61" i="14"/>
  <c r="K22" i="15"/>
  <c r="K14" i="15"/>
  <c r="U63" i="14"/>
  <c r="U64" i="14"/>
  <c r="K24" i="15"/>
  <c r="K23" i="15"/>
  <c r="K13" i="15"/>
  <c r="K27" i="15"/>
  <c r="K26" i="15"/>
  <c r="K25" i="15"/>
  <c r="H12" i="14"/>
  <c r="H14" i="14"/>
  <c r="H15" i="14"/>
  <c r="H16" i="14"/>
  <c r="F8" i="15"/>
  <c r="I12" i="14"/>
  <c r="I14" i="14"/>
  <c r="I15" i="14"/>
  <c r="I16" i="14"/>
  <c r="G8" i="15"/>
  <c r="J12" i="14"/>
  <c r="J14" i="14"/>
  <c r="J15" i="14"/>
  <c r="J16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3" i="14"/>
  <c r="H64" i="14"/>
  <c r="F13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3" i="14"/>
  <c r="I64" i="14"/>
  <c r="G13" i="15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H13" i="15"/>
  <c r="F14" i="15"/>
  <c r="G14" i="15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66" i="14"/>
  <c r="F25" i="15"/>
  <c r="I66" i="14"/>
  <c r="G25" i="15"/>
  <c r="J66" i="14"/>
  <c r="H25" i="15"/>
  <c r="F26" i="15"/>
  <c r="G26" i="15"/>
  <c r="H26" i="15"/>
  <c r="F27" i="15"/>
  <c r="G27" i="15"/>
  <c r="H27" i="15"/>
  <c r="E27" i="15"/>
  <c r="E26" i="15"/>
  <c r="E25" i="15"/>
  <c r="G63" i="14"/>
  <c r="G64" i="14"/>
  <c r="E24" i="15"/>
  <c r="E23" i="15"/>
  <c r="G54" i="14"/>
  <c r="G55" i="14"/>
  <c r="G56" i="14"/>
  <c r="G57" i="14"/>
  <c r="G58" i="14"/>
  <c r="G59" i="14"/>
  <c r="G60" i="14"/>
  <c r="G61" i="14"/>
  <c r="E22" i="15"/>
  <c r="G53" i="14"/>
  <c r="E21" i="15"/>
  <c r="G46" i="14"/>
  <c r="G47" i="14"/>
  <c r="G48" i="14"/>
  <c r="G49" i="14"/>
  <c r="G50" i="14"/>
  <c r="G51" i="14"/>
  <c r="G52" i="14"/>
  <c r="E20" i="15"/>
  <c r="G45" i="14"/>
  <c r="E19" i="15"/>
  <c r="G38" i="14"/>
  <c r="G39" i="14"/>
  <c r="G40" i="14"/>
  <c r="G41" i="14"/>
  <c r="G42" i="14"/>
  <c r="G43" i="14"/>
  <c r="G44" i="14"/>
  <c r="E18" i="15"/>
  <c r="G31" i="14"/>
  <c r="G32" i="14"/>
  <c r="G33" i="14"/>
  <c r="G34" i="14"/>
  <c r="G35" i="14"/>
  <c r="G36" i="14"/>
  <c r="G37" i="14"/>
  <c r="E17" i="15"/>
  <c r="G19" i="14"/>
  <c r="G20" i="14"/>
  <c r="G21" i="14"/>
  <c r="G22" i="14"/>
  <c r="G23" i="14"/>
  <c r="G24" i="14"/>
  <c r="G25" i="14"/>
  <c r="G26" i="14"/>
  <c r="G27" i="14"/>
  <c r="G28" i="14"/>
  <c r="G29" i="14"/>
  <c r="G30" i="14"/>
  <c r="E16" i="15"/>
  <c r="G18" i="14"/>
  <c r="E15" i="15"/>
  <c r="E14" i="15"/>
  <c r="E13" i="15"/>
  <c r="G14" i="14"/>
  <c r="G15" i="14"/>
  <c r="G16" i="14"/>
  <c r="E12" i="15"/>
  <c r="E11" i="15"/>
  <c r="G12" i="14"/>
  <c r="E10" i="15"/>
  <c r="E9" i="15"/>
  <c r="E8" i="15"/>
  <c r="M28" i="15"/>
  <c r="L28" i="15"/>
  <c r="K28" i="15"/>
  <c r="I28" i="15"/>
  <c r="F28" i="15"/>
  <c r="G28" i="15"/>
  <c r="H28" i="15"/>
  <c r="E28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12" i="14"/>
  <c r="N14" i="14"/>
  <c r="N15" i="14"/>
  <c r="N16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3" i="14"/>
  <c r="N64" i="14"/>
  <c r="N66" i="14"/>
  <c r="M12" i="14"/>
  <c r="M14" i="14"/>
  <c r="M15" i="14"/>
  <c r="M16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3" i="14"/>
  <c r="M64" i="14"/>
  <c r="M66" i="14"/>
  <c r="L12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3" i="14"/>
  <c r="L64" i="14"/>
  <c r="L66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3" i="14"/>
  <c r="K64" i="14"/>
  <c r="K46" i="14"/>
  <c r="K47" i="14"/>
  <c r="K48" i="14"/>
  <c r="K12" i="14"/>
  <c r="K14" i="14"/>
  <c r="K15" i="14"/>
  <c r="K16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W67" i="14"/>
  <c r="V67" i="14"/>
  <c r="Y67" i="14"/>
  <c r="U67" i="14"/>
  <c r="X67" i="14"/>
  <c r="Y66" i="14"/>
  <c r="X66" i="14"/>
  <c r="I66" i="12"/>
  <c r="Y64" i="14"/>
  <c r="X64" i="14"/>
  <c r="Y63" i="14"/>
  <c r="X63" i="14"/>
  <c r="I63" i="11"/>
  <c r="I63" i="12"/>
  <c r="Y61" i="14"/>
  <c r="X61" i="14"/>
  <c r="I61" i="11"/>
  <c r="I61" i="12"/>
  <c r="Y60" i="14"/>
  <c r="X60" i="14"/>
  <c r="I60" i="11"/>
  <c r="I60" i="12"/>
  <c r="Y59" i="14"/>
  <c r="X59" i="14"/>
  <c r="I59" i="11"/>
  <c r="I59" i="12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1" i="14"/>
  <c r="X51" i="14"/>
  <c r="Y50" i="14"/>
  <c r="X50" i="14"/>
  <c r="I50" i="11"/>
  <c r="I50" i="12"/>
  <c r="Y49" i="14"/>
  <c r="X49" i="14"/>
  <c r="I49" i="11"/>
  <c r="I49" i="12"/>
  <c r="Y48" i="14"/>
  <c r="X48" i="14"/>
  <c r="I48" i="11"/>
  <c r="I48" i="12"/>
  <c r="Y47" i="14"/>
  <c r="X47" i="14"/>
  <c r="I47" i="11"/>
  <c r="I47" i="12"/>
  <c r="Y46" i="14"/>
  <c r="X46" i="14"/>
  <c r="I46" i="11"/>
  <c r="I46" i="12"/>
  <c r="Y45" i="14"/>
  <c r="X45" i="14"/>
  <c r="I45" i="11"/>
  <c r="I45" i="12"/>
  <c r="Y44" i="14"/>
  <c r="X44" i="14"/>
  <c r="Y43" i="14"/>
  <c r="X43" i="14"/>
  <c r="I43" i="11"/>
  <c r="I43" i="12"/>
  <c r="Y42" i="14"/>
  <c r="X42" i="14"/>
  <c r="I42" i="11"/>
  <c r="I42" i="12"/>
  <c r="Y41" i="14"/>
  <c r="X41" i="14"/>
  <c r="Y40" i="14"/>
  <c r="X40" i="14"/>
  <c r="Y39" i="14"/>
  <c r="X39" i="14"/>
  <c r="I39" i="11"/>
  <c r="I39" i="12"/>
  <c r="Y38" i="14"/>
  <c r="X38" i="14"/>
  <c r="I38" i="11"/>
  <c r="I38" i="12"/>
  <c r="Y37" i="14"/>
  <c r="X37" i="14"/>
  <c r="Y36" i="14"/>
  <c r="X36" i="14"/>
  <c r="Y35" i="14"/>
  <c r="X35" i="14"/>
  <c r="I35" i="11"/>
  <c r="I35" i="12"/>
  <c r="Y34" i="14"/>
  <c r="X34" i="14"/>
  <c r="I34" i="11"/>
  <c r="I34" i="12"/>
  <c r="Y33" i="14"/>
  <c r="X33" i="14"/>
  <c r="Y32" i="14"/>
  <c r="X32" i="14"/>
  <c r="Y31" i="14"/>
  <c r="X31" i="14"/>
  <c r="Y30" i="14"/>
  <c r="X30" i="14"/>
  <c r="I30" i="11"/>
  <c r="I30" i="12"/>
  <c r="Y29" i="14"/>
  <c r="X29" i="14"/>
  <c r="I29" i="11"/>
  <c r="I29" i="12"/>
  <c r="Y28" i="14"/>
  <c r="X28" i="14"/>
  <c r="Y27" i="14"/>
  <c r="X27" i="14"/>
  <c r="Y26" i="14"/>
  <c r="X26" i="14"/>
  <c r="Y25" i="14"/>
  <c r="X25" i="14"/>
  <c r="I25" i="11"/>
  <c r="I25" i="12"/>
  <c r="Y24" i="14"/>
  <c r="X24" i="14"/>
  <c r="Y23" i="14"/>
  <c r="X23" i="14"/>
  <c r="I23" i="11"/>
  <c r="I23" i="12"/>
  <c r="Y22" i="14"/>
  <c r="X22" i="14"/>
  <c r="Y21" i="14"/>
  <c r="X21" i="14"/>
  <c r="I21" i="11"/>
  <c r="I21" i="12"/>
  <c r="Y20" i="14"/>
  <c r="X20" i="14"/>
  <c r="Y19" i="14"/>
  <c r="X19" i="14"/>
  <c r="Y18" i="14"/>
  <c r="X18" i="14"/>
  <c r="I18" i="11"/>
  <c r="I18" i="12"/>
  <c r="Y16" i="14"/>
  <c r="X16" i="14"/>
  <c r="Y15" i="14"/>
  <c r="X15" i="14"/>
  <c r="Y14" i="14"/>
  <c r="X14" i="14"/>
  <c r="Y12" i="14"/>
  <c r="X12" i="14"/>
  <c r="I66" i="13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T66" i="12"/>
  <c r="S66" i="12"/>
  <c r="T66" i="11"/>
  <c r="S66" i="11"/>
  <c r="R66" i="7"/>
  <c r="Q66" i="7"/>
  <c r="P66" i="7"/>
  <c r="L49" i="7"/>
  <c r="N49" i="7"/>
  <c r="N66" i="7"/>
  <c r="M66" i="7"/>
  <c r="I60" i="13"/>
  <c r="I61" i="13"/>
  <c r="L61" i="13"/>
  <c r="L61" i="11"/>
  <c r="L62" i="7"/>
  <c r="T61" i="13"/>
  <c r="S61" i="13"/>
  <c r="T60" i="13"/>
  <c r="S60" i="13"/>
  <c r="T61" i="12"/>
  <c r="S61" i="12"/>
  <c r="T60" i="12"/>
  <c r="S60" i="12"/>
  <c r="T61" i="11"/>
  <c r="S61" i="11"/>
  <c r="T60" i="11"/>
  <c r="S60" i="11"/>
  <c r="S61" i="7"/>
  <c r="T61" i="7"/>
  <c r="S62" i="7"/>
  <c r="T62" i="7"/>
  <c r="M61" i="7"/>
  <c r="M62" i="7"/>
  <c r="I28" i="13"/>
  <c r="I26" i="13"/>
  <c r="I28" i="12"/>
  <c r="I26" i="12"/>
  <c r="I28" i="11"/>
  <c r="I26" i="11"/>
  <c r="I18" i="13"/>
  <c r="I52" i="13"/>
  <c r="I52" i="12"/>
  <c r="I52" i="11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13"/>
  <c r="I50" i="13"/>
  <c r="I59" i="13"/>
  <c r="I63" i="13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  <c r="L18" i="7"/>
  <c r="L35" i="7"/>
  <c r="L38" i="7"/>
  <c r="L39" i="7"/>
  <c r="L42" i="7"/>
  <c r="L46" i="7"/>
  <c r="L47" i="7"/>
  <c r="L48" i="7"/>
  <c r="L54" i="7"/>
  <c r="L56" i="7"/>
  <c r="M12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4" i="7"/>
  <c r="M65" i="7"/>
  <c r="T66" i="7"/>
  <c r="S66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4" i="7"/>
  <c r="T65" i="7"/>
  <c r="T14" i="7"/>
  <c r="T15" i="7"/>
  <c r="T16" i="7"/>
  <c r="S14" i="7"/>
  <c r="S15" i="7"/>
  <c r="S16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4" i="7"/>
  <c r="S65" i="7"/>
  <c r="L43" i="7"/>
  <c r="L50" i="7"/>
  <c r="L51" i="7"/>
  <c r="L64" i="7"/>
  <c r="T12" i="7"/>
  <c r="S12" i="7"/>
</calcChain>
</file>

<file path=xl/sharedStrings.xml><?xml version="1.0" encoding="utf-8"?>
<sst xmlns="http://schemas.openxmlformats.org/spreadsheetml/2006/main" count="799" uniqueCount="191">
  <si>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</si>
  <si>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</si>
  <si>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</si>
  <si>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</si>
  <si>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</si>
  <si>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</si>
  <si>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</si>
  <si>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</si>
  <si>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</si>
  <si>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</si>
  <si>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</si>
  <si>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</si>
  <si>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</si>
  <si>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</si>
  <si>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</si>
  <si>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</si>
  <si>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</si>
  <si>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</si>
  <si>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</si>
  <si>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</si>
  <si>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</si>
  <si>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</si>
  <si>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</si>
  <si>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</si>
  <si>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</si>
  <si>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</si>
  <si>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</si>
  <si>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</si>
  <si>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</si>
  <si>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</si>
  <si>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</si>
  <si>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</si>
  <si>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</si>
  <si>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</si>
  <si>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</si>
  <si>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</si>
  <si>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</si>
  <si>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</si>
  <si>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</si>
  <si>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</si>
  <si>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</si>
  <si>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</si>
  <si>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</si>
  <si>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</si>
  <si>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</si>
  <si>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</si>
  <si>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</si>
  <si>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</si>
  <si>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</si>
  <si>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</si>
  <si>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</si>
  <si>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</si>
  <si>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</si>
  <si>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</si>
  <si>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</si>
  <si>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</si>
  <si>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</si>
  <si>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</si>
  <si>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</si>
  <si>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 fortalecimiento para el Teatro Santander.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</si>
  <si>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</si>
  <si>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</si>
  <si>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</si>
  <si>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</si>
  <si>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</si>
  <si>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</si>
  <si>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</si>
  <si>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</si>
  <si>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</si>
  <si>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</si>
  <si>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</si>
  <si>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</si>
  <si>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</si>
  <si>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</si>
  <si>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</si>
  <si>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</si>
  <si>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</si>
  <si>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</si>
  <si>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</si>
  <si>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</si>
  <si>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</si>
  <si>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</si>
  <si>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</si>
  <si>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</si>
  <si>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</si>
  <si>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</si>
  <si>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</si>
  <si>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</si>
  <si>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</si>
  <si>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</si>
  <si>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</si>
  <si>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</si>
  <si>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</si>
  <si>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</si>
  <si>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estrategias para descentralizar la escuela municipal de artes satélites en las diferentes comunas y corregimientos implementadas y mantenidas.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</si>
  <si>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</si>
  <si>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</si>
  <si>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</si>
  <si>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</si>
  <si>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</si>
  <si>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</si>
  <si>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</si>
  <si>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</si>
  <si>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</si>
  <si>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</si>
  <si>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</si>
  <si>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</si>
  <si>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</si>
  <si>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</si>
  <si>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</si>
  <si>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</si>
  <si>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</si>
  <si>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</si>
  <si>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1.1.5</t>
  </si>
  <si>
    <t>Rendición de Cuentas Permanente e Interactiva</t>
  </si>
  <si>
    <t>1.2</t>
  </si>
  <si>
    <t>1.2.4</t>
  </si>
  <si>
    <t>Una Ciudad Visible que toma Decisiones Inteligentes</t>
  </si>
  <si>
    <t>LÍNEA ESTRATÉGICA 4: CALIDAD DE VIDA</t>
  </si>
  <si>
    <t>4.4</t>
  </si>
  <si>
    <t>4.4.1</t>
  </si>
  <si>
    <t>Transformación de los Determinantes del Comportamiento Social (Cultura Ciudadana)</t>
  </si>
  <si>
    <t>4.4.2</t>
  </si>
  <si>
    <t>Lectura, Escritura y Oralidad - LEO</t>
  </si>
  <si>
    <t>4.4.3</t>
  </si>
  <si>
    <t>Procesos de Formación en Arte y Música</t>
  </si>
  <si>
    <t>4.4.4</t>
  </si>
  <si>
    <t>Fomento de la Producción Artística</t>
  </si>
  <si>
    <t>4.4.5</t>
  </si>
  <si>
    <t>La Cultura a la Calle</t>
  </si>
  <si>
    <t>4.4.6</t>
  </si>
  <si>
    <t>"A Cuidar lo que es Valioso": Recuperación y Conservación del Patrimonio</t>
  </si>
  <si>
    <t>4.4.7</t>
  </si>
  <si>
    <t>Procesos de Fortalecimiento de los Oficios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</si>
  <si>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</si>
  <si>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</si>
  <si>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</si>
  <si>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</si>
  <si>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</si>
  <si>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</si>
  <si>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</si>
  <si>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5.2.4</t>
  </si>
  <si>
    <t>Ampliación de Mercados e Internacionalización</t>
  </si>
  <si>
    <t>PLAN DE DESARROLLO 2016 - 2019</t>
  </si>
  <si>
    <t>RESUMEN CUMPLIMIENTO INSTITUTO MUNICIPAL DE CULTURA Y TURISMO (IMCT) 2016 - 2019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</si>
  <si>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</si>
  <si>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</si>
  <si>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</si>
  <si>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</si>
  <si>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</si>
  <si>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</si>
  <si>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</si>
  <si>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</si>
  <si>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</si>
  <si>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</si>
  <si>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</si>
  <si>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</si>
  <si>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</si>
  <si>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</si>
  <si>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</si>
  <si>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</si>
  <si>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</si>
  <si>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</si>
  <si>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</si>
  <si>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</si>
  <si>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</si>
  <si>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</si>
  <si>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</si>
  <si>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</si>
  <si>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</si>
  <si>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</si>
  <si>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</si>
  <si>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</si>
  <si>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</si>
  <si>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</si>
  <si>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</si>
  <si>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</si>
  <si>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2,2,1,36,5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</si>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</sst>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42" xfId="0" applyNumberFormat="1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5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justify" vertical="center" wrapText="1"/>
    </xf>
    <xf numFmtId="164" fontId="6" fillId="0" borderId="72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6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5" fillId="0" borderId="38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64" fontId="6" fillId="3" borderId="74" xfId="0" applyNumberFormat="1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9" fontId="6" fillId="3" borderId="74" xfId="0" applyNumberFormat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2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60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54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25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50" xfId="0" applyNumberFormat="1" applyFont="1" applyFill="1" applyBorder="1" applyAlignment="1">
      <alignment horizontal="center" vertical="center"/>
    </xf>
    <xf numFmtId="9" fontId="6" fillId="5" borderId="27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2" fillId="2" borderId="72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3" borderId="39" xfId="0" applyNumberFormat="1" applyFont="1" applyFill="1" applyBorder="1" applyAlignment="1">
      <alignment horizontal="center" vertical="center"/>
    </xf>
    <xf numFmtId="9" fontId="10" fillId="5" borderId="46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33" xfId="0" applyNumberFormat="1" applyFont="1" applyFill="1" applyBorder="1" applyAlignment="1">
      <alignment horizontal="center" vertical="center"/>
    </xf>
    <xf numFmtId="9" fontId="10" fillId="4" borderId="39" xfId="0" applyNumberFormat="1" applyFont="1" applyFill="1" applyBorder="1" applyAlignment="1">
      <alignment horizontal="center" vertical="center"/>
    </xf>
    <xf numFmtId="9" fontId="10" fillId="5" borderId="63" xfId="0" applyNumberFormat="1" applyFont="1" applyFill="1" applyBorder="1" applyAlignment="1">
      <alignment horizontal="center" vertical="center"/>
    </xf>
    <xf numFmtId="9" fontId="10" fillId="5" borderId="58" xfId="0" applyNumberFormat="1" applyFont="1" applyFill="1" applyBorder="1" applyAlignment="1">
      <alignment horizontal="center" vertical="center"/>
    </xf>
    <xf numFmtId="9" fontId="10" fillId="5" borderId="47" xfId="0" applyNumberFormat="1" applyFont="1" applyFill="1" applyBorder="1" applyAlignment="1">
      <alignment horizontal="center" vertical="center"/>
    </xf>
    <xf numFmtId="9" fontId="10" fillId="5" borderId="13" xfId="0" applyNumberFormat="1" applyFont="1" applyFill="1" applyBorder="1" applyAlignment="1">
      <alignment horizontal="center" vertical="center"/>
    </xf>
    <xf numFmtId="9" fontId="10" fillId="5" borderId="22" xfId="0" applyNumberFormat="1" applyFont="1" applyFill="1" applyBorder="1" applyAlignment="1">
      <alignment horizontal="center" vertical="center"/>
    </xf>
    <xf numFmtId="9" fontId="10" fillId="5" borderId="53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21" xfId="0" applyNumberFormat="1" applyFont="1" applyFill="1" applyBorder="1" applyAlignment="1">
      <alignment horizontal="center" vertical="center"/>
    </xf>
    <xf numFmtId="9" fontId="10" fillId="5" borderId="65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12" fillId="2" borderId="7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7" borderId="72" xfId="0" applyNumberFormat="1" applyFont="1" applyFill="1" applyBorder="1" applyAlignment="1">
      <alignment horizontal="center" vertical="center"/>
    </xf>
    <xf numFmtId="9" fontId="15" fillId="7" borderId="41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71" xfId="0" applyNumberFormat="1" applyFont="1" applyFill="1" applyBorder="1" applyAlignment="1">
      <alignment horizontal="center" vertical="center"/>
    </xf>
    <xf numFmtId="3" fontId="14" fillId="7" borderId="72" xfId="0" applyNumberFormat="1" applyFont="1" applyFill="1" applyBorder="1" applyAlignment="1">
      <alignment horizontal="center" vertical="center"/>
    </xf>
    <xf numFmtId="9" fontId="17" fillId="7" borderId="78" xfId="0" applyNumberFormat="1" applyFont="1" applyFill="1" applyBorder="1" applyAlignment="1" applyProtection="1">
      <alignment horizontal="center" vertical="center"/>
    </xf>
    <xf numFmtId="9" fontId="17" fillId="7" borderId="6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68" xfId="0" applyNumberFormat="1" applyFont="1" applyFill="1" applyBorder="1" applyAlignment="1">
      <alignment horizontal="center" vertical="center"/>
    </xf>
    <xf numFmtId="9" fontId="20" fillId="8" borderId="23" xfId="0" applyNumberFormat="1" applyFont="1" applyFill="1" applyBorder="1" applyAlignment="1">
      <alignment horizontal="center" vertical="center"/>
    </xf>
    <xf numFmtId="3" fontId="6" fillId="8" borderId="45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59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7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72" xfId="0" applyNumberFormat="1" applyFont="1" applyFill="1" applyBorder="1" applyAlignment="1">
      <alignment horizontal="center" vertical="center" wrapText="1"/>
    </xf>
    <xf numFmtId="9" fontId="15" fillId="9" borderId="41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71" xfId="0" applyNumberFormat="1" applyFont="1" applyFill="1" applyBorder="1" applyAlignment="1">
      <alignment horizontal="center" vertical="center"/>
    </xf>
    <xf numFmtId="3" fontId="14" fillId="9" borderId="72" xfId="0" applyNumberFormat="1" applyFont="1" applyFill="1" applyBorder="1" applyAlignment="1">
      <alignment horizontal="center" vertical="center"/>
    </xf>
    <xf numFmtId="9" fontId="14" fillId="10" borderId="78" xfId="0" applyNumberFormat="1" applyFont="1" applyFill="1" applyBorder="1" applyAlignment="1" applyProtection="1">
      <alignment horizontal="center" vertical="center"/>
    </xf>
    <xf numFmtId="9" fontId="14" fillId="10" borderId="65" xfId="0" applyNumberFormat="1" applyFont="1" applyFill="1" applyBorder="1" applyAlignment="1" applyProtection="1">
      <alignment horizontal="center" vertical="center"/>
    </xf>
    <xf numFmtId="9" fontId="14" fillId="11" borderId="72" xfId="0" applyNumberFormat="1" applyFont="1" applyFill="1" applyBorder="1" applyAlignment="1">
      <alignment horizontal="center" vertical="center" wrapText="1"/>
    </xf>
    <xf numFmtId="9" fontId="15" fillId="11" borderId="41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71" xfId="0" applyNumberFormat="1" applyFont="1" applyFill="1" applyBorder="1" applyAlignment="1">
      <alignment horizontal="center" vertical="center"/>
    </xf>
    <xf numFmtId="3" fontId="14" fillId="11" borderId="72" xfId="0" applyNumberFormat="1" applyFont="1" applyFill="1" applyBorder="1" applyAlignment="1">
      <alignment horizontal="center" vertical="center"/>
    </xf>
    <xf numFmtId="9" fontId="14" fillId="11" borderId="78" xfId="0" applyNumberFormat="1" applyFont="1" applyFill="1" applyBorder="1" applyAlignment="1" applyProtection="1">
      <alignment horizontal="center" vertical="center"/>
    </xf>
    <xf numFmtId="9" fontId="14" fillId="11" borderId="65" xfId="0" applyNumberFormat="1" applyFont="1" applyFill="1" applyBorder="1" applyAlignment="1" applyProtection="1">
      <alignment horizontal="center" vertical="center"/>
    </xf>
    <xf numFmtId="9" fontId="10" fillId="2" borderId="72" xfId="0" applyNumberFormat="1" applyFont="1" applyFill="1" applyBorder="1" applyAlignment="1">
      <alignment horizontal="center" vertical="center" wrapText="1"/>
    </xf>
    <xf numFmtId="9" fontId="10" fillId="2" borderId="41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10" fillId="2" borderId="71" xfId="0" applyNumberFormat="1" applyFont="1" applyFill="1" applyBorder="1" applyAlignment="1">
      <alignment horizontal="center" vertical="center"/>
    </xf>
    <xf numFmtId="3" fontId="10" fillId="2" borderId="72" xfId="0" applyNumberFormat="1" applyFont="1" applyFill="1" applyBorder="1" applyAlignment="1">
      <alignment horizontal="center" vertical="center"/>
    </xf>
    <xf numFmtId="9" fontId="4" fillId="2" borderId="72" xfId="0" applyNumberFormat="1" applyFont="1" applyFill="1" applyBorder="1" applyAlignment="1" applyProtection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5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 applyProtection="1">
      <alignment horizontal="center" vertical="center" wrapText="1"/>
      <protection locked="0"/>
    </xf>
    <xf numFmtId="0" fontId="2" fillId="6" borderId="74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8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>
      <alignment horizontal="justify" vertical="center"/>
    </xf>
    <xf numFmtId="0" fontId="14" fillId="7" borderId="76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4" xfId="0" applyFont="1" applyFill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5" xfId="0" applyFont="1" applyFill="1" applyBorder="1" applyAlignment="1">
      <alignment horizontal="justify" vertical="center"/>
    </xf>
    <xf numFmtId="0" fontId="14" fillId="9" borderId="41" xfId="0" applyFont="1" applyFill="1" applyBorder="1" applyAlignment="1">
      <alignment horizontal="justify" vertical="center"/>
    </xf>
    <xf numFmtId="0" fontId="14" fillId="9" borderId="76" xfId="0" applyFont="1" applyFill="1" applyBorder="1" applyAlignment="1">
      <alignment horizontal="justify" vertical="center"/>
    </xf>
    <xf numFmtId="0" fontId="14" fillId="11" borderId="41" xfId="0" applyFont="1" applyFill="1" applyBorder="1" applyAlignment="1">
      <alignment horizontal="justify" vertical="center"/>
    </xf>
    <xf numFmtId="0" fontId="14" fillId="11" borderId="76" xfId="0" applyFont="1" applyFill="1" applyBorder="1" applyAlignment="1">
      <alignment horizontal="justify" vertical="center"/>
    </xf>
    <xf numFmtId="0" fontId="10" fillId="2" borderId="41" xfId="0" applyFont="1" applyFill="1" applyBorder="1" applyAlignment="1">
      <alignment horizontal="justify" vertical="center"/>
    </xf>
    <xf numFmtId="0" fontId="10" fillId="2" borderId="76" xfId="0" applyFont="1" applyFill="1" applyBorder="1" applyAlignment="1">
      <alignment horizontal="justify" vertical="center"/>
    </xf>
  </cellXfs>
  <cellStyles count="2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</xdr:row>
      <xdr:rowOff>0</xdr:rowOff>
    </xdr:from>
    <xdr:to>
      <xdr:col>4</xdr:col>
      <xdr:colOff>889000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1" t="s">
        <v>16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0" customHeight="1">
      <c r="B3" s="311" t="s">
        <v>19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2:20" ht="20" customHeight="1">
      <c r="B4" s="311" t="s">
        <v>27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312" t="s">
        <v>3</v>
      </c>
      <c r="E8" s="313"/>
      <c r="F8" s="313"/>
      <c r="G8" s="313"/>
      <c r="H8" s="313"/>
      <c r="I8" s="313"/>
      <c r="J8" s="313"/>
      <c r="K8" s="31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5" t="s">
        <v>17</v>
      </c>
      <c r="C9" s="318" t="s">
        <v>18</v>
      </c>
      <c r="D9" s="320" t="s">
        <v>0</v>
      </c>
      <c r="E9" s="323" t="s">
        <v>4</v>
      </c>
      <c r="F9" s="323"/>
      <c r="G9" s="323" t="s">
        <v>5</v>
      </c>
      <c r="H9" s="323"/>
      <c r="I9" s="323"/>
      <c r="J9" s="323"/>
      <c r="K9" s="325"/>
      <c r="L9" s="5"/>
      <c r="M9" s="320" t="s">
        <v>6</v>
      </c>
      <c r="N9" s="325"/>
      <c r="O9" s="335" t="s">
        <v>24</v>
      </c>
      <c r="P9" s="336"/>
      <c r="Q9" s="336"/>
      <c r="R9" s="336"/>
      <c r="S9" s="336"/>
      <c r="T9" s="337"/>
    </row>
    <row r="10" spans="2:20" ht="17" customHeight="1">
      <c r="B10" s="316"/>
      <c r="C10" s="319"/>
      <c r="D10" s="321"/>
      <c r="E10" s="324"/>
      <c r="F10" s="324"/>
      <c r="G10" s="324" t="s">
        <v>7</v>
      </c>
      <c r="H10" s="328" t="s">
        <v>25</v>
      </c>
      <c r="I10" s="328" t="s">
        <v>26</v>
      </c>
      <c r="J10" s="329" t="s">
        <v>1</v>
      </c>
      <c r="K10" s="326" t="s">
        <v>8</v>
      </c>
      <c r="L10" s="6"/>
      <c r="M10" s="331" t="s">
        <v>9</v>
      </c>
      <c r="N10" s="333" t="s">
        <v>10</v>
      </c>
      <c r="O10" s="338"/>
      <c r="P10" s="339"/>
      <c r="Q10" s="339"/>
      <c r="R10" s="339"/>
      <c r="S10" s="339"/>
      <c r="T10" s="340"/>
    </row>
    <row r="11" spans="2:20" ht="37.5" customHeight="1" thickBot="1">
      <c r="B11" s="317"/>
      <c r="C11" s="319"/>
      <c r="D11" s="322"/>
      <c r="E11" s="37" t="s">
        <v>11</v>
      </c>
      <c r="F11" s="37" t="s">
        <v>12</v>
      </c>
      <c r="G11" s="328"/>
      <c r="H11" s="350"/>
      <c r="I11" s="350"/>
      <c r="J11" s="330"/>
      <c r="K11" s="327"/>
      <c r="L11" s="38"/>
      <c r="M11" s="332"/>
      <c r="N11" s="334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7" t="s">
        <v>72</v>
      </c>
      <c r="C12" s="55" t="s">
        <v>73</v>
      </c>
      <c r="D12" s="62" t="s">
        <v>75</v>
      </c>
      <c r="E12" s="63">
        <v>42370</v>
      </c>
      <c r="F12" s="63">
        <v>42735</v>
      </c>
      <c r="G12" s="146" t="s">
        <v>28</v>
      </c>
      <c r="H12" s="64">
        <v>1</v>
      </c>
      <c r="I12" s="64">
        <v>1</v>
      </c>
      <c r="J12" s="64">
        <v>1</v>
      </c>
      <c r="K12" s="65">
        <v>0</v>
      </c>
      <c r="L12" s="66">
        <f>+K12/J12</f>
        <v>0</v>
      </c>
      <c r="M12" s="67">
        <f>DAYS360(E12,$C$8)/DAYS360(E12,F12)</f>
        <v>1</v>
      </c>
      <c r="N12" s="68">
        <f>IF(J12=0," -",IF(L12&gt;100%,100%,L12))</f>
        <v>0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4"/>
      <c r="C13" s="125"/>
      <c r="D13" s="14"/>
      <c r="E13" s="15"/>
      <c r="F13" s="15"/>
      <c r="G13" s="16"/>
      <c r="H13" s="17"/>
      <c r="I13" s="17"/>
      <c r="J13" s="17"/>
      <c r="K13" s="17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48"/>
      <c r="C14" s="344" t="s">
        <v>74</v>
      </c>
      <c r="D14" s="341" t="s">
        <v>76</v>
      </c>
      <c r="E14" s="89">
        <v>42370</v>
      </c>
      <c r="F14" s="89">
        <v>42735</v>
      </c>
      <c r="G14" s="132" t="s">
        <v>29</v>
      </c>
      <c r="H14" s="90">
        <v>1</v>
      </c>
      <c r="I14" s="90">
        <v>1</v>
      </c>
      <c r="J14" s="90">
        <v>1</v>
      </c>
      <c r="K14" s="122">
        <v>0</v>
      </c>
      <c r="L14" s="123">
        <f t="shared" ref="L14:L65" si="0">+K14/J14</f>
        <v>0</v>
      </c>
      <c r="M14" s="31">
        <f t="shared" ref="M14:M65" si="1">DAYS360(E14,$C$8)/DAYS360(E14,F14)</f>
        <v>1</v>
      </c>
      <c r="N14" s="32">
        <f t="shared" ref="N14:N65" si="2">IF(J14=0," -",IF(L14&gt;100%,100%,L14))</f>
        <v>0</v>
      </c>
      <c r="O14" s="124" t="s">
        <v>146</v>
      </c>
      <c r="P14" s="90">
        <v>60000</v>
      </c>
      <c r="Q14" s="90">
        <v>0</v>
      </c>
      <c r="R14" s="90">
        <v>0</v>
      </c>
      <c r="S14" s="33">
        <f t="shared" ref="S14:S66" si="3">IF(P14=0," -",Q14/P14)</f>
        <v>0</v>
      </c>
      <c r="T14" s="32" t="str">
        <f t="shared" ref="T14:T66" si="4">IF(R14=0," -",IF(Q14=0,100%,R14/Q14))</f>
        <v xml:space="preserve"> -</v>
      </c>
    </row>
    <row r="15" spans="2:20" ht="90">
      <c r="B15" s="348"/>
      <c r="C15" s="345"/>
      <c r="D15" s="342"/>
      <c r="E15" s="45">
        <v>42370</v>
      </c>
      <c r="F15" s="45">
        <v>42735</v>
      </c>
      <c r="G15" s="9" t="s">
        <v>30</v>
      </c>
      <c r="H15" s="46">
        <v>1</v>
      </c>
      <c r="I15" s="46">
        <v>1</v>
      </c>
      <c r="J15" s="46">
        <v>1</v>
      </c>
      <c r="K15" s="60">
        <v>0</v>
      </c>
      <c r="L15" s="57">
        <f t="shared" si="0"/>
        <v>0</v>
      </c>
      <c r="M15" s="58">
        <f t="shared" si="1"/>
        <v>1</v>
      </c>
      <c r="N15" s="50">
        <f t="shared" si="2"/>
        <v>0</v>
      </c>
      <c r="O15" s="56" t="s">
        <v>147</v>
      </c>
      <c r="P15" s="46">
        <v>80000</v>
      </c>
      <c r="Q15" s="46">
        <v>0</v>
      </c>
      <c r="R15" s="46">
        <v>0</v>
      </c>
      <c r="S15" s="47">
        <f t="shared" si="3"/>
        <v>0</v>
      </c>
      <c r="T15" s="50" t="str">
        <f t="shared" si="4"/>
        <v xml:space="preserve"> -</v>
      </c>
    </row>
    <row r="16" spans="2:20" ht="46" thickBot="1">
      <c r="B16" s="349"/>
      <c r="C16" s="346"/>
      <c r="D16" s="343"/>
      <c r="E16" s="80">
        <v>42370</v>
      </c>
      <c r="F16" s="80">
        <v>42735</v>
      </c>
      <c r="G16" s="130" t="s">
        <v>31</v>
      </c>
      <c r="H16" s="81">
        <v>1</v>
      </c>
      <c r="I16" s="81">
        <v>1</v>
      </c>
      <c r="J16" s="81">
        <v>1</v>
      </c>
      <c r="K16" s="126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20"/>
      <c r="E17" s="22"/>
      <c r="F17" s="22"/>
      <c r="G17" s="20"/>
      <c r="H17" s="26"/>
      <c r="I17" s="26"/>
      <c r="J17" s="26"/>
      <c r="K17" s="26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6" t="s">
        <v>88</v>
      </c>
      <c r="C18" s="363" t="s">
        <v>87</v>
      </c>
      <c r="D18" s="131" t="s">
        <v>85</v>
      </c>
      <c r="E18" s="85">
        <v>42370</v>
      </c>
      <c r="F18" s="85">
        <v>42735</v>
      </c>
      <c r="G18" s="13" t="s">
        <v>92</v>
      </c>
      <c r="H18" s="86">
        <v>2</v>
      </c>
      <c r="I18" s="86">
        <v>0</v>
      </c>
      <c r="J18" s="86">
        <v>0</v>
      </c>
      <c r="K18" s="96">
        <v>0</v>
      </c>
      <c r="L18" s="113" t="e">
        <f t="shared" si="0"/>
        <v>#DIV/0!</v>
      </c>
      <c r="M18" s="67">
        <f t="shared" si="1"/>
        <v>1</v>
      </c>
      <c r="N18" s="68" t="str">
        <f t="shared" si="2"/>
        <v xml:space="preserve"> -</v>
      </c>
      <c r="O18" s="119" t="s">
        <v>149</v>
      </c>
      <c r="P18" s="159">
        <v>0</v>
      </c>
      <c r="Q18" s="86">
        <v>0</v>
      </c>
      <c r="R18" s="86">
        <v>0</v>
      </c>
      <c r="S18" s="87" t="str">
        <f t="shared" si="3"/>
        <v xml:space="preserve"> -</v>
      </c>
      <c r="T18" s="88" t="str">
        <f t="shared" si="4"/>
        <v xml:space="preserve"> -</v>
      </c>
    </row>
    <row r="19" spans="2:20" ht="30">
      <c r="B19" s="356"/>
      <c r="C19" s="357"/>
      <c r="D19" s="351" t="s">
        <v>77</v>
      </c>
      <c r="E19" s="48">
        <v>42370</v>
      </c>
      <c r="F19" s="48">
        <v>42735</v>
      </c>
      <c r="G19" s="12" t="s">
        <v>32</v>
      </c>
      <c r="H19" s="49">
        <v>1</v>
      </c>
      <c r="I19" s="49">
        <v>1</v>
      </c>
      <c r="J19" s="49">
        <v>1</v>
      </c>
      <c r="K19" s="91">
        <v>1</v>
      </c>
      <c r="L19" s="29">
        <f t="shared" si="0"/>
        <v>1</v>
      </c>
      <c r="M19" s="149">
        <f t="shared" si="1"/>
        <v>1</v>
      </c>
      <c r="N19" s="27">
        <f t="shared" si="2"/>
        <v>1</v>
      </c>
      <c r="O19" s="114" t="s">
        <v>150</v>
      </c>
      <c r="P19" s="49">
        <v>1879701</v>
      </c>
      <c r="Q19" s="49">
        <v>795451</v>
      </c>
      <c r="R19" s="49">
        <v>0</v>
      </c>
      <c r="S19" s="28">
        <f t="shared" si="3"/>
        <v>0.42317953759667098</v>
      </c>
      <c r="T19" s="27" t="str">
        <f t="shared" si="4"/>
        <v xml:space="preserve"> -</v>
      </c>
    </row>
    <row r="20" spans="2:20" ht="30">
      <c r="B20" s="356"/>
      <c r="C20" s="357"/>
      <c r="D20" s="352"/>
      <c r="E20" s="45">
        <v>42370</v>
      </c>
      <c r="F20" s="45">
        <v>42735</v>
      </c>
      <c r="G20" s="8" t="s">
        <v>33</v>
      </c>
      <c r="H20" s="46">
        <v>4</v>
      </c>
      <c r="I20" s="46">
        <v>4</v>
      </c>
      <c r="J20" s="46">
        <v>4</v>
      </c>
      <c r="K20" s="92">
        <v>2</v>
      </c>
      <c r="L20" s="110">
        <f t="shared" si="0"/>
        <v>0.5</v>
      </c>
      <c r="M20" s="58">
        <f t="shared" si="1"/>
        <v>1</v>
      </c>
      <c r="N20" s="50">
        <f t="shared" si="2"/>
        <v>0.5</v>
      </c>
      <c r="O20" s="115" t="s">
        <v>151</v>
      </c>
      <c r="P20" s="46">
        <v>28000</v>
      </c>
      <c r="Q20" s="46">
        <v>0</v>
      </c>
      <c r="R20" s="46">
        <v>0</v>
      </c>
      <c r="S20" s="47">
        <f t="shared" si="3"/>
        <v>0</v>
      </c>
      <c r="T20" s="50" t="str">
        <f t="shared" si="4"/>
        <v xml:space="preserve"> -</v>
      </c>
    </row>
    <row r="21" spans="2:20" ht="45">
      <c r="B21" s="356"/>
      <c r="C21" s="357"/>
      <c r="D21" s="352"/>
      <c r="E21" s="45">
        <v>42370</v>
      </c>
      <c r="F21" s="45">
        <v>42735</v>
      </c>
      <c r="G21" s="8" t="s">
        <v>34</v>
      </c>
      <c r="H21" s="46">
        <v>11</v>
      </c>
      <c r="I21" s="46">
        <v>2</v>
      </c>
      <c r="J21" s="46">
        <v>2</v>
      </c>
      <c r="K21" s="92">
        <v>2</v>
      </c>
      <c r="L21" s="110">
        <f t="shared" si="0"/>
        <v>1</v>
      </c>
      <c r="M21" s="58">
        <f t="shared" si="1"/>
        <v>1</v>
      </c>
      <c r="N21" s="50">
        <f t="shared" si="2"/>
        <v>1</v>
      </c>
      <c r="O21" s="115" t="s">
        <v>152</v>
      </c>
      <c r="P21" s="46">
        <v>115081</v>
      </c>
      <c r="Q21" s="46">
        <v>3000</v>
      </c>
      <c r="R21" s="46">
        <v>0</v>
      </c>
      <c r="S21" s="47">
        <f t="shared" si="3"/>
        <v>2.6068595163406642E-2</v>
      </c>
      <c r="T21" s="50" t="str">
        <f t="shared" si="4"/>
        <v xml:space="preserve"> -</v>
      </c>
    </row>
    <row r="22" spans="2:20" ht="30">
      <c r="B22" s="356"/>
      <c r="C22" s="357"/>
      <c r="D22" s="352"/>
      <c r="E22" s="45">
        <v>42370</v>
      </c>
      <c r="F22" s="45">
        <v>42735</v>
      </c>
      <c r="G22" s="8" t="s">
        <v>35</v>
      </c>
      <c r="H22" s="46">
        <v>1</v>
      </c>
      <c r="I22" s="46">
        <v>1</v>
      </c>
      <c r="J22" s="46">
        <v>1</v>
      </c>
      <c r="K22" s="92">
        <v>1</v>
      </c>
      <c r="L22" s="110">
        <f t="shared" si="0"/>
        <v>1</v>
      </c>
      <c r="M22" s="58">
        <f t="shared" si="1"/>
        <v>1</v>
      </c>
      <c r="N22" s="50">
        <f t="shared" si="2"/>
        <v>1</v>
      </c>
      <c r="O22" s="115" t="s">
        <v>153</v>
      </c>
      <c r="P22" s="46">
        <v>0</v>
      </c>
      <c r="Q22" s="46">
        <v>0</v>
      </c>
      <c r="R22" s="46">
        <v>0</v>
      </c>
      <c r="S22" s="47" t="str">
        <f t="shared" si="3"/>
        <v xml:space="preserve"> -</v>
      </c>
      <c r="T22" s="50" t="str">
        <f t="shared" si="4"/>
        <v xml:space="preserve"> -</v>
      </c>
    </row>
    <row r="23" spans="2:20" ht="30">
      <c r="B23" s="356"/>
      <c r="C23" s="357"/>
      <c r="D23" s="352"/>
      <c r="E23" s="45">
        <v>42370</v>
      </c>
      <c r="F23" s="45">
        <v>42735</v>
      </c>
      <c r="G23" s="8" t="s">
        <v>36</v>
      </c>
      <c r="H23" s="46">
        <v>4</v>
      </c>
      <c r="I23" s="46">
        <v>1</v>
      </c>
      <c r="J23" s="46">
        <v>1</v>
      </c>
      <c r="K23" s="92">
        <v>1</v>
      </c>
      <c r="L23" s="110">
        <f t="shared" si="0"/>
        <v>1</v>
      </c>
      <c r="M23" s="58">
        <f t="shared" si="1"/>
        <v>1</v>
      </c>
      <c r="N23" s="50">
        <f t="shared" si="2"/>
        <v>1</v>
      </c>
      <c r="O23" s="115" t="s">
        <v>154</v>
      </c>
      <c r="P23" s="46">
        <v>0</v>
      </c>
      <c r="Q23" s="46">
        <v>0</v>
      </c>
      <c r="R23" s="46">
        <v>0</v>
      </c>
      <c r="S23" s="47" t="str">
        <f t="shared" si="3"/>
        <v xml:space="preserve"> -</v>
      </c>
      <c r="T23" s="50" t="str">
        <f t="shared" si="4"/>
        <v xml:space="preserve"> -</v>
      </c>
    </row>
    <row r="24" spans="2:20" ht="30">
      <c r="B24" s="356"/>
      <c r="C24" s="357"/>
      <c r="D24" s="352"/>
      <c r="E24" s="45">
        <v>42370</v>
      </c>
      <c r="F24" s="45">
        <v>42735</v>
      </c>
      <c r="G24" s="8" t="s">
        <v>37</v>
      </c>
      <c r="H24" s="46">
        <v>1</v>
      </c>
      <c r="I24" s="46">
        <v>1</v>
      </c>
      <c r="J24" s="46">
        <v>1</v>
      </c>
      <c r="K24" s="92">
        <v>1</v>
      </c>
      <c r="L24" s="110">
        <f t="shared" si="0"/>
        <v>1</v>
      </c>
      <c r="M24" s="58">
        <f t="shared" si="1"/>
        <v>1</v>
      </c>
      <c r="N24" s="50">
        <f t="shared" si="2"/>
        <v>1</v>
      </c>
      <c r="O24" s="115" t="s">
        <v>155</v>
      </c>
      <c r="P24" s="46">
        <v>159000</v>
      </c>
      <c r="Q24" s="46">
        <v>59000</v>
      </c>
      <c r="R24" s="46">
        <v>0</v>
      </c>
      <c r="S24" s="47">
        <f t="shared" si="3"/>
        <v>0.37106918238993708</v>
      </c>
      <c r="T24" s="50" t="str">
        <f t="shared" si="4"/>
        <v xml:space="preserve"> -</v>
      </c>
    </row>
    <row r="25" spans="2:20" ht="60">
      <c r="B25" s="356"/>
      <c r="C25" s="357"/>
      <c r="D25" s="352"/>
      <c r="E25" s="45">
        <v>42370</v>
      </c>
      <c r="F25" s="45">
        <v>42735</v>
      </c>
      <c r="G25" s="8" t="s">
        <v>38</v>
      </c>
      <c r="H25" s="46">
        <v>840</v>
      </c>
      <c r="I25" s="46">
        <v>250</v>
      </c>
      <c r="J25" s="46">
        <v>250</v>
      </c>
      <c r="K25" s="92">
        <v>296</v>
      </c>
      <c r="L25" s="110">
        <f t="shared" si="0"/>
        <v>1.1839999999999999</v>
      </c>
      <c r="M25" s="58">
        <f t="shared" si="1"/>
        <v>1</v>
      </c>
      <c r="N25" s="50">
        <f t="shared" si="2"/>
        <v>1</v>
      </c>
      <c r="O25" s="115" t="s">
        <v>156</v>
      </c>
      <c r="P25" s="46">
        <v>141000</v>
      </c>
      <c r="Q25" s="46">
        <v>141000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45">
      <c r="B26" s="356"/>
      <c r="C26" s="357"/>
      <c r="D26" s="352"/>
      <c r="E26" s="45">
        <v>42370</v>
      </c>
      <c r="F26" s="45">
        <v>42735</v>
      </c>
      <c r="G26" s="8" t="s">
        <v>39</v>
      </c>
      <c r="H26" s="46">
        <v>1</v>
      </c>
      <c r="I26" s="46">
        <v>1</v>
      </c>
      <c r="J26" s="46">
        <v>1</v>
      </c>
      <c r="K26" s="92">
        <v>0</v>
      </c>
      <c r="L26" s="110">
        <f t="shared" si="0"/>
        <v>0</v>
      </c>
      <c r="M26" s="58">
        <f t="shared" si="1"/>
        <v>1</v>
      </c>
      <c r="N26" s="50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6"/>
      <c r="C27" s="357"/>
      <c r="D27" s="352"/>
      <c r="E27" s="45">
        <v>42370</v>
      </c>
      <c r="F27" s="45">
        <v>42735</v>
      </c>
      <c r="G27" s="9" t="s">
        <v>93</v>
      </c>
      <c r="H27" s="46">
        <v>5</v>
      </c>
      <c r="I27" s="46">
        <v>1</v>
      </c>
      <c r="J27" s="46">
        <v>1</v>
      </c>
      <c r="K27" s="92">
        <v>1</v>
      </c>
      <c r="L27" s="110">
        <f t="shared" si="0"/>
        <v>1</v>
      </c>
      <c r="M27" s="58">
        <f t="shared" si="1"/>
        <v>1</v>
      </c>
      <c r="N27" s="50">
        <f t="shared" si="2"/>
        <v>1</v>
      </c>
      <c r="O27" s="115" t="s">
        <v>158</v>
      </c>
      <c r="P27" s="46">
        <v>0</v>
      </c>
      <c r="Q27" s="46">
        <v>0</v>
      </c>
      <c r="R27" s="46">
        <v>0</v>
      </c>
      <c r="S27" s="47" t="str">
        <f t="shared" si="3"/>
        <v xml:space="preserve"> -</v>
      </c>
      <c r="T27" s="50" t="str">
        <f t="shared" si="4"/>
        <v xml:space="preserve"> -</v>
      </c>
    </row>
    <row r="28" spans="2:20" ht="60">
      <c r="B28" s="356"/>
      <c r="C28" s="357"/>
      <c r="D28" s="352"/>
      <c r="E28" s="45">
        <v>42370</v>
      </c>
      <c r="F28" s="45">
        <v>42735</v>
      </c>
      <c r="G28" s="9" t="s">
        <v>40</v>
      </c>
      <c r="H28" s="46">
        <v>1</v>
      </c>
      <c r="I28" s="46">
        <v>1</v>
      </c>
      <c r="J28" s="46">
        <v>1</v>
      </c>
      <c r="K28" s="92">
        <v>1</v>
      </c>
      <c r="L28" s="110">
        <f t="shared" si="0"/>
        <v>1</v>
      </c>
      <c r="M28" s="58">
        <f t="shared" si="1"/>
        <v>1</v>
      </c>
      <c r="N28" s="50">
        <f t="shared" si="2"/>
        <v>1</v>
      </c>
      <c r="O28" s="115" t="s">
        <v>159</v>
      </c>
      <c r="P28" s="46">
        <v>5000</v>
      </c>
      <c r="Q28" s="46">
        <v>0</v>
      </c>
      <c r="R28" s="46">
        <v>0</v>
      </c>
      <c r="S28" s="47">
        <f t="shared" si="3"/>
        <v>0</v>
      </c>
      <c r="T28" s="50" t="str">
        <f t="shared" si="4"/>
        <v xml:space="preserve"> -</v>
      </c>
    </row>
    <row r="29" spans="2:20" ht="60">
      <c r="B29" s="356"/>
      <c r="C29" s="357"/>
      <c r="D29" s="352"/>
      <c r="E29" s="45">
        <v>42370</v>
      </c>
      <c r="F29" s="45">
        <v>42735</v>
      </c>
      <c r="G29" s="9" t="s">
        <v>94</v>
      </c>
      <c r="H29" s="46">
        <v>1</v>
      </c>
      <c r="I29" s="46">
        <v>1</v>
      </c>
      <c r="J29" s="46">
        <v>1</v>
      </c>
      <c r="K29" s="92">
        <v>1</v>
      </c>
      <c r="L29" s="110">
        <f t="shared" si="0"/>
        <v>1</v>
      </c>
      <c r="M29" s="58">
        <f t="shared" si="1"/>
        <v>1</v>
      </c>
      <c r="N29" s="50">
        <f t="shared" si="2"/>
        <v>1</v>
      </c>
      <c r="O29" s="115" t="s">
        <v>158</v>
      </c>
      <c r="P29" s="46">
        <v>0</v>
      </c>
      <c r="Q29" s="46">
        <v>0</v>
      </c>
      <c r="R29" s="46">
        <v>0</v>
      </c>
      <c r="S29" s="47" t="str">
        <f t="shared" si="3"/>
        <v xml:space="preserve"> -</v>
      </c>
      <c r="T29" s="50" t="str">
        <f t="shared" si="4"/>
        <v xml:space="preserve"> -</v>
      </c>
    </row>
    <row r="30" spans="2:20" ht="61" thickBot="1">
      <c r="B30" s="356"/>
      <c r="C30" s="357"/>
      <c r="D30" s="353"/>
      <c r="E30" s="51">
        <v>42370</v>
      </c>
      <c r="F30" s="51">
        <v>42735</v>
      </c>
      <c r="G30" s="10" t="s">
        <v>42</v>
      </c>
      <c r="H30" s="52">
        <v>1</v>
      </c>
      <c r="I30" s="52">
        <v>1</v>
      </c>
      <c r="J30" s="52">
        <v>1</v>
      </c>
      <c r="K30" s="93">
        <v>1</v>
      </c>
      <c r="L30" s="111">
        <f t="shared" si="0"/>
        <v>1</v>
      </c>
      <c r="M30" s="150">
        <f t="shared" si="1"/>
        <v>1</v>
      </c>
      <c r="N30" s="54">
        <f t="shared" si="2"/>
        <v>1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6"/>
      <c r="C31" s="357"/>
      <c r="D31" s="354" t="s">
        <v>78</v>
      </c>
      <c r="E31" s="89">
        <v>42370</v>
      </c>
      <c r="F31" s="89">
        <v>42735</v>
      </c>
      <c r="G31" s="147" t="s">
        <v>43</v>
      </c>
      <c r="H31" s="90">
        <v>1</v>
      </c>
      <c r="I31" s="90">
        <v>1</v>
      </c>
      <c r="J31" s="90">
        <v>1</v>
      </c>
      <c r="K31" s="94">
        <v>1</v>
      </c>
      <c r="L31" s="30">
        <f t="shared" si="0"/>
        <v>1</v>
      </c>
      <c r="M31" s="31">
        <f t="shared" si="1"/>
        <v>1</v>
      </c>
      <c r="N31" s="32">
        <f t="shared" si="2"/>
        <v>1</v>
      </c>
      <c r="O31" s="117" t="s">
        <v>161</v>
      </c>
      <c r="P31" s="90">
        <v>279000</v>
      </c>
      <c r="Q31" s="90">
        <v>206001</v>
      </c>
      <c r="R31" s="90">
        <v>0</v>
      </c>
      <c r="S31" s="33">
        <f t="shared" si="3"/>
        <v>0.73835483870967744</v>
      </c>
      <c r="T31" s="32" t="str">
        <f t="shared" si="4"/>
        <v xml:space="preserve"> -</v>
      </c>
    </row>
    <row r="32" spans="2:20" ht="45">
      <c r="B32" s="356"/>
      <c r="C32" s="357"/>
      <c r="D32" s="352"/>
      <c r="E32" s="45">
        <v>42370</v>
      </c>
      <c r="F32" s="45">
        <v>42735</v>
      </c>
      <c r="G32" s="8" t="s">
        <v>44</v>
      </c>
      <c r="H32" s="46">
        <v>1</v>
      </c>
      <c r="I32" s="46">
        <v>1</v>
      </c>
      <c r="J32" s="46">
        <v>1</v>
      </c>
      <c r="K32" s="92">
        <v>1</v>
      </c>
      <c r="L32" s="110">
        <f t="shared" si="0"/>
        <v>1</v>
      </c>
      <c r="M32" s="58">
        <f t="shared" si="1"/>
        <v>1</v>
      </c>
      <c r="N32" s="50">
        <f t="shared" si="2"/>
        <v>1</v>
      </c>
      <c r="O32" s="115" t="s">
        <v>162</v>
      </c>
      <c r="P32" s="155">
        <v>13000</v>
      </c>
      <c r="Q32" s="155">
        <v>12926</v>
      </c>
      <c r="R32" s="46">
        <v>0</v>
      </c>
      <c r="S32" s="47">
        <f t="shared" si="3"/>
        <v>0.99430769230769234</v>
      </c>
      <c r="T32" s="50" t="str">
        <f t="shared" si="4"/>
        <v xml:space="preserve"> -</v>
      </c>
    </row>
    <row r="33" spans="2:20" ht="45">
      <c r="B33" s="356"/>
      <c r="C33" s="357"/>
      <c r="D33" s="352"/>
      <c r="E33" s="45">
        <v>42370</v>
      </c>
      <c r="F33" s="45">
        <v>42735</v>
      </c>
      <c r="G33" s="8" t="s">
        <v>45</v>
      </c>
      <c r="H33" s="46">
        <v>1</v>
      </c>
      <c r="I33" s="46">
        <v>1</v>
      </c>
      <c r="J33" s="46">
        <v>1</v>
      </c>
      <c r="K33" s="92">
        <v>1</v>
      </c>
      <c r="L33" s="110">
        <f t="shared" si="0"/>
        <v>1</v>
      </c>
      <c r="M33" s="58">
        <f t="shared" si="1"/>
        <v>1</v>
      </c>
      <c r="N33" s="50">
        <f t="shared" si="2"/>
        <v>1</v>
      </c>
      <c r="O33" s="115" t="s">
        <v>163</v>
      </c>
      <c r="P33" s="46">
        <v>87000</v>
      </c>
      <c r="Q33" s="46">
        <v>51280</v>
      </c>
      <c r="R33" s="46">
        <v>0</v>
      </c>
      <c r="S33" s="47">
        <f t="shared" si="3"/>
        <v>0.58942528735632183</v>
      </c>
      <c r="T33" s="50" t="str">
        <f t="shared" si="4"/>
        <v xml:space="preserve"> -</v>
      </c>
    </row>
    <row r="34" spans="2:20" ht="30">
      <c r="B34" s="356"/>
      <c r="C34" s="357"/>
      <c r="D34" s="352"/>
      <c r="E34" s="45">
        <v>42370</v>
      </c>
      <c r="F34" s="45">
        <v>42735</v>
      </c>
      <c r="G34" s="11" t="s">
        <v>46</v>
      </c>
      <c r="H34" s="46">
        <v>1</v>
      </c>
      <c r="I34" s="46">
        <v>1</v>
      </c>
      <c r="J34" s="46">
        <v>1</v>
      </c>
      <c r="K34" s="92">
        <v>1</v>
      </c>
      <c r="L34" s="110">
        <f t="shared" si="0"/>
        <v>1</v>
      </c>
      <c r="M34" s="58">
        <f t="shared" si="1"/>
        <v>1</v>
      </c>
      <c r="N34" s="50">
        <f t="shared" si="2"/>
        <v>1</v>
      </c>
      <c r="O34" s="115" t="s">
        <v>164</v>
      </c>
      <c r="P34" s="46">
        <v>69000</v>
      </c>
      <c r="Q34" s="46">
        <v>65673</v>
      </c>
      <c r="R34" s="46">
        <v>0</v>
      </c>
      <c r="S34" s="47">
        <f t="shared" si="3"/>
        <v>0.95178260869565212</v>
      </c>
      <c r="T34" s="50" t="str">
        <f t="shared" si="4"/>
        <v xml:space="preserve"> -</v>
      </c>
    </row>
    <row r="35" spans="2:20" ht="60">
      <c r="B35" s="356"/>
      <c r="C35" s="357"/>
      <c r="D35" s="352"/>
      <c r="E35" s="45">
        <v>42370</v>
      </c>
      <c r="F35" s="45">
        <v>42735</v>
      </c>
      <c r="G35" s="9" t="s">
        <v>47</v>
      </c>
      <c r="H35" s="46">
        <v>1</v>
      </c>
      <c r="I35" s="46">
        <v>0</v>
      </c>
      <c r="J35" s="46">
        <v>0</v>
      </c>
      <c r="K35" s="92">
        <v>1</v>
      </c>
      <c r="L35" s="110" t="e">
        <f t="shared" si="0"/>
        <v>#DIV/0!</v>
      </c>
      <c r="M35" s="58">
        <f t="shared" si="1"/>
        <v>1</v>
      </c>
      <c r="N35" s="50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6"/>
      <c r="C36" s="357"/>
      <c r="D36" s="352"/>
      <c r="E36" s="45">
        <v>42370</v>
      </c>
      <c r="F36" s="45">
        <v>42735</v>
      </c>
      <c r="G36" s="9" t="s">
        <v>48</v>
      </c>
      <c r="H36" s="46">
        <v>1</v>
      </c>
      <c r="I36" s="46">
        <v>1</v>
      </c>
      <c r="J36" s="46">
        <v>1</v>
      </c>
      <c r="K36" s="92">
        <v>1</v>
      </c>
      <c r="L36" s="110">
        <f t="shared" si="0"/>
        <v>1</v>
      </c>
      <c r="M36" s="58">
        <f t="shared" si="1"/>
        <v>1</v>
      </c>
      <c r="N36" s="50">
        <f t="shared" si="2"/>
        <v>1</v>
      </c>
      <c r="O36" s="115" t="s">
        <v>166</v>
      </c>
      <c r="P36" s="155">
        <v>43000</v>
      </c>
      <c r="Q36" s="46">
        <v>37280</v>
      </c>
      <c r="R36" s="46">
        <v>0</v>
      </c>
      <c r="S36" s="47">
        <f t="shared" si="3"/>
        <v>0.86697674418604653</v>
      </c>
      <c r="T36" s="50" t="str">
        <f t="shared" si="4"/>
        <v xml:space="preserve"> -</v>
      </c>
    </row>
    <row r="37" spans="2:20" ht="46" thickBot="1">
      <c r="B37" s="356"/>
      <c r="C37" s="357"/>
      <c r="D37" s="355"/>
      <c r="E37" s="80">
        <v>42370</v>
      </c>
      <c r="F37" s="80">
        <v>42735</v>
      </c>
      <c r="G37" s="130" t="s">
        <v>49</v>
      </c>
      <c r="H37" s="81">
        <v>1</v>
      </c>
      <c r="I37" s="81">
        <v>1</v>
      </c>
      <c r="J37" s="81">
        <v>1</v>
      </c>
      <c r="K37" s="95">
        <v>1</v>
      </c>
      <c r="L37" s="112">
        <f t="shared" si="0"/>
        <v>1</v>
      </c>
      <c r="M37" s="128">
        <f t="shared" si="1"/>
        <v>1</v>
      </c>
      <c r="N37" s="83">
        <f t="shared" si="2"/>
        <v>1</v>
      </c>
      <c r="O37" s="118" t="s">
        <v>167</v>
      </c>
      <c r="P37" s="156">
        <v>34000</v>
      </c>
      <c r="Q37" s="81">
        <v>31680</v>
      </c>
      <c r="R37" s="81">
        <v>0</v>
      </c>
      <c r="S37" s="82">
        <f t="shared" si="3"/>
        <v>0.93176470588235294</v>
      </c>
      <c r="T37" s="83" t="str">
        <f t="shared" si="4"/>
        <v xml:space="preserve"> -</v>
      </c>
    </row>
    <row r="38" spans="2:20" ht="30">
      <c r="B38" s="356"/>
      <c r="C38" s="357"/>
      <c r="D38" s="351" t="s">
        <v>79</v>
      </c>
      <c r="E38" s="48">
        <v>42370</v>
      </c>
      <c r="F38" s="48">
        <v>42735</v>
      </c>
      <c r="G38" s="12" t="s">
        <v>50</v>
      </c>
      <c r="H38" s="49">
        <v>4</v>
      </c>
      <c r="I38" s="49">
        <v>0</v>
      </c>
      <c r="J38" s="49">
        <v>0</v>
      </c>
      <c r="K38" s="91">
        <v>0</v>
      </c>
      <c r="L38" s="29" t="e">
        <f t="shared" si="0"/>
        <v>#DIV/0!</v>
      </c>
      <c r="M38" s="149">
        <f t="shared" si="1"/>
        <v>1</v>
      </c>
      <c r="N38" s="27" t="str">
        <f t="shared" si="2"/>
        <v xml:space="preserve"> -</v>
      </c>
      <c r="O38" s="114" t="s">
        <v>168</v>
      </c>
      <c r="P38" s="157">
        <v>0</v>
      </c>
      <c r="Q38" s="49">
        <v>0</v>
      </c>
      <c r="R38" s="49">
        <v>0</v>
      </c>
      <c r="S38" s="28" t="str">
        <f t="shared" si="3"/>
        <v xml:space="preserve"> -</v>
      </c>
      <c r="T38" s="27" t="str">
        <f t="shared" si="4"/>
        <v xml:space="preserve"> -</v>
      </c>
    </row>
    <row r="39" spans="2:20" ht="45">
      <c r="B39" s="356"/>
      <c r="C39" s="357"/>
      <c r="D39" s="352"/>
      <c r="E39" s="45">
        <v>42370</v>
      </c>
      <c r="F39" s="45">
        <v>42735</v>
      </c>
      <c r="G39" s="8" t="s">
        <v>51</v>
      </c>
      <c r="H39" s="46">
        <v>4</v>
      </c>
      <c r="I39" s="46">
        <v>0</v>
      </c>
      <c r="J39" s="46">
        <v>0</v>
      </c>
      <c r="K39" s="92">
        <v>0</v>
      </c>
      <c r="L39" s="110" t="e">
        <f t="shared" si="0"/>
        <v>#DIV/0!</v>
      </c>
      <c r="M39" s="58">
        <f t="shared" si="1"/>
        <v>1</v>
      </c>
      <c r="N39" s="50" t="str">
        <f t="shared" si="2"/>
        <v xml:space="preserve"> -</v>
      </c>
      <c r="O39" s="115" t="s">
        <v>169</v>
      </c>
      <c r="P39" s="155">
        <v>0</v>
      </c>
      <c r="Q39" s="46">
        <v>0</v>
      </c>
      <c r="R39" s="46">
        <v>0</v>
      </c>
      <c r="S39" s="47" t="str">
        <f t="shared" si="3"/>
        <v xml:space="preserve"> -</v>
      </c>
      <c r="T39" s="50" t="str">
        <f t="shared" si="4"/>
        <v xml:space="preserve"> -</v>
      </c>
    </row>
    <row r="40" spans="2:20" ht="45">
      <c r="B40" s="356"/>
      <c r="C40" s="357"/>
      <c r="D40" s="352"/>
      <c r="E40" s="45">
        <v>42370</v>
      </c>
      <c r="F40" s="45">
        <v>42735</v>
      </c>
      <c r="G40" s="8" t="s">
        <v>52</v>
      </c>
      <c r="H40" s="46">
        <v>1</v>
      </c>
      <c r="I40" s="46">
        <v>1</v>
      </c>
      <c r="J40" s="46">
        <v>1</v>
      </c>
      <c r="K40" s="92">
        <v>1</v>
      </c>
      <c r="L40" s="110">
        <f t="shared" si="0"/>
        <v>1</v>
      </c>
      <c r="M40" s="58">
        <f t="shared" si="1"/>
        <v>1</v>
      </c>
      <c r="N40" s="50">
        <f t="shared" si="2"/>
        <v>1</v>
      </c>
      <c r="O40" s="115" t="s">
        <v>170</v>
      </c>
      <c r="P40" s="155">
        <v>187072</v>
      </c>
      <c r="Q40" s="46">
        <v>51489</v>
      </c>
      <c r="R40" s="46">
        <v>0</v>
      </c>
      <c r="S40" s="47">
        <f t="shared" si="3"/>
        <v>0.27523627266507011</v>
      </c>
      <c r="T40" s="50" t="str">
        <f t="shared" si="4"/>
        <v xml:space="preserve"> -</v>
      </c>
    </row>
    <row r="41" spans="2:20" ht="45">
      <c r="B41" s="356"/>
      <c r="C41" s="357"/>
      <c r="D41" s="352"/>
      <c r="E41" s="45">
        <v>42370</v>
      </c>
      <c r="F41" s="45">
        <v>42735</v>
      </c>
      <c r="G41" s="8" t="s">
        <v>53</v>
      </c>
      <c r="H41" s="46">
        <v>1</v>
      </c>
      <c r="I41" s="46">
        <v>1</v>
      </c>
      <c r="J41" s="46">
        <v>1</v>
      </c>
      <c r="K41" s="92">
        <v>1</v>
      </c>
      <c r="L41" s="110">
        <f t="shared" si="0"/>
        <v>1</v>
      </c>
      <c r="M41" s="58">
        <f t="shared" si="1"/>
        <v>1</v>
      </c>
      <c r="N41" s="50">
        <f t="shared" si="2"/>
        <v>1</v>
      </c>
      <c r="O41" s="115" t="s">
        <v>171</v>
      </c>
      <c r="P41" s="155">
        <v>736084</v>
      </c>
      <c r="Q41" s="46">
        <v>551771</v>
      </c>
      <c r="R41" s="46">
        <v>0</v>
      </c>
      <c r="S41" s="47">
        <f t="shared" si="3"/>
        <v>0.7496033061444074</v>
      </c>
      <c r="T41" s="50" t="str">
        <f t="shared" si="4"/>
        <v xml:space="preserve"> -</v>
      </c>
    </row>
    <row r="42" spans="2:20" ht="30">
      <c r="B42" s="356"/>
      <c r="C42" s="357"/>
      <c r="D42" s="352"/>
      <c r="E42" s="45">
        <v>42370</v>
      </c>
      <c r="F42" s="45">
        <v>42735</v>
      </c>
      <c r="G42" s="9" t="s">
        <v>54</v>
      </c>
      <c r="H42" s="46">
        <v>1</v>
      </c>
      <c r="I42" s="46">
        <v>0</v>
      </c>
      <c r="J42" s="46">
        <v>0</v>
      </c>
      <c r="K42" s="92">
        <v>1</v>
      </c>
      <c r="L42" s="110" t="e">
        <f t="shared" si="0"/>
        <v>#DIV/0!</v>
      </c>
      <c r="M42" s="58">
        <f t="shared" si="1"/>
        <v>1</v>
      </c>
      <c r="N42" s="50" t="str">
        <f t="shared" si="2"/>
        <v xml:space="preserve"> -</v>
      </c>
      <c r="O42" s="115" t="s">
        <v>145</v>
      </c>
      <c r="P42" s="155">
        <v>0</v>
      </c>
      <c r="Q42" s="46">
        <v>0</v>
      </c>
      <c r="R42" s="46">
        <v>0</v>
      </c>
      <c r="S42" s="47" t="str">
        <f t="shared" si="3"/>
        <v xml:space="preserve"> -</v>
      </c>
      <c r="T42" s="50" t="str">
        <f t="shared" si="4"/>
        <v xml:space="preserve"> -</v>
      </c>
    </row>
    <row r="43" spans="2:20" ht="30">
      <c r="B43" s="356"/>
      <c r="C43" s="357"/>
      <c r="D43" s="352"/>
      <c r="E43" s="45">
        <v>42370</v>
      </c>
      <c r="F43" s="45">
        <v>42735</v>
      </c>
      <c r="G43" s="11" t="s">
        <v>55</v>
      </c>
      <c r="H43" s="46">
        <v>1</v>
      </c>
      <c r="I43" s="46">
        <v>0</v>
      </c>
      <c r="J43" s="46">
        <v>0</v>
      </c>
      <c r="K43" s="92">
        <v>0</v>
      </c>
      <c r="L43" s="110" t="e">
        <f t="shared" si="0"/>
        <v>#DIV/0!</v>
      </c>
      <c r="M43" s="58">
        <f t="shared" si="1"/>
        <v>1</v>
      </c>
      <c r="N43" s="50" t="str">
        <f t="shared" si="2"/>
        <v xml:space="preserve"> -</v>
      </c>
      <c r="O43" s="115" t="s">
        <v>145</v>
      </c>
      <c r="P43" s="155">
        <v>0</v>
      </c>
      <c r="Q43" s="46">
        <v>0</v>
      </c>
      <c r="R43" s="46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6"/>
      <c r="C44" s="357"/>
      <c r="D44" s="353"/>
      <c r="E44" s="51">
        <v>42370</v>
      </c>
      <c r="F44" s="51">
        <v>42735</v>
      </c>
      <c r="G44" s="148" t="s">
        <v>56</v>
      </c>
      <c r="H44" s="52">
        <v>1</v>
      </c>
      <c r="I44" s="52">
        <v>1</v>
      </c>
      <c r="J44" s="52">
        <v>1</v>
      </c>
      <c r="K44" s="93">
        <v>1</v>
      </c>
      <c r="L44" s="111">
        <f t="shared" si="0"/>
        <v>1</v>
      </c>
      <c r="M44" s="150">
        <f t="shared" si="1"/>
        <v>1</v>
      </c>
      <c r="N44" s="54">
        <f t="shared" si="2"/>
        <v>1</v>
      </c>
      <c r="O44" s="116" t="s">
        <v>172</v>
      </c>
      <c r="P44" s="158">
        <v>68176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6"/>
      <c r="C45" s="357"/>
      <c r="D45" s="84" t="s">
        <v>80</v>
      </c>
      <c r="E45" s="85">
        <v>42370</v>
      </c>
      <c r="F45" s="85">
        <v>42735</v>
      </c>
      <c r="G45" s="13" t="s">
        <v>57</v>
      </c>
      <c r="H45" s="86">
        <v>48</v>
      </c>
      <c r="I45" s="86">
        <v>12</v>
      </c>
      <c r="J45" s="86">
        <v>12</v>
      </c>
      <c r="K45" s="96">
        <v>12</v>
      </c>
      <c r="L45" s="113">
        <f t="shared" si="0"/>
        <v>1</v>
      </c>
      <c r="M45" s="151">
        <f t="shared" si="1"/>
        <v>1</v>
      </c>
      <c r="N45" s="88">
        <f t="shared" si="2"/>
        <v>1</v>
      </c>
      <c r="O45" s="119" t="s">
        <v>173</v>
      </c>
      <c r="P45" s="159">
        <v>536400</v>
      </c>
      <c r="Q45" s="86">
        <v>453400</v>
      </c>
      <c r="R45" s="86">
        <v>0</v>
      </c>
      <c r="S45" s="87">
        <f t="shared" si="3"/>
        <v>0.84526472781506334</v>
      </c>
      <c r="T45" s="88" t="str">
        <f t="shared" si="4"/>
        <v xml:space="preserve"> -</v>
      </c>
    </row>
    <row r="46" spans="2:20" ht="60">
      <c r="B46" s="356"/>
      <c r="C46" s="357"/>
      <c r="D46" s="351" t="s">
        <v>81</v>
      </c>
      <c r="E46" s="48">
        <v>42370</v>
      </c>
      <c r="F46" s="48">
        <v>42735</v>
      </c>
      <c r="G46" s="12" t="s">
        <v>90</v>
      </c>
      <c r="H46" s="49">
        <v>8</v>
      </c>
      <c r="I46" s="49">
        <v>0</v>
      </c>
      <c r="J46" s="49">
        <v>0</v>
      </c>
      <c r="K46" s="91">
        <v>0</v>
      </c>
      <c r="L46" s="29" t="e">
        <f t="shared" si="0"/>
        <v>#DIV/0!</v>
      </c>
      <c r="M46" s="149">
        <f t="shared" si="1"/>
        <v>1</v>
      </c>
      <c r="N46" s="27" t="str">
        <f t="shared" si="2"/>
        <v xml:space="preserve"> -</v>
      </c>
      <c r="O46" s="114" t="s">
        <v>174</v>
      </c>
      <c r="P46" s="157">
        <v>0</v>
      </c>
      <c r="Q46" s="49">
        <v>0</v>
      </c>
      <c r="R46" s="49">
        <v>0</v>
      </c>
      <c r="S46" s="28" t="str">
        <f t="shared" si="3"/>
        <v xml:space="preserve"> -</v>
      </c>
      <c r="T46" s="27" t="str">
        <f t="shared" si="4"/>
        <v xml:space="preserve"> -</v>
      </c>
    </row>
    <row r="47" spans="2:20" ht="60">
      <c r="B47" s="356"/>
      <c r="C47" s="357"/>
      <c r="D47" s="352"/>
      <c r="E47" s="45">
        <v>42370</v>
      </c>
      <c r="F47" s="45">
        <v>42735</v>
      </c>
      <c r="G47" s="8" t="s">
        <v>91</v>
      </c>
      <c r="H47" s="46">
        <v>8</v>
      </c>
      <c r="I47" s="46">
        <v>0</v>
      </c>
      <c r="J47" s="46">
        <v>0</v>
      </c>
      <c r="K47" s="92">
        <v>0</v>
      </c>
      <c r="L47" s="110" t="e">
        <f t="shared" si="0"/>
        <v>#DIV/0!</v>
      </c>
      <c r="M47" s="58">
        <f t="shared" si="1"/>
        <v>1</v>
      </c>
      <c r="N47" s="50" t="str">
        <f t="shared" si="2"/>
        <v xml:space="preserve"> -</v>
      </c>
      <c r="O47" s="115" t="s">
        <v>175</v>
      </c>
      <c r="P47" s="155">
        <v>0</v>
      </c>
      <c r="Q47" s="46">
        <v>0</v>
      </c>
      <c r="R47" s="46">
        <v>0</v>
      </c>
      <c r="S47" s="47" t="str">
        <f t="shared" si="3"/>
        <v xml:space="preserve"> -</v>
      </c>
      <c r="T47" s="50" t="str">
        <f t="shared" si="4"/>
        <v xml:space="preserve"> -</v>
      </c>
    </row>
    <row r="48" spans="2:20" ht="45">
      <c r="B48" s="356"/>
      <c r="C48" s="357"/>
      <c r="D48" s="352"/>
      <c r="E48" s="45">
        <v>42370</v>
      </c>
      <c r="F48" s="45">
        <v>42735</v>
      </c>
      <c r="G48" s="8" t="s">
        <v>58</v>
      </c>
      <c r="H48" s="46">
        <v>4</v>
      </c>
      <c r="I48" s="46">
        <v>0</v>
      </c>
      <c r="J48" s="46">
        <v>0</v>
      </c>
      <c r="K48" s="92">
        <v>0</v>
      </c>
      <c r="L48" s="110" t="e">
        <f t="shared" si="0"/>
        <v>#DIV/0!</v>
      </c>
      <c r="M48" s="58">
        <f t="shared" si="1"/>
        <v>1</v>
      </c>
      <c r="N48" s="50" t="str">
        <f t="shared" si="2"/>
        <v xml:space="preserve"> -</v>
      </c>
      <c r="O48" s="115" t="s">
        <v>176</v>
      </c>
      <c r="P48" s="155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30">
      <c r="B49" s="356"/>
      <c r="C49" s="357"/>
      <c r="D49" s="352"/>
      <c r="E49" s="45">
        <v>42370</v>
      </c>
      <c r="F49" s="45">
        <v>42735</v>
      </c>
      <c r="G49" s="8" t="s">
        <v>59</v>
      </c>
      <c r="H49" s="46">
        <v>1</v>
      </c>
      <c r="I49" s="46">
        <v>1</v>
      </c>
      <c r="J49" s="46">
        <v>1</v>
      </c>
      <c r="K49" s="92">
        <v>1</v>
      </c>
      <c r="L49" s="110">
        <f t="shared" si="0"/>
        <v>1</v>
      </c>
      <c r="M49" s="58">
        <f t="shared" si="1"/>
        <v>1</v>
      </c>
      <c r="N49" s="50">
        <f t="shared" si="2"/>
        <v>1</v>
      </c>
      <c r="O49" s="115" t="s">
        <v>177</v>
      </c>
      <c r="P49" s="155">
        <v>0</v>
      </c>
      <c r="Q49" s="46">
        <v>0</v>
      </c>
      <c r="R49" s="46">
        <v>0</v>
      </c>
      <c r="S49" s="47" t="str">
        <f t="shared" si="3"/>
        <v xml:space="preserve"> -</v>
      </c>
      <c r="T49" s="50" t="str">
        <f t="shared" si="4"/>
        <v xml:space="preserve"> -</v>
      </c>
    </row>
    <row r="50" spans="2:20" ht="45">
      <c r="B50" s="356"/>
      <c r="C50" s="357"/>
      <c r="D50" s="352"/>
      <c r="E50" s="45">
        <v>42370</v>
      </c>
      <c r="F50" s="45">
        <v>42735</v>
      </c>
      <c r="G50" s="9" t="s">
        <v>60</v>
      </c>
      <c r="H50" s="46">
        <v>1</v>
      </c>
      <c r="I50" s="46">
        <v>0</v>
      </c>
      <c r="J50" s="46">
        <v>0</v>
      </c>
      <c r="K50" s="92">
        <v>0</v>
      </c>
      <c r="L50" s="110" t="e">
        <f t="shared" si="0"/>
        <v>#DIV/0!</v>
      </c>
      <c r="M50" s="58">
        <f t="shared" si="1"/>
        <v>1</v>
      </c>
      <c r="N50" s="50" t="str">
        <f t="shared" si="2"/>
        <v xml:space="preserve"> -</v>
      </c>
      <c r="O50" s="115" t="s">
        <v>145</v>
      </c>
      <c r="P50" s="155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45">
      <c r="B51" s="356"/>
      <c r="C51" s="357"/>
      <c r="D51" s="352"/>
      <c r="E51" s="45">
        <v>42370</v>
      </c>
      <c r="F51" s="45">
        <v>42735</v>
      </c>
      <c r="G51" s="9" t="s">
        <v>61</v>
      </c>
      <c r="H51" s="46">
        <v>2</v>
      </c>
      <c r="I51" s="46">
        <v>0</v>
      </c>
      <c r="J51" s="46">
        <v>0</v>
      </c>
      <c r="K51" s="92">
        <v>0</v>
      </c>
      <c r="L51" s="110" t="e">
        <f t="shared" si="0"/>
        <v>#DIV/0!</v>
      </c>
      <c r="M51" s="58">
        <f t="shared" si="1"/>
        <v>1</v>
      </c>
      <c r="N51" s="50" t="str">
        <f t="shared" si="2"/>
        <v xml:space="preserve"> -</v>
      </c>
      <c r="O51" s="115" t="s">
        <v>178</v>
      </c>
      <c r="P51" s="155">
        <v>0</v>
      </c>
      <c r="Q51" s="46">
        <v>0</v>
      </c>
      <c r="R51" s="46">
        <v>0</v>
      </c>
      <c r="S51" s="47" t="str">
        <f t="shared" si="3"/>
        <v xml:space="preserve"> -</v>
      </c>
      <c r="T51" s="50" t="str">
        <f t="shared" si="4"/>
        <v xml:space="preserve"> -</v>
      </c>
    </row>
    <row r="52" spans="2:20" ht="75">
      <c r="B52" s="356"/>
      <c r="C52" s="357"/>
      <c r="D52" s="352"/>
      <c r="E52" s="45">
        <v>42370</v>
      </c>
      <c r="F52" s="45">
        <v>42735</v>
      </c>
      <c r="G52" s="9" t="s">
        <v>62</v>
      </c>
      <c r="H52" s="46">
        <v>1</v>
      </c>
      <c r="I52" s="46">
        <v>1</v>
      </c>
      <c r="J52" s="46">
        <v>1</v>
      </c>
      <c r="K52" s="92">
        <v>1</v>
      </c>
      <c r="L52" s="110">
        <f t="shared" si="0"/>
        <v>1</v>
      </c>
      <c r="M52" s="58">
        <f t="shared" si="1"/>
        <v>1</v>
      </c>
      <c r="N52" s="50">
        <f t="shared" si="2"/>
        <v>1</v>
      </c>
      <c r="O52" s="115" t="s">
        <v>179</v>
      </c>
      <c r="P52" s="155">
        <v>10000</v>
      </c>
      <c r="Q52" s="46">
        <v>0</v>
      </c>
      <c r="R52" s="46">
        <v>0</v>
      </c>
      <c r="S52" s="47">
        <f t="shared" si="3"/>
        <v>0</v>
      </c>
      <c r="T52" s="50" t="str">
        <f t="shared" si="4"/>
        <v xml:space="preserve"> -</v>
      </c>
    </row>
    <row r="53" spans="2:20" ht="61" thickBot="1">
      <c r="B53" s="356"/>
      <c r="C53" s="357"/>
      <c r="D53" s="353"/>
      <c r="E53" s="51">
        <v>42370</v>
      </c>
      <c r="F53" s="51">
        <v>42735</v>
      </c>
      <c r="G53" s="10" t="s">
        <v>63</v>
      </c>
      <c r="H53" s="52">
        <v>1</v>
      </c>
      <c r="I53" s="52">
        <v>1</v>
      </c>
      <c r="J53" s="52">
        <v>1</v>
      </c>
      <c r="K53" s="93">
        <v>0</v>
      </c>
      <c r="L53" s="111">
        <f t="shared" si="0"/>
        <v>0</v>
      </c>
      <c r="M53" s="150">
        <f t="shared" si="1"/>
        <v>1</v>
      </c>
      <c r="N53" s="54">
        <f t="shared" si="2"/>
        <v>0</v>
      </c>
      <c r="O53" s="116" t="s">
        <v>180</v>
      </c>
      <c r="P53" s="158">
        <v>10000</v>
      </c>
      <c r="Q53" s="52">
        <v>0</v>
      </c>
      <c r="R53" s="52">
        <v>0</v>
      </c>
      <c r="S53" s="53">
        <f t="shared" si="3"/>
        <v>0</v>
      </c>
      <c r="T53" s="54" t="str">
        <f t="shared" si="4"/>
        <v xml:space="preserve"> -</v>
      </c>
    </row>
    <row r="54" spans="2:20" ht="46" thickBot="1">
      <c r="B54" s="356"/>
      <c r="C54" s="357"/>
      <c r="D54" s="84" t="s">
        <v>82</v>
      </c>
      <c r="E54" s="85">
        <v>42370</v>
      </c>
      <c r="F54" s="85">
        <v>42735</v>
      </c>
      <c r="G54" s="13" t="s">
        <v>64</v>
      </c>
      <c r="H54" s="86">
        <v>1</v>
      </c>
      <c r="I54" s="86">
        <v>0</v>
      </c>
      <c r="J54" s="86">
        <v>0</v>
      </c>
      <c r="K54" s="96">
        <v>0</v>
      </c>
      <c r="L54" s="113" t="e">
        <f t="shared" si="0"/>
        <v>#DIV/0!</v>
      </c>
      <c r="M54" s="151">
        <f t="shared" si="1"/>
        <v>1</v>
      </c>
      <c r="N54" s="88" t="str">
        <f t="shared" si="2"/>
        <v xml:space="preserve"> -</v>
      </c>
      <c r="O54" s="119" t="s">
        <v>181</v>
      </c>
      <c r="P54" s="159">
        <v>0</v>
      </c>
      <c r="Q54" s="86">
        <v>0</v>
      </c>
      <c r="R54" s="86">
        <v>0</v>
      </c>
      <c r="S54" s="87" t="str">
        <f t="shared" si="3"/>
        <v xml:space="preserve"> -</v>
      </c>
      <c r="T54" s="88" t="str">
        <f t="shared" si="4"/>
        <v xml:space="preserve"> -</v>
      </c>
    </row>
    <row r="55" spans="2:20" ht="30" customHeight="1">
      <c r="B55" s="356"/>
      <c r="C55" s="356"/>
      <c r="D55" s="365" t="s">
        <v>83</v>
      </c>
      <c r="E55" s="48">
        <v>42370</v>
      </c>
      <c r="F55" s="48">
        <v>42735</v>
      </c>
      <c r="G55" s="12" t="s">
        <v>65</v>
      </c>
      <c r="H55" s="49">
        <v>1</v>
      </c>
      <c r="I55" s="49">
        <v>1</v>
      </c>
      <c r="J55" s="49">
        <v>1</v>
      </c>
      <c r="K55" s="59">
        <v>1</v>
      </c>
      <c r="L55" s="165">
        <f t="shared" si="0"/>
        <v>1</v>
      </c>
      <c r="M55" s="149">
        <f t="shared" si="1"/>
        <v>1</v>
      </c>
      <c r="N55" s="27">
        <f t="shared" si="2"/>
        <v>1</v>
      </c>
      <c r="O55" s="114" t="s">
        <v>182</v>
      </c>
      <c r="P55" s="157">
        <v>200000</v>
      </c>
      <c r="Q55" s="49">
        <v>200000</v>
      </c>
      <c r="R55" s="49">
        <v>0</v>
      </c>
      <c r="S55" s="28">
        <f t="shared" si="3"/>
        <v>1</v>
      </c>
      <c r="T55" s="27" t="str">
        <f t="shared" si="4"/>
        <v xml:space="preserve"> -</v>
      </c>
    </row>
    <row r="56" spans="2:20" ht="60">
      <c r="B56" s="356"/>
      <c r="C56" s="356"/>
      <c r="D56" s="366"/>
      <c r="E56" s="45">
        <v>42370</v>
      </c>
      <c r="F56" s="45">
        <v>42735</v>
      </c>
      <c r="G56" s="8" t="s">
        <v>66</v>
      </c>
      <c r="H56" s="46">
        <v>1</v>
      </c>
      <c r="I56" s="46">
        <v>0</v>
      </c>
      <c r="J56" s="46">
        <v>0</v>
      </c>
      <c r="K56" s="60">
        <v>0</v>
      </c>
      <c r="L56" s="57" t="e">
        <f t="shared" si="0"/>
        <v>#DIV/0!</v>
      </c>
      <c r="M56" s="58">
        <f t="shared" si="1"/>
        <v>1</v>
      </c>
      <c r="N56" s="50" t="str">
        <f t="shared" si="2"/>
        <v xml:space="preserve"> -</v>
      </c>
      <c r="O56" s="115" t="s">
        <v>183</v>
      </c>
      <c r="P56" s="155">
        <v>0</v>
      </c>
      <c r="Q56" s="46">
        <v>0</v>
      </c>
      <c r="R56" s="46">
        <v>0</v>
      </c>
      <c r="S56" s="47" t="str">
        <f t="shared" si="3"/>
        <v xml:space="preserve"> -</v>
      </c>
      <c r="T56" s="50" t="str">
        <f t="shared" si="4"/>
        <v xml:space="preserve"> -</v>
      </c>
    </row>
    <row r="57" spans="2:20" ht="60">
      <c r="B57" s="356"/>
      <c r="C57" s="356"/>
      <c r="D57" s="366"/>
      <c r="E57" s="45">
        <v>42370</v>
      </c>
      <c r="F57" s="45">
        <v>42735</v>
      </c>
      <c r="G57" s="9" t="s">
        <v>67</v>
      </c>
      <c r="H57" s="46">
        <v>1</v>
      </c>
      <c r="I57" s="46">
        <v>1</v>
      </c>
      <c r="J57" s="46">
        <v>1</v>
      </c>
      <c r="K57" s="60">
        <v>0</v>
      </c>
      <c r="L57" s="57">
        <f t="shared" si="0"/>
        <v>0</v>
      </c>
      <c r="M57" s="58">
        <f t="shared" si="1"/>
        <v>1</v>
      </c>
      <c r="N57" s="50">
        <f t="shared" si="2"/>
        <v>0</v>
      </c>
      <c r="O57" s="115" t="s">
        <v>184</v>
      </c>
      <c r="P57" s="155">
        <v>26000</v>
      </c>
      <c r="Q57" s="46">
        <v>2800</v>
      </c>
      <c r="R57" s="46">
        <v>0</v>
      </c>
      <c r="S57" s="47">
        <f t="shared" si="3"/>
        <v>0.1076923076923077</v>
      </c>
      <c r="T57" s="50" t="str">
        <f t="shared" si="4"/>
        <v xml:space="preserve"> -</v>
      </c>
    </row>
    <row r="58" spans="2:20" ht="45">
      <c r="B58" s="356"/>
      <c r="C58" s="356"/>
      <c r="D58" s="366"/>
      <c r="E58" s="45">
        <v>42370</v>
      </c>
      <c r="F58" s="45">
        <v>42735</v>
      </c>
      <c r="G58" s="9" t="s">
        <v>89</v>
      </c>
      <c r="H58" s="46">
        <v>1</v>
      </c>
      <c r="I58" s="46">
        <v>1</v>
      </c>
      <c r="J58" s="46">
        <v>1</v>
      </c>
      <c r="K58" s="60">
        <v>1</v>
      </c>
      <c r="L58" s="57">
        <f t="shared" si="0"/>
        <v>1</v>
      </c>
      <c r="M58" s="58">
        <f t="shared" si="1"/>
        <v>1</v>
      </c>
      <c r="N58" s="50">
        <f t="shared" si="2"/>
        <v>1</v>
      </c>
      <c r="O58" s="115" t="s">
        <v>145</v>
      </c>
      <c r="P58" s="155">
        <v>0</v>
      </c>
      <c r="Q58" s="46">
        <v>0</v>
      </c>
      <c r="R58" s="46">
        <v>0</v>
      </c>
      <c r="S58" s="47" t="str">
        <f t="shared" si="3"/>
        <v xml:space="preserve"> -</v>
      </c>
      <c r="T58" s="50" t="str">
        <f t="shared" si="4"/>
        <v xml:space="preserve"> -</v>
      </c>
    </row>
    <row r="59" spans="2:20" ht="30">
      <c r="B59" s="356"/>
      <c r="C59" s="356"/>
      <c r="D59" s="366"/>
      <c r="E59" s="45">
        <v>42370</v>
      </c>
      <c r="F59" s="45">
        <v>42735</v>
      </c>
      <c r="G59" s="9" t="s">
        <v>68</v>
      </c>
      <c r="H59" s="46">
        <v>1</v>
      </c>
      <c r="I59" s="46">
        <v>1</v>
      </c>
      <c r="J59" s="46">
        <v>1</v>
      </c>
      <c r="K59" s="60">
        <v>0</v>
      </c>
      <c r="L59" s="57">
        <f t="shared" si="0"/>
        <v>0</v>
      </c>
      <c r="M59" s="58">
        <f t="shared" si="1"/>
        <v>1</v>
      </c>
      <c r="N59" s="50">
        <f t="shared" si="2"/>
        <v>0</v>
      </c>
      <c r="O59" s="115" t="s">
        <v>185</v>
      </c>
      <c r="P59" s="46">
        <v>0</v>
      </c>
      <c r="Q59" s="46">
        <v>0</v>
      </c>
      <c r="R59" s="46">
        <v>0</v>
      </c>
      <c r="S59" s="47" t="str">
        <f t="shared" si="3"/>
        <v xml:space="preserve"> -</v>
      </c>
      <c r="T59" s="50" t="str">
        <f t="shared" si="4"/>
        <v xml:space="preserve"> -</v>
      </c>
    </row>
    <row r="60" spans="2:20" ht="45">
      <c r="B60" s="356"/>
      <c r="C60" s="356"/>
      <c r="D60" s="366"/>
      <c r="E60" s="80">
        <v>42370</v>
      </c>
      <c r="F60" s="80">
        <v>42735</v>
      </c>
      <c r="G60" s="130" t="s">
        <v>69</v>
      </c>
      <c r="H60" s="81">
        <v>200</v>
      </c>
      <c r="I60" s="81">
        <v>100</v>
      </c>
      <c r="J60" s="81">
        <v>100</v>
      </c>
      <c r="K60" s="126">
        <v>100</v>
      </c>
      <c r="L60" s="127">
        <f t="shared" si="0"/>
        <v>1</v>
      </c>
      <c r="M60" s="128">
        <f t="shared" si="1"/>
        <v>1</v>
      </c>
      <c r="N60" s="83">
        <f t="shared" si="2"/>
        <v>1</v>
      </c>
      <c r="O60" s="118" t="s">
        <v>186</v>
      </c>
      <c r="P60" s="81">
        <v>100000</v>
      </c>
      <c r="Q60" s="81">
        <v>100000</v>
      </c>
      <c r="R60" s="81">
        <v>0</v>
      </c>
      <c r="S60" s="82">
        <f t="shared" si="3"/>
        <v>1</v>
      </c>
      <c r="T60" s="83" t="str">
        <f t="shared" si="4"/>
        <v xml:space="preserve"> -</v>
      </c>
    </row>
    <row r="61" spans="2:20" ht="30" customHeight="1">
      <c r="B61" s="356"/>
      <c r="C61" s="356"/>
      <c r="D61" s="366"/>
      <c r="E61" s="45">
        <v>42370</v>
      </c>
      <c r="F61" s="45">
        <v>42735</v>
      </c>
      <c r="G61" s="9" t="s">
        <v>95</v>
      </c>
      <c r="H61" s="46">
        <v>4</v>
      </c>
      <c r="I61" s="46">
        <v>1</v>
      </c>
      <c r="J61" s="46">
        <v>1</v>
      </c>
      <c r="K61" s="60">
        <v>1</v>
      </c>
      <c r="L61" s="127">
        <f t="shared" si="0"/>
        <v>1</v>
      </c>
      <c r="M61" s="58">
        <f t="shared" ref="M61:M62" si="5">DAYS360(E61,$C$8)/DAYS360(E61,F61)</f>
        <v>1</v>
      </c>
      <c r="N61" s="50">
        <f t="shared" ref="N61:N62" si="6">IF(J61=0," -",IF(L61&gt;100%,100%,L61))</f>
        <v>1</v>
      </c>
      <c r="O61" s="115" t="s">
        <v>187</v>
      </c>
      <c r="P61" s="46">
        <v>500000</v>
      </c>
      <c r="Q61" s="46">
        <v>500000</v>
      </c>
      <c r="R61" s="46">
        <v>200000</v>
      </c>
      <c r="S61" s="47">
        <f t="shared" ref="S61:S62" si="7">IF(P61=0," -",Q61/P61)</f>
        <v>1</v>
      </c>
      <c r="T61" s="50">
        <f t="shared" ref="T61:T62" si="8">IF(R61=0," -",IF(Q61=0,100%,R61/Q61))</f>
        <v>0.4</v>
      </c>
    </row>
    <row r="62" spans="2:20" ht="46" customHeight="1" thickBot="1">
      <c r="B62" s="356"/>
      <c r="C62" s="364"/>
      <c r="D62" s="367"/>
      <c r="E62" s="51">
        <v>42370</v>
      </c>
      <c r="F62" s="51">
        <v>42735</v>
      </c>
      <c r="G62" s="10" t="s">
        <v>96</v>
      </c>
      <c r="H62" s="52">
        <v>1</v>
      </c>
      <c r="I62" s="52">
        <v>0</v>
      </c>
      <c r="J62" s="52">
        <v>0</v>
      </c>
      <c r="K62" s="61">
        <v>1</v>
      </c>
      <c r="L62" s="111" t="e">
        <f t="shared" si="0"/>
        <v>#DIV/0!</v>
      </c>
      <c r="M62" s="150">
        <f t="shared" si="5"/>
        <v>1</v>
      </c>
      <c r="N62" s="54" t="str">
        <f t="shared" si="6"/>
        <v xml:space="preserve"> -</v>
      </c>
      <c r="O62" s="116" t="s">
        <v>188</v>
      </c>
      <c r="P62" s="52">
        <v>10000</v>
      </c>
      <c r="Q62" s="52">
        <v>10000</v>
      </c>
      <c r="R62" s="52">
        <v>0</v>
      </c>
      <c r="S62" s="53">
        <f t="shared" si="7"/>
        <v>1</v>
      </c>
      <c r="T62" s="54" t="str">
        <f t="shared" si="8"/>
        <v xml:space="preserve"> -</v>
      </c>
    </row>
    <row r="63" spans="2:20" ht="13" customHeight="1" thickBot="1">
      <c r="B63" s="356"/>
      <c r="C63" s="125"/>
      <c r="D63" s="166"/>
      <c r="E63" s="160"/>
      <c r="F63" s="160"/>
      <c r="G63" s="161"/>
      <c r="H63" s="162"/>
      <c r="I63" s="162"/>
      <c r="J63" s="162"/>
      <c r="K63" s="162"/>
      <c r="L63" s="163"/>
      <c r="M63" s="163"/>
      <c r="N63" s="163"/>
      <c r="O63" s="161"/>
      <c r="P63" s="162"/>
      <c r="Q63" s="162"/>
      <c r="R63" s="162"/>
      <c r="S63" s="163"/>
      <c r="T63" s="164"/>
    </row>
    <row r="64" spans="2:20" ht="45">
      <c r="B64" s="357"/>
      <c r="C64" s="361" t="s">
        <v>86</v>
      </c>
      <c r="D64" s="359" t="s">
        <v>84</v>
      </c>
      <c r="E64" s="89">
        <v>42370</v>
      </c>
      <c r="F64" s="89">
        <v>42735</v>
      </c>
      <c r="G64" s="132" t="s">
        <v>70</v>
      </c>
      <c r="H64" s="90">
        <v>1</v>
      </c>
      <c r="I64" s="90">
        <v>0</v>
      </c>
      <c r="J64" s="90">
        <v>0</v>
      </c>
      <c r="K64" s="94">
        <v>0</v>
      </c>
      <c r="L64" s="30" t="e">
        <f t="shared" si="0"/>
        <v>#DIV/0!</v>
      </c>
      <c r="M64" s="152">
        <f t="shared" si="1"/>
        <v>1</v>
      </c>
      <c r="N64" s="27" t="str">
        <f t="shared" si="2"/>
        <v xml:space="preserve"> -</v>
      </c>
      <c r="O64" s="117" t="s">
        <v>145</v>
      </c>
      <c r="P64" s="90">
        <v>0</v>
      </c>
      <c r="Q64" s="90">
        <v>0</v>
      </c>
      <c r="R64" s="90">
        <v>0</v>
      </c>
      <c r="S64" s="33" t="str">
        <f t="shared" si="3"/>
        <v xml:space="preserve"> -</v>
      </c>
      <c r="T64" s="32" t="str">
        <f t="shared" si="4"/>
        <v xml:space="preserve"> -</v>
      </c>
    </row>
    <row r="65" spans="2:20" ht="76" thickBot="1">
      <c r="B65" s="358"/>
      <c r="C65" s="362"/>
      <c r="D65" s="360"/>
      <c r="E65" s="51">
        <v>42370</v>
      </c>
      <c r="F65" s="51">
        <v>42735</v>
      </c>
      <c r="G65" s="148" t="s">
        <v>71</v>
      </c>
      <c r="H65" s="52">
        <v>1</v>
      </c>
      <c r="I65" s="52">
        <v>1</v>
      </c>
      <c r="J65" s="52">
        <v>1</v>
      </c>
      <c r="K65" s="93">
        <v>0</v>
      </c>
      <c r="L65" s="111">
        <f t="shared" si="0"/>
        <v>0</v>
      </c>
      <c r="M65" s="153">
        <f t="shared" si="1"/>
        <v>1</v>
      </c>
      <c r="N65" s="54">
        <f t="shared" si="2"/>
        <v>0</v>
      </c>
      <c r="O65" s="116" t="s">
        <v>189</v>
      </c>
      <c r="P65" s="52">
        <v>51258</v>
      </c>
      <c r="Q65" s="52">
        <v>0</v>
      </c>
      <c r="R65" s="52">
        <v>0</v>
      </c>
      <c r="S65" s="53">
        <f t="shared" si="3"/>
        <v>0</v>
      </c>
      <c r="T65" s="54" t="str">
        <f t="shared" si="4"/>
        <v xml:space="preserve"> -</v>
      </c>
    </row>
    <row r="66" spans="2:20" ht="21" customHeight="1" thickBot="1">
      <c r="M66" s="120">
        <f>+AVERAGE(M12,M14:M16,M18:M62,M64:M65)</f>
        <v>1</v>
      </c>
      <c r="N66" s="121">
        <f>+AVERAGE(N12,N14:N16,N18:N62,N64:N65)</f>
        <v>0.73611111111111116</v>
      </c>
      <c r="P66" s="71">
        <f>+SUM(P12,P14:P16,P18:P62,P64:P65)</f>
        <v>5497772</v>
      </c>
      <c r="Q66" s="35">
        <f>+SUM(Q12,Q14:Q16,Q18:Q62,Q64:Q65)</f>
        <v>3272751</v>
      </c>
      <c r="R66" s="72">
        <f>+SUM(R12,R14:R16,R18:R62,R64:R65)</f>
        <v>200000</v>
      </c>
      <c r="S66" s="36">
        <f t="shared" si="3"/>
        <v>0.59528678162717552</v>
      </c>
      <c r="T66" s="34">
        <f t="shared" si="4"/>
        <v>6.1110668058767685E-2</v>
      </c>
    </row>
  </sheetData>
  <mergeCells count="30">
    <mergeCell ref="D19:D30"/>
    <mergeCell ref="D31:D37"/>
    <mergeCell ref="B18:B65"/>
    <mergeCell ref="D46:D53"/>
    <mergeCell ref="D64:D65"/>
    <mergeCell ref="C64:C65"/>
    <mergeCell ref="D38:D44"/>
    <mergeCell ref="C18:C62"/>
    <mergeCell ref="D55:D62"/>
    <mergeCell ref="D14:D16"/>
    <mergeCell ref="C14:C16"/>
    <mergeCell ref="B12:B16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1" t="s">
        <v>16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0" customHeight="1">
      <c r="B3" s="311" t="s">
        <v>19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2:20" ht="20" customHeight="1">
      <c r="B4" s="311" t="s">
        <v>27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312" t="s">
        <v>3</v>
      </c>
      <c r="E8" s="313"/>
      <c r="F8" s="313"/>
      <c r="G8" s="313"/>
      <c r="H8" s="313"/>
      <c r="I8" s="313"/>
      <c r="J8" s="313"/>
      <c r="K8" s="31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5" t="s">
        <v>17</v>
      </c>
      <c r="C9" s="318" t="s">
        <v>18</v>
      </c>
      <c r="D9" s="320" t="s">
        <v>0</v>
      </c>
      <c r="E9" s="323" t="s">
        <v>4</v>
      </c>
      <c r="F9" s="323"/>
      <c r="G9" s="323" t="s">
        <v>5</v>
      </c>
      <c r="H9" s="323"/>
      <c r="I9" s="323"/>
      <c r="J9" s="323"/>
      <c r="K9" s="325"/>
      <c r="L9" s="5"/>
      <c r="M9" s="320" t="s">
        <v>6</v>
      </c>
      <c r="N9" s="325"/>
      <c r="O9" s="335" t="s">
        <v>24</v>
      </c>
      <c r="P9" s="336"/>
      <c r="Q9" s="336"/>
      <c r="R9" s="336"/>
      <c r="S9" s="336"/>
      <c r="T9" s="337"/>
    </row>
    <row r="10" spans="2:20" ht="17" customHeight="1">
      <c r="B10" s="316"/>
      <c r="C10" s="319"/>
      <c r="D10" s="321"/>
      <c r="E10" s="324"/>
      <c r="F10" s="324"/>
      <c r="G10" s="324" t="s">
        <v>7</v>
      </c>
      <c r="H10" s="328" t="s">
        <v>25</v>
      </c>
      <c r="I10" s="328" t="s">
        <v>26</v>
      </c>
      <c r="J10" s="329" t="s">
        <v>1</v>
      </c>
      <c r="K10" s="326" t="s">
        <v>8</v>
      </c>
      <c r="L10" s="6"/>
      <c r="M10" s="331" t="s">
        <v>9</v>
      </c>
      <c r="N10" s="333" t="s">
        <v>10</v>
      </c>
      <c r="O10" s="338"/>
      <c r="P10" s="339"/>
      <c r="Q10" s="339"/>
      <c r="R10" s="339"/>
      <c r="S10" s="339"/>
      <c r="T10" s="340"/>
    </row>
    <row r="11" spans="2:20" ht="37.5" customHeight="1" thickBot="1">
      <c r="B11" s="317"/>
      <c r="C11" s="319"/>
      <c r="D11" s="322"/>
      <c r="E11" s="37" t="s">
        <v>11</v>
      </c>
      <c r="F11" s="37" t="s">
        <v>12</v>
      </c>
      <c r="G11" s="328"/>
      <c r="H11" s="350"/>
      <c r="I11" s="350"/>
      <c r="J11" s="330"/>
      <c r="K11" s="327"/>
      <c r="L11" s="38"/>
      <c r="M11" s="332"/>
      <c r="N11" s="334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7" t="s">
        <v>72</v>
      </c>
      <c r="C12" s="55" t="s">
        <v>73</v>
      </c>
      <c r="D12" s="135" t="s">
        <v>75</v>
      </c>
      <c r="E12" s="136">
        <v>42736</v>
      </c>
      <c r="F12" s="136">
        <v>43100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4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48"/>
      <c r="C14" s="344" t="s">
        <v>74</v>
      </c>
      <c r="D14" s="370" t="s">
        <v>76</v>
      </c>
      <c r="E14" s="48">
        <v>42736</v>
      </c>
      <c r="F14" s="48">
        <v>43100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0</v>
      </c>
      <c r="L14" s="123">
        <f t="shared" ref="L14:L66" si="0">+K14/J14</f>
        <v>0</v>
      </c>
      <c r="M14" s="31">
        <f t="shared" ref="M14:M64" si="1">DAYS360(E14,$C$8)/DAYS360(E14,F14)</f>
        <v>1</v>
      </c>
      <c r="N14" s="32">
        <f t="shared" ref="N14:N64" si="2">IF(J14=0," -",IF(L14&gt;100%,100%,L14))</f>
        <v>0</v>
      </c>
      <c r="O14" s="124" t="s">
        <v>146</v>
      </c>
      <c r="P14" s="90">
        <v>0</v>
      </c>
      <c r="Q14" s="90">
        <v>0</v>
      </c>
      <c r="R14" s="90">
        <v>0</v>
      </c>
      <c r="S14" s="33" t="str">
        <f t="shared" ref="S14:S64" si="3">IF(P14=0," -",Q14/P14)</f>
        <v xml:space="preserve"> -</v>
      </c>
      <c r="T14" s="32" t="str">
        <f t="shared" ref="T14:T64" si="4">IF(R14=0," -",IF(Q14=0,100%,R14/Q14))</f>
        <v xml:space="preserve"> -</v>
      </c>
    </row>
    <row r="15" spans="2:20" ht="90">
      <c r="B15" s="348"/>
      <c r="C15" s="345"/>
      <c r="D15" s="342"/>
      <c r="E15" s="45">
        <v>42736</v>
      </c>
      <c r="F15" s="45">
        <v>43100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">
        <v>147</v>
      </c>
      <c r="P15" s="46">
        <v>35200</v>
      </c>
      <c r="Q15" s="46">
        <v>19200</v>
      </c>
      <c r="R15" s="46">
        <v>0</v>
      </c>
      <c r="S15" s="47">
        <f t="shared" si="3"/>
        <v>0.54545454545454541</v>
      </c>
      <c r="T15" s="50" t="str">
        <f t="shared" si="4"/>
        <v xml:space="preserve"> -</v>
      </c>
    </row>
    <row r="16" spans="2:20" ht="46" thickBot="1">
      <c r="B16" s="349"/>
      <c r="C16" s="346"/>
      <c r="D16" s="371"/>
      <c r="E16" s="51">
        <v>42736</v>
      </c>
      <c r="F16" s="51">
        <v>43100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6" t="s">
        <v>88</v>
      </c>
      <c r="C18" s="363" t="s">
        <v>87</v>
      </c>
      <c r="D18" s="167" t="s">
        <v>85</v>
      </c>
      <c r="E18" s="136">
        <v>42736</v>
      </c>
      <c r="F18" s="136">
        <v>43100</v>
      </c>
      <c r="G18" s="145" t="s">
        <v>92</v>
      </c>
      <c r="H18" s="137">
        <v>2</v>
      </c>
      <c r="I18" s="46">
        <f>+J18+('2016'!I18-'2016'!K18)</f>
        <v>1</v>
      </c>
      <c r="J18" s="137">
        <v>1</v>
      </c>
      <c r="K18" s="138">
        <v>1</v>
      </c>
      <c r="L18" s="139">
        <f t="shared" si="0"/>
        <v>1</v>
      </c>
      <c r="M18" s="108">
        <f t="shared" si="1"/>
        <v>1</v>
      </c>
      <c r="N18" s="102">
        <f t="shared" si="2"/>
        <v>1</v>
      </c>
      <c r="O18" s="119" t="s">
        <v>149</v>
      </c>
      <c r="P18" s="86">
        <v>211000</v>
      </c>
      <c r="Q18" s="86">
        <v>44703</v>
      </c>
      <c r="R18" s="159">
        <v>0</v>
      </c>
      <c r="S18" s="87">
        <f t="shared" si="3"/>
        <v>0.21186255924170616</v>
      </c>
      <c r="T18" s="88" t="str">
        <f t="shared" si="4"/>
        <v xml:space="preserve"> -</v>
      </c>
    </row>
    <row r="19" spans="2:20" ht="30">
      <c r="B19" s="356"/>
      <c r="C19" s="357"/>
      <c r="D19" s="351" t="s">
        <v>77</v>
      </c>
      <c r="E19" s="48">
        <v>42736</v>
      </c>
      <c r="F19" s="48">
        <v>43100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3239203</v>
      </c>
      <c r="Q19" s="49">
        <v>3045524</v>
      </c>
      <c r="R19" s="157">
        <v>0</v>
      </c>
      <c r="S19" s="28">
        <f t="shared" si="3"/>
        <v>0.9402078227267634</v>
      </c>
      <c r="T19" s="27" t="str">
        <f t="shared" si="4"/>
        <v xml:space="preserve"> -</v>
      </c>
    </row>
    <row r="20" spans="2:20" ht="30">
      <c r="B20" s="356"/>
      <c r="C20" s="357"/>
      <c r="D20" s="352"/>
      <c r="E20" s="45">
        <v>42736</v>
      </c>
      <c r="F20" s="45">
        <v>43100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5</v>
      </c>
      <c r="L20" s="141">
        <f t="shared" si="0"/>
        <v>1.25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78000</v>
      </c>
      <c r="Q20" s="46">
        <v>40000</v>
      </c>
      <c r="R20" s="155">
        <v>0</v>
      </c>
      <c r="S20" s="47">
        <f t="shared" si="3"/>
        <v>0.51282051282051277</v>
      </c>
      <c r="T20" s="50" t="str">
        <f t="shared" si="4"/>
        <v xml:space="preserve"> -</v>
      </c>
    </row>
    <row r="21" spans="2:20" ht="45">
      <c r="B21" s="356"/>
      <c r="C21" s="357"/>
      <c r="D21" s="352"/>
      <c r="E21" s="45">
        <v>42736</v>
      </c>
      <c r="F21" s="45">
        <v>43100</v>
      </c>
      <c r="G21" s="8" t="s">
        <v>34</v>
      </c>
      <c r="H21" s="46">
        <v>11</v>
      </c>
      <c r="I21" s="46">
        <f>+J21+('2016'!I21-'2016'!K21)</f>
        <v>4</v>
      </c>
      <c r="J21" s="46">
        <v>4</v>
      </c>
      <c r="K21" s="60">
        <v>3</v>
      </c>
      <c r="L21" s="141">
        <f t="shared" si="0"/>
        <v>0.75</v>
      </c>
      <c r="M21" s="104">
        <f t="shared" si="1"/>
        <v>1</v>
      </c>
      <c r="N21" s="99">
        <f t="shared" si="2"/>
        <v>0.75</v>
      </c>
      <c r="O21" s="115" t="s">
        <v>152</v>
      </c>
      <c r="P21" s="46">
        <v>162581</v>
      </c>
      <c r="Q21" s="155">
        <v>93335</v>
      </c>
      <c r="R21" s="155">
        <v>0</v>
      </c>
      <c r="S21" s="47">
        <f t="shared" si="3"/>
        <v>0.57408307243773871</v>
      </c>
      <c r="T21" s="50" t="str">
        <f t="shared" si="4"/>
        <v xml:space="preserve"> -</v>
      </c>
    </row>
    <row r="22" spans="2:20" ht="30">
      <c r="B22" s="356"/>
      <c r="C22" s="357"/>
      <c r="D22" s="352"/>
      <c r="E22" s="45">
        <v>42736</v>
      </c>
      <c r="F22" s="45">
        <v>43100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30000</v>
      </c>
      <c r="Q22" s="46">
        <v>17400</v>
      </c>
      <c r="R22" s="155">
        <v>0</v>
      </c>
      <c r="S22" s="47">
        <f t="shared" si="3"/>
        <v>0.57999999999999996</v>
      </c>
      <c r="T22" s="50" t="str">
        <f t="shared" si="4"/>
        <v xml:space="preserve"> -</v>
      </c>
    </row>
    <row r="23" spans="2:20" ht="30">
      <c r="B23" s="356"/>
      <c r="C23" s="357"/>
      <c r="D23" s="352"/>
      <c r="E23" s="45">
        <v>42736</v>
      </c>
      <c r="F23" s="45">
        <v>43100</v>
      </c>
      <c r="G23" s="8" t="s">
        <v>36</v>
      </c>
      <c r="H23" s="46">
        <v>4</v>
      </c>
      <c r="I23" s="46">
        <f>+J23+('2016'!I23-'2016'!K23)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20000</v>
      </c>
      <c r="Q23" s="46">
        <v>20000</v>
      </c>
      <c r="R23" s="155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6"/>
      <c r="C24" s="357"/>
      <c r="D24" s="352"/>
      <c r="E24" s="45">
        <v>42736</v>
      </c>
      <c r="F24" s="45">
        <v>43100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50000</v>
      </c>
      <c r="Q24" s="46">
        <v>36000</v>
      </c>
      <c r="R24" s="155">
        <v>0</v>
      </c>
      <c r="S24" s="47">
        <f t="shared" si="3"/>
        <v>0.72</v>
      </c>
      <c r="T24" s="50" t="str">
        <f t="shared" si="4"/>
        <v xml:space="preserve"> -</v>
      </c>
    </row>
    <row r="25" spans="2:20" ht="60">
      <c r="B25" s="356"/>
      <c r="C25" s="357"/>
      <c r="D25" s="352"/>
      <c r="E25" s="45">
        <v>42736</v>
      </c>
      <c r="F25" s="45">
        <v>43100</v>
      </c>
      <c r="G25" s="8" t="s">
        <v>38</v>
      </c>
      <c r="H25" s="46">
        <v>840</v>
      </c>
      <c r="I25" s="46">
        <f>+J25+('2016'!I25-'2016'!K25)</f>
        <v>194</v>
      </c>
      <c r="J25" s="46">
        <v>240</v>
      </c>
      <c r="K25" s="60">
        <v>240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351000</v>
      </c>
      <c r="Q25" s="46">
        <v>163680</v>
      </c>
      <c r="R25" s="155">
        <v>35670</v>
      </c>
      <c r="S25" s="47">
        <f t="shared" si="3"/>
        <v>0.4663247863247863</v>
      </c>
      <c r="T25" s="50">
        <f t="shared" si="4"/>
        <v>0.21792521994134897</v>
      </c>
    </row>
    <row r="26" spans="2:20" ht="45">
      <c r="B26" s="356"/>
      <c r="C26" s="357"/>
      <c r="D26" s="352"/>
      <c r="E26" s="45">
        <v>42736</v>
      </c>
      <c r="F26" s="45">
        <v>43100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155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6"/>
      <c r="C27" s="357"/>
      <c r="D27" s="352"/>
      <c r="E27" s="45">
        <v>42736</v>
      </c>
      <c r="F27" s="45">
        <v>43100</v>
      </c>
      <c r="G27" s="9" t="s">
        <v>93</v>
      </c>
      <c r="H27" s="46">
        <v>5</v>
      </c>
      <c r="I27" s="46">
        <f>+J27</f>
        <v>2</v>
      </c>
      <c r="J27" s="46">
        <v>2</v>
      </c>
      <c r="K27" s="60">
        <v>2</v>
      </c>
      <c r="L27" s="141">
        <f t="shared" si="0"/>
        <v>1</v>
      </c>
      <c r="M27" s="104">
        <f t="shared" si="1"/>
        <v>1</v>
      </c>
      <c r="N27" s="99">
        <f t="shared" si="2"/>
        <v>1</v>
      </c>
      <c r="O27" s="115" t="s">
        <v>158</v>
      </c>
      <c r="P27" s="46">
        <v>71431</v>
      </c>
      <c r="Q27" s="46">
        <v>70720</v>
      </c>
      <c r="R27" s="155">
        <v>0</v>
      </c>
      <c r="S27" s="47">
        <f t="shared" si="3"/>
        <v>0.99004633842449352</v>
      </c>
      <c r="T27" s="50" t="str">
        <f t="shared" si="4"/>
        <v xml:space="preserve"> -</v>
      </c>
    </row>
    <row r="28" spans="2:20" ht="60">
      <c r="B28" s="356"/>
      <c r="C28" s="357"/>
      <c r="D28" s="352"/>
      <c r="E28" s="45">
        <v>42736</v>
      </c>
      <c r="F28" s="45">
        <v>43100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5000</v>
      </c>
      <c r="Q28" s="46">
        <v>2400</v>
      </c>
      <c r="R28" s="155">
        <v>0</v>
      </c>
      <c r="S28" s="47">
        <f t="shared" si="3"/>
        <v>0.48</v>
      </c>
      <c r="T28" s="50" t="str">
        <f t="shared" si="4"/>
        <v xml:space="preserve"> -</v>
      </c>
    </row>
    <row r="29" spans="2:20" ht="60">
      <c r="B29" s="356"/>
      <c r="C29" s="357"/>
      <c r="D29" s="352"/>
      <c r="E29" s="45">
        <v>42736</v>
      </c>
      <c r="F29" s="45">
        <v>43100</v>
      </c>
      <c r="G29" s="9" t="s">
        <v>41</v>
      </c>
      <c r="H29" s="46">
        <v>1</v>
      </c>
      <c r="I29" s="46">
        <f>+J29+('2016'!I29-'2016'!K29)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200000</v>
      </c>
      <c r="Q29" s="46">
        <v>199558</v>
      </c>
      <c r="R29" s="155">
        <v>0</v>
      </c>
      <c r="S29" s="47">
        <f t="shared" si="3"/>
        <v>0.99778999999999995</v>
      </c>
      <c r="T29" s="50" t="str">
        <f t="shared" si="4"/>
        <v xml:space="preserve"> -</v>
      </c>
    </row>
    <row r="30" spans="2:20" ht="61" thickBot="1">
      <c r="B30" s="356"/>
      <c r="C30" s="357"/>
      <c r="D30" s="353"/>
      <c r="E30" s="51">
        <v>42736</v>
      </c>
      <c r="F30" s="51">
        <v>43100</v>
      </c>
      <c r="G30" s="10" t="s">
        <v>42</v>
      </c>
      <c r="H30" s="52">
        <v>1</v>
      </c>
      <c r="I30" s="52">
        <f>+J30+('2016'!I30-'2016'!K30)</f>
        <v>0</v>
      </c>
      <c r="J30" s="52">
        <v>0</v>
      </c>
      <c r="K30" s="61">
        <v>1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158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6"/>
      <c r="C31" s="357"/>
      <c r="D31" s="351" t="s">
        <v>78</v>
      </c>
      <c r="E31" s="48">
        <v>42736</v>
      </c>
      <c r="F31" s="48">
        <v>43100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380566</v>
      </c>
      <c r="Q31" s="90">
        <v>359700</v>
      </c>
      <c r="R31" s="169">
        <v>0</v>
      </c>
      <c r="S31" s="33">
        <f t="shared" si="3"/>
        <v>0.94517113982857115</v>
      </c>
      <c r="T31" s="32" t="str">
        <f t="shared" si="4"/>
        <v xml:space="preserve"> -</v>
      </c>
    </row>
    <row r="32" spans="2:20" ht="45">
      <c r="B32" s="356"/>
      <c r="C32" s="357"/>
      <c r="D32" s="352"/>
      <c r="E32" s="45">
        <v>42736</v>
      </c>
      <c r="F32" s="45">
        <v>43100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20200</v>
      </c>
      <c r="Q32" s="46">
        <v>17300</v>
      </c>
      <c r="R32" s="155">
        <v>0</v>
      </c>
      <c r="S32" s="47">
        <f t="shared" si="3"/>
        <v>0.85643564356435642</v>
      </c>
      <c r="T32" s="50" t="str">
        <f t="shared" si="4"/>
        <v xml:space="preserve"> -</v>
      </c>
    </row>
    <row r="33" spans="2:20" ht="45">
      <c r="B33" s="356"/>
      <c r="C33" s="357"/>
      <c r="D33" s="352"/>
      <c r="E33" s="45">
        <v>42736</v>
      </c>
      <c r="F33" s="45">
        <v>43100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163</v>
      </c>
      <c r="P33" s="46">
        <v>108471</v>
      </c>
      <c r="Q33" s="46">
        <v>104667</v>
      </c>
      <c r="R33" s="155">
        <v>0</v>
      </c>
      <c r="S33" s="47">
        <f t="shared" si="3"/>
        <v>0.96493071880963577</v>
      </c>
      <c r="T33" s="50" t="str">
        <f t="shared" si="4"/>
        <v xml:space="preserve"> -</v>
      </c>
    </row>
    <row r="34" spans="2:20" ht="30">
      <c r="B34" s="356"/>
      <c r="C34" s="357"/>
      <c r="D34" s="352"/>
      <c r="E34" s="45">
        <v>42736</v>
      </c>
      <c r="F34" s="45">
        <v>43100</v>
      </c>
      <c r="G34" s="11" t="s">
        <v>46</v>
      </c>
      <c r="H34" s="46">
        <v>1</v>
      </c>
      <c r="I34" s="46">
        <f>+J34+('2016'!I34-'2016'!K34)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81401</v>
      </c>
      <c r="Q34" s="46">
        <v>81401</v>
      </c>
      <c r="R34" s="155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56"/>
      <c r="C35" s="357"/>
      <c r="D35" s="352"/>
      <c r="E35" s="45">
        <v>42736</v>
      </c>
      <c r="F35" s="45">
        <v>43100</v>
      </c>
      <c r="G35" s="9" t="s">
        <v>47</v>
      </c>
      <c r="H35" s="46">
        <v>1</v>
      </c>
      <c r="I35" s="46">
        <f>+J35+('2016'!I35-'2016'!K35)</f>
        <v>0</v>
      </c>
      <c r="J35" s="46">
        <v>1</v>
      </c>
      <c r="K35" s="60">
        <v>1</v>
      </c>
      <c r="L35" s="141">
        <f t="shared" si="0"/>
        <v>1</v>
      </c>
      <c r="M35" s="104">
        <f t="shared" si="1"/>
        <v>1</v>
      </c>
      <c r="N35" s="99">
        <f t="shared" si="2"/>
        <v>1</v>
      </c>
      <c r="O35" s="115" t="s">
        <v>165</v>
      </c>
      <c r="P35" s="46">
        <v>49000</v>
      </c>
      <c r="Q35" s="46">
        <v>42180</v>
      </c>
      <c r="R35" s="155">
        <v>0</v>
      </c>
      <c r="S35" s="47">
        <f t="shared" si="3"/>
        <v>0.86081632653061224</v>
      </c>
      <c r="T35" s="50" t="str">
        <f t="shared" si="4"/>
        <v xml:space="preserve"> -</v>
      </c>
    </row>
    <row r="36" spans="2:20" ht="45">
      <c r="B36" s="356"/>
      <c r="C36" s="357"/>
      <c r="D36" s="352"/>
      <c r="E36" s="45">
        <v>42736</v>
      </c>
      <c r="F36" s="45">
        <v>43100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185074</v>
      </c>
      <c r="Q36" s="46">
        <v>184280</v>
      </c>
      <c r="R36" s="155">
        <v>0</v>
      </c>
      <c r="S36" s="47">
        <f t="shared" si="3"/>
        <v>0.99570982417843679</v>
      </c>
      <c r="T36" s="50" t="str">
        <f t="shared" si="4"/>
        <v xml:space="preserve"> -</v>
      </c>
    </row>
    <row r="37" spans="2:20" ht="46" thickBot="1">
      <c r="B37" s="356"/>
      <c r="C37" s="357"/>
      <c r="D37" s="353"/>
      <c r="E37" s="51">
        <v>42736</v>
      </c>
      <c r="F37" s="51">
        <v>43100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47840</v>
      </c>
      <c r="Q37" s="81">
        <v>47840</v>
      </c>
      <c r="R37" s="156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6"/>
      <c r="C38" s="357"/>
      <c r="D38" s="351" t="s">
        <v>79</v>
      </c>
      <c r="E38" s="48">
        <v>42736</v>
      </c>
      <c r="F38" s="48">
        <v>43100</v>
      </c>
      <c r="G38" s="12" t="s">
        <v>50</v>
      </c>
      <c r="H38" s="49">
        <v>4</v>
      </c>
      <c r="I38" s="49">
        <f>+J38+('2016'!I38-'2016'!K38)</f>
        <v>2</v>
      </c>
      <c r="J38" s="49">
        <v>2</v>
      </c>
      <c r="K38" s="59">
        <v>1</v>
      </c>
      <c r="L38" s="140">
        <f t="shared" si="0"/>
        <v>0.5</v>
      </c>
      <c r="M38" s="103">
        <f t="shared" si="1"/>
        <v>1</v>
      </c>
      <c r="N38" s="97">
        <f t="shared" si="2"/>
        <v>0.5</v>
      </c>
      <c r="O38" s="114" t="s">
        <v>168</v>
      </c>
      <c r="P38" s="49">
        <v>511744</v>
      </c>
      <c r="Q38" s="49">
        <v>261885</v>
      </c>
      <c r="R38" s="157">
        <v>0</v>
      </c>
      <c r="S38" s="28">
        <f t="shared" si="3"/>
        <v>0.51175001563281641</v>
      </c>
      <c r="T38" s="27" t="str">
        <f t="shared" si="4"/>
        <v xml:space="preserve"> -</v>
      </c>
    </row>
    <row r="39" spans="2:20" ht="45">
      <c r="B39" s="356"/>
      <c r="C39" s="357"/>
      <c r="D39" s="352"/>
      <c r="E39" s="45">
        <v>42736</v>
      </c>
      <c r="F39" s="45">
        <v>43100</v>
      </c>
      <c r="G39" s="8" t="s">
        <v>51</v>
      </c>
      <c r="H39" s="46">
        <v>4</v>
      </c>
      <c r="I39" s="46">
        <f>+J39+('2016'!I39-'2016'!K39)</f>
        <v>2</v>
      </c>
      <c r="J39" s="46">
        <v>2</v>
      </c>
      <c r="K39" s="60">
        <v>1</v>
      </c>
      <c r="L39" s="141">
        <f t="shared" si="0"/>
        <v>0.5</v>
      </c>
      <c r="M39" s="104">
        <f t="shared" si="1"/>
        <v>1</v>
      </c>
      <c r="N39" s="99">
        <f t="shared" si="2"/>
        <v>0.5</v>
      </c>
      <c r="O39" s="115" t="s">
        <v>169</v>
      </c>
      <c r="P39" s="46">
        <v>29700</v>
      </c>
      <c r="Q39" s="46">
        <v>14159</v>
      </c>
      <c r="R39" s="155">
        <v>0</v>
      </c>
      <c r="S39" s="47">
        <f t="shared" si="3"/>
        <v>0.47673400673400673</v>
      </c>
      <c r="T39" s="50" t="str">
        <f t="shared" si="4"/>
        <v xml:space="preserve"> -</v>
      </c>
    </row>
    <row r="40" spans="2:20" ht="45">
      <c r="B40" s="356"/>
      <c r="C40" s="357"/>
      <c r="D40" s="352"/>
      <c r="E40" s="45">
        <v>42736</v>
      </c>
      <c r="F40" s="45">
        <v>43100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170</v>
      </c>
      <c r="P40" s="46">
        <v>252569</v>
      </c>
      <c r="Q40" s="46">
        <v>153374</v>
      </c>
      <c r="R40" s="155">
        <v>0</v>
      </c>
      <c r="S40" s="47">
        <f t="shared" si="3"/>
        <v>0.60725583899845192</v>
      </c>
      <c r="T40" s="50" t="str">
        <f t="shared" si="4"/>
        <v xml:space="preserve"> -</v>
      </c>
    </row>
    <row r="41" spans="2:20" ht="45">
      <c r="B41" s="356"/>
      <c r="C41" s="357"/>
      <c r="D41" s="352"/>
      <c r="E41" s="45">
        <v>42736</v>
      </c>
      <c r="F41" s="45">
        <v>43100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542500</v>
      </c>
      <c r="Q41" s="46">
        <v>542500</v>
      </c>
      <c r="R41" s="155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6"/>
      <c r="C42" s="357"/>
      <c r="D42" s="352"/>
      <c r="E42" s="45">
        <v>42736</v>
      </c>
      <c r="F42" s="45">
        <v>43100</v>
      </c>
      <c r="G42" s="9" t="s">
        <v>54</v>
      </c>
      <c r="H42" s="46">
        <v>1</v>
      </c>
      <c r="I42" s="46">
        <f>+J42+('2016'!I42-'2016'!K42)</f>
        <v>0</v>
      </c>
      <c r="J42" s="46">
        <v>1</v>
      </c>
      <c r="K42" s="60">
        <v>1</v>
      </c>
      <c r="L42" s="141">
        <f t="shared" si="0"/>
        <v>1</v>
      </c>
      <c r="M42" s="104">
        <f t="shared" si="1"/>
        <v>1</v>
      </c>
      <c r="N42" s="99">
        <f t="shared" si="2"/>
        <v>1</v>
      </c>
      <c r="O42" s="115" t="s">
        <v>145</v>
      </c>
      <c r="P42" s="46">
        <v>150000</v>
      </c>
      <c r="Q42" s="46">
        <v>150000</v>
      </c>
      <c r="R42" s="155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6"/>
      <c r="C43" s="357"/>
      <c r="D43" s="352"/>
      <c r="E43" s="45">
        <v>42736</v>
      </c>
      <c r="F43" s="45">
        <v>43100</v>
      </c>
      <c r="G43" s="11" t="s">
        <v>55</v>
      </c>
      <c r="H43" s="46">
        <v>1</v>
      </c>
      <c r="I43" s="46">
        <f>+J43+('2016'!I43-'2016'!K43)</f>
        <v>1</v>
      </c>
      <c r="J43" s="46">
        <v>1</v>
      </c>
      <c r="K43" s="60">
        <v>0</v>
      </c>
      <c r="L43" s="141">
        <f t="shared" si="0"/>
        <v>0</v>
      </c>
      <c r="M43" s="104">
        <f t="shared" si="1"/>
        <v>1</v>
      </c>
      <c r="N43" s="99">
        <f t="shared" si="2"/>
        <v>0</v>
      </c>
      <c r="O43" s="115" t="s">
        <v>145</v>
      </c>
      <c r="P43" s="46">
        <v>0</v>
      </c>
      <c r="Q43" s="46">
        <v>0</v>
      </c>
      <c r="R43" s="155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6"/>
      <c r="C44" s="357"/>
      <c r="D44" s="353"/>
      <c r="E44" s="51">
        <v>42736</v>
      </c>
      <c r="F44" s="51">
        <v>43100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1</v>
      </c>
      <c r="N44" s="98">
        <f t="shared" si="2"/>
        <v>0</v>
      </c>
      <c r="O44" s="116" t="s">
        <v>172</v>
      </c>
      <c r="P44" s="52">
        <v>819964</v>
      </c>
      <c r="Q44" s="52">
        <v>0</v>
      </c>
      <c r="R44" s="158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6"/>
      <c r="C45" s="357"/>
      <c r="D45" s="168" t="s">
        <v>80</v>
      </c>
      <c r="E45" s="136">
        <v>42736</v>
      </c>
      <c r="F45" s="136">
        <v>43100</v>
      </c>
      <c r="G45" s="145" t="s">
        <v>57</v>
      </c>
      <c r="H45" s="137">
        <v>48</v>
      </c>
      <c r="I45" s="137">
        <f>+J45+('2016'!I45-'2016'!K45)</f>
        <v>12</v>
      </c>
      <c r="J45" s="137">
        <v>12</v>
      </c>
      <c r="K45" s="138">
        <v>150</v>
      </c>
      <c r="L45" s="139">
        <f t="shared" si="0"/>
        <v>12.5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1301693</v>
      </c>
      <c r="Q45" s="86">
        <v>664889</v>
      </c>
      <c r="R45" s="159">
        <v>511235</v>
      </c>
      <c r="S45" s="87">
        <f t="shared" si="3"/>
        <v>0.51078787394569991</v>
      </c>
      <c r="T45" s="88">
        <f t="shared" si="4"/>
        <v>0.76890277926089923</v>
      </c>
    </row>
    <row r="46" spans="2:20" ht="60">
      <c r="B46" s="356"/>
      <c r="C46" s="357"/>
      <c r="D46" s="351" t="s">
        <v>81</v>
      </c>
      <c r="E46" s="48">
        <v>42736</v>
      </c>
      <c r="F46" s="48">
        <v>43100</v>
      </c>
      <c r="G46" s="12" t="s">
        <v>90</v>
      </c>
      <c r="H46" s="49">
        <v>8</v>
      </c>
      <c r="I46" s="49">
        <f>+J46+('2016'!I46-'2016'!K46)</f>
        <v>3</v>
      </c>
      <c r="J46" s="49">
        <v>3</v>
      </c>
      <c r="K46" s="59">
        <v>2</v>
      </c>
      <c r="L46" s="140">
        <f t="shared" si="0"/>
        <v>0.66666666666666663</v>
      </c>
      <c r="M46" s="103">
        <f t="shared" si="1"/>
        <v>1</v>
      </c>
      <c r="N46" s="97">
        <f t="shared" si="2"/>
        <v>0.66666666666666663</v>
      </c>
      <c r="O46" s="114" t="s">
        <v>174</v>
      </c>
      <c r="P46" s="49">
        <v>142679</v>
      </c>
      <c r="Q46" s="49">
        <v>142679</v>
      </c>
      <c r="R46" s="157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56"/>
      <c r="C47" s="357"/>
      <c r="D47" s="352"/>
      <c r="E47" s="45">
        <v>42736</v>
      </c>
      <c r="F47" s="45">
        <v>43100</v>
      </c>
      <c r="G47" s="8" t="s">
        <v>91</v>
      </c>
      <c r="H47" s="46">
        <v>8</v>
      </c>
      <c r="I47" s="46">
        <f>+J47+('2016'!I47-'2016'!K47)</f>
        <v>3</v>
      </c>
      <c r="J47" s="46">
        <v>3</v>
      </c>
      <c r="K47" s="60">
        <v>1</v>
      </c>
      <c r="L47" s="141">
        <f t="shared" si="0"/>
        <v>0.33333333333333331</v>
      </c>
      <c r="M47" s="104">
        <f t="shared" si="1"/>
        <v>1</v>
      </c>
      <c r="N47" s="99">
        <f t="shared" si="2"/>
        <v>0.33333333333333331</v>
      </c>
      <c r="O47" s="115" t="s">
        <v>175</v>
      </c>
      <c r="P47" s="46">
        <v>34850</v>
      </c>
      <c r="Q47" s="46">
        <v>34850</v>
      </c>
      <c r="R47" s="155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56"/>
      <c r="C48" s="357"/>
      <c r="D48" s="352"/>
      <c r="E48" s="45">
        <v>42736</v>
      </c>
      <c r="F48" s="45">
        <v>43100</v>
      </c>
      <c r="G48" s="8" t="s">
        <v>58</v>
      </c>
      <c r="H48" s="46">
        <v>4</v>
      </c>
      <c r="I48" s="46">
        <f>+J48+('2016'!I48-'2016'!K48)</f>
        <v>2</v>
      </c>
      <c r="J48" s="46">
        <v>2</v>
      </c>
      <c r="K48" s="60">
        <v>1</v>
      </c>
      <c r="L48" s="141">
        <f t="shared" si="0"/>
        <v>0.5</v>
      </c>
      <c r="M48" s="104">
        <f t="shared" si="1"/>
        <v>1</v>
      </c>
      <c r="N48" s="99">
        <f t="shared" si="2"/>
        <v>0.5</v>
      </c>
      <c r="O48" s="115" t="s">
        <v>176</v>
      </c>
      <c r="P48" s="46">
        <v>20000</v>
      </c>
      <c r="Q48" s="46">
        <v>4000</v>
      </c>
      <c r="R48" s="155">
        <v>0</v>
      </c>
      <c r="S48" s="47">
        <f t="shared" si="3"/>
        <v>0.2</v>
      </c>
      <c r="T48" s="50" t="str">
        <f t="shared" si="4"/>
        <v xml:space="preserve"> -</v>
      </c>
    </row>
    <row r="49" spans="2:20" ht="45">
      <c r="B49" s="356"/>
      <c r="C49" s="357"/>
      <c r="D49" s="352"/>
      <c r="E49" s="45">
        <v>42736</v>
      </c>
      <c r="F49" s="45">
        <v>43100</v>
      </c>
      <c r="G49" s="9" t="s">
        <v>60</v>
      </c>
      <c r="H49" s="46">
        <v>1</v>
      </c>
      <c r="I49" s="46">
        <f>+J49+('2016'!I50-'2016'!K50)</f>
        <v>1</v>
      </c>
      <c r="J49" s="46">
        <v>1</v>
      </c>
      <c r="K49" s="60">
        <v>1</v>
      </c>
      <c r="L49" s="141">
        <f t="shared" si="0"/>
        <v>1</v>
      </c>
      <c r="M49" s="104">
        <f t="shared" si="1"/>
        <v>1</v>
      </c>
      <c r="N49" s="99">
        <f t="shared" si="2"/>
        <v>1</v>
      </c>
      <c r="O49" s="115" t="s">
        <v>145</v>
      </c>
      <c r="P49" s="46">
        <v>210000</v>
      </c>
      <c r="Q49" s="46">
        <v>190000</v>
      </c>
      <c r="R49" s="155">
        <v>0</v>
      </c>
      <c r="S49" s="47">
        <f t="shared" si="3"/>
        <v>0.90476190476190477</v>
      </c>
      <c r="T49" s="50" t="str">
        <f t="shared" si="4"/>
        <v xml:space="preserve"> -</v>
      </c>
    </row>
    <row r="50" spans="2:20" ht="45">
      <c r="B50" s="356"/>
      <c r="C50" s="357"/>
      <c r="D50" s="352"/>
      <c r="E50" s="45">
        <v>42736</v>
      </c>
      <c r="F50" s="45">
        <v>43100</v>
      </c>
      <c r="G50" s="9" t="s">
        <v>61</v>
      </c>
      <c r="H50" s="46">
        <v>2</v>
      </c>
      <c r="I50" s="46">
        <f>+J50+('2016'!I51-'2016'!K51)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155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6"/>
      <c r="C51" s="357"/>
      <c r="D51" s="352"/>
      <c r="E51" s="45">
        <v>42736</v>
      </c>
      <c r="F51" s="45">
        <v>43100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155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6"/>
      <c r="C52" s="357"/>
      <c r="D52" s="353"/>
      <c r="E52" s="51">
        <v>42736</v>
      </c>
      <c r="F52" s="51">
        <v>43100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70000</v>
      </c>
      <c r="Q52" s="52">
        <v>33714</v>
      </c>
      <c r="R52" s="158">
        <v>0</v>
      </c>
      <c r="S52" s="53">
        <f t="shared" si="3"/>
        <v>0.48162857142857141</v>
      </c>
      <c r="T52" s="54" t="str">
        <f t="shared" si="4"/>
        <v xml:space="preserve"> -</v>
      </c>
    </row>
    <row r="53" spans="2:20" ht="46" thickBot="1">
      <c r="B53" s="356"/>
      <c r="C53" s="357"/>
      <c r="D53" s="168" t="s">
        <v>82</v>
      </c>
      <c r="E53" s="136">
        <v>42736</v>
      </c>
      <c r="F53" s="136">
        <v>43100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181</v>
      </c>
      <c r="P53" s="86">
        <v>90000</v>
      </c>
      <c r="Q53" s="86">
        <v>90000</v>
      </c>
      <c r="R53" s="159">
        <v>0</v>
      </c>
      <c r="S53" s="87">
        <f t="shared" si="3"/>
        <v>1</v>
      </c>
      <c r="T53" s="88" t="str">
        <f t="shared" si="4"/>
        <v xml:space="preserve"> -</v>
      </c>
    </row>
    <row r="54" spans="2:20" ht="30" customHeight="1">
      <c r="B54" s="356"/>
      <c r="C54" s="357"/>
      <c r="D54" s="365" t="s">
        <v>83</v>
      </c>
      <c r="E54" s="48">
        <v>42736</v>
      </c>
      <c r="F54" s="48">
        <v>43100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50000</v>
      </c>
      <c r="Q54" s="49">
        <v>50000</v>
      </c>
      <c r="R54" s="157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56"/>
      <c r="C55" s="357"/>
      <c r="D55" s="366"/>
      <c r="E55" s="45">
        <v>42736</v>
      </c>
      <c r="F55" s="45">
        <v>43100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155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6"/>
      <c r="C56" s="357"/>
      <c r="D56" s="366"/>
      <c r="E56" s="45">
        <v>42736</v>
      </c>
      <c r="F56" s="45">
        <v>43100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89148</v>
      </c>
      <c r="Q56" s="46">
        <v>58648</v>
      </c>
      <c r="R56" s="155">
        <v>0</v>
      </c>
      <c r="S56" s="47">
        <f t="shared" si="3"/>
        <v>0.65787230223897342</v>
      </c>
      <c r="T56" s="50" t="str">
        <f t="shared" si="4"/>
        <v xml:space="preserve"> -</v>
      </c>
    </row>
    <row r="57" spans="2:20" ht="45">
      <c r="B57" s="356"/>
      <c r="C57" s="357"/>
      <c r="D57" s="366"/>
      <c r="E57" s="45">
        <v>42736</v>
      </c>
      <c r="F57" s="45">
        <v>43100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0</v>
      </c>
      <c r="Q57" s="46">
        <v>0</v>
      </c>
      <c r="R57" s="155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6"/>
      <c r="C58" s="357"/>
      <c r="D58" s="366"/>
      <c r="E58" s="45">
        <v>42736</v>
      </c>
      <c r="F58" s="45">
        <v>43100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1</v>
      </c>
      <c r="N58" s="99">
        <f t="shared" si="2"/>
        <v>1</v>
      </c>
      <c r="O58" s="115" t="s">
        <v>185</v>
      </c>
      <c r="P58" s="46">
        <v>20000</v>
      </c>
      <c r="Q58" s="46">
        <v>20000</v>
      </c>
      <c r="R58" s="155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6"/>
      <c r="C59" s="357"/>
      <c r="D59" s="366"/>
      <c r="E59" s="45">
        <v>42736</v>
      </c>
      <c r="F59" s="45">
        <v>43100</v>
      </c>
      <c r="G59" s="9" t="s">
        <v>69</v>
      </c>
      <c r="H59" s="46">
        <v>200</v>
      </c>
      <c r="I59" s="46">
        <f>+J59+('2016'!I60-'2016'!K60)</f>
        <v>50</v>
      </c>
      <c r="J59" s="46">
        <v>50</v>
      </c>
      <c r="K59" s="60">
        <v>50</v>
      </c>
      <c r="L59" s="144">
        <f t="shared" si="0"/>
        <v>1</v>
      </c>
      <c r="M59" s="107">
        <f t="shared" si="1"/>
        <v>1</v>
      </c>
      <c r="N59" s="101">
        <f t="shared" si="2"/>
        <v>1</v>
      </c>
      <c r="O59" s="118" t="s">
        <v>186</v>
      </c>
      <c r="P59" s="81">
        <v>57905</v>
      </c>
      <c r="Q59" s="81">
        <v>26946</v>
      </c>
      <c r="R59" s="156">
        <v>0</v>
      </c>
      <c r="S59" s="82">
        <f t="shared" si="3"/>
        <v>0.46534841550815992</v>
      </c>
      <c r="T59" s="83" t="str">
        <f t="shared" si="4"/>
        <v xml:space="preserve"> -</v>
      </c>
    </row>
    <row r="60" spans="2:20" ht="30" customHeight="1">
      <c r="B60" s="356"/>
      <c r="C60" s="357"/>
      <c r="D60" s="366"/>
      <c r="E60" s="89">
        <v>42736</v>
      </c>
      <c r="F60" s="89">
        <v>43100</v>
      </c>
      <c r="G60" s="132" t="s">
        <v>95</v>
      </c>
      <c r="H60" s="90">
        <v>4</v>
      </c>
      <c r="I60" s="46">
        <f>+J60+('2016'!I61-'2016'!K61)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1691604</v>
      </c>
      <c r="Q60" s="46">
        <v>1690297</v>
      </c>
      <c r="R60" s="46">
        <v>0</v>
      </c>
      <c r="S60" s="47">
        <f t="shared" si="3"/>
        <v>0.99922736054064665</v>
      </c>
      <c r="T60" s="50" t="str">
        <f t="shared" si="4"/>
        <v xml:space="preserve"> -</v>
      </c>
    </row>
    <row r="61" spans="2:20" ht="46" customHeight="1" thickBot="1">
      <c r="B61" s="356"/>
      <c r="C61" s="358"/>
      <c r="D61" s="367"/>
      <c r="E61" s="51">
        <v>42736</v>
      </c>
      <c r="F61" s="51">
        <v>43100</v>
      </c>
      <c r="G61" s="10" t="s">
        <v>96</v>
      </c>
      <c r="H61" s="52">
        <v>1</v>
      </c>
      <c r="I61" s="52">
        <f>+J61+('2016'!I62-'2016'!K62)</f>
        <v>-1</v>
      </c>
      <c r="J61" s="52">
        <v>0</v>
      </c>
      <c r="K61" s="61">
        <v>0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6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7"/>
      <c r="C63" s="368" t="s">
        <v>86</v>
      </c>
      <c r="D63" s="370" t="s">
        <v>84</v>
      </c>
      <c r="E63" s="48">
        <v>42736</v>
      </c>
      <c r="F63" s="48">
        <v>43100</v>
      </c>
      <c r="G63" s="79" t="s">
        <v>70</v>
      </c>
      <c r="H63" s="49">
        <v>1</v>
      </c>
      <c r="I63" s="49">
        <f>+J63+('2016'!I64-'2016'!K64)</f>
        <v>0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58"/>
      <c r="C64" s="369"/>
      <c r="D64" s="371"/>
      <c r="E64" s="51">
        <v>42736</v>
      </c>
      <c r="F64" s="51">
        <v>43100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51258</v>
      </c>
      <c r="Q64" s="52">
        <v>30000</v>
      </c>
      <c r="R64" s="52">
        <v>0</v>
      </c>
      <c r="S64" s="53">
        <f t="shared" si="3"/>
        <v>0.58527449373756291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v>100</v>
      </c>
      <c r="J66" s="137">
        <v>100</v>
      </c>
      <c r="K66" s="179">
        <v>0</v>
      </c>
      <c r="L66" s="182">
        <f t="shared" si="0"/>
        <v>0</v>
      </c>
      <c r="M66" s="183">
        <f t="shared" ref="M66" si="6">DAYS360(E66,$C$8)/DAYS360(E66,F66)</f>
        <v>1</v>
      </c>
      <c r="N66" s="177">
        <f t="shared" ref="N66" si="7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8">IF(P66=0," -",Q66/P66)</f>
        <v xml:space="preserve"> -</v>
      </c>
      <c r="T66" s="177" t="str">
        <f t="shared" ref="T66:T67" si="9">IF(R66=0," -",IF(Q66=0,100%,R66/Q66))</f>
        <v xml:space="preserve"> -</v>
      </c>
    </row>
    <row r="67" spans="2:20" ht="21" customHeight="1" thickBot="1">
      <c r="M67" s="120">
        <f>+AVERAGE(M12,M14:M16,M18:M61,M63:M64,M66)</f>
        <v>1</v>
      </c>
      <c r="N67" s="121">
        <f>+AVERAGE(N12,N14:N16,N18:N61,N63:N64,N66)</f>
        <v>0.81382978723404253</v>
      </c>
      <c r="P67" s="71">
        <f>+SUM(P12,P14:P16,P18:P61,P63:P64,P66)</f>
        <v>11561581</v>
      </c>
      <c r="Q67" s="35">
        <f>+SUM(Q12,Q14:Q16,Q18:Q61,Q63:Q64,Q66)</f>
        <v>8777829</v>
      </c>
      <c r="R67" s="72">
        <f>+SUM(R12,R14:R16,R18:R61,R63:R64,R66)</f>
        <v>546905</v>
      </c>
      <c r="S67" s="36">
        <f t="shared" si="8"/>
        <v>0.75922393312817682</v>
      </c>
      <c r="T67" s="34">
        <f t="shared" si="9"/>
        <v>6.2305269332542247E-2</v>
      </c>
    </row>
    <row r="70" spans="2:20">
      <c r="Q70" s="184"/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1" t="s">
        <v>16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0" customHeight="1">
      <c r="B3" s="311" t="s">
        <v>19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2:20" ht="20" customHeight="1">
      <c r="B4" s="311" t="s">
        <v>27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43373</v>
      </c>
      <c r="D8" s="312" t="s">
        <v>3</v>
      </c>
      <c r="E8" s="313"/>
      <c r="F8" s="313"/>
      <c r="G8" s="313"/>
      <c r="H8" s="313"/>
      <c r="I8" s="313"/>
      <c r="J8" s="313"/>
      <c r="K8" s="31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5" t="s">
        <v>17</v>
      </c>
      <c r="C9" s="318" t="s">
        <v>18</v>
      </c>
      <c r="D9" s="320" t="s">
        <v>0</v>
      </c>
      <c r="E9" s="323" t="s">
        <v>4</v>
      </c>
      <c r="F9" s="323"/>
      <c r="G9" s="323" t="s">
        <v>5</v>
      </c>
      <c r="H9" s="323"/>
      <c r="I9" s="323"/>
      <c r="J9" s="323"/>
      <c r="K9" s="325"/>
      <c r="L9" s="5"/>
      <c r="M9" s="320" t="s">
        <v>6</v>
      </c>
      <c r="N9" s="325"/>
      <c r="O9" s="335" t="s">
        <v>24</v>
      </c>
      <c r="P9" s="336"/>
      <c r="Q9" s="336"/>
      <c r="R9" s="336"/>
      <c r="S9" s="336"/>
      <c r="T9" s="337"/>
    </row>
    <row r="10" spans="2:20" ht="17" customHeight="1">
      <c r="B10" s="316"/>
      <c r="C10" s="319"/>
      <c r="D10" s="321"/>
      <c r="E10" s="324"/>
      <c r="F10" s="324"/>
      <c r="G10" s="324" t="s">
        <v>7</v>
      </c>
      <c r="H10" s="328" t="s">
        <v>25</v>
      </c>
      <c r="I10" s="328" t="s">
        <v>26</v>
      </c>
      <c r="J10" s="329" t="s">
        <v>1</v>
      </c>
      <c r="K10" s="326" t="s">
        <v>8</v>
      </c>
      <c r="L10" s="6"/>
      <c r="M10" s="331" t="s">
        <v>9</v>
      </c>
      <c r="N10" s="333" t="s">
        <v>10</v>
      </c>
      <c r="O10" s="338"/>
      <c r="P10" s="339"/>
      <c r="Q10" s="339"/>
      <c r="R10" s="339"/>
      <c r="S10" s="339"/>
      <c r="T10" s="340"/>
    </row>
    <row r="11" spans="2:20" ht="37.5" customHeight="1" thickBot="1">
      <c r="B11" s="317"/>
      <c r="C11" s="319"/>
      <c r="D11" s="322"/>
      <c r="E11" s="37" t="s">
        <v>11</v>
      </c>
      <c r="F11" s="37" t="s">
        <v>12</v>
      </c>
      <c r="G11" s="328"/>
      <c r="H11" s="350"/>
      <c r="I11" s="350"/>
      <c r="J11" s="330"/>
      <c r="K11" s="327"/>
      <c r="L11" s="38"/>
      <c r="M11" s="332"/>
      <c r="N11" s="334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7" t="s">
        <v>72</v>
      </c>
      <c r="C12" s="55" t="s">
        <v>73</v>
      </c>
      <c r="D12" s="135" t="s">
        <v>75</v>
      </c>
      <c r="E12" s="136">
        <v>43101</v>
      </c>
      <c r="F12" s="136">
        <v>43465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0</v>
      </c>
      <c r="L12" s="66">
        <f>+K12/J12</f>
        <v>0</v>
      </c>
      <c r="M12" s="67">
        <f>DAYS360(E12,$C$8)/DAYS360(E12,F12)</f>
        <v>0.74722222222222223</v>
      </c>
      <c r="N12" s="68">
        <f>IF(J12=0," -",IF(L12&gt;100%,100%,L12))</f>
        <v>0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4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48"/>
      <c r="C14" s="344" t="s">
        <v>74</v>
      </c>
      <c r="D14" s="370" t="s">
        <v>76</v>
      </c>
      <c r="E14" s="48">
        <v>43101</v>
      </c>
      <c r="F14" s="48">
        <v>43465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0.74722222222222223</v>
      </c>
      <c r="N14" s="32">
        <f t="shared" ref="N14:N64" si="2">IF(J14=0," -",IF(L14&gt;100%,100%,L14))</f>
        <v>1</v>
      </c>
      <c r="O14" s="124" t="s">
        <v>146</v>
      </c>
      <c r="P14" s="90">
        <v>111000</v>
      </c>
      <c r="Q14" s="90">
        <v>111000</v>
      </c>
      <c r="R14" s="90">
        <v>0</v>
      </c>
      <c r="S14" s="33">
        <f t="shared" ref="S14:S64" si="3">IF(P14=0," -",Q14/P14)</f>
        <v>1</v>
      </c>
      <c r="T14" s="32" t="str">
        <f t="shared" ref="T14:T64" si="4">IF(R14=0," -",IF(Q14=0,100%,R14/Q14))</f>
        <v xml:space="preserve"> -</v>
      </c>
    </row>
    <row r="15" spans="2:20" ht="90">
      <c r="B15" s="348"/>
      <c r="C15" s="345"/>
      <c r="D15" s="342"/>
      <c r="E15" s="45">
        <v>43101</v>
      </c>
      <c r="F15" s="45">
        <v>43465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0.74722222222222223</v>
      </c>
      <c r="N15" s="50">
        <f t="shared" si="2"/>
        <v>1</v>
      </c>
      <c r="O15" s="56" t="s">
        <v>147</v>
      </c>
      <c r="P15" s="46">
        <v>47000</v>
      </c>
      <c r="Q15" s="46">
        <v>45200</v>
      </c>
      <c r="R15" s="46">
        <v>0</v>
      </c>
      <c r="S15" s="47">
        <f t="shared" si="3"/>
        <v>0.96170212765957441</v>
      </c>
      <c r="T15" s="50" t="str">
        <f t="shared" si="4"/>
        <v xml:space="preserve"> -</v>
      </c>
    </row>
    <row r="16" spans="2:20" ht="46" thickBot="1">
      <c r="B16" s="349"/>
      <c r="C16" s="346"/>
      <c r="D16" s="371"/>
      <c r="E16" s="51">
        <v>43101</v>
      </c>
      <c r="F16" s="51">
        <v>43465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1</v>
      </c>
      <c r="L16" s="127">
        <f t="shared" si="0"/>
        <v>1</v>
      </c>
      <c r="M16" s="128">
        <f t="shared" si="1"/>
        <v>0.74722222222222223</v>
      </c>
      <c r="N16" s="83">
        <f t="shared" si="2"/>
        <v>1</v>
      </c>
      <c r="O16" s="129" t="s">
        <v>148</v>
      </c>
      <c r="P16" s="81">
        <v>68000</v>
      </c>
      <c r="Q16" s="81">
        <v>22000</v>
      </c>
      <c r="R16" s="81">
        <v>0</v>
      </c>
      <c r="S16" s="82">
        <f t="shared" si="3"/>
        <v>0.3235294117647059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6" t="s">
        <v>88</v>
      </c>
      <c r="C18" s="363" t="s">
        <v>87</v>
      </c>
      <c r="D18" s="135" t="s">
        <v>85</v>
      </c>
      <c r="E18" s="136">
        <v>43101</v>
      </c>
      <c r="F18" s="136">
        <v>43465</v>
      </c>
      <c r="G18" s="145" t="s">
        <v>92</v>
      </c>
      <c r="H18" s="137">
        <v>2</v>
      </c>
      <c r="I18" s="137">
        <f>+J18+('2017'!I18-'2017'!K18)</f>
        <v>0</v>
      </c>
      <c r="J18" s="137">
        <v>0</v>
      </c>
      <c r="K18" s="138">
        <v>0</v>
      </c>
      <c r="L18" s="139" t="e">
        <f t="shared" si="0"/>
        <v>#DIV/0!</v>
      </c>
      <c r="M18" s="108">
        <f t="shared" si="1"/>
        <v>0.74722222222222223</v>
      </c>
      <c r="N18" s="102" t="str">
        <f t="shared" si="2"/>
        <v xml:space="preserve"> -</v>
      </c>
      <c r="O18" s="119" t="s">
        <v>149</v>
      </c>
      <c r="P18" s="86">
        <v>20000</v>
      </c>
      <c r="Q18" s="86">
        <v>0</v>
      </c>
      <c r="R18" s="86">
        <v>0</v>
      </c>
      <c r="S18" s="87">
        <f t="shared" si="3"/>
        <v>0</v>
      </c>
      <c r="T18" s="88" t="str">
        <f t="shared" si="4"/>
        <v xml:space="preserve"> -</v>
      </c>
    </row>
    <row r="19" spans="2:20" ht="30">
      <c r="B19" s="356"/>
      <c r="C19" s="357"/>
      <c r="D19" s="351" t="s">
        <v>77</v>
      </c>
      <c r="E19" s="48">
        <v>43101</v>
      </c>
      <c r="F19" s="48">
        <v>43465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0.74722222222222223</v>
      </c>
      <c r="N19" s="97">
        <f t="shared" si="2"/>
        <v>1</v>
      </c>
      <c r="O19" s="114" t="s">
        <v>150</v>
      </c>
      <c r="P19" s="49">
        <v>6190391</v>
      </c>
      <c r="Q19" s="49">
        <v>5175681</v>
      </c>
      <c r="R19" s="49">
        <v>0</v>
      </c>
      <c r="S19" s="28">
        <f t="shared" si="3"/>
        <v>0.83608305194292254</v>
      </c>
      <c r="T19" s="27" t="str">
        <f t="shared" si="4"/>
        <v xml:space="preserve"> -</v>
      </c>
    </row>
    <row r="20" spans="2:20" ht="30">
      <c r="B20" s="356"/>
      <c r="C20" s="357"/>
      <c r="D20" s="352"/>
      <c r="E20" s="45">
        <v>43101</v>
      </c>
      <c r="F20" s="45">
        <v>43465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4</v>
      </c>
      <c r="L20" s="141">
        <f t="shared" si="0"/>
        <v>1</v>
      </c>
      <c r="M20" s="104">
        <f t="shared" si="1"/>
        <v>0.74722222222222223</v>
      </c>
      <c r="N20" s="99">
        <f t="shared" si="2"/>
        <v>1</v>
      </c>
      <c r="O20" s="115" t="s">
        <v>151</v>
      </c>
      <c r="P20" s="46">
        <v>110000</v>
      </c>
      <c r="Q20" s="46">
        <v>105000</v>
      </c>
      <c r="R20" s="46">
        <v>0</v>
      </c>
      <c r="S20" s="47">
        <f t="shared" si="3"/>
        <v>0.95454545454545459</v>
      </c>
      <c r="T20" s="50" t="str">
        <f t="shared" si="4"/>
        <v xml:space="preserve"> -</v>
      </c>
    </row>
    <row r="21" spans="2:20" ht="45">
      <c r="B21" s="356"/>
      <c r="C21" s="357"/>
      <c r="D21" s="352"/>
      <c r="E21" s="45">
        <v>43101</v>
      </c>
      <c r="F21" s="45">
        <v>43465</v>
      </c>
      <c r="G21" s="8" t="s">
        <v>34</v>
      </c>
      <c r="H21" s="46">
        <v>11</v>
      </c>
      <c r="I21" s="46">
        <f>+J21+('2017'!I21-'2017'!K21)</f>
        <v>4</v>
      </c>
      <c r="J21" s="46">
        <v>3</v>
      </c>
      <c r="K21" s="60">
        <v>3</v>
      </c>
      <c r="L21" s="141">
        <f t="shared" si="0"/>
        <v>1</v>
      </c>
      <c r="M21" s="104">
        <f t="shared" si="1"/>
        <v>0.74722222222222223</v>
      </c>
      <c r="N21" s="99">
        <f t="shared" si="2"/>
        <v>1</v>
      </c>
      <c r="O21" s="115" t="s">
        <v>152</v>
      </c>
      <c r="P21" s="46">
        <v>149250</v>
      </c>
      <c r="Q21" s="46">
        <v>134500</v>
      </c>
      <c r="R21" s="46">
        <v>0</v>
      </c>
      <c r="S21" s="47">
        <f t="shared" si="3"/>
        <v>0.90117252931323288</v>
      </c>
      <c r="T21" s="50" t="str">
        <f t="shared" si="4"/>
        <v xml:space="preserve"> -</v>
      </c>
    </row>
    <row r="22" spans="2:20" ht="30">
      <c r="B22" s="356"/>
      <c r="C22" s="357"/>
      <c r="D22" s="352"/>
      <c r="E22" s="45">
        <v>43101</v>
      </c>
      <c r="F22" s="45">
        <v>43465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0.74722222222222223</v>
      </c>
      <c r="N22" s="99">
        <f t="shared" si="2"/>
        <v>1</v>
      </c>
      <c r="O22" s="115" t="s">
        <v>153</v>
      </c>
      <c r="P22" s="46">
        <v>25000</v>
      </c>
      <c r="Q22" s="46">
        <v>22500</v>
      </c>
      <c r="R22" s="46">
        <v>0</v>
      </c>
      <c r="S22" s="47">
        <f t="shared" si="3"/>
        <v>0.9</v>
      </c>
      <c r="T22" s="50" t="str">
        <f t="shared" si="4"/>
        <v xml:space="preserve"> -</v>
      </c>
    </row>
    <row r="23" spans="2:20" ht="30">
      <c r="B23" s="356"/>
      <c r="C23" s="357"/>
      <c r="D23" s="352"/>
      <c r="E23" s="45">
        <v>43101</v>
      </c>
      <c r="F23" s="45">
        <v>43465</v>
      </c>
      <c r="G23" s="8" t="s">
        <v>36</v>
      </c>
      <c r="H23" s="46">
        <v>4</v>
      </c>
      <c r="I23" s="46">
        <f>+J23+('2017'!I23-'2017'!K23)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0.74722222222222223</v>
      </c>
      <c r="N23" s="99">
        <f t="shared" si="2"/>
        <v>1</v>
      </c>
      <c r="O23" s="115" t="s">
        <v>154</v>
      </c>
      <c r="P23" s="46">
        <v>25000</v>
      </c>
      <c r="Q23" s="46">
        <v>22500</v>
      </c>
      <c r="R23" s="46">
        <v>0</v>
      </c>
      <c r="S23" s="47">
        <f t="shared" si="3"/>
        <v>0.9</v>
      </c>
      <c r="T23" s="50" t="str">
        <f t="shared" si="4"/>
        <v xml:space="preserve"> -</v>
      </c>
    </row>
    <row r="24" spans="2:20" ht="30">
      <c r="B24" s="356"/>
      <c r="C24" s="357"/>
      <c r="D24" s="352"/>
      <c r="E24" s="45">
        <v>43101</v>
      </c>
      <c r="F24" s="45">
        <v>43465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0.74722222222222223</v>
      </c>
      <c r="N24" s="99">
        <f t="shared" si="2"/>
        <v>1</v>
      </c>
      <c r="O24" s="115" t="s">
        <v>155</v>
      </c>
      <c r="P24" s="46">
        <v>226750</v>
      </c>
      <c r="Q24" s="46">
        <v>216750</v>
      </c>
      <c r="R24" s="46">
        <v>0</v>
      </c>
      <c r="S24" s="47">
        <f t="shared" si="3"/>
        <v>0.95589856670341788</v>
      </c>
      <c r="T24" s="50" t="str">
        <f t="shared" si="4"/>
        <v xml:space="preserve"> -</v>
      </c>
    </row>
    <row r="25" spans="2:20" ht="60">
      <c r="B25" s="356"/>
      <c r="C25" s="357"/>
      <c r="D25" s="352"/>
      <c r="E25" s="45">
        <v>43101</v>
      </c>
      <c r="F25" s="45">
        <v>43465</v>
      </c>
      <c r="G25" s="8" t="s">
        <v>38</v>
      </c>
      <c r="H25" s="46">
        <v>840</v>
      </c>
      <c r="I25" s="46">
        <f>+J25+('2017'!I25-'2017'!K25)</f>
        <v>64</v>
      </c>
      <c r="J25" s="46">
        <v>110</v>
      </c>
      <c r="K25" s="60">
        <v>110</v>
      </c>
      <c r="L25" s="141">
        <f t="shared" si="0"/>
        <v>1</v>
      </c>
      <c r="M25" s="104">
        <f t="shared" si="1"/>
        <v>0.74722222222222223</v>
      </c>
      <c r="N25" s="99">
        <f t="shared" si="2"/>
        <v>1</v>
      </c>
      <c r="O25" s="115" t="s">
        <v>156</v>
      </c>
      <c r="P25" s="46">
        <v>230500</v>
      </c>
      <c r="Q25" s="46">
        <v>221101</v>
      </c>
      <c r="R25" s="46">
        <v>0</v>
      </c>
      <c r="S25" s="47">
        <f t="shared" si="3"/>
        <v>0.95922342733188715</v>
      </c>
      <c r="T25" s="50" t="str">
        <f t="shared" si="4"/>
        <v xml:space="preserve"> -</v>
      </c>
    </row>
    <row r="26" spans="2:20" ht="45">
      <c r="B26" s="356"/>
      <c r="C26" s="357"/>
      <c r="D26" s="352"/>
      <c r="E26" s="45">
        <v>43101</v>
      </c>
      <c r="F26" s="45">
        <v>43465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0.74722222222222223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6"/>
      <c r="C27" s="357"/>
      <c r="D27" s="352"/>
      <c r="E27" s="45">
        <v>43101</v>
      </c>
      <c r="F27" s="45">
        <v>43465</v>
      </c>
      <c r="G27" s="9" t="s">
        <v>93</v>
      </c>
      <c r="H27" s="46">
        <v>5</v>
      </c>
      <c r="I27" s="46">
        <f>+J27</f>
        <v>1</v>
      </c>
      <c r="J27" s="46">
        <v>1</v>
      </c>
      <c r="K27" s="60">
        <v>5</v>
      </c>
      <c r="L27" s="141">
        <f t="shared" si="0"/>
        <v>5</v>
      </c>
      <c r="M27" s="104">
        <f t="shared" si="1"/>
        <v>0.74722222222222223</v>
      </c>
      <c r="N27" s="99">
        <f t="shared" si="2"/>
        <v>1</v>
      </c>
      <c r="O27" s="115" t="s">
        <v>158</v>
      </c>
      <c r="P27" s="46">
        <v>112772</v>
      </c>
      <c r="Q27" s="46">
        <v>112772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56"/>
      <c r="C28" s="357"/>
      <c r="D28" s="352"/>
      <c r="E28" s="45">
        <v>43101</v>
      </c>
      <c r="F28" s="45">
        <v>43465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0.74722222222222223</v>
      </c>
      <c r="N28" s="99">
        <f t="shared" si="2"/>
        <v>1</v>
      </c>
      <c r="O28" s="115" t="s">
        <v>159</v>
      </c>
      <c r="P28" s="46">
        <v>98000</v>
      </c>
      <c r="Q28" s="46">
        <v>86000</v>
      </c>
      <c r="R28" s="46">
        <v>0</v>
      </c>
      <c r="S28" s="47">
        <f t="shared" si="3"/>
        <v>0.87755102040816324</v>
      </c>
      <c r="T28" s="50" t="str">
        <f t="shared" si="4"/>
        <v xml:space="preserve"> -</v>
      </c>
    </row>
    <row r="29" spans="2:20" ht="60">
      <c r="B29" s="356"/>
      <c r="C29" s="357"/>
      <c r="D29" s="352"/>
      <c r="E29" s="45">
        <v>43101</v>
      </c>
      <c r="F29" s="45">
        <v>43465</v>
      </c>
      <c r="G29" s="9" t="s">
        <v>41</v>
      </c>
      <c r="H29" s="46">
        <v>1</v>
      </c>
      <c r="I29" s="46">
        <f>+J29+('2017'!I29-'2017'!K29)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0.74722222222222223</v>
      </c>
      <c r="N29" s="99">
        <f t="shared" si="2"/>
        <v>1</v>
      </c>
      <c r="O29" s="115" t="s">
        <v>158</v>
      </c>
      <c r="P29" s="46">
        <v>237000</v>
      </c>
      <c r="Q29" s="46">
        <v>37000</v>
      </c>
      <c r="R29" s="46">
        <v>0</v>
      </c>
      <c r="S29" s="47">
        <f t="shared" si="3"/>
        <v>0.15611814345991562</v>
      </c>
      <c r="T29" s="50" t="str">
        <f t="shared" si="4"/>
        <v xml:space="preserve"> -</v>
      </c>
    </row>
    <row r="30" spans="2:20" ht="61" thickBot="1">
      <c r="B30" s="356"/>
      <c r="C30" s="357"/>
      <c r="D30" s="353"/>
      <c r="E30" s="51">
        <v>43101</v>
      </c>
      <c r="F30" s="51">
        <v>43465</v>
      </c>
      <c r="G30" s="10" t="s">
        <v>42</v>
      </c>
      <c r="H30" s="52">
        <v>1</v>
      </c>
      <c r="I30" s="52">
        <f>+J30+('2017'!I30-'2017'!K30)</f>
        <v>-1</v>
      </c>
      <c r="J30" s="52">
        <v>0</v>
      </c>
      <c r="K30" s="61">
        <v>0</v>
      </c>
      <c r="L30" s="142" t="e">
        <f t="shared" si="0"/>
        <v>#DIV/0!</v>
      </c>
      <c r="M30" s="105">
        <f t="shared" si="1"/>
        <v>0.74722222222222223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6"/>
      <c r="C31" s="357"/>
      <c r="D31" s="351" t="s">
        <v>78</v>
      </c>
      <c r="E31" s="48">
        <v>43101</v>
      </c>
      <c r="F31" s="48">
        <v>43465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0.74722222222222223</v>
      </c>
      <c r="N31" s="100">
        <f t="shared" si="2"/>
        <v>1</v>
      </c>
      <c r="O31" s="117" t="s">
        <v>161</v>
      </c>
      <c r="P31" s="90">
        <v>765290</v>
      </c>
      <c r="Q31" s="90">
        <v>722624</v>
      </c>
      <c r="R31" s="90">
        <v>0</v>
      </c>
      <c r="S31" s="33">
        <f t="shared" si="3"/>
        <v>0.94424858550353463</v>
      </c>
      <c r="T31" s="32" t="str">
        <f t="shared" si="4"/>
        <v xml:space="preserve"> -</v>
      </c>
    </row>
    <row r="32" spans="2:20" ht="45">
      <c r="B32" s="356"/>
      <c r="C32" s="357"/>
      <c r="D32" s="352"/>
      <c r="E32" s="45">
        <v>43101</v>
      </c>
      <c r="F32" s="45">
        <v>43465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0.74722222222222223</v>
      </c>
      <c r="N32" s="99">
        <f t="shared" si="2"/>
        <v>1</v>
      </c>
      <c r="O32" s="115" t="s">
        <v>162</v>
      </c>
      <c r="P32" s="46">
        <v>331789</v>
      </c>
      <c r="Q32" s="46">
        <v>331776</v>
      </c>
      <c r="R32" s="46">
        <v>0</v>
      </c>
      <c r="S32" s="47">
        <f t="shared" si="3"/>
        <v>0.99996081847198071</v>
      </c>
      <c r="T32" s="50" t="str">
        <f t="shared" si="4"/>
        <v xml:space="preserve"> -</v>
      </c>
    </row>
    <row r="33" spans="2:20" ht="45">
      <c r="B33" s="356"/>
      <c r="C33" s="357"/>
      <c r="D33" s="352"/>
      <c r="E33" s="45">
        <v>43101</v>
      </c>
      <c r="F33" s="45">
        <v>43465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0.74722222222222223</v>
      </c>
      <c r="N33" s="99">
        <f t="shared" si="2"/>
        <v>1</v>
      </c>
      <c r="O33" s="115" t="s">
        <v>163</v>
      </c>
      <c r="P33" s="46">
        <v>106328</v>
      </c>
      <c r="Q33" s="46">
        <v>105592</v>
      </c>
      <c r="R33" s="46">
        <v>0</v>
      </c>
      <c r="S33" s="47">
        <f t="shared" si="3"/>
        <v>0.99307802272214285</v>
      </c>
      <c r="T33" s="50" t="str">
        <f t="shared" si="4"/>
        <v xml:space="preserve"> -</v>
      </c>
    </row>
    <row r="34" spans="2:20" ht="30">
      <c r="B34" s="356"/>
      <c r="C34" s="357"/>
      <c r="D34" s="352"/>
      <c r="E34" s="45">
        <v>43101</v>
      </c>
      <c r="F34" s="45">
        <v>43465</v>
      </c>
      <c r="G34" s="11" t="s">
        <v>46</v>
      </c>
      <c r="H34" s="46">
        <v>1</v>
      </c>
      <c r="I34" s="46">
        <f>+J34+('2017'!I34-'2017'!K34)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0.74722222222222223</v>
      </c>
      <c r="N34" s="99">
        <f t="shared" si="2"/>
        <v>1</v>
      </c>
      <c r="O34" s="115" t="s">
        <v>164</v>
      </c>
      <c r="P34" s="46">
        <v>585280</v>
      </c>
      <c r="Q34" s="46">
        <v>267080</v>
      </c>
      <c r="R34" s="46">
        <v>0</v>
      </c>
      <c r="S34" s="47">
        <f t="shared" si="3"/>
        <v>0.45632859486057953</v>
      </c>
      <c r="T34" s="50" t="str">
        <f t="shared" si="4"/>
        <v xml:space="preserve"> -</v>
      </c>
    </row>
    <row r="35" spans="2:20" ht="60">
      <c r="B35" s="356"/>
      <c r="C35" s="357"/>
      <c r="D35" s="352"/>
      <c r="E35" s="45">
        <v>43101</v>
      </c>
      <c r="F35" s="45">
        <v>43465</v>
      </c>
      <c r="G35" s="9" t="s">
        <v>47</v>
      </c>
      <c r="H35" s="46">
        <v>1</v>
      </c>
      <c r="I35" s="46">
        <f>+J35+('2017'!I35-'2017'!K35)</f>
        <v>-1</v>
      </c>
      <c r="J35" s="46">
        <v>0</v>
      </c>
      <c r="K35" s="60">
        <v>1</v>
      </c>
      <c r="L35" s="141" t="e">
        <f t="shared" si="0"/>
        <v>#DIV/0!</v>
      </c>
      <c r="M35" s="104">
        <f t="shared" si="1"/>
        <v>0.74722222222222223</v>
      </c>
      <c r="N35" s="99" t="str">
        <f t="shared" si="2"/>
        <v xml:space="preserve"> -</v>
      </c>
      <c r="O35" s="115" t="s">
        <v>165</v>
      </c>
      <c r="P35" s="46">
        <v>604590</v>
      </c>
      <c r="Q35" s="46">
        <v>454590</v>
      </c>
      <c r="R35" s="46">
        <v>0</v>
      </c>
      <c r="S35" s="47">
        <f t="shared" si="3"/>
        <v>0.75189798044956091</v>
      </c>
      <c r="T35" s="50" t="str">
        <f t="shared" si="4"/>
        <v xml:space="preserve"> -</v>
      </c>
    </row>
    <row r="36" spans="2:20" ht="45">
      <c r="B36" s="356"/>
      <c r="C36" s="357"/>
      <c r="D36" s="352"/>
      <c r="E36" s="45">
        <v>43101</v>
      </c>
      <c r="F36" s="45">
        <v>43465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0.74722222222222223</v>
      </c>
      <c r="N36" s="99">
        <f t="shared" si="2"/>
        <v>1</v>
      </c>
      <c r="O36" s="115" t="s">
        <v>166</v>
      </c>
      <c r="P36" s="46">
        <v>222183</v>
      </c>
      <c r="Q36" s="46">
        <v>201332</v>
      </c>
      <c r="R36" s="46">
        <v>0</v>
      </c>
      <c r="S36" s="47">
        <f t="shared" si="3"/>
        <v>0.90615393616973394</v>
      </c>
      <c r="T36" s="50" t="str">
        <f t="shared" si="4"/>
        <v xml:space="preserve"> -</v>
      </c>
    </row>
    <row r="37" spans="2:20" ht="46" thickBot="1">
      <c r="B37" s="356"/>
      <c r="C37" s="357"/>
      <c r="D37" s="353"/>
      <c r="E37" s="51">
        <v>43101</v>
      </c>
      <c r="F37" s="51">
        <v>43465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0.74722222222222223</v>
      </c>
      <c r="N37" s="101">
        <f t="shared" si="2"/>
        <v>1</v>
      </c>
      <c r="O37" s="118" t="s">
        <v>167</v>
      </c>
      <c r="P37" s="81">
        <v>60200</v>
      </c>
      <c r="Q37" s="81">
        <v>60200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6"/>
      <c r="C38" s="357"/>
      <c r="D38" s="351" t="s">
        <v>79</v>
      </c>
      <c r="E38" s="48">
        <v>43101</v>
      </c>
      <c r="F38" s="48">
        <v>43465</v>
      </c>
      <c r="G38" s="12" t="s">
        <v>50</v>
      </c>
      <c r="H38" s="49">
        <v>4</v>
      </c>
      <c r="I38" s="49">
        <f>+J38+('2017'!I38-'2017'!K38)</f>
        <v>2</v>
      </c>
      <c r="J38" s="49">
        <v>1</v>
      </c>
      <c r="K38" s="59">
        <v>4</v>
      </c>
      <c r="L38" s="140">
        <f t="shared" si="0"/>
        <v>4</v>
      </c>
      <c r="M38" s="103">
        <f t="shared" si="1"/>
        <v>0.74722222222222223</v>
      </c>
      <c r="N38" s="97">
        <f t="shared" si="2"/>
        <v>1</v>
      </c>
      <c r="O38" s="114" t="s">
        <v>168</v>
      </c>
      <c r="P38" s="49">
        <v>400000</v>
      </c>
      <c r="Q38" s="49">
        <v>400000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56"/>
      <c r="C39" s="357"/>
      <c r="D39" s="352"/>
      <c r="E39" s="45">
        <v>43101</v>
      </c>
      <c r="F39" s="45">
        <v>43465</v>
      </c>
      <c r="G39" s="8" t="s">
        <v>51</v>
      </c>
      <c r="H39" s="46">
        <v>4</v>
      </c>
      <c r="I39" s="46">
        <f>+J39+('2017'!I39-'2017'!K39)</f>
        <v>2</v>
      </c>
      <c r="J39" s="46">
        <v>1</v>
      </c>
      <c r="K39" s="60">
        <v>2</v>
      </c>
      <c r="L39" s="141">
        <f t="shared" si="0"/>
        <v>2</v>
      </c>
      <c r="M39" s="104">
        <f t="shared" si="1"/>
        <v>0.74722222222222223</v>
      </c>
      <c r="N39" s="99">
        <f t="shared" si="2"/>
        <v>1</v>
      </c>
      <c r="O39" s="115" t="s">
        <v>169</v>
      </c>
      <c r="P39" s="46">
        <v>40000</v>
      </c>
      <c r="Q39" s="46">
        <v>40000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56"/>
      <c r="C40" s="357"/>
      <c r="D40" s="352"/>
      <c r="E40" s="45">
        <v>43101</v>
      </c>
      <c r="F40" s="45">
        <v>43465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0.74722222222222223</v>
      </c>
      <c r="N40" s="99">
        <f t="shared" si="2"/>
        <v>1</v>
      </c>
      <c r="O40" s="115" t="s">
        <v>170</v>
      </c>
      <c r="P40" s="46">
        <v>702195</v>
      </c>
      <c r="Q40" s="46">
        <v>604651</v>
      </c>
      <c r="R40" s="46">
        <v>0</v>
      </c>
      <c r="S40" s="47">
        <f t="shared" si="3"/>
        <v>0.86108701998732551</v>
      </c>
      <c r="T40" s="50" t="str">
        <f t="shared" si="4"/>
        <v xml:space="preserve"> -</v>
      </c>
    </row>
    <row r="41" spans="2:20" ht="45">
      <c r="B41" s="356"/>
      <c r="C41" s="357"/>
      <c r="D41" s="352"/>
      <c r="E41" s="45">
        <v>43101</v>
      </c>
      <c r="F41" s="45">
        <v>43465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0.74722222222222223</v>
      </c>
      <c r="N41" s="99">
        <f t="shared" si="2"/>
        <v>1</v>
      </c>
      <c r="O41" s="115" t="s">
        <v>171</v>
      </c>
      <c r="P41" s="46">
        <v>489819</v>
      </c>
      <c r="Q41" s="46">
        <v>451800</v>
      </c>
      <c r="R41" s="46">
        <v>0</v>
      </c>
      <c r="S41" s="47">
        <f t="shared" si="3"/>
        <v>0.92238153277026824</v>
      </c>
      <c r="T41" s="50" t="str">
        <f t="shared" si="4"/>
        <v xml:space="preserve"> -</v>
      </c>
    </row>
    <row r="42" spans="2:20" ht="30">
      <c r="B42" s="356"/>
      <c r="C42" s="357"/>
      <c r="D42" s="352"/>
      <c r="E42" s="45">
        <v>43101</v>
      </c>
      <c r="F42" s="45">
        <v>43465</v>
      </c>
      <c r="G42" s="9" t="s">
        <v>54</v>
      </c>
      <c r="H42" s="46">
        <v>1</v>
      </c>
      <c r="I42" s="46">
        <f>+J42+('2017'!I42-'2017'!K42)</f>
        <v>-1</v>
      </c>
      <c r="J42" s="46">
        <v>0</v>
      </c>
      <c r="K42" s="60">
        <v>1</v>
      </c>
      <c r="L42" s="141" t="e">
        <f t="shared" si="0"/>
        <v>#DIV/0!</v>
      </c>
      <c r="M42" s="104">
        <f t="shared" si="1"/>
        <v>0.74722222222222223</v>
      </c>
      <c r="N42" s="99" t="str">
        <f t="shared" si="2"/>
        <v xml:space="preserve"> -</v>
      </c>
      <c r="O42" s="115" t="s">
        <v>145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6"/>
      <c r="C43" s="357"/>
      <c r="D43" s="352"/>
      <c r="E43" s="45">
        <v>43101</v>
      </c>
      <c r="F43" s="45">
        <v>43465</v>
      </c>
      <c r="G43" s="11" t="s">
        <v>55</v>
      </c>
      <c r="H43" s="46">
        <v>1</v>
      </c>
      <c r="I43" s="46">
        <f>+J43+('2017'!I43-'2017'!K43)</f>
        <v>1</v>
      </c>
      <c r="J43" s="46">
        <v>0</v>
      </c>
      <c r="K43" s="60">
        <v>1</v>
      </c>
      <c r="L43" s="141" t="e">
        <f t="shared" si="0"/>
        <v>#DIV/0!</v>
      </c>
      <c r="M43" s="104">
        <f t="shared" si="1"/>
        <v>0.74722222222222223</v>
      </c>
      <c r="N43" s="99" t="str">
        <f t="shared" si="2"/>
        <v xml:space="preserve"> -</v>
      </c>
      <c r="O43" s="115" t="s">
        <v>145</v>
      </c>
      <c r="P43" s="46">
        <v>100000</v>
      </c>
      <c r="Q43" s="46">
        <v>80930</v>
      </c>
      <c r="R43" s="46">
        <v>0</v>
      </c>
      <c r="S43" s="47">
        <f t="shared" si="3"/>
        <v>0.80930000000000002</v>
      </c>
      <c r="T43" s="50" t="str">
        <f t="shared" si="4"/>
        <v xml:space="preserve"> -</v>
      </c>
    </row>
    <row r="44" spans="2:20" ht="31" thickBot="1">
      <c r="B44" s="356"/>
      <c r="C44" s="357"/>
      <c r="D44" s="353"/>
      <c r="E44" s="51">
        <v>43101</v>
      </c>
      <c r="F44" s="51">
        <v>43465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0.74722222222222223</v>
      </c>
      <c r="N44" s="98">
        <f t="shared" si="2"/>
        <v>0</v>
      </c>
      <c r="O44" s="116" t="s">
        <v>172</v>
      </c>
      <c r="P44" s="52">
        <v>989208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6"/>
      <c r="C45" s="357"/>
      <c r="D45" s="168" t="s">
        <v>80</v>
      </c>
      <c r="E45" s="136">
        <v>43101</v>
      </c>
      <c r="F45" s="136">
        <v>43465</v>
      </c>
      <c r="G45" s="145" t="s">
        <v>57</v>
      </c>
      <c r="H45" s="137">
        <v>48</v>
      </c>
      <c r="I45" s="137">
        <f>+J45+('2017'!I45-'2017'!K45)</f>
        <v>-128</v>
      </c>
      <c r="J45" s="137">
        <v>10</v>
      </c>
      <c r="K45" s="138">
        <v>10</v>
      </c>
      <c r="L45" s="139">
        <f t="shared" si="0"/>
        <v>1</v>
      </c>
      <c r="M45" s="108">
        <f t="shared" si="1"/>
        <v>0.74722222222222223</v>
      </c>
      <c r="N45" s="102">
        <f t="shared" si="2"/>
        <v>1</v>
      </c>
      <c r="O45" s="119" t="s">
        <v>173</v>
      </c>
      <c r="P45" s="86">
        <v>793796</v>
      </c>
      <c r="Q45" s="86">
        <v>712905</v>
      </c>
      <c r="R45" s="86">
        <v>0</v>
      </c>
      <c r="S45" s="87">
        <f t="shared" si="3"/>
        <v>0.89809598435870175</v>
      </c>
      <c r="T45" s="88" t="str">
        <f t="shared" si="4"/>
        <v xml:space="preserve"> -</v>
      </c>
    </row>
    <row r="46" spans="2:20" ht="60">
      <c r="B46" s="356"/>
      <c r="C46" s="357"/>
      <c r="D46" s="351" t="s">
        <v>81</v>
      </c>
      <c r="E46" s="48">
        <v>43101</v>
      </c>
      <c r="F46" s="48">
        <v>43465</v>
      </c>
      <c r="G46" s="12" t="s">
        <v>90</v>
      </c>
      <c r="H46" s="49">
        <v>8</v>
      </c>
      <c r="I46" s="49">
        <f>+J46+('2017'!I46-'2017'!K46)</f>
        <v>4</v>
      </c>
      <c r="J46" s="49">
        <v>3</v>
      </c>
      <c r="K46" s="59">
        <v>1</v>
      </c>
      <c r="L46" s="140">
        <f t="shared" si="0"/>
        <v>0.33333333333333331</v>
      </c>
      <c r="M46" s="103">
        <f t="shared" si="1"/>
        <v>0.74722222222222223</v>
      </c>
      <c r="N46" s="97">
        <f t="shared" si="2"/>
        <v>0.33333333333333331</v>
      </c>
      <c r="O46" s="114" t="s">
        <v>174</v>
      </c>
      <c r="P46" s="49">
        <v>79000</v>
      </c>
      <c r="Q46" s="49">
        <v>6000</v>
      </c>
      <c r="R46" s="49">
        <v>0</v>
      </c>
      <c r="S46" s="28">
        <f t="shared" si="3"/>
        <v>7.5949367088607597E-2</v>
      </c>
      <c r="T46" s="27" t="str">
        <f t="shared" si="4"/>
        <v xml:space="preserve"> -</v>
      </c>
    </row>
    <row r="47" spans="2:20" ht="60">
      <c r="B47" s="356"/>
      <c r="C47" s="357"/>
      <c r="D47" s="352"/>
      <c r="E47" s="45">
        <v>43101</v>
      </c>
      <c r="F47" s="45">
        <v>43465</v>
      </c>
      <c r="G47" s="8" t="s">
        <v>91</v>
      </c>
      <c r="H47" s="46">
        <v>8</v>
      </c>
      <c r="I47" s="46">
        <f>+J47+('2017'!I47-'2017'!K47)</f>
        <v>5</v>
      </c>
      <c r="J47" s="46">
        <v>3</v>
      </c>
      <c r="K47" s="60">
        <v>3</v>
      </c>
      <c r="L47" s="141">
        <f t="shared" si="0"/>
        <v>1</v>
      </c>
      <c r="M47" s="104">
        <f t="shared" si="1"/>
        <v>0.74722222222222223</v>
      </c>
      <c r="N47" s="99">
        <f t="shared" si="2"/>
        <v>1</v>
      </c>
      <c r="O47" s="115" t="s">
        <v>175</v>
      </c>
      <c r="P47" s="46">
        <v>1150001</v>
      </c>
      <c r="Q47" s="46">
        <v>1101975</v>
      </c>
      <c r="R47" s="46">
        <v>0</v>
      </c>
      <c r="S47" s="47">
        <f t="shared" si="3"/>
        <v>0.95823829718408937</v>
      </c>
      <c r="T47" s="50" t="str">
        <f t="shared" si="4"/>
        <v xml:space="preserve"> -</v>
      </c>
    </row>
    <row r="48" spans="2:20" ht="45">
      <c r="B48" s="356"/>
      <c r="C48" s="357"/>
      <c r="D48" s="352"/>
      <c r="E48" s="45">
        <v>43101</v>
      </c>
      <c r="F48" s="45">
        <v>43465</v>
      </c>
      <c r="G48" s="8" t="s">
        <v>58</v>
      </c>
      <c r="H48" s="46">
        <v>4</v>
      </c>
      <c r="I48" s="46">
        <f>+J48+('2017'!I48-'2017'!K48)</f>
        <v>2</v>
      </c>
      <c r="J48" s="46">
        <v>1</v>
      </c>
      <c r="K48" s="60">
        <v>1</v>
      </c>
      <c r="L48" s="141">
        <f t="shared" si="0"/>
        <v>1</v>
      </c>
      <c r="M48" s="104">
        <f t="shared" si="1"/>
        <v>0.74722222222222223</v>
      </c>
      <c r="N48" s="99">
        <f t="shared" si="2"/>
        <v>1</v>
      </c>
      <c r="O48" s="115" t="s">
        <v>176</v>
      </c>
      <c r="P48" s="46">
        <v>136000</v>
      </c>
      <c r="Q48" s="46">
        <v>56000</v>
      </c>
      <c r="R48" s="46">
        <v>0</v>
      </c>
      <c r="S48" s="47">
        <f t="shared" si="3"/>
        <v>0.41176470588235292</v>
      </c>
      <c r="T48" s="50" t="str">
        <f t="shared" si="4"/>
        <v xml:space="preserve"> -</v>
      </c>
    </row>
    <row r="49" spans="2:20" ht="45">
      <c r="B49" s="356"/>
      <c r="C49" s="357"/>
      <c r="D49" s="352"/>
      <c r="E49" s="45">
        <v>43101</v>
      </c>
      <c r="F49" s="45">
        <v>43465</v>
      </c>
      <c r="G49" s="9" t="s">
        <v>60</v>
      </c>
      <c r="H49" s="46">
        <v>1</v>
      </c>
      <c r="I49" s="46">
        <f>+J49+('2017'!I49-'2017'!K49)</f>
        <v>0</v>
      </c>
      <c r="J49" s="46">
        <v>0</v>
      </c>
      <c r="K49" s="60">
        <v>1</v>
      </c>
      <c r="L49" s="141" t="e">
        <f t="shared" si="0"/>
        <v>#DIV/0!</v>
      </c>
      <c r="M49" s="104">
        <f t="shared" si="1"/>
        <v>0.74722222222222223</v>
      </c>
      <c r="N49" s="99" t="str">
        <f t="shared" si="2"/>
        <v xml:space="preserve"> -</v>
      </c>
      <c r="O49" s="115" t="s">
        <v>145</v>
      </c>
      <c r="P49" s="46">
        <v>186800</v>
      </c>
      <c r="Q49" s="46">
        <v>186800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56"/>
      <c r="C50" s="357"/>
      <c r="D50" s="352"/>
      <c r="E50" s="45">
        <v>43101</v>
      </c>
      <c r="F50" s="45">
        <v>43465</v>
      </c>
      <c r="G50" s="9" t="s">
        <v>61</v>
      </c>
      <c r="H50" s="46">
        <v>2</v>
      </c>
      <c r="I50" s="46">
        <f>+J50+('2017'!I50-'2017'!K50)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0.74722222222222223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6"/>
      <c r="C51" s="357"/>
      <c r="D51" s="352"/>
      <c r="E51" s="45">
        <v>43101</v>
      </c>
      <c r="F51" s="45">
        <v>43465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0</v>
      </c>
      <c r="L51" s="141">
        <f t="shared" si="0"/>
        <v>0</v>
      </c>
      <c r="M51" s="104">
        <f t="shared" si="1"/>
        <v>0.74722222222222223</v>
      </c>
      <c r="N51" s="99">
        <f t="shared" si="2"/>
        <v>0</v>
      </c>
      <c r="O51" s="115" t="s">
        <v>179</v>
      </c>
      <c r="P51" s="46">
        <v>30000</v>
      </c>
      <c r="Q51" s="46">
        <v>0</v>
      </c>
      <c r="R51" s="46">
        <v>0</v>
      </c>
      <c r="S51" s="47">
        <f t="shared" si="3"/>
        <v>0</v>
      </c>
      <c r="T51" s="50" t="str">
        <f t="shared" si="4"/>
        <v xml:space="preserve"> -</v>
      </c>
    </row>
    <row r="52" spans="2:20" ht="61" thickBot="1">
      <c r="B52" s="356"/>
      <c r="C52" s="357"/>
      <c r="D52" s="353"/>
      <c r="E52" s="51">
        <v>43101</v>
      </c>
      <c r="F52" s="51">
        <v>43465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0</v>
      </c>
      <c r="L52" s="142">
        <f t="shared" si="0"/>
        <v>0</v>
      </c>
      <c r="M52" s="105">
        <f t="shared" si="1"/>
        <v>0.74722222222222223</v>
      </c>
      <c r="N52" s="98">
        <f t="shared" si="2"/>
        <v>0</v>
      </c>
      <c r="O52" s="116" t="s">
        <v>180</v>
      </c>
      <c r="P52" s="52">
        <v>38860</v>
      </c>
      <c r="Q52" s="52">
        <v>0</v>
      </c>
      <c r="R52" s="52">
        <v>0</v>
      </c>
      <c r="S52" s="53">
        <f t="shared" si="3"/>
        <v>0</v>
      </c>
      <c r="T52" s="54" t="str">
        <f t="shared" si="4"/>
        <v xml:space="preserve"> -</v>
      </c>
    </row>
    <row r="53" spans="2:20" ht="46" thickBot="1">
      <c r="B53" s="356"/>
      <c r="C53" s="357"/>
      <c r="D53" s="168" t="s">
        <v>82</v>
      </c>
      <c r="E53" s="136">
        <v>43101</v>
      </c>
      <c r="F53" s="136">
        <v>43465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0.74722222222222223</v>
      </c>
      <c r="N53" s="102">
        <f t="shared" si="2"/>
        <v>1</v>
      </c>
      <c r="O53" s="119" t="s">
        <v>181</v>
      </c>
      <c r="P53" s="86">
        <v>50000</v>
      </c>
      <c r="Q53" s="86">
        <v>49920</v>
      </c>
      <c r="R53" s="86">
        <v>0</v>
      </c>
      <c r="S53" s="87">
        <f t="shared" si="3"/>
        <v>0.99839999999999995</v>
      </c>
      <c r="T53" s="88" t="str">
        <f t="shared" si="4"/>
        <v xml:space="preserve"> -</v>
      </c>
    </row>
    <row r="54" spans="2:20" ht="30" customHeight="1">
      <c r="B54" s="356"/>
      <c r="C54" s="357"/>
      <c r="D54" s="365" t="s">
        <v>83</v>
      </c>
      <c r="E54" s="48">
        <v>43101</v>
      </c>
      <c r="F54" s="48">
        <v>43465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0.74722222222222223</v>
      </c>
      <c r="N54" s="97">
        <f t="shared" si="2"/>
        <v>1</v>
      </c>
      <c r="O54" s="114" t="s">
        <v>182</v>
      </c>
      <c r="P54" s="49">
        <v>320000</v>
      </c>
      <c r="Q54" s="49">
        <v>155831</v>
      </c>
      <c r="R54" s="49">
        <v>0</v>
      </c>
      <c r="S54" s="28">
        <f t="shared" si="3"/>
        <v>0.486971875</v>
      </c>
      <c r="T54" s="27" t="str">
        <f t="shared" si="4"/>
        <v xml:space="preserve"> -</v>
      </c>
    </row>
    <row r="55" spans="2:20" ht="60">
      <c r="B55" s="356"/>
      <c r="C55" s="357"/>
      <c r="D55" s="366"/>
      <c r="E55" s="45">
        <v>43101</v>
      </c>
      <c r="F55" s="45">
        <v>43465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0</v>
      </c>
      <c r="L55" s="141">
        <f t="shared" si="0"/>
        <v>0</v>
      </c>
      <c r="M55" s="104">
        <f t="shared" si="1"/>
        <v>0.74722222222222223</v>
      </c>
      <c r="N55" s="99">
        <f t="shared" si="2"/>
        <v>0</v>
      </c>
      <c r="O55" s="115" t="s">
        <v>183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6"/>
      <c r="C56" s="357"/>
      <c r="D56" s="366"/>
      <c r="E56" s="45">
        <v>43101</v>
      </c>
      <c r="F56" s="45">
        <v>43465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0.74722222222222223</v>
      </c>
      <c r="N56" s="99">
        <f t="shared" si="2"/>
        <v>1</v>
      </c>
      <c r="O56" s="115" t="s">
        <v>184</v>
      </c>
      <c r="P56" s="46">
        <v>145991</v>
      </c>
      <c r="Q56" s="46">
        <v>97585</v>
      </c>
      <c r="R56" s="46">
        <v>0</v>
      </c>
      <c r="S56" s="47">
        <f t="shared" si="3"/>
        <v>0.66843161564753995</v>
      </c>
      <c r="T56" s="50" t="str">
        <f t="shared" si="4"/>
        <v xml:space="preserve"> -</v>
      </c>
    </row>
    <row r="57" spans="2:20" ht="45">
      <c r="B57" s="356"/>
      <c r="C57" s="357"/>
      <c r="D57" s="366"/>
      <c r="E57" s="45">
        <v>43101</v>
      </c>
      <c r="F57" s="45">
        <v>43465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0.74722222222222223</v>
      </c>
      <c r="N57" s="99">
        <f t="shared" si="2"/>
        <v>1</v>
      </c>
      <c r="O57" s="115" t="s">
        <v>145</v>
      </c>
      <c r="P57" s="46">
        <v>15000</v>
      </c>
      <c r="Q57" s="46">
        <v>15000</v>
      </c>
      <c r="R57" s="46">
        <v>0</v>
      </c>
      <c r="S57" s="47">
        <f t="shared" si="3"/>
        <v>1</v>
      </c>
      <c r="T57" s="50" t="str">
        <f t="shared" si="4"/>
        <v xml:space="preserve"> -</v>
      </c>
    </row>
    <row r="58" spans="2:20" ht="30">
      <c r="B58" s="356"/>
      <c r="C58" s="357"/>
      <c r="D58" s="366"/>
      <c r="E58" s="45">
        <v>43101</v>
      </c>
      <c r="F58" s="45">
        <v>43465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0.74722222222222223</v>
      </c>
      <c r="N58" s="99">
        <f t="shared" si="2"/>
        <v>1</v>
      </c>
      <c r="O58" s="115" t="s">
        <v>185</v>
      </c>
      <c r="P58" s="46">
        <v>15000</v>
      </c>
      <c r="Q58" s="46">
        <v>15000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6"/>
      <c r="C59" s="357"/>
      <c r="D59" s="366"/>
      <c r="E59" s="45">
        <v>43101</v>
      </c>
      <c r="F59" s="45">
        <v>43465</v>
      </c>
      <c r="G59" s="9" t="s">
        <v>69</v>
      </c>
      <c r="H59" s="46">
        <v>200</v>
      </c>
      <c r="I59" s="46">
        <f>+J59+('2017'!I59-'2017'!K59)</f>
        <v>25</v>
      </c>
      <c r="J59" s="46">
        <v>25</v>
      </c>
      <c r="K59" s="60">
        <v>7</v>
      </c>
      <c r="L59" s="144">
        <f t="shared" si="0"/>
        <v>0.28000000000000003</v>
      </c>
      <c r="M59" s="107">
        <f t="shared" si="1"/>
        <v>0.74722222222222223</v>
      </c>
      <c r="N59" s="101">
        <f t="shared" si="2"/>
        <v>0.28000000000000003</v>
      </c>
      <c r="O59" s="118" t="s">
        <v>186</v>
      </c>
      <c r="P59" s="81">
        <v>51485</v>
      </c>
      <c r="Q59" s="81">
        <v>20000</v>
      </c>
      <c r="R59" s="81">
        <v>0</v>
      </c>
      <c r="S59" s="82">
        <f t="shared" si="3"/>
        <v>0.38846265902690102</v>
      </c>
      <c r="T59" s="83" t="str">
        <f t="shared" si="4"/>
        <v xml:space="preserve"> -</v>
      </c>
    </row>
    <row r="60" spans="2:20" ht="30" customHeight="1">
      <c r="B60" s="356"/>
      <c r="C60" s="357"/>
      <c r="D60" s="366"/>
      <c r="E60" s="89">
        <v>43101</v>
      </c>
      <c r="F60" s="89">
        <v>43465</v>
      </c>
      <c r="G60" s="132" t="s">
        <v>95</v>
      </c>
      <c r="H60" s="90">
        <v>4</v>
      </c>
      <c r="I60" s="46">
        <f>+J60+('2017'!I60-'2017'!K60)</f>
        <v>1</v>
      </c>
      <c r="J60" s="90">
        <v>1</v>
      </c>
      <c r="K60" s="122">
        <v>0</v>
      </c>
      <c r="L60" s="144">
        <f t="shared" si="0"/>
        <v>0</v>
      </c>
      <c r="M60" s="58">
        <f t="shared" si="1"/>
        <v>0.74722222222222223</v>
      </c>
      <c r="N60" s="50">
        <f t="shared" si="2"/>
        <v>0</v>
      </c>
      <c r="O60" s="115" t="s">
        <v>187</v>
      </c>
      <c r="P60" s="46">
        <v>2179668</v>
      </c>
      <c r="Q60" s="46">
        <v>2018968</v>
      </c>
      <c r="R60" s="46">
        <v>0</v>
      </c>
      <c r="S60" s="47">
        <f t="shared" si="3"/>
        <v>0.92627317554783573</v>
      </c>
      <c r="T60" s="50" t="str">
        <f t="shared" si="4"/>
        <v xml:space="preserve"> -</v>
      </c>
    </row>
    <row r="61" spans="2:20" ht="46" customHeight="1" thickBot="1">
      <c r="B61" s="356"/>
      <c r="C61" s="358"/>
      <c r="D61" s="367"/>
      <c r="E61" s="51">
        <v>43101</v>
      </c>
      <c r="F61" s="51">
        <v>43465</v>
      </c>
      <c r="G61" s="10" t="s">
        <v>96</v>
      </c>
      <c r="H61" s="52">
        <v>1</v>
      </c>
      <c r="I61" s="52">
        <f>+J61+('2017'!I61-'2017'!K61)</f>
        <v>0</v>
      </c>
      <c r="J61" s="52">
        <v>1</v>
      </c>
      <c r="K61" s="61">
        <v>0</v>
      </c>
      <c r="L61" s="144">
        <f t="shared" si="0"/>
        <v>0</v>
      </c>
      <c r="M61" s="150">
        <f t="shared" si="1"/>
        <v>0.74722222222222223</v>
      </c>
      <c r="N61" s="54">
        <f t="shared" si="2"/>
        <v>0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6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7"/>
      <c r="C63" s="368" t="s">
        <v>86</v>
      </c>
      <c r="D63" s="370" t="s">
        <v>84</v>
      </c>
      <c r="E63" s="48">
        <v>43101</v>
      </c>
      <c r="F63" s="48">
        <v>43465</v>
      </c>
      <c r="G63" s="79" t="s">
        <v>70</v>
      </c>
      <c r="H63" s="49">
        <v>1</v>
      </c>
      <c r="I63" s="49">
        <f>+J63+('2017'!I63-'2017'!K63)</f>
        <v>1</v>
      </c>
      <c r="J63" s="49">
        <v>1</v>
      </c>
      <c r="K63" s="59">
        <v>0</v>
      </c>
      <c r="L63" s="143">
        <f t="shared" si="0"/>
        <v>0</v>
      </c>
      <c r="M63" s="133">
        <f t="shared" si="1"/>
        <v>0.74722222222222223</v>
      </c>
      <c r="N63" s="32">
        <f t="shared" si="2"/>
        <v>0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58"/>
      <c r="C64" s="369"/>
      <c r="D64" s="371"/>
      <c r="E64" s="51">
        <v>43101</v>
      </c>
      <c r="F64" s="51">
        <v>43465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0</v>
      </c>
      <c r="L64" s="142">
        <f t="shared" si="0"/>
        <v>0</v>
      </c>
      <c r="M64" s="109">
        <f t="shared" si="1"/>
        <v>0.74722222222222223</v>
      </c>
      <c r="N64" s="54">
        <f t="shared" si="2"/>
        <v>0</v>
      </c>
      <c r="O64" s="116" t="s">
        <v>189</v>
      </c>
      <c r="P64" s="52">
        <v>50000</v>
      </c>
      <c r="Q64" s="52">
        <v>0</v>
      </c>
      <c r="R64" s="52">
        <v>0</v>
      </c>
      <c r="S64" s="53">
        <f t="shared" si="3"/>
        <v>0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+J66+('2017'!I66-'2017'!K66)</f>
        <v>200</v>
      </c>
      <c r="J66" s="137">
        <v>100</v>
      </c>
      <c r="K66" s="179">
        <v>0</v>
      </c>
      <c r="L66" s="182">
        <f t="shared" ref="L66" si="6">+K66/J66</f>
        <v>0</v>
      </c>
      <c r="M66" s="183">
        <f t="shared" ref="M66" si="7">DAYS360(E66,$C$8)/DAYS360(E66,F66)</f>
        <v>1.7472222222222222</v>
      </c>
      <c r="N66" s="177">
        <f t="shared" ref="N66" si="8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9">IF(P66=0," -",Q66/P66)</f>
        <v xml:space="preserve"> -</v>
      </c>
      <c r="T66" s="177" t="str">
        <f t="shared" ref="T66:T67" si="10">IF(R66=0," -",IF(Q66=0,100%,R66/Q66))</f>
        <v xml:space="preserve"> -</v>
      </c>
    </row>
    <row r="67" spans="2:20" ht="21" customHeight="1" thickBot="1">
      <c r="M67" s="120">
        <f>+AVERAGE(M12,M14:M16,M18:M61,M63:M64,M66)</f>
        <v>0.76683006535947718</v>
      </c>
      <c r="N67" s="121">
        <f>+AVERAGE(N12,N14:N16,N18:N61,N63:N64,N66)</f>
        <v>0.7184848484848485</v>
      </c>
      <c r="P67" s="71">
        <f>+SUM(P12,P14:P16,P18:P61,P63:P64,P66)</f>
        <v>18489146</v>
      </c>
      <c r="Q67" s="35">
        <f>+SUM(Q12,Q14:Q16,Q18:Q61,Q63:Q64,Q66)</f>
        <v>14668563</v>
      </c>
      <c r="R67" s="72">
        <f>+SUM(R12,R14:R16,R18:R61,R63:R64,R66)</f>
        <v>0</v>
      </c>
      <c r="S67" s="36">
        <f t="shared" si="9"/>
        <v>0.79336076420187285</v>
      </c>
      <c r="T67" s="34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1" t="s">
        <v>16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0" customHeight="1">
      <c r="B3" s="311" t="s">
        <v>19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2:20" ht="20" customHeight="1">
      <c r="B4" s="311" t="s">
        <v>27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/>
      <c r="D8" s="312" t="s">
        <v>3</v>
      </c>
      <c r="E8" s="313"/>
      <c r="F8" s="313"/>
      <c r="G8" s="313"/>
      <c r="H8" s="313"/>
      <c r="I8" s="313"/>
      <c r="J8" s="313"/>
      <c r="K8" s="31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5" t="s">
        <v>17</v>
      </c>
      <c r="C9" s="318" t="s">
        <v>18</v>
      </c>
      <c r="D9" s="320" t="s">
        <v>0</v>
      </c>
      <c r="E9" s="323" t="s">
        <v>4</v>
      </c>
      <c r="F9" s="323"/>
      <c r="G9" s="323" t="s">
        <v>5</v>
      </c>
      <c r="H9" s="323"/>
      <c r="I9" s="323"/>
      <c r="J9" s="323"/>
      <c r="K9" s="325"/>
      <c r="L9" s="5"/>
      <c r="M9" s="320" t="s">
        <v>6</v>
      </c>
      <c r="N9" s="325"/>
      <c r="O9" s="335" t="s">
        <v>24</v>
      </c>
      <c r="P9" s="336"/>
      <c r="Q9" s="336"/>
      <c r="R9" s="336"/>
      <c r="S9" s="336"/>
      <c r="T9" s="337"/>
    </row>
    <row r="10" spans="2:20" ht="17" customHeight="1">
      <c r="B10" s="316"/>
      <c r="C10" s="319"/>
      <c r="D10" s="321"/>
      <c r="E10" s="324"/>
      <c r="F10" s="324"/>
      <c r="G10" s="324" t="s">
        <v>7</v>
      </c>
      <c r="H10" s="328" t="s">
        <v>25</v>
      </c>
      <c r="I10" s="328" t="s">
        <v>26</v>
      </c>
      <c r="J10" s="329" t="s">
        <v>1</v>
      </c>
      <c r="K10" s="326" t="s">
        <v>8</v>
      </c>
      <c r="L10" s="6"/>
      <c r="M10" s="331" t="s">
        <v>9</v>
      </c>
      <c r="N10" s="333" t="s">
        <v>10</v>
      </c>
      <c r="O10" s="338"/>
      <c r="P10" s="339"/>
      <c r="Q10" s="339"/>
      <c r="R10" s="339"/>
      <c r="S10" s="339"/>
      <c r="T10" s="340"/>
    </row>
    <row r="11" spans="2:20" ht="37.5" customHeight="1" thickBot="1">
      <c r="B11" s="317"/>
      <c r="C11" s="319"/>
      <c r="D11" s="322"/>
      <c r="E11" s="37" t="s">
        <v>11</v>
      </c>
      <c r="F11" s="37" t="s">
        <v>12</v>
      </c>
      <c r="G11" s="328"/>
      <c r="H11" s="350"/>
      <c r="I11" s="350"/>
      <c r="J11" s="330"/>
      <c r="K11" s="327"/>
      <c r="L11" s="38"/>
      <c r="M11" s="332"/>
      <c r="N11" s="334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7" t="s">
        <v>72</v>
      </c>
      <c r="C12" s="55" t="s">
        <v>73</v>
      </c>
      <c r="D12" s="135" t="s">
        <v>75</v>
      </c>
      <c r="E12" s="136">
        <v>43466</v>
      </c>
      <c r="F12" s="136">
        <v>43830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/>
      <c r="L12" s="66">
        <f>+K12/J12</f>
        <v>0</v>
      </c>
      <c r="M12" s="67">
        <f>DAYS360(E12,$C$8)/DAYS360(E12,F12)</f>
        <v>-119.00277777777778</v>
      </c>
      <c r="N12" s="68">
        <f>IF(J12=0," -",IF(L12&gt;100%,100%,L12))</f>
        <v>0</v>
      </c>
      <c r="O12" s="69" t="s">
        <v>145</v>
      </c>
      <c r="P12" s="64">
        <v>0</v>
      </c>
      <c r="Q12" s="64"/>
      <c r="R12" s="64"/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4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48"/>
      <c r="C14" s="344" t="s">
        <v>74</v>
      </c>
      <c r="D14" s="370" t="s">
        <v>76</v>
      </c>
      <c r="E14" s="48">
        <v>43466</v>
      </c>
      <c r="F14" s="48">
        <v>43830</v>
      </c>
      <c r="G14" s="79" t="s">
        <v>29</v>
      </c>
      <c r="H14" s="49">
        <v>1</v>
      </c>
      <c r="I14" s="49">
        <f>+J14</f>
        <v>1</v>
      </c>
      <c r="J14" s="49">
        <v>1</v>
      </c>
      <c r="K14" s="59"/>
      <c r="L14" s="123">
        <f t="shared" ref="L14:L64" si="0">+K14/J14</f>
        <v>0</v>
      </c>
      <c r="M14" s="31">
        <f t="shared" ref="M14:M64" si="1">DAYS360(E14,$C$8)/DAYS360(E14,F14)</f>
        <v>-119.00277777777778</v>
      </c>
      <c r="N14" s="32">
        <f t="shared" ref="N14:N64" si="2">IF(J14=0," -",IF(L14&gt;100%,100%,L14))</f>
        <v>0</v>
      </c>
      <c r="O14" s="124" t="s">
        <v>146</v>
      </c>
      <c r="P14" s="90">
        <v>100000</v>
      </c>
      <c r="Q14" s="90"/>
      <c r="R14" s="90"/>
      <c r="S14" s="33">
        <f t="shared" ref="S14:S67" si="3">IF(P14=0," -",Q14/P14)</f>
        <v>0</v>
      </c>
      <c r="T14" s="32" t="str">
        <f t="shared" ref="T14:T67" si="4">IF(R14=0," -",IF(Q14=0,100%,R14/Q14))</f>
        <v xml:space="preserve"> -</v>
      </c>
    </row>
    <row r="15" spans="2:20" ht="90">
      <c r="B15" s="348"/>
      <c r="C15" s="345"/>
      <c r="D15" s="342"/>
      <c r="E15" s="45">
        <v>43466</v>
      </c>
      <c r="F15" s="45">
        <v>43830</v>
      </c>
      <c r="G15" s="9" t="s">
        <v>30</v>
      </c>
      <c r="H15" s="46">
        <v>1</v>
      </c>
      <c r="I15" s="46">
        <f>+J15</f>
        <v>1</v>
      </c>
      <c r="J15" s="46">
        <v>1</v>
      </c>
      <c r="K15" s="60"/>
      <c r="L15" s="57">
        <f t="shared" si="0"/>
        <v>0</v>
      </c>
      <c r="M15" s="58">
        <f t="shared" si="1"/>
        <v>-119.00277777777778</v>
      </c>
      <c r="N15" s="50">
        <f t="shared" si="2"/>
        <v>0</v>
      </c>
      <c r="O15" s="56" t="s">
        <v>147</v>
      </c>
      <c r="P15" s="46">
        <v>0</v>
      </c>
      <c r="Q15" s="46"/>
      <c r="R15" s="46"/>
      <c r="S15" s="47" t="str">
        <f t="shared" si="3"/>
        <v xml:space="preserve"> -</v>
      </c>
      <c r="T15" s="50" t="str">
        <f t="shared" si="4"/>
        <v xml:space="preserve"> -</v>
      </c>
    </row>
    <row r="16" spans="2:20" ht="46" thickBot="1">
      <c r="B16" s="349"/>
      <c r="C16" s="346"/>
      <c r="D16" s="371"/>
      <c r="E16" s="51">
        <v>43466</v>
      </c>
      <c r="F16" s="51">
        <v>43830</v>
      </c>
      <c r="G16" s="10" t="s">
        <v>31</v>
      </c>
      <c r="H16" s="52">
        <v>1</v>
      </c>
      <c r="I16" s="52">
        <f>+J16</f>
        <v>1</v>
      </c>
      <c r="J16" s="52">
        <v>1</v>
      </c>
      <c r="K16" s="61"/>
      <c r="L16" s="127">
        <f t="shared" si="0"/>
        <v>0</v>
      </c>
      <c r="M16" s="128">
        <f t="shared" si="1"/>
        <v>-119.00277777777778</v>
      </c>
      <c r="N16" s="83">
        <f t="shared" si="2"/>
        <v>0</v>
      </c>
      <c r="O16" s="129" t="s">
        <v>148</v>
      </c>
      <c r="P16" s="81">
        <v>0</v>
      </c>
      <c r="Q16" s="81"/>
      <c r="R16" s="81"/>
      <c r="S16" s="82" t="str">
        <f t="shared" si="3"/>
        <v xml:space="preserve"> -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6" t="s">
        <v>88</v>
      </c>
      <c r="C18" s="363" t="s">
        <v>87</v>
      </c>
      <c r="D18" s="135" t="s">
        <v>85</v>
      </c>
      <c r="E18" s="136">
        <v>43466</v>
      </c>
      <c r="F18" s="136">
        <v>43830</v>
      </c>
      <c r="G18" s="145" t="s">
        <v>92</v>
      </c>
      <c r="H18" s="137">
        <v>2</v>
      </c>
      <c r="I18" s="137">
        <f>+J18+('2018'!I18-'2018'!K18)</f>
        <v>1</v>
      </c>
      <c r="J18" s="137">
        <v>1</v>
      </c>
      <c r="K18" s="138"/>
      <c r="L18" s="139">
        <f t="shared" si="0"/>
        <v>0</v>
      </c>
      <c r="M18" s="108">
        <f t="shared" si="1"/>
        <v>-119.00277777777778</v>
      </c>
      <c r="N18" s="102">
        <f t="shared" si="2"/>
        <v>0</v>
      </c>
      <c r="O18" s="119" t="s">
        <v>149</v>
      </c>
      <c r="P18" s="86">
        <v>200000</v>
      </c>
      <c r="Q18" s="86"/>
      <c r="R18" s="86"/>
      <c r="S18" s="87">
        <f t="shared" si="3"/>
        <v>0</v>
      </c>
      <c r="T18" s="88" t="str">
        <f t="shared" si="4"/>
        <v xml:space="preserve"> -</v>
      </c>
    </row>
    <row r="19" spans="2:20" ht="30">
      <c r="B19" s="356"/>
      <c r="C19" s="357"/>
      <c r="D19" s="351" t="s">
        <v>77</v>
      </c>
      <c r="E19" s="48">
        <v>43466</v>
      </c>
      <c r="F19" s="48">
        <v>43830</v>
      </c>
      <c r="G19" s="12" t="s">
        <v>32</v>
      </c>
      <c r="H19" s="49">
        <v>1</v>
      </c>
      <c r="I19" s="49">
        <f>+J19</f>
        <v>1</v>
      </c>
      <c r="J19" s="49">
        <v>1</v>
      </c>
      <c r="K19" s="59"/>
      <c r="L19" s="140">
        <f t="shared" si="0"/>
        <v>0</v>
      </c>
      <c r="M19" s="103">
        <f t="shared" si="1"/>
        <v>-119.00277777777778</v>
      </c>
      <c r="N19" s="97">
        <f t="shared" si="2"/>
        <v>0</v>
      </c>
      <c r="O19" s="114" t="s">
        <v>150</v>
      </c>
      <c r="P19" s="49">
        <v>640000</v>
      </c>
      <c r="Q19" s="49"/>
      <c r="R19" s="49"/>
      <c r="S19" s="28">
        <f t="shared" si="3"/>
        <v>0</v>
      </c>
      <c r="T19" s="27" t="str">
        <f t="shared" si="4"/>
        <v xml:space="preserve"> -</v>
      </c>
    </row>
    <row r="20" spans="2:20" ht="30">
      <c r="B20" s="356"/>
      <c r="C20" s="357"/>
      <c r="D20" s="352"/>
      <c r="E20" s="45">
        <v>43466</v>
      </c>
      <c r="F20" s="45">
        <v>43830</v>
      </c>
      <c r="G20" s="8" t="s">
        <v>33</v>
      </c>
      <c r="H20" s="46">
        <v>4</v>
      </c>
      <c r="I20" s="46">
        <f>+J20</f>
        <v>4</v>
      </c>
      <c r="J20" s="46">
        <v>4</v>
      </c>
      <c r="K20" s="60"/>
      <c r="L20" s="141">
        <f t="shared" si="0"/>
        <v>0</v>
      </c>
      <c r="M20" s="104">
        <f t="shared" si="1"/>
        <v>-119.00277777777778</v>
      </c>
      <c r="N20" s="99">
        <f t="shared" si="2"/>
        <v>0</v>
      </c>
      <c r="O20" s="115" t="s">
        <v>151</v>
      </c>
      <c r="P20" s="46">
        <v>100000</v>
      </c>
      <c r="Q20" s="46"/>
      <c r="R20" s="46"/>
      <c r="S20" s="47">
        <f t="shared" si="3"/>
        <v>0</v>
      </c>
      <c r="T20" s="50" t="str">
        <f t="shared" si="4"/>
        <v xml:space="preserve"> -</v>
      </c>
    </row>
    <row r="21" spans="2:20" ht="45">
      <c r="B21" s="356"/>
      <c r="C21" s="357"/>
      <c r="D21" s="352"/>
      <c r="E21" s="45">
        <v>43466</v>
      </c>
      <c r="F21" s="45">
        <v>43830</v>
      </c>
      <c r="G21" s="8" t="s">
        <v>34</v>
      </c>
      <c r="H21" s="46">
        <v>11</v>
      </c>
      <c r="I21" s="46">
        <f>+J21+('2018'!I21-'2018'!K21)</f>
        <v>3</v>
      </c>
      <c r="J21" s="46">
        <v>2</v>
      </c>
      <c r="K21" s="60"/>
      <c r="L21" s="141">
        <f t="shared" si="0"/>
        <v>0</v>
      </c>
      <c r="M21" s="104">
        <f t="shared" si="1"/>
        <v>-119.00277777777778</v>
      </c>
      <c r="N21" s="99">
        <f t="shared" si="2"/>
        <v>0</v>
      </c>
      <c r="O21" s="115" t="s">
        <v>152</v>
      </c>
      <c r="P21" s="46">
        <v>300000</v>
      </c>
      <c r="Q21" s="46"/>
      <c r="R21" s="46"/>
      <c r="S21" s="47">
        <f t="shared" si="3"/>
        <v>0</v>
      </c>
      <c r="T21" s="50" t="str">
        <f t="shared" si="4"/>
        <v xml:space="preserve"> -</v>
      </c>
    </row>
    <row r="22" spans="2:20" ht="30">
      <c r="B22" s="356"/>
      <c r="C22" s="357"/>
      <c r="D22" s="352"/>
      <c r="E22" s="45">
        <v>43466</v>
      </c>
      <c r="F22" s="45">
        <v>43830</v>
      </c>
      <c r="G22" s="8" t="s">
        <v>35</v>
      </c>
      <c r="H22" s="46">
        <v>1</v>
      </c>
      <c r="I22" s="46">
        <f>+J22</f>
        <v>1</v>
      </c>
      <c r="J22" s="46">
        <v>1</v>
      </c>
      <c r="K22" s="60"/>
      <c r="L22" s="141">
        <f t="shared" si="0"/>
        <v>0</v>
      </c>
      <c r="M22" s="104">
        <f t="shared" si="1"/>
        <v>-119.00277777777778</v>
      </c>
      <c r="N22" s="99">
        <f t="shared" si="2"/>
        <v>0</v>
      </c>
      <c r="O22" s="115" t="s">
        <v>153</v>
      </c>
      <c r="P22" s="46">
        <v>120000</v>
      </c>
      <c r="Q22" s="46"/>
      <c r="R22" s="46"/>
      <c r="S22" s="47">
        <f t="shared" si="3"/>
        <v>0</v>
      </c>
      <c r="T22" s="50" t="str">
        <f t="shared" si="4"/>
        <v xml:space="preserve"> -</v>
      </c>
    </row>
    <row r="23" spans="2:20" ht="30">
      <c r="B23" s="356"/>
      <c r="C23" s="357"/>
      <c r="D23" s="352"/>
      <c r="E23" s="45">
        <v>43466</v>
      </c>
      <c r="F23" s="45">
        <v>43830</v>
      </c>
      <c r="G23" s="8" t="s">
        <v>36</v>
      </c>
      <c r="H23" s="46">
        <v>4</v>
      </c>
      <c r="I23" s="46">
        <f>+J23+('2018'!I23-'2018'!K23)</f>
        <v>1</v>
      </c>
      <c r="J23" s="46">
        <v>1</v>
      </c>
      <c r="K23" s="60"/>
      <c r="L23" s="141">
        <f t="shared" si="0"/>
        <v>0</v>
      </c>
      <c r="M23" s="104">
        <f t="shared" si="1"/>
        <v>-119.00277777777778</v>
      </c>
      <c r="N23" s="99">
        <f t="shared" si="2"/>
        <v>0</v>
      </c>
      <c r="O23" s="115" t="s">
        <v>154</v>
      </c>
      <c r="P23" s="46">
        <v>400000</v>
      </c>
      <c r="Q23" s="46"/>
      <c r="R23" s="46"/>
      <c r="S23" s="47">
        <f t="shared" si="3"/>
        <v>0</v>
      </c>
      <c r="T23" s="50" t="str">
        <f t="shared" si="4"/>
        <v xml:space="preserve"> -</v>
      </c>
    </row>
    <row r="24" spans="2:20" ht="30">
      <c r="B24" s="356"/>
      <c r="C24" s="357"/>
      <c r="D24" s="352"/>
      <c r="E24" s="45">
        <v>43466</v>
      </c>
      <c r="F24" s="45">
        <v>43830</v>
      </c>
      <c r="G24" s="8" t="s">
        <v>37</v>
      </c>
      <c r="H24" s="46">
        <v>1</v>
      </c>
      <c r="I24" s="46">
        <f>+J24</f>
        <v>1</v>
      </c>
      <c r="J24" s="46">
        <v>1</v>
      </c>
      <c r="K24" s="60"/>
      <c r="L24" s="141">
        <f t="shared" si="0"/>
        <v>0</v>
      </c>
      <c r="M24" s="104">
        <f t="shared" si="1"/>
        <v>-119.00277777777778</v>
      </c>
      <c r="N24" s="99">
        <f t="shared" si="2"/>
        <v>0</v>
      </c>
      <c r="O24" s="115" t="s">
        <v>155</v>
      </c>
      <c r="P24" s="46">
        <v>420000</v>
      </c>
      <c r="Q24" s="46"/>
      <c r="R24" s="46"/>
      <c r="S24" s="47">
        <f t="shared" si="3"/>
        <v>0</v>
      </c>
      <c r="T24" s="50" t="str">
        <f t="shared" si="4"/>
        <v xml:space="preserve"> -</v>
      </c>
    </row>
    <row r="25" spans="2:20" ht="60">
      <c r="B25" s="356"/>
      <c r="C25" s="357"/>
      <c r="D25" s="352"/>
      <c r="E25" s="45">
        <v>43466</v>
      </c>
      <c r="F25" s="45">
        <v>43830</v>
      </c>
      <c r="G25" s="8" t="s">
        <v>38</v>
      </c>
      <c r="H25" s="46">
        <v>840</v>
      </c>
      <c r="I25" s="46">
        <f>+J25+('2018'!I25-'2018'!K25)</f>
        <v>194</v>
      </c>
      <c r="J25" s="46">
        <v>240</v>
      </c>
      <c r="K25" s="60"/>
      <c r="L25" s="141">
        <f t="shared" si="0"/>
        <v>0</v>
      </c>
      <c r="M25" s="104">
        <f t="shared" si="1"/>
        <v>-119.00277777777778</v>
      </c>
      <c r="N25" s="99">
        <f t="shared" si="2"/>
        <v>0</v>
      </c>
      <c r="O25" s="115" t="s">
        <v>156</v>
      </c>
      <c r="P25" s="46">
        <v>72000</v>
      </c>
      <c r="Q25" s="46"/>
      <c r="R25" s="46"/>
      <c r="S25" s="47">
        <f t="shared" si="3"/>
        <v>0</v>
      </c>
      <c r="T25" s="50" t="str">
        <f t="shared" si="4"/>
        <v xml:space="preserve"> -</v>
      </c>
    </row>
    <row r="26" spans="2:20" ht="45">
      <c r="B26" s="356"/>
      <c r="C26" s="357"/>
      <c r="D26" s="352"/>
      <c r="E26" s="45">
        <v>43466</v>
      </c>
      <c r="F26" s="45">
        <v>43830</v>
      </c>
      <c r="G26" s="8" t="s">
        <v>39</v>
      </c>
      <c r="H26" s="46">
        <v>1</v>
      </c>
      <c r="I26" s="46">
        <f>+J26</f>
        <v>1</v>
      </c>
      <c r="J26" s="46">
        <v>1</v>
      </c>
      <c r="K26" s="60"/>
      <c r="L26" s="141">
        <f t="shared" si="0"/>
        <v>0</v>
      </c>
      <c r="M26" s="104">
        <f t="shared" si="1"/>
        <v>-119.00277777777778</v>
      </c>
      <c r="N26" s="99">
        <f t="shared" si="2"/>
        <v>0</v>
      </c>
      <c r="O26" s="115" t="s">
        <v>157</v>
      </c>
      <c r="P26" s="46">
        <v>0</v>
      </c>
      <c r="Q26" s="46"/>
      <c r="R26" s="46"/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6"/>
      <c r="C27" s="357"/>
      <c r="D27" s="352"/>
      <c r="E27" s="45">
        <v>43466</v>
      </c>
      <c r="F27" s="45">
        <v>43830</v>
      </c>
      <c r="G27" s="9" t="s">
        <v>93</v>
      </c>
      <c r="H27" s="46">
        <v>5</v>
      </c>
      <c r="I27" s="46">
        <f>+J27</f>
        <v>1</v>
      </c>
      <c r="J27" s="46">
        <v>1</v>
      </c>
      <c r="K27" s="60"/>
      <c r="L27" s="141">
        <f t="shared" si="0"/>
        <v>0</v>
      </c>
      <c r="M27" s="104">
        <f t="shared" si="1"/>
        <v>-119.00277777777778</v>
      </c>
      <c r="N27" s="99">
        <f t="shared" si="2"/>
        <v>0</v>
      </c>
      <c r="O27" s="115" t="s">
        <v>158</v>
      </c>
      <c r="P27" s="46">
        <v>0</v>
      </c>
      <c r="Q27" s="46"/>
      <c r="R27" s="46"/>
      <c r="S27" s="47" t="str">
        <f t="shared" si="3"/>
        <v xml:space="preserve"> -</v>
      </c>
      <c r="T27" s="50" t="str">
        <f t="shared" si="4"/>
        <v xml:space="preserve"> -</v>
      </c>
    </row>
    <row r="28" spans="2:20" ht="60">
      <c r="B28" s="356"/>
      <c r="C28" s="357"/>
      <c r="D28" s="352"/>
      <c r="E28" s="45">
        <v>43466</v>
      </c>
      <c r="F28" s="45">
        <v>43830</v>
      </c>
      <c r="G28" s="9" t="s">
        <v>40</v>
      </c>
      <c r="H28" s="46">
        <v>1</v>
      </c>
      <c r="I28" s="46">
        <f>+J28</f>
        <v>1</v>
      </c>
      <c r="J28" s="46">
        <v>1</v>
      </c>
      <c r="K28" s="60"/>
      <c r="L28" s="141">
        <f t="shared" si="0"/>
        <v>0</v>
      </c>
      <c r="M28" s="104">
        <f t="shared" si="1"/>
        <v>-119.00277777777778</v>
      </c>
      <c r="N28" s="99">
        <f t="shared" si="2"/>
        <v>0</v>
      </c>
      <c r="O28" s="115" t="s">
        <v>159</v>
      </c>
      <c r="P28" s="46">
        <v>0</v>
      </c>
      <c r="Q28" s="46"/>
      <c r="R28" s="46"/>
      <c r="S28" s="47" t="str">
        <f t="shared" si="3"/>
        <v xml:space="preserve"> -</v>
      </c>
      <c r="T28" s="50" t="str">
        <f t="shared" si="4"/>
        <v xml:space="preserve"> -</v>
      </c>
    </row>
    <row r="29" spans="2:20" ht="60">
      <c r="B29" s="356"/>
      <c r="C29" s="357"/>
      <c r="D29" s="352"/>
      <c r="E29" s="45">
        <v>43466</v>
      </c>
      <c r="F29" s="45">
        <v>43830</v>
      </c>
      <c r="G29" s="9" t="s">
        <v>41</v>
      </c>
      <c r="H29" s="46">
        <v>1</v>
      </c>
      <c r="I29" s="46">
        <f>+J29+('2018'!I29-'2018'!K29)</f>
        <v>1</v>
      </c>
      <c r="J29" s="46">
        <v>1</v>
      </c>
      <c r="K29" s="60"/>
      <c r="L29" s="141">
        <f t="shared" si="0"/>
        <v>0</v>
      </c>
      <c r="M29" s="104">
        <f t="shared" si="1"/>
        <v>-119.00277777777778</v>
      </c>
      <c r="N29" s="99">
        <f t="shared" si="2"/>
        <v>0</v>
      </c>
      <c r="O29" s="115" t="s">
        <v>158</v>
      </c>
      <c r="P29" s="46">
        <v>0</v>
      </c>
      <c r="Q29" s="46"/>
      <c r="R29" s="46"/>
      <c r="S29" s="47" t="str">
        <f t="shared" si="3"/>
        <v xml:space="preserve"> -</v>
      </c>
      <c r="T29" s="50" t="str">
        <f t="shared" si="4"/>
        <v xml:space="preserve"> -</v>
      </c>
    </row>
    <row r="30" spans="2:20" ht="61" thickBot="1">
      <c r="B30" s="356"/>
      <c r="C30" s="357"/>
      <c r="D30" s="353"/>
      <c r="E30" s="51">
        <v>43466</v>
      </c>
      <c r="F30" s="51">
        <v>43830</v>
      </c>
      <c r="G30" s="10" t="s">
        <v>42</v>
      </c>
      <c r="H30" s="52">
        <v>1</v>
      </c>
      <c r="I30" s="52">
        <f>+J30+('2018'!I30-'2018'!K30)</f>
        <v>-1</v>
      </c>
      <c r="J30" s="52">
        <v>0</v>
      </c>
      <c r="K30" s="61"/>
      <c r="L30" s="142" t="e">
        <f t="shared" si="0"/>
        <v>#DIV/0!</v>
      </c>
      <c r="M30" s="105">
        <f t="shared" si="1"/>
        <v>-119.00277777777778</v>
      </c>
      <c r="N30" s="98" t="str">
        <f t="shared" si="2"/>
        <v xml:space="preserve"> -</v>
      </c>
      <c r="O30" s="116" t="s">
        <v>160</v>
      </c>
      <c r="P30" s="52">
        <v>0</v>
      </c>
      <c r="Q30" s="52"/>
      <c r="R30" s="52"/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6"/>
      <c r="C31" s="357"/>
      <c r="D31" s="351" t="s">
        <v>78</v>
      </c>
      <c r="E31" s="48">
        <v>43466</v>
      </c>
      <c r="F31" s="48">
        <v>43830</v>
      </c>
      <c r="G31" s="12" t="s">
        <v>43</v>
      </c>
      <c r="H31" s="49">
        <v>1</v>
      </c>
      <c r="I31" s="49">
        <f>+J31</f>
        <v>1</v>
      </c>
      <c r="J31" s="49">
        <v>1</v>
      </c>
      <c r="K31" s="59"/>
      <c r="L31" s="143">
        <f t="shared" si="0"/>
        <v>0</v>
      </c>
      <c r="M31" s="106">
        <f t="shared" si="1"/>
        <v>-119.00277777777778</v>
      </c>
      <c r="N31" s="100">
        <f t="shared" si="2"/>
        <v>0</v>
      </c>
      <c r="O31" s="117" t="s">
        <v>161</v>
      </c>
      <c r="P31" s="90">
        <v>2045000</v>
      </c>
      <c r="Q31" s="90"/>
      <c r="R31" s="90"/>
      <c r="S31" s="33">
        <f t="shared" si="3"/>
        <v>0</v>
      </c>
      <c r="T31" s="32" t="str">
        <f t="shared" si="4"/>
        <v xml:space="preserve"> -</v>
      </c>
    </row>
    <row r="32" spans="2:20" ht="45">
      <c r="B32" s="356"/>
      <c r="C32" s="357"/>
      <c r="D32" s="352"/>
      <c r="E32" s="45">
        <v>43466</v>
      </c>
      <c r="F32" s="45">
        <v>43830</v>
      </c>
      <c r="G32" s="8" t="s">
        <v>44</v>
      </c>
      <c r="H32" s="46">
        <v>1</v>
      </c>
      <c r="I32" s="46">
        <f>+J32</f>
        <v>1</v>
      </c>
      <c r="J32" s="46">
        <v>1</v>
      </c>
      <c r="K32" s="60"/>
      <c r="L32" s="141">
        <f t="shared" si="0"/>
        <v>0</v>
      </c>
      <c r="M32" s="104">
        <f t="shared" si="1"/>
        <v>-119.00277777777778</v>
      </c>
      <c r="N32" s="99">
        <f t="shared" si="2"/>
        <v>0</v>
      </c>
      <c r="O32" s="115" t="s">
        <v>162</v>
      </c>
      <c r="P32" s="46">
        <v>100000</v>
      </c>
      <c r="Q32" s="46"/>
      <c r="R32" s="46"/>
      <c r="S32" s="47">
        <f t="shared" si="3"/>
        <v>0</v>
      </c>
      <c r="T32" s="50" t="str">
        <f t="shared" si="4"/>
        <v xml:space="preserve"> -</v>
      </c>
    </row>
    <row r="33" spans="2:20" ht="45">
      <c r="B33" s="356"/>
      <c r="C33" s="357"/>
      <c r="D33" s="352"/>
      <c r="E33" s="45">
        <v>43466</v>
      </c>
      <c r="F33" s="45">
        <v>43830</v>
      </c>
      <c r="G33" s="8" t="s">
        <v>45</v>
      </c>
      <c r="H33" s="46">
        <v>1</v>
      </c>
      <c r="I33" s="46">
        <f>+J33</f>
        <v>1</v>
      </c>
      <c r="J33" s="46">
        <v>1</v>
      </c>
      <c r="K33" s="60"/>
      <c r="L33" s="141">
        <f t="shared" si="0"/>
        <v>0</v>
      </c>
      <c r="M33" s="104">
        <f t="shared" si="1"/>
        <v>-119.00277777777778</v>
      </c>
      <c r="N33" s="99">
        <f t="shared" si="2"/>
        <v>0</v>
      </c>
      <c r="O33" s="115" t="s">
        <v>163</v>
      </c>
      <c r="P33" s="46">
        <v>600000</v>
      </c>
      <c r="Q33" s="46"/>
      <c r="R33" s="46"/>
      <c r="S33" s="47">
        <f t="shared" si="3"/>
        <v>0</v>
      </c>
      <c r="T33" s="50" t="str">
        <f t="shared" si="4"/>
        <v xml:space="preserve"> -</v>
      </c>
    </row>
    <row r="34" spans="2:20" ht="30">
      <c r="B34" s="356"/>
      <c r="C34" s="357"/>
      <c r="D34" s="352"/>
      <c r="E34" s="45">
        <v>43466</v>
      </c>
      <c r="F34" s="45">
        <v>43830</v>
      </c>
      <c r="G34" s="11" t="s">
        <v>46</v>
      </c>
      <c r="H34" s="46">
        <v>1</v>
      </c>
      <c r="I34" s="46">
        <f>+J34+('2018'!I34-'2018'!K34)</f>
        <v>1</v>
      </c>
      <c r="J34" s="46">
        <v>1</v>
      </c>
      <c r="K34" s="60"/>
      <c r="L34" s="141">
        <f t="shared" si="0"/>
        <v>0</v>
      </c>
      <c r="M34" s="104">
        <f t="shared" si="1"/>
        <v>-119.00277777777778</v>
      </c>
      <c r="N34" s="99">
        <f t="shared" si="2"/>
        <v>0</v>
      </c>
      <c r="O34" s="115" t="s">
        <v>164</v>
      </c>
      <c r="P34" s="46">
        <v>0</v>
      </c>
      <c r="Q34" s="46"/>
      <c r="R34" s="46"/>
      <c r="S34" s="47" t="str">
        <f t="shared" si="3"/>
        <v xml:space="preserve"> -</v>
      </c>
      <c r="T34" s="50" t="str">
        <f t="shared" si="4"/>
        <v xml:space="preserve"> -</v>
      </c>
    </row>
    <row r="35" spans="2:20" ht="60">
      <c r="B35" s="356"/>
      <c r="C35" s="357"/>
      <c r="D35" s="352"/>
      <c r="E35" s="45">
        <v>43466</v>
      </c>
      <c r="F35" s="45">
        <v>43830</v>
      </c>
      <c r="G35" s="9" t="s">
        <v>47</v>
      </c>
      <c r="H35" s="46">
        <v>1</v>
      </c>
      <c r="I35" s="46">
        <f>+J35+('2018'!I35-'2018'!K35)</f>
        <v>-2</v>
      </c>
      <c r="J35" s="46">
        <v>0</v>
      </c>
      <c r="K35" s="60"/>
      <c r="L35" s="141" t="e">
        <f t="shared" si="0"/>
        <v>#DIV/0!</v>
      </c>
      <c r="M35" s="104">
        <f t="shared" si="1"/>
        <v>-119.00277777777778</v>
      </c>
      <c r="N35" s="99" t="str">
        <f t="shared" si="2"/>
        <v xml:space="preserve"> -</v>
      </c>
      <c r="O35" s="115" t="s">
        <v>165</v>
      </c>
      <c r="P35" s="46">
        <v>0</v>
      </c>
      <c r="Q35" s="46"/>
      <c r="R35" s="46"/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6"/>
      <c r="C36" s="357"/>
      <c r="D36" s="352"/>
      <c r="E36" s="45">
        <v>43466</v>
      </c>
      <c r="F36" s="45">
        <v>43830</v>
      </c>
      <c r="G36" s="9" t="s">
        <v>48</v>
      </c>
      <c r="H36" s="46">
        <v>1</v>
      </c>
      <c r="I36" s="46">
        <f>+J36</f>
        <v>1</v>
      </c>
      <c r="J36" s="46">
        <v>1</v>
      </c>
      <c r="K36" s="60"/>
      <c r="L36" s="141">
        <f t="shared" si="0"/>
        <v>0</v>
      </c>
      <c r="M36" s="104">
        <f t="shared" si="1"/>
        <v>-119.00277777777778</v>
      </c>
      <c r="N36" s="99">
        <f t="shared" si="2"/>
        <v>0</v>
      </c>
      <c r="O36" s="115" t="s">
        <v>166</v>
      </c>
      <c r="P36" s="46">
        <v>700000</v>
      </c>
      <c r="Q36" s="46"/>
      <c r="R36" s="46"/>
      <c r="S36" s="47">
        <f t="shared" si="3"/>
        <v>0</v>
      </c>
      <c r="T36" s="50" t="str">
        <f t="shared" si="4"/>
        <v xml:space="preserve"> -</v>
      </c>
    </row>
    <row r="37" spans="2:20" ht="46" thickBot="1">
      <c r="B37" s="356"/>
      <c r="C37" s="357"/>
      <c r="D37" s="353"/>
      <c r="E37" s="51">
        <v>43466</v>
      </c>
      <c r="F37" s="51">
        <v>43830</v>
      </c>
      <c r="G37" s="10" t="s">
        <v>49</v>
      </c>
      <c r="H37" s="52">
        <v>1</v>
      </c>
      <c r="I37" s="52">
        <f>+J37</f>
        <v>1</v>
      </c>
      <c r="J37" s="52">
        <v>1</v>
      </c>
      <c r="K37" s="61"/>
      <c r="L37" s="144">
        <f t="shared" si="0"/>
        <v>0</v>
      </c>
      <c r="M37" s="107">
        <f t="shared" si="1"/>
        <v>-119.00277777777778</v>
      </c>
      <c r="N37" s="101">
        <f t="shared" si="2"/>
        <v>0</v>
      </c>
      <c r="O37" s="118" t="s">
        <v>167</v>
      </c>
      <c r="P37" s="81">
        <v>300000</v>
      </c>
      <c r="Q37" s="81"/>
      <c r="R37" s="81"/>
      <c r="S37" s="82">
        <f t="shared" si="3"/>
        <v>0</v>
      </c>
      <c r="T37" s="83" t="str">
        <f t="shared" si="4"/>
        <v xml:space="preserve"> -</v>
      </c>
    </row>
    <row r="38" spans="2:20" ht="30">
      <c r="B38" s="356"/>
      <c r="C38" s="357"/>
      <c r="D38" s="351" t="s">
        <v>79</v>
      </c>
      <c r="E38" s="48">
        <v>43466</v>
      </c>
      <c r="F38" s="48">
        <v>43830</v>
      </c>
      <c r="G38" s="12" t="s">
        <v>50</v>
      </c>
      <c r="H38" s="49">
        <v>4</v>
      </c>
      <c r="I38" s="49">
        <f>+J38+('2018'!I38-'2018'!K38)</f>
        <v>-1</v>
      </c>
      <c r="J38" s="49">
        <v>1</v>
      </c>
      <c r="K38" s="59"/>
      <c r="L38" s="140">
        <f t="shared" si="0"/>
        <v>0</v>
      </c>
      <c r="M38" s="103">
        <f t="shared" si="1"/>
        <v>-119.00277777777778</v>
      </c>
      <c r="N38" s="97">
        <f t="shared" si="2"/>
        <v>0</v>
      </c>
      <c r="O38" s="114" t="s">
        <v>168</v>
      </c>
      <c r="P38" s="49">
        <v>815000</v>
      </c>
      <c r="Q38" s="49"/>
      <c r="R38" s="49"/>
      <c r="S38" s="28">
        <f t="shared" si="3"/>
        <v>0</v>
      </c>
      <c r="T38" s="27" t="str">
        <f t="shared" si="4"/>
        <v xml:space="preserve"> -</v>
      </c>
    </row>
    <row r="39" spans="2:20" ht="45">
      <c r="B39" s="356"/>
      <c r="C39" s="357"/>
      <c r="D39" s="352"/>
      <c r="E39" s="45">
        <v>43466</v>
      </c>
      <c r="F39" s="45">
        <v>43830</v>
      </c>
      <c r="G39" s="8" t="s">
        <v>51</v>
      </c>
      <c r="H39" s="46">
        <v>4</v>
      </c>
      <c r="I39" s="46">
        <f>+J39+('2018'!I39-'2018'!K39)</f>
        <v>1</v>
      </c>
      <c r="J39" s="46">
        <v>1</v>
      </c>
      <c r="K39" s="60"/>
      <c r="L39" s="141">
        <f t="shared" si="0"/>
        <v>0</v>
      </c>
      <c r="M39" s="104">
        <f t="shared" si="1"/>
        <v>-119.00277777777778</v>
      </c>
      <c r="N39" s="99">
        <f t="shared" si="2"/>
        <v>0</v>
      </c>
      <c r="O39" s="115" t="s">
        <v>169</v>
      </c>
      <c r="P39" s="46">
        <v>300000</v>
      </c>
      <c r="Q39" s="46"/>
      <c r="R39" s="46"/>
      <c r="S39" s="47">
        <f t="shared" si="3"/>
        <v>0</v>
      </c>
      <c r="T39" s="50" t="str">
        <f t="shared" si="4"/>
        <v xml:space="preserve"> -</v>
      </c>
    </row>
    <row r="40" spans="2:20" ht="45">
      <c r="B40" s="356"/>
      <c r="C40" s="357"/>
      <c r="D40" s="352"/>
      <c r="E40" s="45">
        <v>43466</v>
      </c>
      <c r="F40" s="45">
        <v>43830</v>
      </c>
      <c r="G40" s="8" t="s">
        <v>52</v>
      </c>
      <c r="H40" s="46">
        <v>1</v>
      </c>
      <c r="I40" s="46">
        <f>+J40</f>
        <v>1</v>
      </c>
      <c r="J40" s="46">
        <v>1</v>
      </c>
      <c r="K40" s="60"/>
      <c r="L40" s="141">
        <f t="shared" si="0"/>
        <v>0</v>
      </c>
      <c r="M40" s="104">
        <f t="shared" si="1"/>
        <v>-119.00277777777778</v>
      </c>
      <c r="N40" s="99">
        <f t="shared" si="2"/>
        <v>0</v>
      </c>
      <c r="O40" s="115" t="s">
        <v>170</v>
      </c>
      <c r="P40" s="46">
        <v>40000</v>
      </c>
      <c r="Q40" s="46"/>
      <c r="R40" s="46"/>
      <c r="S40" s="47">
        <f t="shared" si="3"/>
        <v>0</v>
      </c>
      <c r="T40" s="50" t="str">
        <f t="shared" si="4"/>
        <v xml:space="preserve"> -</v>
      </c>
    </row>
    <row r="41" spans="2:20" ht="45">
      <c r="B41" s="356"/>
      <c r="C41" s="357"/>
      <c r="D41" s="352"/>
      <c r="E41" s="45">
        <v>43466</v>
      </c>
      <c r="F41" s="45">
        <v>43830</v>
      </c>
      <c r="G41" s="8" t="s">
        <v>53</v>
      </c>
      <c r="H41" s="46">
        <v>1</v>
      </c>
      <c r="I41" s="46">
        <f>+J41</f>
        <v>1</v>
      </c>
      <c r="J41" s="46">
        <v>1</v>
      </c>
      <c r="K41" s="60"/>
      <c r="L41" s="141">
        <f t="shared" si="0"/>
        <v>0</v>
      </c>
      <c r="M41" s="104">
        <f t="shared" si="1"/>
        <v>-119.00277777777778</v>
      </c>
      <c r="N41" s="99">
        <f t="shared" si="2"/>
        <v>0</v>
      </c>
      <c r="O41" s="115" t="s">
        <v>171</v>
      </c>
      <c r="P41" s="46">
        <v>315000</v>
      </c>
      <c r="Q41" s="46"/>
      <c r="R41" s="46"/>
      <c r="S41" s="47">
        <f t="shared" si="3"/>
        <v>0</v>
      </c>
      <c r="T41" s="50" t="str">
        <f t="shared" si="4"/>
        <v xml:space="preserve"> -</v>
      </c>
    </row>
    <row r="42" spans="2:20" ht="30">
      <c r="B42" s="356"/>
      <c r="C42" s="357"/>
      <c r="D42" s="352"/>
      <c r="E42" s="45">
        <v>43466</v>
      </c>
      <c r="F42" s="45">
        <v>43830</v>
      </c>
      <c r="G42" s="9" t="s">
        <v>54</v>
      </c>
      <c r="H42" s="46">
        <v>1</v>
      </c>
      <c r="I42" s="46">
        <f>+J42+('2018'!I42-'2018'!K42)</f>
        <v>-2</v>
      </c>
      <c r="J42" s="46">
        <v>0</v>
      </c>
      <c r="K42" s="60"/>
      <c r="L42" s="141" t="e">
        <f t="shared" si="0"/>
        <v>#DIV/0!</v>
      </c>
      <c r="M42" s="104">
        <f t="shared" si="1"/>
        <v>-119.00277777777778</v>
      </c>
      <c r="N42" s="99" t="str">
        <f t="shared" si="2"/>
        <v xml:space="preserve"> -</v>
      </c>
      <c r="O42" s="115" t="s">
        <v>145</v>
      </c>
      <c r="P42" s="46">
        <v>0</v>
      </c>
      <c r="Q42" s="46"/>
      <c r="R42" s="46"/>
      <c r="S42" s="47" t="str">
        <f t="shared" si="3"/>
        <v xml:space="preserve"> -</v>
      </c>
      <c r="T42" s="50" t="str">
        <f t="shared" si="4"/>
        <v xml:space="preserve"> -</v>
      </c>
    </row>
    <row r="43" spans="2:20" ht="30">
      <c r="B43" s="356"/>
      <c r="C43" s="357"/>
      <c r="D43" s="352"/>
      <c r="E43" s="45">
        <v>43466</v>
      </c>
      <c r="F43" s="45">
        <v>43830</v>
      </c>
      <c r="G43" s="11" t="s">
        <v>55</v>
      </c>
      <c r="H43" s="46">
        <v>1</v>
      </c>
      <c r="I43" s="46">
        <f>+J43+('2018'!I43-'2018'!K43)</f>
        <v>0</v>
      </c>
      <c r="J43" s="46">
        <v>0</v>
      </c>
      <c r="K43" s="60"/>
      <c r="L43" s="141" t="e">
        <f t="shared" si="0"/>
        <v>#DIV/0!</v>
      </c>
      <c r="M43" s="104">
        <f t="shared" si="1"/>
        <v>-119.00277777777778</v>
      </c>
      <c r="N43" s="99" t="str">
        <f t="shared" si="2"/>
        <v xml:space="preserve"> -</v>
      </c>
      <c r="O43" s="115" t="s">
        <v>145</v>
      </c>
      <c r="P43" s="46">
        <v>0</v>
      </c>
      <c r="Q43" s="46"/>
      <c r="R43" s="46"/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6"/>
      <c r="C44" s="357"/>
      <c r="D44" s="353"/>
      <c r="E44" s="51">
        <v>43466</v>
      </c>
      <c r="F44" s="51">
        <v>43830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/>
      <c r="L44" s="142">
        <f t="shared" si="0"/>
        <v>0</v>
      </c>
      <c r="M44" s="105">
        <f t="shared" si="1"/>
        <v>-119.00277777777778</v>
      </c>
      <c r="N44" s="98">
        <f t="shared" si="2"/>
        <v>0</v>
      </c>
      <c r="O44" s="116" t="s">
        <v>172</v>
      </c>
      <c r="P44" s="52">
        <v>322014</v>
      </c>
      <c r="Q44" s="52"/>
      <c r="R44" s="52"/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6"/>
      <c r="C45" s="357"/>
      <c r="D45" s="168" t="s">
        <v>80</v>
      </c>
      <c r="E45" s="136">
        <v>43466</v>
      </c>
      <c r="F45" s="136">
        <v>43830</v>
      </c>
      <c r="G45" s="145" t="s">
        <v>57</v>
      </c>
      <c r="H45" s="137">
        <v>48</v>
      </c>
      <c r="I45" s="137">
        <f>+J45+('2018'!I45-'2018'!K45)</f>
        <v>-124</v>
      </c>
      <c r="J45" s="137">
        <v>14</v>
      </c>
      <c r="K45" s="138"/>
      <c r="L45" s="139">
        <f t="shared" si="0"/>
        <v>0</v>
      </c>
      <c r="M45" s="108">
        <f t="shared" si="1"/>
        <v>-119.00277777777778</v>
      </c>
      <c r="N45" s="102">
        <f t="shared" si="2"/>
        <v>0</v>
      </c>
      <c r="O45" s="119" t="s">
        <v>173</v>
      </c>
      <c r="P45" s="86">
        <v>300000</v>
      </c>
      <c r="Q45" s="86"/>
      <c r="R45" s="86"/>
      <c r="S45" s="87">
        <f t="shared" si="3"/>
        <v>0</v>
      </c>
      <c r="T45" s="88" t="str">
        <f t="shared" si="4"/>
        <v xml:space="preserve"> -</v>
      </c>
    </row>
    <row r="46" spans="2:20" ht="60">
      <c r="B46" s="356"/>
      <c r="C46" s="357"/>
      <c r="D46" s="351" t="s">
        <v>81</v>
      </c>
      <c r="E46" s="48">
        <v>43466</v>
      </c>
      <c r="F46" s="48">
        <v>43830</v>
      </c>
      <c r="G46" s="12" t="s">
        <v>90</v>
      </c>
      <c r="H46" s="49">
        <v>8</v>
      </c>
      <c r="I46" s="49">
        <f>+J46+('2018'!I46-'2018'!K46)</f>
        <v>5</v>
      </c>
      <c r="J46" s="49">
        <v>2</v>
      </c>
      <c r="K46" s="59"/>
      <c r="L46" s="140">
        <f t="shared" si="0"/>
        <v>0</v>
      </c>
      <c r="M46" s="103">
        <f t="shared" si="1"/>
        <v>-119.00277777777778</v>
      </c>
      <c r="N46" s="97">
        <f t="shared" si="2"/>
        <v>0</v>
      </c>
      <c r="O46" s="114" t="s">
        <v>174</v>
      </c>
      <c r="P46" s="49">
        <v>100000</v>
      </c>
      <c r="Q46" s="49"/>
      <c r="R46" s="49"/>
      <c r="S46" s="28">
        <f t="shared" si="3"/>
        <v>0</v>
      </c>
      <c r="T46" s="27" t="str">
        <f t="shared" si="4"/>
        <v xml:space="preserve"> -</v>
      </c>
    </row>
    <row r="47" spans="2:20" ht="60">
      <c r="B47" s="356"/>
      <c r="C47" s="357"/>
      <c r="D47" s="352"/>
      <c r="E47" s="45">
        <v>43466</v>
      </c>
      <c r="F47" s="45">
        <v>43830</v>
      </c>
      <c r="G47" s="8" t="s">
        <v>91</v>
      </c>
      <c r="H47" s="46">
        <v>8</v>
      </c>
      <c r="I47" s="46">
        <f>+J47+('2018'!I47-'2018'!K47)</f>
        <v>4</v>
      </c>
      <c r="J47" s="46">
        <v>2</v>
      </c>
      <c r="K47" s="60"/>
      <c r="L47" s="141">
        <f t="shared" si="0"/>
        <v>0</v>
      </c>
      <c r="M47" s="104">
        <f t="shared" si="1"/>
        <v>-119.00277777777778</v>
      </c>
      <c r="N47" s="99">
        <f t="shared" si="2"/>
        <v>0</v>
      </c>
      <c r="O47" s="115" t="s">
        <v>175</v>
      </c>
      <c r="P47" s="46">
        <v>100000</v>
      </c>
      <c r="Q47" s="46"/>
      <c r="R47" s="46"/>
      <c r="S47" s="47">
        <f t="shared" si="3"/>
        <v>0</v>
      </c>
      <c r="T47" s="50" t="str">
        <f t="shared" si="4"/>
        <v xml:space="preserve"> -</v>
      </c>
    </row>
    <row r="48" spans="2:20" ht="45">
      <c r="B48" s="356"/>
      <c r="C48" s="357"/>
      <c r="D48" s="352"/>
      <c r="E48" s="45">
        <v>43466</v>
      </c>
      <c r="F48" s="45">
        <v>43830</v>
      </c>
      <c r="G48" s="8" t="s">
        <v>58</v>
      </c>
      <c r="H48" s="46">
        <v>4</v>
      </c>
      <c r="I48" s="46">
        <f>+J48+('2018'!I48-'2018'!K48)</f>
        <v>2</v>
      </c>
      <c r="J48" s="46">
        <v>1</v>
      </c>
      <c r="K48" s="60"/>
      <c r="L48" s="141">
        <f t="shared" si="0"/>
        <v>0</v>
      </c>
      <c r="M48" s="104">
        <f t="shared" si="1"/>
        <v>-119.00277777777778</v>
      </c>
      <c r="N48" s="99">
        <f t="shared" si="2"/>
        <v>0</v>
      </c>
      <c r="O48" s="115" t="s">
        <v>176</v>
      </c>
      <c r="P48" s="46">
        <v>50000</v>
      </c>
      <c r="Q48" s="46"/>
      <c r="R48" s="46"/>
      <c r="S48" s="47">
        <f t="shared" si="3"/>
        <v>0</v>
      </c>
      <c r="T48" s="50" t="str">
        <f t="shared" si="4"/>
        <v xml:space="preserve"> -</v>
      </c>
    </row>
    <row r="49" spans="2:20" ht="45">
      <c r="B49" s="356"/>
      <c r="C49" s="357"/>
      <c r="D49" s="352"/>
      <c r="E49" s="45">
        <v>43466</v>
      </c>
      <c r="F49" s="45">
        <v>43830</v>
      </c>
      <c r="G49" s="9" t="s">
        <v>60</v>
      </c>
      <c r="H49" s="46">
        <v>1</v>
      </c>
      <c r="I49" s="46">
        <f>+J49+('2018'!I49-'2018'!K49)</f>
        <v>-1</v>
      </c>
      <c r="J49" s="46">
        <v>0</v>
      </c>
      <c r="K49" s="60"/>
      <c r="L49" s="141" t="e">
        <f t="shared" si="0"/>
        <v>#DIV/0!</v>
      </c>
      <c r="M49" s="104">
        <f t="shared" si="1"/>
        <v>-119.00277777777778</v>
      </c>
      <c r="N49" s="99" t="str">
        <f t="shared" si="2"/>
        <v xml:space="preserve"> -</v>
      </c>
      <c r="O49" s="115" t="s">
        <v>145</v>
      </c>
      <c r="P49" s="46">
        <v>0</v>
      </c>
      <c r="Q49" s="46"/>
      <c r="R49" s="46"/>
      <c r="S49" s="47" t="str">
        <f t="shared" si="3"/>
        <v xml:space="preserve"> -</v>
      </c>
      <c r="T49" s="50" t="str">
        <f t="shared" si="4"/>
        <v xml:space="preserve"> -</v>
      </c>
    </row>
    <row r="50" spans="2:20" ht="45">
      <c r="B50" s="356"/>
      <c r="C50" s="357"/>
      <c r="D50" s="352"/>
      <c r="E50" s="45">
        <v>43466</v>
      </c>
      <c r="F50" s="45">
        <v>43830</v>
      </c>
      <c r="G50" s="9" t="s">
        <v>61</v>
      </c>
      <c r="H50" s="46">
        <v>2</v>
      </c>
      <c r="I50" s="46">
        <f>+J50+('2018'!I50-'2018'!K50)</f>
        <v>2</v>
      </c>
      <c r="J50" s="46">
        <v>2</v>
      </c>
      <c r="K50" s="60"/>
      <c r="L50" s="141">
        <f t="shared" si="0"/>
        <v>0</v>
      </c>
      <c r="M50" s="104">
        <f t="shared" si="1"/>
        <v>-119.00277777777778</v>
      </c>
      <c r="N50" s="99">
        <f t="shared" si="2"/>
        <v>0</v>
      </c>
      <c r="O50" s="115" t="s">
        <v>178</v>
      </c>
      <c r="P50" s="46">
        <v>3000000</v>
      </c>
      <c r="Q50" s="46"/>
      <c r="R50" s="46"/>
      <c r="S50" s="47">
        <f t="shared" si="3"/>
        <v>0</v>
      </c>
      <c r="T50" s="50" t="str">
        <f t="shared" si="4"/>
        <v xml:space="preserve"> -</v>
      </c>
    </row>
    <row r="51" spans="2:20" ht="75">
      <c r="B51" s="356"/>
      <c r="C51" s="357"/>
      <c r="D51" s="352"/>
      <c r="E51" s="45">
        <v>43466</v>
      </c>
      <c r="F51" s="45">
        <v>43830</v>
      </c>
      <c r="G51" s="9" t="s">
        <v>62</v>
      </c>
      <c r="H51" s="46">
        <v>1</v>
      </c>
      <c r="I51" s="46">
        <f>+J51</f>
        <v>1</v>
      </c>
      <c r="J51" s="46">
        <v>1</v>
      </c>
      <c r="K51" s="60"/>
      <c r="L51" s="141">
        <f t="shared" si="0"/>
        <v>0</v>
      </c>
      <c r="M51" s="104">
        <f t="shared" si="1"/>
        <v>-119.00277777777778</v>
      </c>
      <c r="N51" s="99">
        <f t="shared" si="2"/>
        <v>0</v>
      </c>
      <c r="O51" s="115" t="s">
        <v>179</v>
      </c>
      <c r="P51" s="46">
        <v>250000</v>
      </c>
      <c r="Q51" s="46"/>
      <c r="R51" s="46"/>
      <c r="S51" s="47">
        <f t="shared" si="3"/>
        <v>0</v>
      </c>
      <c r="T51" s="50" t="str">
        <f t="shared" si="4"/>
        <v xml:space="preserve"> -</v>
      </c>
    </row>
    <row r="52" spans="2:20" ht="61" thickBot="1">
      <c r="B52" s="356"/>
      <c r="C52" s="357"/>
      <c r="D52" s="353"/>
      <c r="E52" s="51">
        <v>43466</v>
      </c>
      <c r="F52" s="51">
        <v>43830</v>
      </c>
      <c r="G52" s="10" t="s">
        <v>63</v>
      </c>
      <c r="H52" s="52">
        <v>1</v>
      </c>
      <c r="I52" s="52">
        <f>+J52</f>
        <v>1</v>
      </c>
      <c r="J52" s="52">
        <v>1</v>
      </c>
      <c r="K52" s="61"/>
      <c r="L52" s="142">
        <f t="shared" si="0"/>
        <v>0</v>
      </c>
      <c r="M52" s="105">
        <f t="shared" si="1"/>
        <v>-119.00277777777778</v>
      </c>
      <c r="N52" s="98">
        <f t="shared" si="2"/>
        <v>0</v>
      </c>
      <c r="O52" s="116" t="s">
        <v>180</v>
      </c>
      <c r="P52" s="52">
        <v>100000</v>
      </c>
      <c r="Q52" s="52"/>
      <c r="R52" s="52"/>
      <c r="S52" s="53">
        <f t="shared" si="3"/>
        <v>0</v>
      </c>
      <c r="T52" s="54" t="str">
        <f t="shared" si="4"/>
        <v xml:space="preserve"> -</v>
      </c>
    </row>
    <row r="53" spans="2:20" ht="46" thickBot="1">
      <c r="B53" s="356"/>
      <c r="C53" s="357"/>
      <c r="D53" s="168" t="s">
        <v>82</v>
      </c>
      <c r="E53" s="136">
        <v>43466</v>
      </c>
      <c r="F53" s="136">
        <v>43830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/>
      <c r="L53" s="139">
        <f t="shared" si="0"/>
        <v>0</v>
      </c>
      <c r="M53" s="108">
        <f t="shared" si="1"/>
        <v>-119.00277777777778</v>
      </c>
      <c r="N53" s="102">
        <f t="shared" si="2"/>
        <v>0</v>
      </c>
      <c r="O53" s="119" t="s">
        <v>181</v>
      </c>
      <c r="P53" s="86">
        <v>100000</v>
      </c>
      <c r="Q53" s="86"/>
      <c r="R53" s="86"/>
      <c r="S53" s="87">
        <f t="shared" si="3"/>
        <v>0</v>
      </c>
      <c r="T53" s="88" t="str">
        <f t="shared" si="4"/>
        <v xml:space="preserve"> -</v>
      </c>
    </row>
    <row r="54" spans="2:20" ht="30" customHeight="1">
      <c r="B54" s="356"/>
      <c r="C54" s="357"/>
      <c r="D54" s="365" t="s">
        <v>83</v>
      </c>
      <c r="E54" s="48">
        <v>43466</v>
      </c>
      <c r="F54" s="48">
        <v>43830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/>
      <c r="L54" s="140">
        <f t="shared" si="0"/>
        <v>0</v>
      </c>
      <c r="M54" s="103">
        <f t="shared" si="1"/>
        <v>-119.00277777777778</v>
      </c>
      <c r="N54" s="97">
        <f t="shared" si="2"/>
        <v>0</v>
      </c>
      <c r="O54" s="114" t="s">
        <v>182</v>
      </c>
      <c r="P54" s="49">
        <v>500000</v>
      </c>
      <c r="Q54" s="49"/>
      <c r="R54" s="49"/>
      <c r="S54" s="28">
        <f t="shared" si="3"/>
        <v>0</v>
      </c>
      <c r="T54" s="27" t="str">
        <f t="shared" si="4"/>
        <v xml:space="preserve"> -</v>
      </c>
    </row>
    <row r="55" spans="2:20" ht="60">
      <c r="B55" s="356"/>
      <c r="C55" s="357"/>
      <c r="D55" s="366"/>
      <c r="E55" s="45">
        <v>43466</v>
      </c>
      <c r="F55" s="45">
        <v>43830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/>
      <c r="L55" s="141">
        <f t="shared" si="0"/>
        <v>0</v>
      </c>
      <c r="M55" s="104">
        <f t="shared" si="1"/>
        <v>-119.00277777777778</v>
      </c>
      <c r="N55" s="99">
        <f t="shared" si="2"/>
        <v>0</v>
      </c>
      <c r="O55" s="115" t="s">
        <v>183</v>
      </c>
      <c r="P55" s="46">
        <v>50000</v>
      </c>
      <c r="Q55" s="46"/>
      <c r="R55" s="46"/>
      <c r="S55" s="47">
        <f t="shared" si="3"/>
        <v>0</v>
      </c>
      <c r="T55" s="50" t="str">
        <f t="shared" si="4"/>
        <v xml:space="preserve"> -</v>
      </c>
    </row>
    <row r="56" spans="2:20" ht="60">
      <c r="B56" s="356"/>
      <c r="C56" s="357"/>
      <c r="D56" s="366"/>
      <c r="E56" s="45">
        <v>43466</v>
      </c>
      <c r="F56" s="45">
        <v>43830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/>
      <c r="L56" s="141">
        <f t="shared" si="0"/>
        <v>0</v>
      </c>
      <c r="M56" s="104">
        <f t="shared" si="1"/>
        <v>-119.00277777777778</v>
      </c>
      <c r="N56" s="99">
        <f t="shared" si="2"/>
        <v>0</v>
      </c>
      <c r="O56" s="115" t="s">
        <v>184</v>
      </c>
      <c r="P56" s="46">
        <v>0</v>
      </c>
      <c r="Q56" s="46"/>
      <c r="R56" s="46"/>
      <c r="S56" s="47" t="str">
        <f t="shared" si="3"/>
        <v xml:space="preserve"> -</v>
      </c>
      <c r="T56" s="50" t="str">
        <f t="shared" si="4"/>
        <v xml:space="preserve"> -</v>
      </c>
    </row>
    <row r="57" spans="2:20" ht="45">
      <c r="B57" s="356"/>
      <c r="C57" s="357"/>
      <c r="D57" s="366"/>
      <c r="E57" s="45">
        <v>43466</v>
      </c>
      <c r="F57" s="45">
        <v>43830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/>
      <c r="L57" s="141">
        <f t="shared" si="0"/>
        <v>0</v>
      </c>
      <c r="M57" s="104">
        <f t="shared" si="1"/>
        <v>-119.00277777777778</v>
      </c>
      <c r="N57" s="99">
        <f t="shared" si="2"/>
        <v>0</v>
      </c>
      <c r="O57" s="115" t="s">
        <v>145</v>
      </c>
      <c r="P57" s="46">
        <v>0</v>
      </c>
      <c r="Q57" s="46"/>
      <c r="R57" s="46"/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6"/>
      <c r="C58" s="357"/>
      <c r="D58" s="366"/>
      <c r="E58" s="45">
        <v>43466</v>
      </c>
      <c r="F58" s="45">
        <v>43830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/>
      <c r="L58" s="141">
        <f t="shared" si="0"/>
        <v>0</v>
      </c>
      <c r="M58" s="104">
        <f t="shared" si="1"/>
        <v>-119.00277777777778</v>
      </c>
      <c r="N58" s="99">
        <f t="shared" si="2"/>
        <v>0</v>
      </c>
      <c r="O58" s="115" t="s">
        <v>185</v>
      </c>
      <c r="P58" s="46">
        <v>0</v>
      </c>
      <c r="Q58" s="46"/>
      <c r="R58" s="46"/>
      <c r="S58" s="47" t="str">
        <f t="shared" si="3"/>
        <v xml:space="preserve"> -</v>
      </c>
      <c r="T58" s="50" t="str">
        <f t="shared" si="4"/>
        <v xml:space="preserve"> -</v>
      </c>
    </row>
    <row r="59" spans="2:20" ht="45">
      <c r="B59" s="356"/>
      <c r="C59" s="357"/>
      <c r="D59" s="366"/>
      <c r="E59" s="45">
        <v>43466</v>
      </c>
      <c r="F59" s="45">
        <v>43830</v>
      </c>
      <c r="G59" s="9" t="s">
        <v>69</v>
      </c>
      <c r="H59" s="46">
        <v>200</v>
      </c>
      <c r="I59" s="46">
        <f>+J59+('2018'!I59-'2018'!K59)</f>
        <v>43</v>
      </c>
      <c r="J59" s="46">
        <v>25</v>
      </c>
      <c r="K59" s="60"/>
      <c r="L59" s="144">
        <f t="shared" si="0"/>
        <v>0</v>
      </c>
      <c r="M59" s="107">
        <f t="shared" si="1"/>
        <v>-119.00277777777778</v>
      </c>
      <c r="N59" s="101">
        <f t="shared" si="2"/>
        <v>0</v>
      </c>
      <c r="O59" s="118" t="s">
        <v>186</v>
      </c>
      <c r="P59" s="81">
        <v>0</v>
      </c>
      <c r="Q59" s="81"/>
      <c r="R59" s="81"/>
      <c r="S59" s="82" t="str">
        <f t="shared" si="3"/>
        <v xml:space="preserve"> -</v>
      </c>
      <c r="T59" s="83" t="str">
        <f t="shared" si="4"/>
        <v xml:space="preserve"> -</v>
      </c>
    </row>
    <row r="60" spans="2:20" ht="30" customHeight="1">
      <c r="B60" s="356"/>
      <c r="C60" s="357"/>
      <c r="D60" s="366"/>
      <c r="E60" s="89">
        <v>43466</v>
      </c>
      <c r="F60" s="89">
        <v>43830</v>
      </c>
      <c r="G60" s="132" t="s">
        <v>95</v>
      </c>
      <c r="H60" s="90">
        <v>4</v>
      </c>
      <c r="I60" s="46">
        <f>+J60+('2018'!I60-'2018'!K60)</f>
        <v>2</v>
      </c>
      <c r="J60" s="90">
        <v>1</v>
      </c>
      <c r="K60" s="122"/>
      <c r="L60" s="144">
        <f t="shared" si="0"/>
        <v>0</v>
      </c>
      <c r="M60" s="58">
        <f t="shared" si="1"/>
        <v>-119.00277777777778</v>
      </c>
      <c r="N60" s="50">
        <f t="shared" si="2"/>
        <v>0</v>
      </c>
      <c r="O60" s="115" t="s">
        <v>187</v>
      </c>
      <c r="P60" s="46">
        <v>0</v>
      </c>
      <c r="Q60" s="46"/>
      <c r="R60" s="46"/>
      <c r="S60" s="47" t="str">
        <f t="shared" si="3"/>
        <v xml:space="preserve"> -</v>
      </c>
      <c r="T60" s="50" t="str">
        <f t="shared" si="4"/>
        <v xml:space="preserve"> -</v>
      </c>
    </row>
    <row r="61" spans="2:20" ht="46" customHeight="1" thickBot="1">
      <c r="B61" s="356"/>
      <c r="C61" s="358"/>
      <c r="D61" s="367"/>
      <c r="E61" s="51">
        <v>43466</v>
      </c>
      <c r="F61" s="51">
        <v>43830</v>
      </c>
      <c r="G61" s="10" t="s">
        <v>96</v>
      </c>
      <c r="H61" s="52">
        <v>1</v>
      </c>
      <c r="I61" s="52">
        <f>+J61+('2018'!I61-'2018'!K61)</f>
        <v>0</v>
      </c>
      <c r="J61" s="52">
        <v>0</v>
      </c>
      <c r="K61" s="61"/>
      <c r="L61" s="144" t="e">
        <f t="shared" si="0"/>
        <v>#DIV/0!</v>
      </c>
      <c r="M61" s="150">
        <f t="shared" si="1"/>
        <v>-119.00277777777778</v>
      </c>
      <c r="N61" s="54" t="str">
        <f t="shared" si="2"/>
        <v xml:space="preserve"> -</v>
      </c>
      <c r="O61" s="116" t="s">
        <v>188</v>
      </c>
      <c r="P61" s="52">
        <v>0</v>
      </c>
      <c r="Q61" s="52"/>
      <c r="R61" s="52"/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6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7"/>
      <c r="C63" s="368" t="s">
        <v>86</v>
      </c>
      <c r="D63" s="370" t="s">
        <v>84</v>
      </c>
      <c r="E63" s="48">
        <v>43466</v>
      </c>
      <c r="F63" s="48">
        <v>43830</v>
      </c>
      <c r="G63" s="79" t="s">
        <v>70</v>
      </c>
      <c r="H63" s="49">
        <v>1</v>
      </c>
      <c r="I63" s="49">
        <f>+J63+('2018'!I63-'2018'!K63)</f>
        <v>1</v>
      </c>
      <c r="J63" s="49">
        <v>0</v>
      </c>
      <c r="K63" s="59"/>
      <c r="L63" s="143" t="e">
        <f t="shared" si="0"/>
        <v>#DIV/0!</v>
      </c>
      <c r="M63" s="133">
        <f t="shared" si="1"/>
        <v>-119.00277777777778</v>
      </c>
      <c r="N63" s="32" t="str">
        <f t="shared" si="2"/>
        <v xml:space="preserve"> -</v>
      </c>
      <c r="O63" s="117" t="s">
        <v>145</v>
      </c>
      <c r="P63" s="90">
        <v>0</v>
      </c>
      <c r="Q63" s="90"/>
      <c r="R63" s="90"/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58"/>
      <c r="C64" s="369"/>
      <c r="D64" s="371"/>
      <c r="E64" s="51">
        <v>43466</v>
      </c>
      <c r="F64" s="51">
        <v>43830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/>
      <c r="L64" s="142">
        <f t="shared" si="0"/>
        <v>0</v>
      </c>
      <c r="M64" s="109">
        <f t="shared" si="1"/>
        <v>-119.00277777777778</v>
      </c>
      <c r="N64" s="54">
        <f t="shared" si="2"/>
        <v>0</v>
      </c>
      <c r="O64" s="116" t="s">
        <v>189</v>
      </c>
      <c r="P64" s="52">
        <v>250000</v>
      </c>
      <c r="Q64" s="52"/>
      <c r="R64" s="52"/>
      <c r="S64" s="53">
        <f t="shared" si="3"/>
        <v>0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+J66+('2018'!I66-'2018'!K66)</f>
        <v>280</v>
      </c>
      <c r="J66" s="137">
        <v>80</v>
      </c>
      <c r="K66" s="179"/>
      <c r="L66" s="182">
        <f t="shared" ref="L66" si="6">+K66/J66</f>
        <v>0</v>
      </c>
      <c r="M66" s="183">
        <f t="shared" ref="M66" si="7">DAYS360(E66,$C$8)/DAYS360(E66,F66)</f>
        <v>-117.00277777777778</v>
      </c>
      <c r="N66" s="177">
        <f t="shared" ref="N66" si="8">IF(J66=0," -",IF(L66&gt;100%,100%,L66))</f>
        <v>0</v>
      </c>
      <c r="O66" s="180" t="s">
        <v>188</v>
      </c>
      <c r="P66" s="137">
        <v>0</v>
      </c>
      <c r="Q66" s="137"/>
      <c r="R66" s="137"/>
      <c r="S66" s="176" t="str">
        <f t="shared" ref="S66" si="9">IF(P66=0," -",Q66/P66)</f>
        <v xml:space="preserve"> -</v>
      </c>
      <c r="T66" s="177" t="str">
        <f t="shared" ref="T66" si="10">IF(R66=0," -",IF(Q66=0,100%,R66/Q66))</f>
        <v xml:space="preserve"> -</v>
      </c>
    </row>
    <row r="67" spans="2:20" ht="21" customHeight="1" thickBot="1">
      <c r="M67" s="120">
        <f>+AVERAGE(M12,M14:M16,M18:M61,M63:M64,M66)</f>
        <v>-118.96356209150325</v>
      </c>
      <c r="N67" s="121">
        <f>+AVERAGE(N12,N14:N16,N18:N61,N63:N64,N66)</f>
        <v>0</v>
      </c>
      <c r="P67" s="71">
        <f>+SUM(P12,P14:P16,P18:P61,P63:P64,P66)</f>
        <v>12689014</v>
      </c>
      <c r="Q67" s="35">
        <f>+SUM(Q12,Q14:Q16,Q18:Q61,Q63:Q64,Q66)</f>
        <v>0</v>
      </c>
      <c r="R67" s="72">
        <f>+SUM(R12,R14:R16,R18:R61,R63:R64,R66)</f>
        <v>0</v>
      </c>
      <c r="S67" s="36">
        <f t="shared" si="3"/>
        <v>0</v>
      </c>
      <c r="T67" s="34" t="str">
        <f t="shared" si="4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11" t="s">
        <v>16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2:25" ht="20" customHeight="1">
      <c r="B3" s="311" t="s">
        <v>19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</row>
    <row r="4" spans="2:25" ht="20" customHeight="1">
      <c r="B4" s="311" t="s">
        <v>27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21">
        <f>+'2018'!C8</f>
        <v>43373</v>
      </c>
      <c r="D8" s="312" t="s">
        <v>3</v>
      </c>
      <c r="E8" s="313"/>
      <c r="F8" s="313"/>
      <c r="G8" s="313"/>
      <c r="H8" s="376"/>
      <c r="I8" s="376"/>
      <c r="J8" s="376"/>
      <c r="K8" s="376"/>
      <c r="L8" s="376"/>
      <c r="M8" s="376"/>
      <c r="N8" s="31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5" t="s">
        <v>17</v>
      </c>
      <c r="C9" s="318" t="s">
        <v>18</v>
      </c>
      <c r="D9" s="320" t="s">
        <v>0</v>
      </c>
      <c r="E9" s="323" t="s">
        <v>5</v>
      </c>
      <c r="F9" s="323"/>
      <c r="G9" s="323"/>
      <c r="H9" s="377"/>
      <c r="I9" s="377"/>
      <c r="J9" s="377"/>
      <c r="K9" s="377"/>
      <c r="L9" s="377"/>
      <c r="M9" s="377"/>
      <c r="N9" s="325"/>
      <c r="O9" s="378" t="s">
        <v>103</v>
      </c>
      <c r="P9" s="379"/>
      <c r="Q9" s="379"/>
      <c r="R9" s="379"/>
      <c r="S9" s="380"/>
      <c r="T9" s="335" t="s">
        <v>102</v>
      </c>
      <c r="U9" s="336"/>
      <c r="V9" s="336"/>
      <c r="W9" s="336"/>
      <c r="X9" s="336"/>
      <c r="Y9" s="337"/>
    </row>
    <row r="10" spans="2:25" ht="17" customHeight="1">
      <c r="B10" s="316"/>
      <c r="C10" s="319"/>
      <c r="D10" s="321"/>
      <c r="E10" s="324" t="s">
        <v>7</v>
      </c>
      <c r="F10" s="328" t="s">
        <v>25</v>
      </c>
      <c r="G10" s="186" t="s">
        <v>1</v>
      </c>
      <c r="H10" s="187" t="s">
        <v>1</v>
      </c>
      <c r="I10" s="217" t="s">
        <v>1</v>
      </c>
      <c r="J10" s="217" t="s">
        <v>1</v>
      </c>
      <c r="K10" s="219" t="s">
        <v>8</v>
      </c>
      <c r="L10" s="217" t="s">
        <v>8</v>
      </c>
      <c r="M10" s="217" t="s">
        <v>8</v>
      </c>
      <c r="N10" s="185" t="s">
        <v>8</v>
      </c>
      <c r="O10" s="383">
        <v>2016</v>
      </c>
      <c r="P10" s="385">
        <v>2017</v>
      </c>
      <c r="Q10" s="372">
        <v>2018</v>
      </c>
      <c r="R10" s="381">
        <v>2019</v>
      </c>
      <c r="S10" s="374" t="s">
        <v>101</v>
      </c>
      <c r="T10" s="338"/>
      <c r="U10" s="339"/>
      <c r="V10" s="339"/>
      <c r="W10" s="339"/>
      <c r="X10" s="339"/>
      <c r="Y10" s="340"/>
    </row>
    <row r="11" spans="2:25" ht="37.5" customHeight="1" thickBot="1">
      <c r="B11" s="317"/>
      <c r="C11" s="319"/>
      <c r="D11" s="322"/>
      <c r="E11" s="328"/>
      <c r="F11" s="350"/>
      <c r="G11" s="220">
        <v>2016</v>
      </c>
      <c r="H11" s="221">
        <v>2017</v>
      </c>
      <c r="I11" s="218">
        <v>2018</v>
      </c>
      <c r="J11" s="218">
        <v>2019</v>
      </c>
      <c r="K11" s="222">
        <v>2016</v>
      </c>
      <c r="L11" s="221">
        <v>2017</v>
      </c>
      <c r="M11" s="218">
        <v>2018</v>
      </c>
      <c r="N11" s="223">
        <v>2019</v>
      </c>
      <c r="O11" s="384"/>
      <c r="P11" s="386"/>
      <c r="Q11" s="373"/>
      <c r="R11" s="382"/>
      <c r="S11" s="375"/>
      <c r="T11" s="188" t="s">
        <v>23</v>
      </c>
      <c r="U11" s="40" t="s">
        <v>20</v>
      </c>
      <c r="V11" s="41" t="s">
        <v>21</v>
      </c>
      <c r="W11" s="42" t="s">
        <v>22</v>
      </c>
      <c r="X11" s="42" t="s">
        <v>14</v>
      </c>
      <c r="Y11" s="43" t="s">
        <v>15</v>
      </c>
    </row>
    <row r="12" spans="2:25" ht="61" thickBot="1">
      <c r="B12" s="347" t="s">
        <v>72</v>
      </c>
      <c r="C12" s="55" t="s">
        <v>73</v>
      </c>
      <c r="D12" s="135" t="s">
        <v>75</v>
      </c>
      <c r="E12" s="154" t="s">
        <v>28</v>
      </c>
      <c r="F12" s="137">
        <v>1</v>
      </c>
      <c r="G12" s="137">
        <f>'2016'!J12</f>
        <v>1</v>
      </c>
      <c r="H12" s="179">
        <f>'2017'!J12</f>
        <v>1</v>
      </c>
      <c r="I12" s="179">
        <f>'2018'!J12</f>
        <v>1</v>
      </c>
      <c r="J12" s="179">
        <f>'2019'!J12</f>
        <v>1</v>
      </c>
      <c r="K12" s="224">
        <f>'2016'!K12</f>
        <v>0</v>
      </c>
      <c r="L12" s="179">
        <f>'2017'!K12</f>
        <v>1</v>
      </c>
      <c r="M12" s="179">
        <f>'2018'!K12</f>
        <v>0</v>
      </c>
      <c r="N12" s="138">
        <f>'2019'!K12</f>
        <v>0</v>
      </c>
      <c r="O12" s="215">
        <f>'2016'!N12</f>
        <v>0</v>
      </c>
      <c r="P12" s="216">
        <f>'2017'!N12</f>
        <v>1</v>
      </c>
      <c r="Q12" s="191">
        <f>'2018'!N12</f>
        <v>0</v>
      </c>
      <c r="R12" s="216">
        <f>'2019'!N12</f>
        <v>0</v>
      </c>
      <c r="S12" s="230">
        <v>0.25</v>
      </c>
      <c r="T12" s="69" t="s">
        <v>145</v>
      </c>
      <c r="U12" s="64">
        <f>+'2016'!P12+'2017'!P12</f>
        <v>0</v>
      </c>
      <c r="V12" s="64">
        <f>+'2016'!Q12+'2017'!Q12</f>
        <v>0</v>
      </c>
      <c r="W12" s="64">
        <f>+'2016'!R12+'2017'!R12</f>
        <v>0</v>
      </c>
      <c r="X12" s="70" t="str">
        <f>IF(U12=0," -",V12/U12)</f>
        <v xml:space="preserve"> -</v>
      </c>
      <c r="Y12" s="68" t="str">
        <f>IF(W12=0," -",IF(V12=0,100%,W12/V12))</f>
        <v xml:space="preserve"> -</v>
      </c>
    </row>
    <row r="13" spans="2:25" ht="13" customHeight="1" thickBot="1">
      <c r="B13" s="344"/>
      <c r="C13" s="125"/>
      <c r="D13" s="77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24"/>
      <c r="P13" s="24"/>
      <c r="Q13" s="24"/>
      <c r="R13" s="24"/>
      <c r="S13" s="231"/>
      <c r="T13" s="16"/>
      <c r="U13" s="17"/>
      <c r="V13" s="17"/>
      <c r="W13" s="17"/>
      <c r="X13" s="24"/>
      <c r="Y13" s="18"/>
    </row>
    <row r="14" spans="2:25" ht="75">
      <c r="B14" s="348"/>
      <c r="C14" s="344" t="s">
        <v>74</v>
      </c>
      <c r="D14" s="370" t="s">
        <v>76</v>
      </c>
      <c r="E14" s="79" t="s">
        <v>29</v>
      </c>
      <c r="F14" s="49">
        <v>1</v>
      </c>
      <c r="G14" s="49">
        <f>'2016'!J14</f>
        <v>1</v>
      </c>
      <c r="H14" s="91">
        <f>'2017'!J14</f>
        <v>1</v>
      </c>
      <c r="I14" s="91">
        <f>'2018'!J14</f>
        <v>1</v>
      </c>
      <c r="J14" s="91">
        <f>'2019'!J14</f>
        <v>1</v>
      </c>
      <c r="K14" s="225">
        <f>'2016'!K14</f>
        <v>0</v>
      </c>
      <c r="L14" s="91">
        <f>'2017'!K14</f>
        <v>0</v>
      </c>
      <c r="M14" s="91">
        <f>'2018'!K14</f>
        <v>1</v>
      </c>
      <c r="N14" s="59">
        <f>'2019'!K14</f>
        <v>0</v>
      </c>
      <c r="O14" s="213">
        <f>'2016'!N14</f>
        <v>0</v>
      </c>
      <c r="P14" s="193">
        <f>'2017'!N14</f>
        <v>0</v>
      </c>
      <c r="Q14" s="192">
        <f>'2018'!N14</f>
        <v>1</v>
      </c>
      <c r="R14" s="193">
        <f>'2019'!N14</f>
        <v>0</v>
      </c>
      <c r="S14" s="232">
        <v>0.25</v>
      </c>
      <c r="T14" s="124" t="s">
        <v>146</v>
      </c>
      <c r="U14" s="90">
        <f>+'2016'!P14+'2017'!P14</f>
        <v>60000</v>
      </c>
      <c r="V14" s="90">
        <f>+'2016'!Q14+'2017'!Q14</f>
        <v>0</v>
      </c>
      <c r="W14" s="90">
        <f>+'2016'!R14+'2017'!R14</f>
        <v>0</v>
      </c>
      <c r="X14" s="33">
        <f t="shared" ref="X14:X67" si="0">IF(U14=0," -",V14/U14)</f>
        <v>0</v>
      </c>
      <c r="Y14" s="32" t="str">
        <f t="shared" ref="Y14:Y67" si="1">IF(W14=0," -",IF(V14=0,100%,W14/V14))</f>
        <v xml:space="preserve"> -</v>
      </c>
    </row>
    <row r="15" spans="2:25" ht="90">
      <c r="B15" s="348"/>
      <c r="C15" s="345"/>
      <c r="D15" s="342"/>
      <c r="E15" s="9" t="s">
        <v>30</v>
      </c>
      <c r="F15" s="46">
        <v>1</v>
      </c>
      <c r="G15" s="46">
        <f>'2016'!J15</f>
        <v>1</v>
      </c>
      <c r="H15" s="92">
        <f>'2017'!J15</f>
        <v>1</v>
      </c>
      <c r="I15" s="92">
        <f>'2018'!J15</f>
        <v>1</v>
      </c>
      <c r="J15" s="92">
        <f>'2019'!J15</f>
        <v>1</v>
      </c>
      <c r="K15" s="226">
        <f>'2016'!K15</f>
        <v>0</v>
      </c>
      <c r="L15" s="92">
        <f>'2017'!K15</f>
        <v>1</v>
      </c>
      <c r="M15" s="92">
        <f>'2018'!K15</f>
        <v>1</v>
      </c>
      <c r="N15" s="60">
        <f>'2019'!K15</f>
        <v>0</v>
      </c>
      <c r="O15" s="211">
        <f>'2016'!N15</f>
        <v>0</v>
      </c>
      <c r="P15" s="202">
        <f>'2017'!N15</f>
        <v>1</v>
      </c>
      <c r="Q15" s="203">
        <f>'2018'!N15</f>
        <v>1</v>
      </c>
      <c r="R15" s="202">
        <f>'2019'!N15</f>
        <v>0</v>
      </c>
      <c r="S15" s="233">
        <v>0.5</v>
      </c>
      <c r="T15" s="56" t="s">
        <v>147</v>
      </c>
      <c r="U15" s="46">
        <f>+'2016'!P15+'2017'!P15</f>
        <v>115200</v>
      </c>
      <c r="V15" s="46">
        <f>+'2016'!Q15+'2017'!Q15</f>
        <v>19200</v>
      </c>
      <c r="W15" s="46">
        <f>+'2016'!R15+'2017'!R15</f>
        <v>0</v>
      </c>
      <c r="X15" s="47">
        <f t="shared" si="0"/>
        <v>0.16666666666666666</v>
      </c>
      <c r="Y15" s="50" t="str">
        <f t="shared" si="1"/>
        <v xml:space="preserve"> -</v>
      </c>
    </row>
    <row r="16" spans="2:25" ht="46" thickBot="1">
      <c r="B16" s="349"/>
      <c r="C16" s="346"/>
      <c r="D16" s="371"/>
      <c r="E16" s="10" t="s">
        <v>31</v>
      </c>
      <c r="F16" s="52">
        <v>1</v>
      </c>
      <c r="G16" s="52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27">
        <f>'2016'!K16</f>
        <v>0</v>
      </c>
      <c r="L16" s="93">
        <f>'2017'!K16</f>
        <v>0</v>
      </c>
      <c r="M16" s="93">
        <f>'2018'!K16</f>
        <v>1</v>
      </c>
      <c r="N16" s="61">
        <f>'2019'!K16</f>
        <v>0</v>
      </c>
      <c r="O16" s="214">
        <f>'2016'!N16</f>
        <v>0</v>
      </c>
      <c r="P16" s="208">
        <f>'2017'!N16</f>
        <v>0</v>
      </c>
      <c r="Q16" s="194">
        <f>'2018'!N16</f>
        <v>1</v>
      </c>
      <c r="R16" s="208">
        <f>'2019'!N16</f>
        <v>0</v>
      </c>
      <c r="S16" s="234">
        <v>0.25</v>
      </c>
      <c r="T16" s="129" t="s">
        <v>148</v>
      </c>
      <c r="U16" s="46">
        <f>+'2016'!P16+'2017'!P16</f>
        <v>140000</v>
      </c>
      <c r="V16" s="46">
        <f>+'2016'!Q16+'2017'!Q16</f>
        <v>0</v>
      </c>
      <c r="W16" s="46">
        <f>+'2016'!R16+'2017'!R16</f>
        <v>0</v>
      </c>
      <c r="X16" s="82">
        <f t="shared" si="0"/>
        <v>0</v>
      </c>
      <c r="Y16" s="83" t="str">
        <f t="shared" si="1"/>
        <v xml:space="preserve"> -</v>
      </c>
    </row>
    <row r="17" spans="2:25" ht="13" customHeight="1" thickBot="1">
      <c r="B17" s="19"/>
      <c r="C17" s="20"/>
      <c r="D17" s="73"/>
      <c r="E17" s="20"/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  <c r="Q17" s="23"/>
      <c r="R17" s="23"/>
      <c r="S17" s="235"/>
      <c r="T17" s="134"/>
      <c r="U17" s="26"/>
      <c r="V17" s="26"/>
      <c r="W17" s="26"/>
      <c r="X17" s="23"/>
      <c r="Y17" s="25"/>
    </row>
    <row r="18" spans="2:25" ht="91" thickBot="1">
      <c r="B18" s="356" t="s">
        <v>88</v>
      </c>
      <c r="C18" s="363" t="s">
        <v>87</v>
      </c>
      <c r="D18" s="167" t="s">
        <v>85</v>
      </c>
      <c r="E18" s="13" t="s">
        <v>92</v>
      </c>
      <c r="F18" s="137">
        <v>2</v>
      </c>
      <c r="G18" s="137">
        <f>'2016'!J18</f>
        <v>0</v>
      </c>
      <c r="H18" s="179">
        <f>'2017'!J18</f>
        <v>1</v>
      </c>
      <c r="I18" s="179">
        <f>'2018'!J18</f>
        <v>0</v>
      </c>
      <c r="J18" s="179">
        <f>'2019'!J18</f>
        <v>1</v>
      </c>
      <c r="K18" s="224">
        <f>'2016'!K18</f>
        <v>0</v>
      </c>
      <c r="L18" s="179">
        <f>'2017'!K18</f>
        <v>1</v>
      </c>
      <c r="M18" s="179">
        <f>'2018'!K18</f>
        <v>0</v>
      </c>
      <c r="N18" s="138">
        <f>'2019'!K18</f>
        <v>0</v>
      </c>
      <c r="O18" s="196" t="str">
        <f>'2016'!N18</f>
        <v xml:space="preserve"> -</v>
      </c>
      <c r="P18" s="197">
        <f>'2017'!N18</f>
        <v>1</v>
      </c>
      <c r="Q18" s="198" t="str">
        <f>'2018'!N18</f>
        <v xml:space="preserve"> -</v>
      </c>
      <c r="R18" s="197">
        <f>'2019'!N18</f>
        <v>0</v>
      </c>
      <c r="S18" s="236">
        <v>0.5</v>
      </c>
      <c r="T18" s="119" t="s">
        <v>149</v>
      </c>
      <c r="U18" s="245">
        <f>+'2016'!P18+'2017'!P18</f>
        <v>211000</v>
      </c>
      <c r="V18" s="245">
        <f>+'2016'!Q18+'2017'!Q18</f>
        <v>44703</v>
      </c>
      <c r="W18" s="245">
        <f>+'2016'!R18+'2017'!R18</f>
        <v>0</v>
      </c>
      <c r="X18" s="87">
        <f t="shared" si="0"/>
        <v>0.21186255924170616</v>
      </c>
      <c r="Y18" s="88" t="str">
        <f t="shared" si="1"/>
        <v xml:space="preserve"> -</v>
      </c>
    </row>
    <row r="19" spans="2:25" ht="30">
      <c r="B19" s="356"/>
      <c r="C19" s="357"/>
      <c r="D19" s="351" t="s">
        <v>77</v>
      </c>
      <c r="E19" s="12" t="s">
        <v>32</v>
      </c>
      <c r="F19" s="49">
        <v>1</v>
      </c>
      <c r="G19" s="49">
        <f>'2016'!J19</f>
        <v>1</v>
      </c>
      <c r="H19" s="91">
        <f>'2017'!J19</f>
        <v>1</v>
      </c>
      <c r="I19" s="91">
        <f>'2018'!J19</f>
        <v>1</v>
      </c>
      <c r="J19" s="91">
        <f>'2019'!J19</f>
        <v>1</v>
      </c>
      <c r="K19" s="225">
        <f>'2016'!K19</f>
        <v>1</v>
      </c>
      <c r="L19" s="91">
        <f>'2017'!K19</f>
        <v>1</v>
      </c>
      <c r="M19" s="91">
        <f>'2018'!K19</f>
        <v>1</v>
      </c>
      <c r="N19" s="59">
        <f>'2019'!K19</f>
        <v>0</v>
      </c>
      <c r="O19" s="199">
        <f>'2016'!N19</f>
        <v>1</v>
      </c>
      <c r="P19" s="200">
        <f>'2017'!N19</f>
        <v>1</v>
      </c>
      <c r="Q19" s="192">
        <f>'2018'!N19</f>
        <v>1</v>
      </c>
      <c r="R19" s="200">
        <f>'2019'!N19</f>
        <v>0</v>
      </c>
      <c r="S19" s="237">
        <v>0.75</v>
      </c>
      <c r="T19" s="114" t="s">
        <v>150</v>
      </c>
      <c r="U19" s="90">
        <f>+'2016'!P19+'2017'!P19</f>
        <v>5118904</v>
      </c>
      <c r="V19" s="90">
        <f>+'2016'!Q19+'2017'!Q19</f>
        <v>3840975</v>
      </c>
      <c r="W19" s="90">
        <f>+'2016'!R19+'2017'!R19</f>
        <v>0</v>
      </c>
      <c r="X19" s="28">
        <f t="shared" si="0"/>
        <v>0.75035105170950656</v>
      </c>
      <c r="Y19" s="27" t="str">
        <f t="shared" si="1"/>
        <v xml:space="preserve"> -</v>
      </c>
    </row>
    <row r="20" spans="2:25" ht="30">
      <c r="B20" s="356"/>
      <c r="C20" s="357"/>
      <c r="D20" s="352"/>
      <c r="E20" s="8" t="s">
        <v>33</v>
      </c>
      <c r="F20" s="46">
        <v>4</v>
      </c>
      <c r="G20" s="46">
        <f>'2016'!J20</f>
        <v>4</v>
      </c>
      <c r="H20" s="92">
        <f>'2017'!J20</f>
        <v>4</v>
      </c>
      <c r="I20" s="92">
        <f>'2018'!J20</f>
        <v>4</v>
      </c>
      <c r="J20" s="92">
        <f>'2019'!J20</f>
        <v>4</v>
      </c>
      <c r="K20" s="226">
        <f>'2016'!K20</f>
        <v>2</v>
      </c>
      <c r="L20" s="92">
        <f>'2017'!K20</f>
        <v>5</v>
      </c>
      <c r="M20" s="92">
        <f>'2018'!K20</f>
        <v>4</v>
      </c>
      <c r="N20" s="60">
        <f>'2019'!K20</f>
        <v>0</v>
      </c>
      <c r="O20" s="201">
        <f>'2016'!N20</f>
        <v>0.5</v>
      </c>
      <c r="P20" s="202">
        <f>'2017'!N20</f>
        <v>1</v>
      </c>
      <c r="Q20" s="203">
        <f>'2018'!N20</f>
        <v>1</v>
      </c>
      <c r="R20" s="202">
        <f>'2019'!N20</f>
        <v>0</v>
      </c>
      <c r="S20" s="238">
        <v>0.6875</v>
      </c>
      <c r="T20" s="115" t="s">
        <v>151</v>
      </c>
      <c r="U20" s="46">
        <f>+'2016'!P20+'2017'!P20</f>
        <v>106000</v>
      </c>
      <c r="V20" s="46">
        <f>+'2016'!Q20+'2017'!Q20</f>
        <v>40000</v>
      </c>
      <c r="W20" s="46">
        <f>+'2016'!R20+'2017'!R20</f>
        <v>0</v>
      </c>
      <c r="X20" s="47">
        <f t="shared" si="0"/>
        <v>0.37735849056603776</v>
      </c>
      <c r="Y20" s="50" t="str">
        <f t="shared" si="1"/>
        <v xml:space="preserve"> -</v>
      </c>
    </row>
    <row r="21" spans="2:25" ht="45">
      <c r="B21" s="356"/>
      <c r="C21" s="357"/>
      <c r="D21" s="352"/>
      <c r="E21" s="8" t="s">
        <v>34</v>
      </c>
      <c r="F21" s="46">
        <v>11</v>
      </c>
      <c r="G21" s="46">
        <f>'2016'!J21</f>
        <v>2</v>
      </c>
      <c r="H21" s="92">
        <f>'2017'!J21</f>
        <v>4</v>
      </c>
      <c r="I21" s="92">
        <f>'2018'!J21</f>
        <v>3</v>
      </c>
      <c r="J21" s="92">
        <f>'2019'!J21</f>
        <v>2</v>
      </c>
      <c r="K21" s="226">
        <f>'2016'!K21</f>
        <v>2</v>
      </c>
      <c r="L21" s="92">
        <f>'2017'!K21</f>
        <v>3</v>
      </c>
      <c r="M21" s="92">
        <f>'2018'!K21</f>
        <v>3</v>
      </c>
      <c r="N21" s="60">
        <f>'2019'!K21</f>
        <v>0</v>
      </c>
      <c r="O21" s="201">
        <f>'2016'!N21</f>
        <v>1</v>
      </c>
      <c r="P21" s="202">
        <f>'2017'!N21</f>
        <v>0.75</v>
      </c>
      <c r="Q21" s="203">
        <f>'2018'!N21</f>
        <v>1</v>
      </c>
      <c r="R21" s="202">
        <f>'2019'!N21</f>
        <v>0</v>
      </c>
      <c r="S21" s="238">
        <v>0.72727272727272729</v>
      </c>
      <c r="T21" s="115" t="s">
        <v>152</v>
      </c>
      <c r="U21" s="46">
        <f>+'2016'!P21+'2017'!P21</f>
        <v>277662</v>
      </c>
      <c r="V21" s="46">
        <f>+'2016'!Q21+'2017'!Q21</f>
        <v>96335</v>
      </c>
      <c r="W21" s="46">
        <f>+'2016'!R21+'2017'!R21</f>
        <v>0</v>
      </c>
      <c r="X21" s="47">
        <f t="shared" si="0"/>
        <v>0.34695060901383695</v>
      </c>
      <c r="Y21" s="50" t="str">
        <f t="shared" si="1"/>
        <v xml:space="preserve"> -</v>
      </c>
    </row>
    <row r="22" spans="2:25" ht="30">
      <c r="B22" s="356"/>
      <c r="C22" s="357"/>
      <c r="D22" s="352"/>
      <c r="E22" s="8" t="s">
        <v>35</v>
      </c>
      <c r="F22" s="46">
        <v>1</v>
      </c>
      <c r="G22" s="46">
        <f>'2016'!J22</f>
        <v>1</v>
      </c>
      <c r="H22" s="92">
        <f>'2017'!J22</f>
        <v>1</v>
      </c>
      <c r="I22" s="92">
        <f>'2018'!J22</f>
        <v>1</v>
      </c>
      <c r="J22" s="92">
        <f>'2019'!J22</f>
        <v>1</v>
      </c>
      <c r="K22" s="226">
        <f>'2016'!K22</f>
        <v>1</v>
      </c>
      <c r="L22" s="92">
        <f>'2017'!K22</f>
        <v>1</v>
      </c>
      <c r="M22" s="92">
        <f>'2018'!K22</f>
        <v>1</v>
      </c>
      <c r="N22" s="60">
        <f>'2019'!K22</f>
        <v>0</v>
      </c>
      <c r="O22" s="201">
        <f>'2016'!N22</f>
        <v>1</v>
      </c>
      <c r="P22" s="202">
        <f>'2017'!N22</f>
        <v>1</v>
      </c>
      <c r="Q22" s="203">
        <f>'2018'!N22</f>
        <v>1</v>
      </c>
      <c r="R22" s="202">
        <f>'2019'!N22</f>
        <v>0</v>
      </c>
      <c r="S22" s="238">
        <v>0.75</v>
      </c>
      <c r="T22" s="115" t="s">
        <v>153</v>
      </c>
      <c r="U22" s="46">
        <f>+'2016'!P22+'2017'!P22</f>
        <v>30000</v>
      </c>
      <c r="V22" s="46">
        <f>+'2016'!Q22+'2017'!Q22</f>
        <v>17400</v>
      </c>
      <c r="W22" s="46">
        <f>+'2016'!R22+'2017'!R22</f>
        <v>0</v>
      </c>
      <c r="X22" s="47">
        <f t="shared" si="0"/>
        <v>0.57999999999999996</v>
      </c>
      <c r="Y22" s="50" t="str">
        <f t="shared" si="1"/>
        <v xml:space="preserve"> -</v>
      </c>
    </row>
    <row r="23" spans="2:25" ht="30">
      <c r="B23" s="356"/>
      <c r="C23" s="357"/>
      <c r="D23" s="352"/>
      <c r="E23" s="8" t="s">
        <v>36</v>
      </c>
      <c r="F23" s="46">
        <v>4</v>
      </c>
      <c r="G23" s="46">
        <f>'2016'!J23</f>
        <v>1</v>
      </c>
      <c r="H23" s="92">
        <f>'2017'!J23</f>
        <v>1</v>
      </c>
      <c r="I23" s="92">
        <f>'2018'!J23</f>
        <v>1</v>
      </c>
      <c r="J23" s="92">
        <f>'2019'!J23</f>
        <v>1</v>
      </c>
      <c r="K23" s="226">
        <f>'2016'!K23</f>
        <v>1</v>
      </c>
      <c r="L23" s="92">
        <f>'2017'!K23</f>
        <v>1</v>
      </c>
      <c r="M23" s="92">
        <f>'2018'!K23</f>
        <v>1</v>
      </c>
      <c r="N23" s="60">
        <f>'2019'!K23</f>
        <v>0</v>
      </c>
      <c r="O23" s="201">
        <f>'2016'!N23</f>
        <v>1</v>
      </c>
      <c r="P23" s="202">
        <f>'2017'!N23</f>
        <v>1</v>
      </c>
      <c r="Q23" s="203">
        <f>'2018'!N23</f>
        <v>1</v>
      </c>
      <c r="R23" s="202">
        <f>'2019'!N23</f>
        <v>0</v>
      </c>
      <c r="S23" s="238">
        <v>0.75</v>
      </c>
      <c r="T23" s="115" t="s">
        <v>154</v>
      </c>
      <c r="U23" s="46">
        <f>+'2016'!P23+'2017'!P23</f>
        <v>20000</v>
      </c>
      <c r="V23" s="46">
        <f>+'2016'!Q23+'2017'!Q23</f>
        <v>20000</v>
      </c>
      <c r="W23" s="46">
        <f>+'2016'!R23+'2017'!R23</f>
        <v>0</v>
      </c>
      <c r="X23" s="47">
        <f t="shared" si="0"/>
        <v>1</v>
      </c>
      <c r="Y23" s="50" t="str">
        <f t="shared" si="1"/>
        <v xml:space="preserve"> -</v>
      </c>
    </row>
    <row r="24" spans="2:25" ht="30">
      <c r="B24" s="356"/>
      <c r="C24" s="357"/>
      <c r="D24" s="352"/>
      <c r="E24" s="8" t="s">
        <v>37</v>
      </c>
      <c r="F24" s="46">
        <v>1</v>
      </c>
      <c r="G24" s="46">
        <f>'2016'!J24</f>
        <v>1</v>
      </c>
      <c r="H24" s="92">
        <f>'2017'!J24</f>
        <v>1</v>
      </c>
      <c r="I24" s="92">
        <f>'2018'!J24</f>
        <v>1</v>
      </c>
      <c r="J24" s="92">
        <f>'2019'!J24</f>
        <v>1</v>
      </c>
      <c r="K24" s="226">
        <f>'2016'!K24</f>
        <v>1</v>
      </c>
      <c r="L24" s="92">
        <f>'2017'!K24</f>
        <v>1</v>
      </c>
      <c r="M24" s="92">
        <f>'2018'!K24</f>
        <v>1</v>
      </c>
      <c r="N24" s="60">
        <f>'2019'!K24</f>
        <v>0</v>
      </c>
      <c r="O24" s="201">
        <f>'2016'!N24</f>
        <v>1</v>
      </c>
      <c r="P24" s="202">
        <f>'2017'!N24</f>
        <v>1</v>
      </c>
      <c r="Q24" s="203">
        <f>'2018'!N24</f>
        <v>1</v>
      </c>
      <c r="R24" s="202">
        <f>'2019'!N24</f>
        <v>0</v>
      </c>
      <c r="S24" s="238">
        <v>0.75</v>
      </c>
      <c r="T24" s="115" t="s">
        <v>155</v>
      </c>
      <c r="U24" s="46">
        <f>+'2016'!P24+'2017'!P24</f>
        <v>209000</v>
      </c>
      <c r="V24" s="46">
        <f>+'2016'!Q24+'2017'!Q24</f>
        <v>95000</v>
      </c>
      <c r="W24" s="46">
        <f>+'2016'!R24+'2017'!R24</f>
        <v>0</v>
      </c>
      <c r="X24" s="47">
        <f t="shared" si="0"/>
        <v>0.45454545454545453</v>
      </c>
      <c r="Y24" s="50" t="str">
        <f t="shared" si="1"/>
        <v xml:space="preserve"> -</v>
      </c>
    </row>
    <row r="25" spans="2:25" ht="60">
      <c r="B25" s="356"/>
      <c r="C25" s="357"/>
      <c r="D25" s="352"/>
      <c r="E25" s="8" t="s">
        <v>38</v>
      </c>
      <c r="F25" s="46">
        <v>840</v>
      </c>
      <c r="G25" s="46">
        <f>'2016'!J25</f>
        <v>250</v>
      </c>
      <c r="H25" s="92">
        <f>'2017'!J25</f>
        <v>240</v>
      </c>
      <c r="I25" s="92">
        <f>'2018'!J25</f>
        <v>110</v>
      </c>
      <c r="J25" s="92">
        <f>'2019'!J25</f>
        <v>240</v>
      </c>
      <c r="K25" s="226">
        <f>'2016'!K25</f>
        <v>296</v>
      </c>
      <c r="L25" s="92">
        <f>'2017'!K25</f>
        <v>240</v>
      </c>
      <c r="M25" s="92">
        <f>'2018'!K25</f>
        <v>110</v>
      </c>
      <c r="N25" s="60">
        <f>'2019'!K25</f>
        <v>0</v>
      </c>
      <c r="O25" s="201">
        <f>'2016'!N25</f>
        <v>1</v>
      </c>
      <c r="P25" s="202">
        <f>'2017'!N25</f>
        <v>1</v>
      </c>
      <c r="Q25" s="203">
        <f>'2018'!N25</f>
        <v>1</v>
      </c>
      <c r="R25" s="202">
        <f>'2019'!N25</f>
        <v>0</v>
      </c>
      <c r="S25" s="238">
        <v>0.76904761904761909</v>
      </c>
      <c r="T25" s="115" t="s">
        <v>156</v>
      </c>
      <c r="U25" s="46">
        <f>+'2016'!P25+'2017'!P25</f>
        <v>492000</v>
      </c>
      <c r="V25" s="46">
        <f>+'2016'!Q25+'2017'!Q25</f>
        <v>304680</v>
      </c>
      <c r="W25" s="46">
        <f>+'2016'!R25+'2017'!R25</f>
        <v>35670</v>
      </c>
      <c r="X25" s="47">
        <f t="shared" si="0"/>
        <v>0.61926829268292682</v>
      </c>
      <c r="Y25" s="50">
        <f t="shared" si="1"/>
        <v>0.117073651043718</v>
      </c>
    </row>
    <row r="26" spans="2:25" ht="45">
      <c r="B26" s="356"/>
      <c r="C26" s="357"/>
      <c r="D26" s="352"/>
      <c r="E26" s="8" t="s">
        <v>39</v>
      </c>
      <c r="F26" s="46">
        <v>1</v>
      </c>
      <c r="G26" s="46">
        <f>'2016'!J26</f>
        <v>1</v>
      </c>
      <c r="H26" s="92">
        <f>'2017'!J26</f>
        <v>1</v>
      </c>
      <c r="I26" s="92">
        <f>'2018'!J26</f>
        <v>1</v>
      </c>
      <c r="J26" s="92">
        <f>'2019'!J26</f>
        <v>1</v>
      </c>
      <c r="K26" s="226">
        <f>'2016'!K26</f>
        <v>0</v>
      </c>
      <c r="L26" s="92">
        <f>'2017'!K26</f>
        <v>0</v>
      </c>
      <c r="M26" s="92">
        <f>'2018'!K26</f>
        <v>0</v>
      </c>
      <c r="N26" s="60">
        <f>'2019'!K26</f>
        <v>0</v>
      </c>
      <c r="O26" s="201">
        <f>'2016'!N26</f>
        <v>0</v>
      </c>
      <c r="P26" s="202">
        <f>'2017'!N26</f>
        <v>0</v>
      </c>
      <c r="Q26" s="203">
        <f>'2018'!N26</f>
        <v>0</v>
      </c>
      <c r="R26" s="202">
        <f>'2019'!N26</f>
        <v>0</v>
      </c>
      <c r="S26" s="238">
        <v>0</v>
      </c>
      <c r="T26" s="115" t="s">
        <v>157</v>
      </c>
      <c r="U26" s="46">
        <f>+'2016'!P26+'2017'!P26</f>
        <v>0</v>
      </c>
      <c r="V26" s="46">
        <f>+'2016'!Q26+'2017'!Q26</f>
        <v>0</v>
      </c>
      <c r="W26" s="46">
        <f>+'2016'!R26+'2017'!R26</f>
        <v>0</v>
      </c>
      <c r="X26" s="47" t="str">
        <f t="shared" si="0"/>
        <v xml:space="preserve"> -</v>
      </c>
      <c r="Y26" s="50" t="str">
        <f t="shared" si="1"/>
        <v xml:space="preserve"> -</v>
      </c>
    </row>
    <row r="27" spans="2:25" ht="45">
      <c r="B27" s="356"/>
      <c r="C27" s="357"/>
      <c r="D27" s="352"/>
      <c r="E27" s="9" t="s">
        <v>93</v>
      </c>
      <c r="F27" s="46">
        <v>5</v>
      </c>
      <c r="G27" s="46">
        <f>'2016'!J27</f>
        <v>1</v>
      </c>
      <c r="H27" s="92">
        <f>'2017'!J27</f>
        <v>2</v>
      </c>
      <c r="I27" s="92">
        <f>'2018'!J27</f>
        <v>1</v>
      </c>
      <c r="J27" s="92">
        <f>'2019'!J27</f>
        <v>1</v>
      </c>
      <c r="K27" s="226">
        <f>'2016'!K27</f>
        <v>1</v>
      </c>
      <c r="L27" s="92">
        <f>'2017'!K27</f>
        <v>2</v>
      </c>
      <c r="M27" s="92">
        <f>'2018'!K27</f>
        <v>5</v>
      </c>
      <c r="N27" s="60">
        <f>'2019'!K27</f>
        <v>0</v>
      </c>
      <c r="O27" s="201">
        <f>'2016'!N27</f>
        <v>1</v>
      </c>
      <c r="P27" s="202">
        <f>'2017'!N27</f>
        <v>1</v>
      </c>
      <c r="Q27" s="203">
        <f>'2018'!N27</f>
        <v>1</v>
      </c>
      <c r="R27" s="202">
        <f>'2019'!N27</f>
        <v>0</v>
      </c>
      <c r="S27" s="238">
        <v>1</v>
      </c>
      <c r="T27" s="115" t="s">
        <v>158</v>
      </c>
      <c r="U27" s="46">
        <f>+'2016'!P27+'2017'!P27</f>
        <v>71431</v>
      </c>
      <c r="V27" s="46">
        <f>+'2016'!Q27+'2017'!Q27</f>
        <v>70720</v>
      </c>
      <c r="W27" s="46">
        <f>+'2016'!R27+'2017'!R27</f>
        <v>0</v>
      </c>
      <c r="X27" s="47">
        <f t="shared" si="0"/>
        <v>0.99004633842449352</v>
      </c>
      <c r="Y27" s="50" t="str">
        <f t="shared" si="1"/>
        <v xml:space="preserve"> -</v>
      </c>
    </row>
    <row r="28" spans="2:25" ht="60">
      <c r="B28" s="356"/>
      <c r="C28" s="357"/>
      <c r="D28" s="352"/>
      <c r="E28" s="9" t="s">
        <v>40</v>
      </c>
      <c r="F28" s="46">
        <v>1</v>
      </c>
      <c r="G28" s="4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26">
        <f>'2016'!K28</f>
        <v>1</v>
      </c>
      <c r="L28" s="92">
        <f>'2017'!K28</f>
        <v>1</v>
      </c>
      <c r="M28" s="92">
        <f>'2018'!K28</f>
        <v>1</v>
      </c>
      <c r="N28" s="60">
        <f>'2019'!K28</f>
        <v>0</v>
      </c>
      <c r="O28" s="201">
        <f>'2016'!N28</f>
        <v>1</v>
      </c>
      <c r="P28" s="202">
        <f>'2017'!N28</f>
        <v>1</v>
      </c>
      <c r="Q28" s="203">
        <f>'2018'!N28</f>
        <v>1</v>
      </c>
      <c r="R28" s="202">
        <f>'2019'!N28</f>
        <v>0</v>
      </c>
      <c r="S28" s="238">
        <v>0.75</v>
      </c>
      <c r="T28" s="115" t="s">
        <v>159</v>
      </c>
      <c r="U28" s="46">
        <f>+'2016'!P28+'2017'!P28</f>
        <v>10000</v>
      </c>
      <c r="V28" s="46">
        <f>+'2016'!Q28+'2017'!Q28</f>
        <v>2400</v>
      </c>
      <c r="W28" s="46">
        <f>+'2016'!R28+'2017'!R28</f>
        <v>0</v>
      </c>
      <c r="X28" s="47">
        <f t="shared" si="0"/>
        <v>0.24</v>
      </c>
      <c r="Y28" s="50" t="str">
        <f t="shared" si="1"/>
        <v xml:space="preserve"> -</v>
      </c>
    </row>
    <row r="29" spans="2:25" ht="60">
      <c r="B29" s="356"/>
      <c r="C29" s="357"/>
      <c r="D29" s="352"/>
      <c r="E29" s="9" t="s">
        <v>41</v>
      </c>
      <c r="F29" s="46">
        <v>1</v>
      </c>
      <c r="G29" s="4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226">
        <f>'2016'!K29</f>
        <v>1</v>
      </c>
      <c r="L29" s="92">
        <f>'2017'!K29</f>
        <v>1</v>
      </c>
      <c r="M29" s="92">
        <f>'2018'!K29</f>
        <v>1</v>
      </c>
      <c r="N29" s="60">
        <f>'2019'!K29</f>
        <v>0</v>
      </c>
      <c r="O29" s="201">
        <f>'2016'!N29</f>
        <v>1</v>
      </c>
      <c r="P29" s="202">
        <f>'2017'!N29</f>
        <v>1</v>
      </c>
      <c r="Q29" s="203">
        <f>'2018'!N29</f>
        <v>1</v>
      </c>
      <c r="R29" s="202">
        <f>'2019'!N29</f>
        <v>0</v>
      </c>
      <c r="S29" s="238">
        <v>0.75</v>
      </c>
      <c r="T29" s="115" t="s">
        <v>158</v>
      </c>
      <c r="U29" s="46">
        <f>+'2016'!P29+'2017'!P29</f>
        <v>200000</v>
      </c>
      <c r="V29" s="46">
        <f>+'2016'!Q29+'2017'!Q29</f>
        <v>199558</v>
      </c>
      <c r="W29" s="46">
        <f>+'2016'!R29+'2017'!R29</f>
        <v>0</v>
      </c>
      <c r="X29" s="47">
        <f t="shared" si="0"/>
        <v>0.99778999999999995</v>
      </c>
      <c r="Y29" s="50" t="str">
        <f t="shared" si="1"/>
        <v xml:space="preserve"> -</v>
      </c>
    </row>
    <row r="30" spans="2:25" ht="61" thickBot="1">
      <c r="B30" s="356"/>
      <c r="C30" s="357"/>
      <c r="D30" s="353"/>
      <c r="E30" s="10" t="s">
        <v>42</v>
      </c>
      <c r="F30" s="52">
        <v>1</v>
      </c>
      <c r="G30" s="52">
        <f>'2016'!J30</f>
        <v>1</v>
      </c>
      <c r="H30" s="93">
        <f>'2017'!J30</f>
        <v>0</v>
      </c>
      <c r="I30" s="93">
        <f>'2018'!J30</f>
        <v>0</v>
      </c>
      <c r="J30" s="93">
        <f>'2019'!J30</f>
        <v>0</v>
      </c>
      <c r="K30" s="227">
        <f>'2016'!K30</f>
        <v>1</v>
      </c>
      <c r="L30" s="93">
        <f>'2017'!K30</f>
        <v>1</v>
      </c>
      <c r="M30" s="93">
        <f>'2018'!K30</f>
        <v>0</v>
      </c>
      <c r="N30" s="61">
        <f>'2019'!K30</f>
        <v>0</v>
      </c>
      <c r="O30" s="204">
        <f>'2016'!N30</f>
        <v>1</v>
      </c>
      <c r="P30" s="195" t="str">
        <f>'2017'!N30</f>
        <v xml:space="preserve"> -</v>
      </c>
      <c r="Q30" s="194" t="str">
        <f>'2018'!N30</f>
        <v xml:space="preserve"> -</v>
      </c>
      <c r="R30" s="195" t="str">
        <f>'2019'!N30</f>
        <v xml:space="preserve"> -</v>
      </c>
      <c r="S30" s="239">
        <v>1</v>
      </c>
      <c r="T30" s="116" t="s">
        <v>160</v>
      </c>
      <c r="U30" s="52">
        <f>+'2016'!P30+'2017'!P30</f>
        <v>0</v>
      </c>
      <c r="V30" s="52">
        <f>+'2016'!Q30+'2017'!Q30</f>
        <v>0</v>
      </c>
      <c r="W30" s="52">
        <f>+'2016'!R30+'2017'!R30</f>
        <v>0</v>
      </c>
      <c r="X30" s="53" t="str">
        <f t="shared" si="0"/>
        <v xml:space="preserve"> -</v>
      </c>
      <c r="Y30" s="54" t="str">
        <f t="shared" si="1"/>
        <v xml:space="preserve"> -</v>
      </c>
    </row>
    <row r="31" spans="2:25" ht="30">
      <c r="B31" s="356"/>
      <c r="C31" s="357"/>
      <c r="D31" s="351" t="s">
        <v>78</v>
      </c>
      <c r="E31" s="12" t="s">
        <v>43</v>
      </c>
      <c r="F31" s="49">
        <v>1</v>
      </c>
      <c r="G31" s="49">
        <f>'2016'!J31</f>
        <v>1</v>
      </c>
      <c r="H31" s="91">
        <f>'2017'!J31</f>
        <v>1</v>
      </c>
      <c r="I31" s="91">
        <f>'2018'!J31</f>
        <v>1</v>
      </c>
      <c r="J31" s="91">
        <f>'2019'!J31</f>
        <v>1</v>
      </c>
      <c r="K31" s="225">
        <f>'2016'!K31</f>
        <v>1</v>
      </c>
      <c r="L31" s="91">
        <f>'2017'!K31</f>
        <v>1</v>
      </c>
      <c r="M31" s="91">
        <f>'2018'!K31</f>
        <v>1</v>
      </c>
      <c r="N31" s="59">
        <f>'2019'!K31</f>
        <v>0</v>
      </c>
      <c r="O31" s="205">
        <f>'2016'!N31</f>
        <v>1</v>
      </c>
      <c r="P31" s="193">
        <f>'2017'!N31</f>
        <v>1</v>
      </c>
      <c r="Q31" s="206">
        <f>'2018'!N31</f>
        <v>1</v>
      </c>
      <c r="R31" s="193">
        <f>'2019'!N31</f>
        <v>0</v>
      </c>
      <c r="S31" s="240">
        <v>0.75</v>
      </c>
      <c r="T31" s="117" t="s">
        <v>161</v>
      </c>
      <c r="U31" s="90">
        <f>+'2016'!P31+'2017'!P31</f>
        <v>659566</v>
      </c>
      <c r="V31" s="90">
        <f>+'2016'!Q31+'2017'!Q31</f>
        <v>565701</v>
      </c>
      <c r="W31" s="90">
        <f>+'2016'!R31+'2017'!R31</f>
        <v>0</v>
      </c>
      <c r="X31" s="33">
        <f t="shared" si="0"/>
        <v>0.85768672126822787</v>
      </c>
      <c r="Y31" s="32" t="str">
        <f t="shared" si="1"/>
        <v xml:space="preserve"> -</v>
      </c>
    </row>
    <row r="32" spans="2:25" ht="45">
      <c r="B32" s="356"/>
      <c r="C32" s="357"/>
      <c r="D32" s="352"/>
      <c r="E32" s="8" t="s">
        <v>44</v>
      </c>
      <c r="F32" s="46">
        <v>1</v>
      </c>
      <c r="G32" s="46">
        <f>'2016'!J32</f>
        <v>1</v>
      </c>
      <c r="H32" s="92">
        <f>'2017'!J32</f>
        <v>1</v>
      </c>
      <c r="I32" s="92">
        <f>'2018'!J32</f>
        <v>1</v>
      </c>
      <c r="J32" s="92">
        <f>'2019'!J32</f>
        <v>1</v>
      </c>
      <c r="K32" s="226">
        <f>'2016'!K32</f>
        <v>1</v>
      </c>
      <c r="L32" s="92">
        <f>'2017'!K32</f>
        <v>1</v>
      </c>
      <c r="M32" s="92">
        <f>'2018'!K32</f>
        <v>1</v>
      </c>
      <c r="N32" s="60">
        <f>'2019'!K32</f>
        <v>0</v>
      </c>
      <c r="O32" s="201">
        <f>'2016'!N32</f>
        <v>1</v>
      </c>
      <c r="P32" s="202">
        <f>'2017'!N32</f>
        <v>1</v>
      </c>
      <c r="Q32" s="203">
        <f>'2018'!N32</f>
        <v>1</v>
      </c>
      <c r="R32" s="202">
        <f>'2019'!N32</f>
        <v>0</v>
      </c>
      <c r="S32" s="238">
        <v>0.75</v>
      </c>
      <c r="T32" s="115" t="s">
        <v>162</v>
      </c>
      <c r="U32" s="46">
        <f>+'2016'!P32+'2017'!P32</f>
        <v>33200</v>
      </c>
      <c r="V32" s="46">
        <f>+'2016'!Q32+'2017'!Q32</f>
        <v>30226</v>
      </c>
      <c r="W32" s="46">
        <f>+'2016'!R32+'2017'!R32</f>
        <v>0</v>
      </c>
      <c r="X32" s="47">
        <f t="shared" si="0"/>
        <v>0.91042168674698798</v>
      </c>
      <c r="Y32" s="50" t="str">
        <f t="shared" si="1"/>
        <v xml:space="preserve"> -</v>
      </c>
    </row>
    <row r="33" spans="2:25" ht="45">
      <c r="B33" s="356"/>
      <c r="C33" s="357"/>
      <c r="D33" s="352"/>
      <c r="E33" s="8" t="s">
        <v>45</v>
      </c>
      <c r="F33" s="46">
        <v>1</v>
      </c>
      <c r="G33" s="46">
        <f>'2016'!J33</f>
        <v>1</v>
      </c>
      <c r="H33" s="92">
        <f>'2017'!J33</f>
        <v>1</v>
      </c>
      <c r="I33" s="92">
        <f>'2018'!J33</f>
        <v>1</v>
      </c>
      <c r="J33" s="92">
        <f>'2019'!J33</f>
        <v>1</v>
      </c>
      <c r="K33" s="226">
        <f>'2016'!K33</f>
        <v>1</v>
      </c>
      <c r="L33" s="92">
        <f>'2017'!K33</f>
        <v>1</v>
      </c>
      <c r="M33" s="92">
        <f>'2018'!K33</f>
        <v>1</v>
      </c>
      <c r="N33" s="60">
        <f>'2019'!K33</f>
        <v>0</v>
      </c>
      <c r="O33" s="201">
        <f>'2016'!N33</f>
        <v>1</v>
      </c>
      <c r="P33" s="202">
        <f>'2017'!N33</f>
        <v>1</v>
      </c>
      <c r="Q33" s="203">
        <f>'2018'!N33</f>
        <v>1</v>
      </c>
      <c r="R33" s="202">
        <f>'2019'!N33</f>
        <v>0</v>
      </c>
      <c r="S33" s="238">
        <v>0.75</v>
      </c>
      <c r="T33" s="115" t="s">
        <v>163</v>
      </c>
      <c r="U33" s="46">
        <f>+'2016'!P33+'2017'!P33</f>
        <v>195471</v>
      </c>
      <c r="V33" s="46">
        <f>+'2016'!Q33+'2017'!Q33</f>
        <v>155947</v>
      </c>
      <c r="W33" s="46">
        <f>+'2016'!R33+'2017'!R33</f>
        <v>0</v>
      </c>
      <c r="X33" s="47">
        <f t="shared" si="0"/>
        <v>0.79780120836338897</v>
      </c>
      <c r="Y33" s="50" t="str">
        <f t="shared" si="1"/>
        <v xml:space="preserve"> -</v>
      </c>
    </row>
    <row r="34" spans="2:25" ht="30">
      <c r="B34" s="356"/>
      <c r="C34" s="357"/>
      <c r="D34" s="352"/>
      <c r="E34" s="11" t="s">
        <v>46</v>
      </c>
      <c r="F34" s="46">
        <v>1</v>
      </c>
      <c r="G34" s="46">
        <f>'2016'!J34</f>
        <v>1</v>
      </c>
      <c r="H34" s="92">
        <f>'2017'!J34</f>
        <v>1</v>
      </c>
      <c r="I34" s="92">
        <f>'2018'!J34</f>
        <v>1</v>
      </c>
      <c r="J34" s="92">
        <f>'2019'!J34</f>
        <v>1</v>
      </c>
      <c r="K34" s="226">
        <f>'2016'!K34</f>
        <v>1</v>
      </c>
      <c r="L34" s="92">
        <f>'2017'!K34</f>
        <v>1</v>
      </c>
      <c r="M34" s="92">
        <f>'2018'!K34</f>
        <v>1</v>
      </c>
      <c r="N34" s="60">
        <f>'2019'!K34</f>
        <v>0</v>
      </c>
      <c r="O34" s="201">
        <f>'2016'!N34</f>
        <v>1</v>
      </c>
      <c r="P34" s="202">
        <f>'2017'!N34</f>
        <v>1</v>
      </c>
      <c r="Q34" s="203">
        <f>'2018'!N34</f>
        <v>1</v>
      </c>
      <c r="R34" s="202">
        <f>'2019'!N34</f>
        <v>0</v>
      </c>
      <c r="S34" s="238">
        <v>1</v>
      </c>
      <c r="T34" s="115" t="s">
        <v>164</v>
      </c>
      <c r="U34" s="46">
        <f>+'2016'!P34+'2017'!P34</f>
        <v>150401</v>
      </c>
      <c r="V34" s="46">
        <f>+'2016'!Q34+'2017'!Q34</f>
        <v>147074</v>
      </c>
      <c r="W34" s="46">
        <f>+'2016'!R34+'2017'!R34</f>
        <v>0</v>
      </c>
      <c r="X34" s="47">
        <f t="shared" si="0"/>
        <v>0.97787913644191193</v>
      </c>
      <c r="Y34" s="50" t="str">
        <f t="shared" si="1"/>
        <v xml:space="preserve"> -</v>
      </c>
    </row>
    <row r="35" spans="2:25" ht="60">
      <c r="B35" s="356"/>
      <c r="C35" s="357"/>
      <c r="D35" s="352"/>
      <c r="E35" s="9" t="s">
        <v>47</v>
      </c>
      <c r="F35" s="46">
        <v>1</v>
      </c>
      <c r="G35" s="46">
        <f>'2016'!J35</f>
        <v>0</v>
      </c>
      <c r="H35" s="92">
        <f>'2017'!J35</f>
        <v>1</v>
      </c>
      <c r="I35" s="92">
        <f>'2018'!J35</f>
        <v>0</v>
      </c>
      <c r="J35" s="92">
        <f>'2019'!J35</f>
        <v>0</v>
      </c>
      <c r="K35" s="226">
        <f>'2016'!K35</f>
        <v>1</v>
      </c>
      <c r="L35" s="92">
        <f>'2017'!K35</f>
        <v>1</v>
      </c>
      <c r="M35" s="92">
        <f>'2018'!K35</f>
        <v>1</v>
      </c>
      <c r="N35" s="60">
        <f>'2019'!K35</f>
        <v>0</v>
      </c>
      <c r="O35" s="201" t="str">
        <f>'2016'!N35</f>
        <v xml:space="preserve"> -</v>
      </c>
      <c r="P35" s="202">
        <f>'2017'!N35</f>
        <v>1</v>
      </c>
      <c r="Q35" s="203" t="str">
        <f>'2018'!N35</f>
        <v xml:space="preserve"> -</v>
      </c>
      <c r="R35" s="202" t="str">
        <f>'2019'!N35</f>
        <v xml:space="preserve"> -</v>
      </c>
      <c r="S35" s="238">
        <v>1</v>
      </c>
      <c r="T35" s="115" t="s">
        <v>165</v>
      </c>
      <c r="U35" s="46">
        <f>+'2016'!P35+'2017'!P35</f>
        <v>49000</v>
      </c>
      <c r="V35" s="46">
        <f>+'2016'!Q35+'2017'!Q35</f>
        <v>42180</v>
      </c>
      <c r="W35" s="46">
        <f>+'2016'!R35+'2017'!R35</f>
        <v>0</v>
      </c>
      <c r="X35" s="47">
        <f t="shared" si="0"/>
        <v>0.86081632653061224</v>
      </c>
      <c r="Y35" s="50" t="str">
        <f t="shared" si="1"/>
        <v xml:space="preserve"> -</v>
      </c>
    </row>
    <row r="36" spans="2:25" ht="45">
      <c r="B36" s="356"/>
      <c r="C36" s="357"/>
      <c r="D36" s="352"/>
      <c r="E36" s="9" t="s">
        <v>48</v>
      </c>
      <c r="F36" s="46">
        <v>1</v>
      </c>
      <c r="G36" s="46">
        <f>'2016'!J36</f>
        <v>1</v>
      </c>
      <c r="H36" s="92">
        <f>'2017'!J36</f>
        <v>1</v>
      </c>
      <c r="I36" s="92">
        <f>'2018'!J36</f>
        <v>1</v>
      </c>
      <c r="J36" s="92">
        <f>'2019'!J36</f>
        <v>1</v>
      </c>
      <c r="K36" s="226">
        <f>'2016'!K36</f>
        <v>1</v>
      </c>
      <c r="L36" s="92">
        <f>'2017'!K36</f>
        <v>1</v>
      </c>
      <c r="M36" s="92">
        <f>'2018'!K36</f>
        <v>1</v>
      </c>
      <c r="N36" s="60">
        <f>'2019'!K36</f>
        <v>0</v>
      </c>
      <c r="O36" s="201">
        <f>'2016'!N36</f>
        <v>1</v>
      </c>
      <c r="P36" s="202">
        <f>'2017'!N36</f>
        <v>1</v>
      </c>
      <c r="Q36" s="203">
        <f>'2018'!N36</f>
        <v>1</v>
      </c>
      <c r="R36" s="202">
        <f>'2019'!N36</f>
        <v>0</v>
      </c>
      <c r="S36" s="238">
        <v>0.75</v>
      </c>
      <c r="T36" s="115" t="s">
        <v>166</v>
      </c>
      <c r="U36" s="46">
        <f>+'2016'!P36+'2017'!P36</f>
        <v>228074</v>
      </c>
      <c r="V36" s="46">
        <f>+'2016'!Q36+'2017'!Q36</f>
        <v>221560</v>
      </c>
      <c r="W36" s="46">
        <f>+'2016'!R36+'2017'!R36</f>
        <v>0</v>
      </c>
      <c r="X36" s="47">
        <f t="shared" si="0"/>
        <v>0.97143909432903353</v>
      </c>
      <c r="Y36" s="50" t="str">
        <f t="shared" si="1"/>
        <v xml:space="preserve"> -</v>
      </c>
    </row>
    <row r="37" spans="2:25" ht="46" thickBot="1">
      <c r="B37" s="356"/>
      <c r="C37" s="357"/>
      <c r="D37" s="353"/>
      <c r="E37" s="10" t="s">
        <v>49</v>
      </c>
      <c r="F37" s="52">
        <v>1</v>
      </c>
      <c r="G37" s="52">
        <f>'2016'!J37</f>
        <v>1</v>
      </c>
      <c r="H37" s="93">
        <f>'2017'!J37</f>
        <v>1</v>
      </c>
      <c r="I37" s="93">
        <f>'2018'!J37</f>
        <v>1</v>
      </c>
      <c r="J37" s="93">
        <f>'2019'!J37</f>
        <v>1</v>
      </c>
      <c r="K37" s="227">
        <f>'2016'!K37</f>
        <v>1</v>
      </c>
      <c r="L37" s="93">
        <f>'2017'!K37</f>
        <v>1</v>
      </c>
      <c r="M37" s="93">
        <f>'2018'!K37</f>
        <v>1</v>
      </c>
      <c r="N37" s="61">
        <f>'2019'!K37</f>
        <v>0</v>
      </c>
      <c r="O37" s="207">
        <f>'2016'!N37</f>
        <v>1</v>
      </c>
      <c r="P37" s="208">
        <f>'2017'!N37</f>
        <v>1</v>
      </c>
      <c r="Q37" s="209">
        <f>'2018'!N37</f>
        <v>1</v>
      </c>
      <c r="R37" s="208">
        <f>'2019'!N37</f>
        <v>0</v>
      </c>
      <c r="S37" s="241">
        <v>0.75</v>
      </c>
      <c r="T37" s="118" t="s">
        <v>167</v>
      </c>
      <c r="U37" s="52">
        <f>+'2016'!P37+'2017'!P37</f>
        <v>81840</v>
      </c>
      <c r="V37" s="52">
        <f>+'2016'!Q37+'2017'!Q37</f>
        <v>79520</v>
      </c>
      <c r="W37" s="52">
        <f>+'2016'!R37+'2017'!R37</f>
        <v>0</v>
      </c>
      <c r="X37" s="82">
        <f t="shared" si="0"/>
        <v>0.97165200391006845</v>
      </c>
      <c r="Y37" s="83" t="str">
        <f t="shared" si="1"/>
        <v xml:space="preserve"> -</v>
      </c>
    </row>
    <row r="38" spans="2:25" ht="30">
      <c r="B38" s="356"/>
      <c r="C38" s="357"/>
      <c r="D38" s="351" t="s">
        <v>79</v>
      </c>
      <c r="E38" s="12" t="s">
        <v>50</v>
      </c>
      <c r="F38" s="49">
        <v>4</v>
      </c>
      <c r="G38" s="49">
        <f>'2016'!J38</f>
        <v>0</v>
      </c>
      <c r="H38" s="91">
        <f>'2017'!J38</f>
        <v>2</v>
      </c>
      <c r="I38" s="91">
        <f>'2018'!J38</f>
        <v>1</v>
      </c>
      <c r="J38" s="91">
        <f>'2019'!J38</f>
        <v>1</v>
      </c>
      <c r="K38" s="225">
        <f>'2016'!K38</f>
        <v>0</v>
      </c>
      <c r="L38" s="91">
        <f>'2017'!K38</f>
        <v>1</v>
      </c>
      <c r="M38" s="91">
        <f>'2018'!K38</f>
        <v>4</v>
      </c>
      <c r="N38" s="59">
        <f>'2019'!K38</f>
        <v>0</v>
      </c>
      <c r="O38" s="199" t="str">
        <f>'2016'!N38</f>
        <v xml:space="preserve"> -</v>
      </c>
      <c r="P38" s="200">
        <f>'2017'!N38</f>
        <v>0.5</v>
      </c>
      <c r="Q38" s="192">
        <f>'2018'!N38</f>
        <v>1</v>
      </c>
      <c r="R38" s="200">
        <f>'2019'!N38</f>
        <v>0</v>
      </c>
      <c r="S38" s="237">
        <v>1</v>
      </c>
      <c r="T38" s="114" t="s">
        <v>168</v>
      </c>
      <c r="U38" s="90">
        <f>+'2016'!P38+'2017'!P38</f>
        <v>511744</v>
      </c>
      <c r="V38" s="90">
        <f>+'2016'!Q38+'2017'!Q38</f>
        <v>261885</v>
      </c>
      <c r="W38" s="90">
        <f>+'2016'!R38+'2017'!R38</f>
        <v>0</v>
      </c>
      <c r="X38" s="28">
        <f t="shared" si="0"/>
        <v>0.51175001563281641</v>
      </c>
      <c r="Y38" s="27" t="str">
        <f t="shared" si="1"/>
        <v xml:space="preserve"> -</v>
      </c>
    </row>
    <row r="39" spans="2:25" ht="45">
      <c r="B39" s="356"/>
      <c r="C39" s="357"/>
      <c r="D39" s="352"/>
      <c r="E39" s="8" t="s">
        <v>51</v>
      </c>
      <c r="F39" s="46">
        <v>4</v>
      </c>
      <c r="G39" s="46">
        <f>'2016'!J39</f>
        <v>0</v>
      </c>
      <c r="H39" s="92">
        <f>'2017'!J39</f>
        <v>2</v>
      </c>
      <c r="I39" s="92">
        <f>'2018'!J39</f>
        <v>1</v>
      </c>
      <c r="J39" s="92">
        <f>'2019'!J39</f>
        <v>1</v>
      </c>
      <c r="K39" s="226">
        <f>'2016'!K39</f>
        <v>0</v>
      </c>
      <c r="L39" s="92">
        <f>'2017'!K39</f>
        <v>1</v>
      </c>
      <c r="M39" s="92">
        <f>'2018'!K39</f>
        <v>2</v>
      </c>
      <c r="N39" s="60">
        <f>'2019'!K39</f>
        <v>0</v>
      </c>
      <c r="O39" s="201" t="str">
        <f>'2016'!N39</f>
        <v xml:space="preserve"> -</v>
      </c>
      <c r="P39" s="202">
        <f>'2017'!N39</f>
        <v>0.5</v>
      </c>
      <c r="Q39" s="203">
        <f>'2018'!N39</f>
        <v>1</v>
      </c>
      <c r="R39" s="202">
        <f>'2019'!N39</f>
        <v>0</v>
      </c>
      <c r="S39" s="238">
        <v>0.75</v>
      </c>
      <c r="T39" s="115" t="s">
        <v>169</v>
      </c>
      <c r="U39" s="46">
        <f>+'2016'!P39+'2017'!P39</f>
        <v>29700</v>
      </c>
      <c r="V39" s="46">
        <f>+'2016'!Q39+'2017'!Q39</f>
        <v>14159</v>
      </c>
      <c r="W39" s="46">
        <f>+'2016'!R39+'2017'!R39</f>
        <v>0</v>
      </c>
      <c r="X39" s="47">
        <f t="shared" si="0"/>
        <v>0.47673400673400673</v>
      </c>
      <c r="Y39" s="50" t="str">
        <f t="shared" si="1"/>
        <v xml:space="preserve"> -</v>
      </c>
    </row>
    <row r="40" spans="2:25" ht="45">
      <c r="B40" s="356"/>
      <c r="C40" s="357"/>
      <c r="D40" s="352"/>
      <c r="E40" s="8" t="s">
        <v>52</v>
      </c>
      <c r="F40" s="46">
        <v>1</v>
      </c>
      <c r="G40" s="46">
        <f>'2016'!J40</f>
        <v>1</v>
      </c>
      <c r="H40" s="92">
        <f>'2017'!J40</f>
        <v>1</v>
      </c>
      <c r="I40" s="92">
        <f>'2018'!J40</f>
        <v>1</v>
      </c>
      <c r="J40" s="92">
        <f>'2019'!J40</f>
        <v>1</v>
      </c>
      <c r="K40" s="226">
        <f>'2016'!K40</f>
        <v>1</v>
      </c>
      <c r="L40" s="92">
        <f>'2017'!K40</f>
        <v>1</v>
      </c>
      <c r="M40" s="92">
        <f>'2018'!K40</f>
        <v>1</v>
      </c>
      <c r="N40" s="60">
        <f>'2019'!K40</f>
        <v>0</v>
      </c>
      <c r="O40" s="201">
        <f>'2016'!N40</f>
        <v>1</v>
      </c>
      <c r="P40" s="202">
        <f>'2017'!N40</f>
        <v>1</v>
      </c>
      <c r="Q40" s="203">
        <f>'2018'!N40</f>
        <v>1</v>
      </c>
      <c r="R40" s="202">
        <f>'2019'!N40</f>
        <v>0</v>
      </c>
      <c r="S40" s="238">
        <v>0.75</v>
      </c>
      <c r="T40" s="115" t="s">
        <v>170</v>
      </c>
      <c r="U40" s="46">
        <f>+'2016'!P40+'2017'!P40</f>
        <v>439641</v>
      </c>
      <c r="V40" s="46">
        <f>+'2016'!Q40+'2017'!Q40</f>
        <v>204863</v>
      </c>
      <c r="W40" s="46">
        <f>+'2016'!R40+'2017'!R40</f>
        <v>0</v>
      </c>
      <c r="X40" s="47">
        <f t="shared" si="0"/>
        <v>0.46597792289618123</v>
      </c>
      <c r="Y40" s="50" t="str">
        <f t="shared" si="1"/>
        <v xml:space="preserve"> -</v>
      </c>
    </row>
    <row r="41" spans="2:25" ht="45">
      <c r="B41" s="356"/>
      <c r="C41" s="357"/>
      <c r="D41" s="352"/>
      <c r="E41" s="8" t="s">
        <v>53</v>
      </c>
      <c r="F41" s="46">
        <v>1</v>
      </c>
      <c r="G41" s="46">
        <f>'2016'!J41</f>
        <v>1</v>
      </c>
      <c r="H41" s="92">
        <f>'2017'!J41</f>
        <v>1</v>
      </c>
      <c r="I41" s="92">
        <f>'2018'!J41</f>
        <v>1</v>
      </c>
      <c r="J41" s="92">
        <f>'2019'!J41</f>
        <v>1</v>
      </c>
      <c r="K41" s="226">
        <f>'2016'!K41</f>
        <v>1</v>
      </c>
      <c r="L41" s="92">
        <f>'2017'!K41</f>
        <v>1</v>
      </c>
      <c r="M41" s="92">
        <f>'2018'!K41</f>
        <v>1</v>
      </c>
      <c r="N41" s="60">
        <f>'2019'!K41</f>
        <v>0</v>
      </c>
      <c r="O41" s="201">
        <f>'2016'!N41</f>
        <v>1</v>
      </c>
      <c r="P41" s="202">
        <f>'2017'!N41</f>
        <v>1</v>
      </c>
      <c r="Q41" s="203">
        <f>'2018'!N41</f>
        <v>1</v>
      </c>
      <c r="R41" s="202">
        <f>'2019'!N41</f>
        <v>0</v>
      </c>
      <c r="S41" s="238">
        <v>0.75</v>
      </c>
      <c r="T41" s="115" t="s">
        <v>171</v>
      </c>
      <c r="U41" s="46">
        <f>+'2016'!P41+'2017'!P41</f>
        <v>1278584</v>
      </c>
      <c r="V41" s="46">
        <f>+'2016'!Q41+'2017'!Q41</f>
        <v>1094271</v>
      </c>
      <c r="W41" s="46">
        <f>+'2016'!R41+'2017'!R41</f>
        <v>0</v>
      </c>
      <c r="X41" s="47">
        <f t="shared" si="0"/>
        <v>0.85584599838571418</v>
      </c>
      <c r="Y41" s="50" t="str">
        <f t="shared" si="1"/>
        <v xml:space="preserve"> -</v>
      </c>
    </row>
    <row r="42" spans="2:25" ht="30">
      <c r="B42" s="356"/>
      <c r="C42" s="357"/>
      <c r="D42" s="352"/>
      <c r="E42" s="9" t="s">
        <v>54</v>
      </c>
      <c r="F42" s="46">
        <v>1</v>
      </c>
      <c r="G42" s="46">
        <f>'2016'!J42</f>
        <v>0</v>
      </c>
      <c r="H42" s="92">
        <f>'2017'!J42</f>
        <v>1</v>
      </c>
      <c r="I42" s="92">
        <f>'2018'!J42</f>
        <v>0</v>
      </c>
      <c r="J42" s="92">
        <f>'2019'!J42</f>
        <v>0</v>
      </c>
      <c r="K42" s="226">
        <f>'2016'!K42</f>
        <v>1</v>
      </c>
      <c r="L42" s="92">
        <f>'2017'!K42</f>
        <v>1</v>
      </c>
      <c r="M42" s="92">
        <f>'2018'!K42</f>
        <v>1</v>
      </c>
      <c r="N42" s="60">
        <f>'2019'!K42</f>
        <v>0</v>
      </c>
      <c r="O42" s="201" t="str">
        <f>'2016'!N42</f>
        <v xml:space="preserve"> -</v>
      </c>
      <c r="P42" s="202">
        <f>'2017'!N42</f>
        <v>1</v>
      </c>
      <c r="Q42" s="203" t="str">
        <f>'2018'!N42</f>
        <v xml:space="preserve"> -</v>
      </c>
      <c r="R42" s="202" t="str">
        <f>'2019'!N42</f>
        <v xml:space="preserve"> -</v>
      </c>
      <c r="S42" s="238">
        <v>1</v>
      </c>
      <c r="T42" s="115" t="s">
        <v>145</v>
      </c>
      <c r="U42" s="46">
        <f>+'2016'!P42+'2017'!P42</f>
        <v>150000</v>
      </c>
      <c r="V42" s="46">
        <f>+'2016'!Q42+'2017'!Q42</f>
        <v>150000</v>
      </c>
      <c r="W42" s="46">
        <f>+'2016'!R42+'2017'!R42</f>
        <v>0</v>
      </c>
      <c r="X42" s="47">
        <f t="shared" si="0"/>
        <v>1</v>
      </c>
      <c r="Y42" s="50" t="str">
        <f t="shared" si="1"/>
        <v xml:space="preserve"> -</v>
      </c>
    </row>
    <row r="43" spans="2:25" ht="30">
      <c r="B43" s="356"/>
      <c r="C43" s="357"/>
      <c r="D43" s="352"/>
      <c r="E43" s="11" t="s">
        <v>55</v>
      </c>
      <c r="F43" s="46">
        <v>1</v>
      </c>
      <c r="G43" s="46">
        <f>'2016'!J43</f>
        <v>0</v>
      </c>
      <c r="H43" s="92">
        <f>'2017'!J43</f>
        <v>1</v>
      </c>
      <c r="I43" s="92">
        <f>'2018'!J43</f>
        <v>0</v>
      </c>
      <c r="J43" s="92">
        <f>'2019'!J43</f>
        <v>0</v>
      </c>
      <c r="K43" s="226">
        <f>'2016'!K43</f>
        <v>0</v>
      </c>
      <c r="L43" s="92">
        <f>'2017'!K43</f>
        <v>0</v>
      </c>
      <c r="M43" s="92">
        <f>'2018'!K43</f>
        <v>1</v>
      </c>
      <c r="N43" s="60">
        <f>'2019'!K43</f>
        <v>0</v>
      </c>
      <c r="O43" s="201" t="str">
        <f>'2016'!N43</f>
        <v xml:space="preserve"> -</v>
      </c>
      <c r="P43" s="202">
        <f>'2017'!N43</f>
        <v>0</v>
      </c>
      <c r="Q43" s="203" t="str">
        <f>'2018'!N43</f>
        <v xml:space="preserve"> -</v>
      </c>
      <c r="R43" s="202" t="str">
        <f>'2019'!N43</f>
        <v xml:space="preserve"> -</v>
      </c>
      <c r="S43" s="238">
        <v>1</v>
      </c>
      <c r="T43" s="115" t="s">
        <v>145</v>
      </c>
      <c r="U43" s="46">
        <f>+'2016'!P43+'2017'!P43</f>
        <v>0</v>
      </c>
      <c r="V43" s="46">
        <f>+'2016'!Q43+'2017'!Q43</f>
        <v>0</v>
      </c>
      <c r="W43" s="46">
        <f>+'2016'!R43+'2017'!R43</f>
        <v>0</v>
      </c>
      <c r="X43" s="47" t="str">
        <f t="shared" si="0"/>
        <v xml:space="preserve"> -</v>
      </c>
      <c r="Y43" s="50" t="str">
        <f t="shared" si="1"/>
        <v xml:space="preserve"> -</v>
      </c>
    </row>
    <row r="44" spans="2:25" ht="31" thickBot="1">
      <c r="B44" s="356"/>
      <c r="C44" s="357"/>
      <c r="D44" s="353"/>
      <c r="E44" s="148" t="s">
        <v>56</v>
      </c>
      <c r="F44" s="52">
        <v>1</v>
      </c>
      <c r="G44" s="52">
        <f>'2016'!J44</f>
        <v>1</v>
      </c>
      <c r="H44" s="93">
        <f>'2017'!J44</f>
        <v>1</v>
      </c>
      <c r="I44" s="93">
        <f>'2018'!J44</f>
        <v>1</v>
      </c>
      <c r="J44" s="93">
        <f>'2019'!J44</f>
        <v>1</v>
      </c>
      <c r="K44" s="227">
        <f>'2016'!K44</f>
        <v>1</v>
      </c>
      <c r="L44" s="93">
        <f>'2017'!K44</f>
        <v>0</v>
      </c>
      <c r="M44" s="93">
        <f>'2018'!K44</f>
        <v>0</v>
      </c>
      <c r="N44" s="61">
        <f>'2019'!K44</f>
        <v>0</v>
      </c>
      <c r="O44" s="204">
        <f>'2016'!N44</f>
        <v>1</v>
      </c>
      <c r="P44" s="195">
        <f>'2017'!N44</f>
        <v>0</v>
      </c>
      <c r="Q44" s="194">
        <f>'2018'!N44</f>
        <v>0</v>
      </c>
      <c r="R44" s="195">
        <f>'2019'!N44</f>
        <v>0</v>
      </c>
      <c r="S44" s="239">
        <v>0.25</v>
      </c>
      <c r="T44" s="116" t="s">
        <v>172</v>
      </c>
      <c r="U44" s="52">
        <f>+'2016'!P44+'2017'!P44</f>
        <v>888140</v>
      </c>
      <c r="V44" s="52">
        <f>+'2016'!Q44+'2017'!Q44</f>
        <v>0</v>
      </c>
      <c r="W44" s="52">
        <f>+'2016'!R44+'2017'!R44</f>
        <v>0</v>
      </c>
      <c r="X44" s="53">
        <f t="shared" si="0"/>
        <v>0</v>
      </c>
      <c r="Y44" s="54" t="str">
        <f t="shared" si="1"/>
        <v xml:space="preserve"> -</v>
      </c>
    </row>
    <row r="45" spans="2:25" ht="46" thickBot="1">
      <c r="B45" s="356"/>
      <c r="C45" s="357"/>
      <c r="D45" s="168" t="s">
        <v>80</v>
      </c>
      <c r="E45" s="145" t="s">
        <v>57</v>
      </c>
      <c r="F45" s="137">
        <v>48</v>
      </c>
      <c r="G45" s="137">
        <f>'2016'!J45</f>
        <v>12</v>
      </c>
      <c r="H45" s="179">
        <f>'2017'!J45</f>
        <v>12</v>
      </c>
      <c r="I45" s="179">
        <f>'2018'!J45</f>
        <v>10</v>
      </c>
      <c r="J45" s="179">
        <f>'2019'!J45</f>
        <v>14</v>
      </c>
      <c r="K45" s="224">
        <f>'2016'!K45</f>
        <v>12</v>
      </c>
      <c r="L45" s="179">
        <f>'2017'!K45</f>
        <v>150</v>
      </c>
      <c r="M45" s="179">
        <f>'2018'!K45</f>
        <v>10</v>
      </c>
      <c r="N45" s="138">
        <f>'2019'!K45</f>
        <v>0</v>
      </c>
      <c r="O45" s="196">
        <f>'2016'!N45</f>
        <v>1</v>
      </c>
      <c r="P45" s="197">
        <f>'2017'!N45</f>
        <v>1</v>
      </c>
      <c r="Q45" s="210">
        <f>'2018'!N45</f>
        <v>1</v>
      </c>
      <c r="R45" s="197">
        <f>'2019'!N45</f>
        <v>0</v>
      </c>
      <c r="S45" s="236">
        <v>1</v>
      </c>
      <c r="T45" s="119" t="s">
        <v>173</v>
      </c>
      <c r="U45" s="245">
        <f>+'2016'!P45+'2017'!P45</f>
        <v>1838093</v>
      </c>
      <c r="V45" s="245">
        <f>+'2016'!Q45+'2017'!Q45</f>
        <v>1118289</v>
      </c>
      <c r="W45" s="245">
        <f>+'2016'!R45+'2017'!R45</f>
        <v>511235</v>
      </c>
      <c r="X45" s="87">
        <f t="shared" si="0"/>
        <v>0.60839631074162193</v>
      </c>
      <c r="Y45" s="88">
        <f t="shared" si="1"/>
        <v>0.45715821223315262</v>
      </c>
    </row>
    <row r="46" spans="2:25" ht="60">
      <c r="B46" s="356"/>
      <c r="C46" s="357"/>
      <c r="D46" s="351" t="s">
        <v>81</v>
      </c>
      <c r="E46" s="12" t="s">
        <v>90</v>
      </c>
      <c r="F46" s="49">
        <v>8</v>
      </c>
      <c r="G46" s="49">
        <f>'2016'!J46</f>
        <v>0</v>
      </c>
      <c r="H46" s="91">
        <f>'2017'!J46</f>
        <v>3</v>
      </c>
      <c r="I46" s="91">
        <f>'2018'!J46</f>
        <v>3</v>
      </c>
      <c r="J46" s="91">
        <f>'2019'!J46</f>
        <v>2</v>
      </c>
      <c r="K46" s="225">
        <f>'2016'!K46</f>
        <v>0</v>
      </c>
      <c r="L46" s="91">
        <f>'2017'!K46</f>
        <v>2</v>
      </c>
      <c r="M46" s="91">
        <f>'2018'!K46</f>
        <v>1</v>
      </c>
      <c r="N46" s="59">
        <f>'2019'!K46</f>
        <v>0</v>
      </c>
      <c r="O46" s="199" t="str">
        <f>'2016'!N46</f>
        <v xml:space="preserve"> -</v>
      </c>
      <c r="P46" s="200">
        <f>'2017'!N46</f>
        <v>0.66666666666666663</v>
      </c>
      <c r="Q46" s="192">
        <f>'2018'!N46</f>
        <v>0.33333333333333331</v>
      </c>
      <c r="R46" s="200">
        <f>'2019'!N46</f>
        <v>0</v>
      </c>
      <c r="S46" s="237">
        <v>0.375</v>
      </c>
      <c r="T46" s="114" t="s">
        <v>174</v>
      </c>
      <c r="U46" s="90">
        <f>+'2016'!P46+'2017'!P46</f>
        <v>142679</v>
      </c>
      <c r="V46" s="90">
        <f>+'2016'!Q46+'2017'!Q46</f>
        <v>142679</v>
      </c>
      <c r="W46" s="90">
        <f>+'2016'!R46+'2017'!R46</f>
        <v>0</v>
      </c>
      <c r="X46" s="28">
        <f t="shared" si="0"/>
        <v>1</v>
      </c>
      <c r="Y46" s="27" t="str">
        <f t="shared" si="1"/>
        <v xml:space="preserve"> -</v>
      </c>
    </row>
    <row r="47" spans="2:25" ht="60">
      <c r="B47" s="356"/>
      <c r="C47" s="357"/>
      <c r="D47" s="352"/>
      <c r="E47" s="8" t="s">
        <v>91</v>
      </c>
      <c r="F47" s="46">
        <v>8</v>
      </c>
      <c r="G47" s="46">
        <f>'2016'!J47</f>
        <v>0</v>
      </c>
      <c r="H47" s="92">
        <f>'2017'!J47</f>
        <v>3</v>
      </c>
      <c r="I47" s="92">
        <f>'2018'!J47</f>
        <v>3</v>
      </c>
      <c r="J47" s="92">
        <f>'2019'!J47</f>
        <v>2</v>
      </c>
      <c r="K47" s="226">
        <f>'2016'!K47</f>
        <v>0</v>
      </c>
      <c r="L47" s="92">
        <f>'2017'!K47</f>
        <v>1</v>
      </c>
      <c r="M47" s="92">
        <f>'2018'!K47</f>
        <v>3</v>
      </c>
      <c r="N47" s="60">
        <f>'2019'!K47</f>
        <v>0</v>
      </c>
      <c r="O47" s="201" t="str">
        <f>'2016'!N47</f>
        <v xml:space="preserve"> -</v>
      </c>
      <c r="P47" s="202">
        <f>'2017'!N47</f>
        <v>0.33333333333333331</v>
      </c>
      <c r="Q47" s="203">
        <f>'2018'!N47</f>
        <v>1</v>
      </c>
      <c r="R47" s="202">
        <f>'2019'!N47</f>
        <v>0</v>
      </c>
      <c r="S47" s="238">
        <v>0.375</v>
      </c>
      <c r="T47" s="115" t="s">
        <v>175</v>
      </c>
      <c r="U47" s="46">
        <f>+'2016'!P47+'2017'!P47</f>
        <v>34850</v>
      </c>
      <c r="V47" s="46">
        <f>+'2016'!Q47+'2017'!Q47</f>
        <v>34850</v>
      </c>
      <c r="W47" s="46">
        <f>+'2016'!R47+'2017'!R47</f>
        <v>0</v>
      </c>
      <c r="X47" s="47">
        <f t="shared" si="0"/>
        <v>1</v>
      </c>
      <c r="Y47" s="50" t="str">
        <f t="shared" si="1"/>
        <v xml:space="preserve"> -</v>
      </c>
    </row>
    <row r="48" spans="2:25" ht="45">
      <c r="B48" s="356"/>
      <c r="C48" s="357"/>
      <c r="D48" s="352"/>
      <c r="E48" s="8" t="s">
        <v>58</v>
      </c>
      <c r="F48" s="46">
        <v>4</v>
      </c>
      <c r="G48" s="46">
        <f>'2016'!J48</f>
        <v>0</v>
      </c>
      <c r="H48" s="92">
        <f>'2017'!J48</f>
        <v>2</v>
      </c>
      <c r="I48" s="92">
        <f>'2018'!J48</f>
        <v>1</v>
      </c>
      <c r="J48" s="92">
        <f>'2019'!J48</f>
        <v>1</v>
      </c>
      <c r="K48" s="226">
        <f>'2016'!K48</f>
        <v>0</v>
      </c>
      <c r="L48" s="92">
        <f>'2017'!K48</f>
        <v>1</v>
      </c>
      <c r="M48" s="92">
        <f>'2018'!K48</f>
        <v>1</v>
      </c>
      <c r="N48" s="60">
        <f>'2019'!K48</f>
        <v>0</v>
      </c>
      <c r="O48" s="201" t="str">
        <f>'2016'!N48</f>
        <v xml:space="preserve"> -</v>
      </c>
      <c r="P48" s="202">
        <f>'2017'!N48</f>
        <v>0.5</v>
      </c>
      <c r="Q48" s="203">
        <f>'2018'!N48</f>
        <v>1</v>
      </c>
      <c r="R48" s="202">
        <f>'2019'!N48</f>
        <v>0</v>
      </c>
      <c r="S48" s="238">
        <v>0.5</v>
      </c>
      <c r="T48" s="115" t="s">
        <v>176</v>
      </c>
      <c r="U48" s="46">
        <f>+'2016'!P48+'2017'!P48</f>
        <v>20000</v>
      </c>
      <c r="V48" s="46">
        <f>+'2016'!Q48+'2017'!Q48</f>
        <v>4000</v>
      </c>
      <c r="W48" s="46">
        <f>+'2016'!R48+'2017'!R48</f>
        <v>0</v>
      </c>
      <c r="X48" s="47">
        <f t="shared" si="0"/>
        <v>0.2</v>
      </c>
      <c r="Y48" s="50" t="str">
        <f t="shared" si="1"/>
        <v xml:space="preserve"> -</v>
      </c>
    </row>
    <row r="49" spans="2:25" ht="45">
      <c r="B49" s="356"/>
      <c r="C49" s="357"/>
      <c r="D49" s="352"/>
      <c r="E49" s="9" t="s">
        <v>60</v>
      </c>
      <c r="F49" s="46">
        <v>1</v>
      </c>
      <c r="G49" s="46">
        <f>'2016'!J50</f>
        <v>0</v>
      </c>
      <c r="H49" s="92">
        <f>'2017'!J49</f>
        <v>1</v>
      </c>
      <c r="I49" s="92">
        <f>'2018'!J49</f>
        <v>0</v>
      </c>
      <c r="J49" s="92">
        <f>'2019'!J49</f>
        <v>0</v>
      </c>
      <c r="K49" s="226">
        <f>'2016'!K50</f>
        <v>0</v>
      </c>
      <c r="L49" s="92">
        <f>'2017'!K49</f>
        <v>1</v>
      </c>
      <c r="M49" s="92">
        <f>'2018'!K49</f>
        <v>1</v>
      </c>
      <c r="N49" s="60">
        <f>'2019'!K49</f>
        <v>0</v>
      </c>
      <c r="O49" s="201" t="str">
        <f>'2016'!N50</f>
        <v xml:space="preserve"> -</v>
      </c>
      <c r="P49" s="202">
        <f>'2017'!N49</f>
        <v>1</v>
      </c>
      <c r="Q49" s="203" t="str">
        <f>'2018'!N49</f>
        <v xml:space="preserve"> -</v>
      </c>
      <c r="R49" s="202" t="str">
        <f>'2019'!N49</f>
        <v xml:space="preserve"> -</v>
      </c>
      <c r="S49" s="238">
        <v>1</v>
      </c>
      <c r="T49" s="115" t="s">
        <v>145</v>
      </c>
      <c r="U49" s="46">
        <f>+'2016'!P50+'2017'!P49</f>
        <v>210000</v>
      </c>
      <c r="V49" s="46">
        <f>+'2016'!Q50+'2017'!Q49</f>
        <v>190000</v>
      </c>
      <c r="W49" s="46">
        <f>+'2016'!R50+'2017'!R49</f>
        <v>0</v>
      </c>
      <c r="X49" s="47">
        <f t="shared" si="0"/>
        <v>0.90476190476190477</v>
      </c>
      <c r="Y49" s="50" t="str">
        <f t="shared" si="1"/>
        <v xml:space="preserve"> -</v>
      </c>
    </row>
    <row r="50" spans="2:25" ht="45">
      <c r="B50" s="356"/>
      <c r="C50" s="357"/>
      <c r="D50" s="352"/>
      <c r="E50" s="9" t="s">
        <v>61</v>
      </c>
      <c r="F50" s="46">
        <v>2</v>
      </c>
      <c r="G50" s="46">
        <f>'2016'!J51</f>
        <v>0</v>
      </c>
      <c r="H50" s="92">
        <f>'2017'!J50</f>
        <v>0</v>
      </c>
      <c r="I50" s="92">
        <f>'2018'!J50</f>
        <v>0</v>
      </c>
      <c r="J50" s="92">
        <f>'2019'!J50</f>
        <v>2</v>
      </c>
      <c r="K50" s="226">
        <f>'2016'!K51</f>
        <v>0</v>
      </c>
      <c r="L50" s="92">
        <f>'2017'!K50</f>
        <v>0</v>
      </c>
      <c r="M50" s="92">
        <f>'2018'!K50</f>
        <v>0</v>
      </c>
      <c r="N50" s="60">
        <f>'2019'!K50</f>
        <v>0</v>
      </c>
      <c r="O50" s="201" t="str">
        <f>'2016'!N51</f>
        <v xml:space="preserve"> -</v>
      </c>
      <c r="P50" s="202" t="str">
        <f>'2017'!N50</f>
        <v xml:space="preserve"> -</v>
      </c>
      <c r="Q50" s="203" t="str">
        <f>'2018'!N50</f>
        <v xml:space="preserve"> -</v>
      </c>
      <c r="R50" s="202">
        <f>'2019'!N50</f>
        <v>0</v>
      </c>
      <c r="S50" s="238">
        <v>0</v>
      </c>
      <c r="T50" s="115" t="s">
        <v>178</v>
      </c>
      <c r="U50" s="46">
        <f>+'2016'!P51+'2017'!P50</f>
        <v>0</v>
      </c>
      <c r="V50" s="46">
        <f>+'2016'!Q51+'2017'!Q50</f>
        <v>0</v>
      </c>
      <c r="W50" s="46">
        <f>+'2016'!R51+'2017'!R50</f>
        <v>0</v>
      </c>
      <c r="X50" s="47" t="str">
        <f t="shared" si="0"/>
        <v xml:space="preserve"> -</v>
      </c>
      <c r="Y50" s="50" t="str">
        <f t="shared" si="1"/>
        <v xml:space="preserve"> -</v>
      </c>
    </row>
    <row r="51" spans="2:25" ht="75">
      <c r="B51" s="356"/>
      <c r="C51" s="357"/>
      <c r="D51" s="352"/>
      <c r="E51" s="9" t="s">
        <v>62</v>
      </c>
      <c r="F51" s="46">
        <v>1</v>
      </c>
      <c r="G51" s="46">
        <f>'2016'!J52</f>
        <v>1</v>
      </c>
      <c r="H51" s="92">
        <f>'2017'!J51</f>
        <v>1</v>
      </c>
      <c r="I51" s="92">
        <f>'2018'!J51</f>
        <v>1</v>
      </c>
      <c r="J51" s="92">
        <f>'2019'!J51</f>
        <v>1</v>
      </c>
      <c r="K51" s="226">
        <f>'2016'!K52</f>
        <v>1</v>
      </c>
      <c r="L51" s="92">
        <f>'2017'!K51</f>
        <v>1</v>
      </c>
      <c r="M51" s="92">
        <f>'2018'!K51</f>
        <v>0</v>
      </c>
      <c r="N51" s="60">
        <f>'2019'!K51</f>
        <v>0</v>
      </c>
      <c r="O51" s="201">
        <f>'2016'!N52</f>
        <v>1</v>
      </c>
      <c r="P51" s="202">
        <f>'2017'!N51</f>
        <v>1</v>
      </c>
      <c r="Q51" s="203">
        <f>'2018'!N51</f>
        <v>0</v>
      </c>
      <c r="R51" s="202">
        <f>'2019'!N51</f>
        <v>0</v>
      </c>
      <c r="S51" s="238">
        <v>0.5</v>
      </c>
      <c r="T51" s="115" t="s">
        <v>179</v>
      </c>
      <c r="U51" s="46">
        <f>+'2016'!P52+'2017'!P51</f>
        <v>40000</v>
      </c>
      <c r="V51" s="46">
        <f>+'2016'!Q52+'2017'!Q51</f>
        <v>30000</v>
      </c>
      <c r="W51" s="46">
        <f>+'2016'!R52+'2017'!R51</f>
        <v>0</v>
      </c>
      <c r="X51" s="47">
        <f t="shared" si="0"/>
        <v>0.75</v>
      </c>
      <c r="Y51" s="50" t="str">
        <f t="shared" si="1"/>
        <v xml:space="preserve"> -</v>
      </c>
    </row>
    <row r="52" spans="2:25" ht="61" thickBot="1">
      <c r="B52" s="356"/>
      <c r="C52" s="357"/>
      <c r="D52" s="353"/>
      <c r="E52" s="10" t="s">
        <v>63</v>
      </c>
      <c r="F52" s="52">
        <v>1</v>
      </c>
      <c r="G52" s="52">
        <f>'2016'!J53</f>
        <v>1</v>
      </c>
      <c r="H52" s="93">
        <f>'2017'!J52</f>
        <v>1</v>
      </c>
      <c r="I52" s="93">
        <f>'2018'!J52</f>
        <v>1</v>
      </c>
      <c r="J52" s="93">
        <f>'2019'!J52</f>
        <v>1</v>
      </c>
      <c r="K52" s="227">
        <f>'2016'!K53</f>
        <v>0</v>
      </c>
      <c r="L52" s="93">
        <f>'2017'!K52</f>
        <v>1</v>
      </c>
      <c r="M52" s="93">
        <f>'2018'!K52</f>
        <v>0</v>
      </c>
      <c r="N52" s="61">
        <f>'2019'!K52</f>
        <v>0</v>
      </c>
      <c r="O52" s="204">
        <f>'2016'!N53</f>
        <v>0</v>
      </c>
      <c r="P52" s="195">
        <f>'2017'!N52</f>
        <v>1</v>
      </c>
      <c r="Q52" s="194">
        <f>'2018'!N52</f>
        <v>0</v>
      </c>
      <c r="R52" s="195">
        <f>'2019'!N52</f>
        <v>0</v>
      </c>
      <c r="S52" s="239">
        <v>0.25</v>
      </c>
      <c r="T52" s="116" t="s">
        <v>180</v>
      </c>
      <c r="U52" s="52">
        <f>+'2016'!P53+'2017'!P52</f>
        <v>80000</v>
      </c>
      <c r="V52" s="52">
        <f>+'2016'!Q53+'2017'!Q52</f>
        <v>33714</v>
      </c>
      <c r="W52" s="52">
        <f>+'2016'!R53+'2017'!R52</f>
        <v>0</v>
      </c>
      <c r="X52" s="53">
        <f t="shared" si="0"/>
        <v>0.42142499999999999</v>
      </c>
      <c r="Y52" s="54" t="str">
        <f t="shared" si="1"/>
        <v xml:space="preserve"> -</v>
      </c>
    </row>
    <row r="53" spans="2:25" ht="46" thickBot="1">
      <c r="B53" s="356"/>
      <c r="C53" s="357"/>
      <c r="D53" s="168" t="s">
        <v>82</v>
      </c>
      <c r="E53" s="145" t="s">
        <v>64</v>
      </c>
      <c r="F53" s="137">
        <v>1</v>
      </c>
      <c r="G53" s="137">
        <f>'2016'!J54</f>
        <v>0</v>
      </c>
      <c r="H53" s="179">
        <f>'2017'!J53</f>
        <v>1</v>
      </c>
      <c r="I53" s="179">
        <f>'2018'!J53</f>
        <v>1</v>
      </c>
      <c r="J53" s="179">
        <f>'2019'!J53</f>
        <v>1</v>
      </c>
      <c r="K53" s="224">
        <f>'2016'!K54</f>
        <v>0</v>
      </c>
      <c r="L53" s="179">
        <f>'2017'!K53</f>
        <v>1</v>
      </c>
      <c r="M53" s="179">
        <f>'2018'!K53</f>
        <v>1</v>
      </c>
      <c r="N53" s="138">
        <f>'2019'!K53</f>
        <v>0</v>
      </c>
      <c r="O53" s="196" t="str">
        <f>'2016'!N54</f>
        <v xml:space="preserve"> -</v>
      </c>
      <c r="P53" s="197">
        <f>'2017'!N53</f>
        <v>1</v>
      </c>
      <c r="Q53" s="210">
        <f>'2018'!N53</f>
        <v>1</v>
      </c>
      <c r="R53" s="197">
        <f>'2019'!N53</f>
        <v>0</v>
      </c>
      <c r="S53" s="236">
        <v>0.66666666666666663</v>
      </c>
      <c r="T53" s="119" t="s">
        <v>181</v>
      </c>
      <c r="U53" s="245">
        <f>+'2016'!P54+'2017'!P53</f>
        <v>90000</v>
      </c>
      <c r="V53" s="245">
        <f>+'2016'!Q54+'2017'!Q53</f>
        <v>90000</v>
      </c>
      <c r="W53" s="245">
        <f>+'2016'!R54+'2017'!R53</f>
        <v>0</v>
      </c>
      <c r="X53" s="87">
        <f t="shared" si="0"/>
        <v>1</v>
      </c>
      <c r="Y53" s="88" t="str">
        <f t="shared" si="1"/>
        <v xml:space="preserve"> -</v>
      </c>
    </row>
    <row r="54" spans="2:25" ht="30" customHeight="1">
      <c r="B54" s="356"/>
      <c r="C54" s="357"/>
      <c r="D54" s="365" t="s">
        <v>83</v>
      </c>
      <c r="E54" s="12" t="s">
        <v>65</v>
      </c>
      <c r="F54" s="49">
        <v>1</v>
      </c>
      <c r="G54" s="49">
        <f>'2016'!J55</f>
        <v>1</v>
      </c>
      <c r="H54" s="91">
        <f>'2017'!J54</f>
        <v>1</v>
      </c>
      <c r="I54" s="91">
        <f>'2018'!J54</f>
        <v>1</v>
      </c>
      <c r="J54" s="91">
        <f>'2019'!J54</f>
        <v>1</v>
      </c>
      <c r="K54" s="225">
        <f>'2016'!K55</f>
        <v>1</v>
      </c>
      <c r="L54" s="91">
        <f>'2017'!K54</f>
        <v>1</v>
      </c>
      <c r="M54" s="91">
        <f>'2018'!K54</f>
        <v>1</v>
      </c>
      <c r="N54" s="59">
        <f>'2019'!K54</f>
        <v>0</v>
      </c>
      <c r="O54" s="199">
        <f>'2016'!N55</f>
        <v>1</v>
      </c>
      <c r="P54" s="200">
        <f>'2017'!N54</f>
        <v>1</v>
      </c>
      <c r="Q54" s="192">
        <f>'2018'!N54</f>
        <v>1</v>
      </c>
      <c r="R54" s="200">
        <f>'2019'!N54</f>
        <v>0</v>
      </c>
      <c r="S54" s="237">
        <v>0.75</v>
      </c>
      <c r="T54" s="114" t="s">
        <v>182</v>
      </c>
      <c r="U54" s="90">
        <f>+'2016'!P55+'2017'!P54</f>
        <v>250000</v>
      </c>
      <c r="V54" s="90">
        <f>+'2016'!Q55+'2017'!Q54</f>
        <v>250000</v>
      </c>
      <c r="W54" s="90">
        <f>+'2016'!R55+'2017'!R54</f>
        <v>0</v>
      </c>
      <c r="X54" s="28">
        <f t="shared" si="0"/>
        <v>1</v>
      </c>
      <c r="Y54" s="27" t="str">
        <f t="shared" si="1"/>
        <v xml:space="preserve"> -</v>
      </c>
    </row>
    <row r="55" spans="2:25" ht="60">
      <c r="B55" s="356"/>
      <c r="C55" s="357"/>
      <c r="D55" s="366"/>
      <c r="E55" s="8" t="s">
        <v>66</v>
      </c>
      <c r="F55" s="46">
        <v>1</v>
      </c>
      <c r="G55" s="46">
        <f>'2016'!J56</f>
        <v>0</v>
      </c>
      <c r="H55" s="92">
        <f>'2017'!J55</f>
        <v>1</v>
      </c>
      <c r="I55" s="92">
        <f>'2018'!J55</f>
        <v>1</v>
      </c>
      <c r="J55" s="92">
        <f>'2019'!J55</f>
        <v>1</v>
      </c>
      <c r="K55" s="226">
        <f>'2016'!K56</f>
        <v>0</v>
      </c>
      <c r="L55" s="92">
        <f>'2017'!K55</f>
        <v>1</v>
      </c>
      <c r="M55" s="92">
        <f>'2018'!K55</f>
        <v>0</v>
      </c>
      <c r="N55" s="60">
        <f>'2019'!K55</f>
        <v>0</v>
      </c>
      <c r="O55" s="201" t="str">
        <f>'2016'!N56</f>
        <v xml:space="preserve"> -</v>
      </c>
      <c r="P55" s="202">
        <f>'2017'!N55</f>
        <v>1</v>
      </c>
      <c r="Q55" s="203">
        <f>'2018'!N55</f>
        <v>0</v>
      </c>
      <c r="R55" s="202">
        <f>'2019'!N55</f>
        <v>0</v>
      </c>
      <c r="S55" s="238">
        <v>0.25</v>
      </c>
      <c r="T55" s="115" t="s">
        <v>183</v>
      </c>
      <c r="U55" s="46">
        <f>+'2016'!P56+'2017'!P55</f>
        <v>0</v>
      </c>
      <c r="V55" s="46">
        <f>+'2016'!Q56+'2017'!Q55</f>
        <v>0</v>
      </c>
      <c r="W55" s="46">
        <f>+'2016'!R56+'2017'!R55</f>
        <v>0</v>
      </c>
      <c r="X55" s="47" t="str">
        <f t="shared" si="0"/>
        <v xml:space="preserve"> -</v>
      </c>
      <c r="Y55" s="50" t="str">
        <f t="shared" si="1"/>
        <v xml:space="preserve"> -</v>
      </c>
    </row>
    <row r="56" spans="2:25" ht="60">
      <c r="B56" s="356"/>
      <c r="C56" s="357"/>
      <c r="D56" s="366"/>
      <c r="E56" s="9" t="s">
        <v>67</v>
      </c>
      <c r="F56" s="46">
        <v>1</v>
      </c>
      <c r="G56" s="46">
        <f>'2016'!J57</f>
        <v>1</v>
      </c>
      <c r="H56" s="92">
        <f>'2017'!J56</f>
        <v>1</v>
      </c>
      <c r="I56" s="92">
        <f>'2018'!J56</f>
        <v>1</v>
      </c>
      <c r="J56" s="92">
        <f>'2019'!J56</f>
        <v>1</v>
      </c>
      <c r="K56" s="226">
        <f>'2016'!K57</f>
        <v>0</v>
      </c>
      <c r="L56" s="92">
        <f>'2017'!K56</f>
        <v>1</v>
      </c>
      <c r="M56" s="92">
        <f>'2018'!K56</f>
        <v>1</v>
      </c>
      <c r="N56" s="60">
        <f>'2019'!K56</f>
        <v>0</v>
      </c>
      <c r="O56" s="201">
        <f>'2016'!N57</f>
        <v>0</v>
      </c>
      <c r="P56" s="202">
        <f>'2017'!N56</f>
        <v>1</v>
      </c>
      <c r="Q56" s="203">
        <f>'2018'!N56</f>
        <v>1</v>
      </c>
      <c r="R56" s="202">
        <f>'2019'!N56</f>
        <v>0</v>
      </c>
      <c r="S56" s="238">
        <v>0.5</v>
      </c>
      <c r="T56" s="115" t="s">
        <v>184</v>
      </c>
      <c r="U56" s="46">
        <f>+'2016'!P57+'2017'!P56</f>
        <v>115148</v>
      </c>
      <c r="V56" s="46">
        <f>+'2016'!Q57+'2017'!Q56</f>
        <v>61448</v>
      </c>
      <c r="W56" s="46">
        <f>+'2016'!R57+'2017'!R56</f>
        <v>0</v>
      </c>
      <c r="X56" s="47">
        <f t="shared" si="0"/>
        <v>0.53364365859589402</v>
      </c>
      <c r="Y56" s="50" t="str">
        <f t="shared" si="1"/>
        <v xml:space="preserve"> -</v>
      </c>
    </row>
    <row r="57" spans="2:25" ht="45">
      <c r="B57" s="356"/>
      <c r="C57" s="357"/>
      <c r="D57" s="366"/>
      <c r="E57" s="9" t="s">
        <v>89</v>
      </c>
      <c r="F57" s="46">
        <v>1</v>
      </c>
      <c r="G57" s="46">
        <f>'2016'!J58</f>
        <v>1</v>
      </c>
      <c r="H57" s="92">
        <f>'2017'!J57</f>
        <v>1</v>
      </c>
      <c r="I57" s="92">
        <f>'2018'!J57</f>
        <v>1</v>
      </c>
      <c r="J57" s="92">
        <f>'2019'!J57</f>
        <v>1</v>
      </c>
      <c r="K57" s="226">
        <f>'2016'!K58</f>
        <v>1</v>
      </c>
      <c r="L57" s="92">
        <f>'2017'!K57</f>
        <v>1</v>
      </c>
      <c r="M57" s="92">
        <f>'2018'!K57</f>
        <v>1</v>
      </c>
      <c r="N57" s="60">
        <f>'2019'!K57</f>
        <v>0</v>
      </c>
      <c r="O57" s="201">
        <f>'2016'!N58</f>
        <v>1</v>
      </c>
      <c r="P57" s="202">
        <f>'2017'!N57</f>
        <v>1</v>
      </c>
      <c r="Q57" s="203">
        <f>'2018'!N57</f>
        <v>1</v>
      </c>
      <c r="R57" s="202">
        <f>'2019'!N57</f>
        <v>0</v>
      </c>
      <c r="S57" s="238">
        <v>0.75</v>
      </c>
      <c r="T57" s="115" t="s">
        <v>145</v>
      </c>
      <c r="U57" s="46">
        <f>+'2016'!P58+'2017'!P57</f>
        <v>0</v>
      </c>
      <c r="V57" s="46">
        <f>+'2016'!Q58+'2017'!Q57</f>
        <v>0</v>
      </c>
      <c r="W57" s="46">
        <f>+'2016'!R58+'2017'!R57</f>
        <v>0</v>
      </c>
      <c r="X57" s="47" t="str">
        <f t="shared" si="0"/>
        <v xml:space="preserve"> -</v>
      </c>
      <c r="Y57" s="50" t="str">
        <f t="shared" si="1"/>
        <v xml:space="preserve"> -</v>
      </c>
    </row>
    <row r="58" spans="2:25" ht="30">
      <c r="B58" s="356"/>
      <c r="C58" s="357"/>
      <c r="D58" s="366"/>
      <c r="E58" s="9" t="s">
        <v>68</v>
      </c>
      <c r="F58" s="46">
        <v>1</v>
      </c>
      <c r="G58" s="46">
        <f>'2016'!J59</f>
        <v>1</v>
      </c>
      <c r="H58" s="92">
        <f>'2017'!J58</f>
        <v>1</v>
      </c>
      <c r="I58" s="92">
        <f>'2018'!J58</f>
        <v>1</v>
      </c>
      <c r="J58" s="92">
        <f>'2019'!J58</f>
        <v>1</v>
      </c>
      <c r="K58" s="226">
        <f>'2016'!K59</f>
        <v>0</v>
      </c>
      <c r="L58" s="92">
        <f>'2017'!K58</f>
        <v>1</v>
      </c>
      <c r="M58" s="92">
        <f>'2018'!K58</f>
        <v>1</v>
      </c>
      <c r="N58" s="60">
        <f>'2019'!K58</f>
        <v>0</v>
      </c>
      <c r="O58" s="201">
        <f>'2016'!N59</f>
        <v>0</v>
      </c>
      <c r="P58" s="202">
        <f>'2017'!N58</f>
        <v>1</v>
      </c>
      <c r="Q58" s="203">
        <f>'2018'!N58</f>
        <v>1</v>
      </c>
      <c r="R58" s="202">
        <f>'2019'!N58</f>
        <v>0</v>
      </c>
      <c r="S58" s="238">
        <v>0.5</v>
      </c>
      <c r="T58" s="115" t="s">
        <v>185</v>
      </c>
      <c r="U58" s="46">
        <f>+'2016'!P59+'2017'!P58</f>
        <v>20000</v>
      </c>
      <c r="V58" s="46">
        <f>+'2016'!Q59+'2017'!Q58</f>
        <v>20000</v>
      </c>
      <c r="W58" s="46">
        <f>+'2016'!R59+'2017'!R58</f>
        <v>0</v>
      </c>
      <c r="X58" s="47">
        <f t="shared" si="0"/>
        <v>1</v>
      </c>
      <c r="Y58" s="50" t="str">
        <f t="shared" si="1"/>
        <v xml:space="preserve"> -</v>
      </c>
    </row>
    <row r="59" spans="2:25" ht="45">
      <c r="B59" s="356"/>
      <c r="C59" s="357"/>
      <c r="D59" s="366"/>
      <c r="E59" s="9" t="s">
        <v>69</v>
      </c>
      <c r="F59" s="46">
        <v>200</v>
      </c>
      <c r="G59" s="46">
        <f>'2016'!J60</f>
        <v>100</v>
      </c>
      <c r="H59" s="92">
        <f>'2017'!J59</f>
        <v>50</v>
      </c>
      <c r="I59" s="92">
        <f>'2018'!J59</f>
        <v>25</v>
      </c>
      <c r="J59" s="92">
        <f>'2019'!J59</f>
        <v>25</v>
      </c>
      <c r="K59" s="226">
        <f>'2016'!K60</f>
        <v>100</v>
      </c>
      <c r="L59" s="92">
        <f>'2017'!K59</f>
        <v>50</v>
      </c>
      <c r="M59" s="92">
        <f>'2018'!K59</f>
        <v>7</v>
      </c>
      <c r="N59" s="60">
        <f>'2019'!K59</f>
        <v>0</v>
      </c>
      <c r="O59" s="207">
        <f>'2016'!N60</f>
        <v>1</v>
      </c>
      <c r="P59" s="208">
        <f>'2017'!N59</f>
        <v>1</v>
      </c>
      <c r="Q59" s="209">
        <f>'2018'!N59</f>
        <v>0.28000000000000003</v>
      </c>
      <c r="R59" s="208">
        <f>'2019'!N59</f>
        <v>0</v>
      </c>
      <c r="S59" s="241">
        <v>0.78500000000000003</v>
      </c>
      <c r="T59" s="118" t="s">
        <v>186</v>
      </c>
      <c r="U59" s="46">
        <f>+'2016'!P60+'2017'!P59</f>
        <v>157905</v>
      </c>
      <c r="V59" s="46">
        <f>+'2016'!Q60+'2017'!Q59</f>
        <v>126946</v>
      </c>
      <c r="W59" s="46">
        <f>+'2016'!R60+'2017'!R59</f>
        <v>0</v>
      </c>
      <c r="X59" s="82">
        <f t="shared" si="0"/>
        <v>0.80393907729330927</v>
      </c>
      <c r="Y59" s="83" t="str">
        <f t="shared" si="1"/>
        <v xml:space="preserve"> -</v>
      </c>
    </row>
    <row r="60" spans="2:25" ht="30" customHeight="1">
      <c r="B60" s="356"/>
      <c r="C60" s="357"/>
      <c r="D60" s="366"/>
      <c r="E60" s="132" t="s">
        <v>95</v>
      </c>
      <c r="F60" s="90">
        <v>4</v>
      </c>
      <c r="G60" s="90">
        <f>'2016'!J61</f>
        <v>1</v>
      </c>
      <c r="H60" s="94">
        <f>'2017'!J60</f>
        <v>1</v>
      </c>
      <c r="I60" s="94">
        <f>'2018'!J60</f>
        <v>1</v>
      </c>
      <c r="J60" s="94">
        <f>'2019'!J60</f>
        <v>1</v>
      </c>
      <c r="K60" s="228">
        <f>'2016'!K61</f>
        <v>1</v>
      </c>
      <c r="L60" s="94">
        <f>'2017'!K60</f>
        <v>1</v>
      </c>
      <c r="M60" s="94">
        <f>'2018'!K60</f>
        <v>0</v>
      </c>
      <c r="N60" s="122">
        <f>'2019'!K60</f>
        <v>0</v>
      </c>
      <c r="O60" s="211">
        <f>'2016'!N61</f>
        <v>1</v>
      </c>
      <c r="P60" s="202">
        <f>'2017'!N60</f>
        <v>1</v>
      </c>
      <c r="Q60" s="203">
        <f>'2018'!N60</f>
        <v>0</v>
      </c>
      <c r="R60" s="202">
        <f>'2019'!N60</f>
        <v>0</v>
      </c>
      <c r="S60" s="233">
        <v>0.5</v>
      </c>
      <c r="T60" s="115" t="s">
        <v>187</v>
      </c>
      <c r="U60" s="46">
        <f>+'2016'!P61+'2017'!P60</f>
        <v>2191604</v>
      </c>
      <c r="V60" s="46">
        <f>+'2016'!Q61+'2017'!Q60</f>
        <v>2190297</v>
      </c>
      <c r="W60" s="46">
        <f>+'2016'!R61+'2017'!R60</f>
        <v>200000</v>
      </c>
      <c r="X60" s="47">
        <f t="shared" si="0"/>
        <v>0.99940363313810343</v>
      </c>
      <c r="Y60" s="50">
        <f t="shared" si="1"/>
        <v>9.1311817529768788E-2</v>
      </c>
    </row>
    <row r="61" spans="2:25" ht="46" customHeight="1" thickBot="1">
      <c r="B61" s="356"/>
      <c r="C61" s="358"/>
      <c r="D61" s="367"/>
      <c r="E61" s="10" t="s">
        <v>96</v>
      </c>
      <c r="F61" s="52">
        <v>1</v>
      </c>
      <c r="G61" s="52">
        <f>'2016'!J62</f>
        <v>0</v>
      </c>
      <c r="H61" s="93">
        <f>'2017'!J61</f>
        <v>0</v>
      </c>
      <c r="I61" s="93">
        <f>'2018'!J61</f>
        <v>1</v>
      </c>
      <c r="J61" s="93">
        <f>'2019'!J61</f>
        <v>0</v>
      </c>
      <c r="K61" s="227">
        <f>'2016'!K62</f>
        <v>1</v>
      </c>
      <c r="L61" s="93">
        <f>'2017'!K61</f>
        <v>0</v>
      </c>
      <c r="M61" s="93">
        <f>'2018'!K61</f>
        <v>0</v>
      </c>
      <c r="N61" s="61">
        <f>'2019'!K61</f>
        <v>0</v>
      </c>
      <c r="O61" s="212" t="str">
        <f>'2016'!N62</f>
        <v xml:space="preserve"> -</v>
      </c>
      <c r="P61" s="195" t="str">
        <f>'2017'!N61</f>
        <v xml:space="preserve"> -</v>
      </c>
      <c r="Q61" s="194">
        <f>'2018'!N61</f>
        <v>0</v>
      </c>
      <c r="R61" s="195" t="str">
        <f>'2019'!N61</f>
        <v xml:space="preserve"> -</v>
      </c>
      <c r="S61" s="242">
        <v>1</v>
      </c>
      <c r="T61" s="116" t="s">
        <v>188</v>
      </c>
      <c r="U61" s="46">
        <f>+'2016'!P62+'2017'!P61</f>
        <v>10000</v>
      </c>
      <c r="V61" s="46">
        <f>+'2016'!Q62+'2017'!Q61</f>
        <v>10000</v>
      </c>
      <c r="W61" s="46">
        <f>+'2016'!R62+'2017'!R61</f>
        <v>0</v>
      </c>
      <c r="X61" s="53">
        <f t="shared" si="0"/>
        <v>1</v>
      </c>
      <c r="Y61" s="54" t="str">
        <f t="shared" si="1"/>
        <v xml:space="preserve"> -</v>
      </c>
    </row>
    <row r="62" spans="2:25" ht="13" customHeight="1" thickBot="1">
      <c r="B62" s="356"/>
      <c r="C62" s="125"/>
      <c r="D62" s="77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24"/>
      <c r="P62" s="24"/>
      <c r="Q62" s="24"/>
      <c r="R62" s="24"/>
      <c r="S62" s="231"/>
      <c r="T62" s="16"/>
      <c r="U62" s="24"/>
      <c r="V62" s="231"/>
      <c r="W62" s="16"/>
      <c r="X62" s="24"/>
      <c r="Y62" s="18"/>
    </row>
    <row r="63" spans="2:25" ht="45">
      <c r="B63" s="357"/>
      <c r="C63" s="368" t="s">
        <v>86</v>
      </c>
      <c r="D63" s="370" t="s">
        <v>84</v>
      </c>
      <c r="E63" s="79" t="s">
        <v>70</v>
      </c>
      <c r="F63" s="49">
        <v>1</v>
      </c>
      <c r="G63" s="49">
        <f>'2016'!J64</f>
        <v>0</v>
      </c>
      <c r="H63" s="91">
        <f>'2017'!J63</f>
        <v>0</v>
      </c>
      <c r="I63" s="91">
        <f>'2018'!J63</f>
        <v>1</v>
      </c>
      <c r="J63" s="91">
        <f>'2019'!J63</f>
        <v>0</v>
      </c>
      <c r="K63" s="225">
        <f>'2016'!K64</f>
        <v>0</v>
      </c>
      <c r="L63" s="91">
        <f>'2017'!K63</f>
        <v>0</v>
      </c>
      <c r="M63" s="91">
        <f>'2018'!K63</f>
        <v>0</v>
      </c>
      <c r="N63" s="59">
        <f>'2019'!K63</f>
        <v>0</v>
      </c>
      <c r="O63" s="193" t="str">
        <f>'2016'!N64</f>
        <v xml:space="preserve"> -</v>
      </c>
      <c r="P63" s="192" t="str">
        <f>'2017'!N63</f>
        <v xml:space="preserve"> -</v>
      </c>
      <c r="Q63" s="192">
        <f>'2018'!N63</f>
        <v>0</v>
      </c>
      <c r="R63" s="193" t="str">
        <f>'2019'!N63</f>
        <v xml:space="preserve"> -</v>
      </c>
      <c r="S63" s="232">
        <v>0</v>
      </c>
      <c r="T63" s="117" t="s">
        <v>145</v>
      </c>
      <c r="U63" s="46">
        <f>+'2016'!P64+'2017'!P63</f>
        <v>0</v>
      </c>
      <c r="V63" s="46">
        <f>+'2016'!Q64+'2017'!Q63</f>
        <v>0</v>
      </c>
      <c r="W63" s="46">
        <f>+'2016'!R64+'2017'!R63</f>
        <v>0</v>
      </c>
      <c r="X63" s="33" t="str">
        <f t="shared" si="0"/>
        <v xml:space="preserve"> -</v>
      </c>
      <c r="Y63" s="32" t="str">
        <f t="shared" si="1"/>
        <v xml:space="preserve"> -</v>
      </c>
    </row>
    <row r="64" spans="2:25" ht="76" thickBot="1">
      <c r="B64" s="358"/>
      <c r="C64" s="369"/>
      <c r="D64" s="371"/>
      <c r="E64" s="148" t="s">
        <v>71</v>
      </c>
      <c r="F64" s="52">
        <v>1</v>
      </c>
      <c r="G64" s="52">
        <f>'2016'!J65</f>
        <v>1</v>
      </c>
      <c r="H64" s="93">
        <f>'2017'!J64</f>
        <v>1</v>
      </c>
      <c r="I64" s="93">
        <f>'2018'!J64</f>
        <v>1</v>
      </c>
      <c r="J64" s="93">
        <f>'2019'!J64</f>
        <v>1</v>
      </c>
      <c r="K64" s="227">
        <f>'2016'!K65</f>
        <v>0</v>
      </c>
      <c r="L64" s="93">
        <f>'2017'!K64</f>
        <v>1</v>
      </c>
      <c r="M64" s="93">
        <f>'2018'!K64</f>
        <v>0</v>
      </c>
      <c r="N64" s="61">
        <f>'2019'!K64</f>
        <v>0</v>
      </c>
      <c r="O64" s="195">
        <f>'2016'!N65</f>
        <v>0</v>
      </c>
      <c r="P64" s="194">
        <f>'2017'!N64</f>
        <v>1</v>
      </c>
      <c r="Q64" s="194">
        <f>'2018'!N64</f>
        <v>0</v>
      </c>
      <c r="R64" s="195">
        <f>'2019'!N64</f>
        <v>0</v>
      </c>
      <c r="S64" s="242">
        <v>0.25</v>
      </c>
      <c r="T64" s="116" t="s">
        <v>189</v>
      </c>
      <c r="U64" s="46">
        <f>+'2016'!P65+'2017'!P64</f>
        <v>102516</v>
      </c>
      <c r="V64" s="46">
        <f>+'2016'!Q65+'2017'!Q64</f>
        <v>30000</v>
      </c>
      <c r="W64" s="46">
        <f>+'2016'!R65+'2017'!R64</f>
        <v>0</v>
      </c>
      <c r="X64" s="53">
        <f t="shared" si="0"/>
        <v>0.29263724686878145</v>
      </c>
      <c r="Y64" s="54" t="str">
        <f t="shared" si="1"/>
        <v xml:space="preserve"> -</v>
      </c>
    </row>
    <row r="65" spans="2:25" ht="13" customHeight="1" thickBot="1">
      <c r="B65" s="170"/>
      <c r="C65" s="171"/>
      <c r="D65" s="73"/>
      <c r="E65" s="73"/>
      <c r="F65" s="44"/>
      <c r="G65" s="44"/>
      <c r="H65" s="44"/>
      <c r="I65" s="44"/>
      <c r="J65" s="44"/>
      <c r="K65" s="44"/>
      <c r="L65" s="44"/>
      <c r="M65" s="44"/>
      <c r="N65" s="44"/>
      <c r="O65" s="172"/>
      <c r="P65" s="172"/>
      <c r="Q65" s="172"/>
      <c r="R65" s="172"/>
      <c r="S65" s="243"/>
      <c r="T65" s="173"/>
      <c r="U65" s="174"/>
      <c r="V65" s="174"/>
      <c r="W65" s="174"/>
      <c r="X65" s="172"/>
      <c r="Y65" s="175"/>
    </row>
    <row r="66" spans="2:25" ht="60" customHeight="1" thickBot="1">
      <c r="B66" s="178" t="s">
        <v>97</v>
      </c>
      <c r="C66" s="181" t="s">
        <v>98</v>
      </c>
      <c r="D66" s="167" t="s">
        <v>99</v>
      </c>
      <c r="E66" s="145" t="s">
        <v>100</v>
      </c>
      <c r="F66" s="137">
        <v>300</v>
      </c>
      <c r="G66" s="137">
        <v>20</v>
      </c>
      <c r="H66" s="179">
        <f>'2017'!J66</f>
        <v>100</v>
      </c>
      <c r="I66" s="179">
        <f>'2018'!J66</f>
        <v>100</v>
      </c>
      <c r="J66" s="179">
        <f>'2019'!J66</f>
        <v>80</v>
      </c>
      <c r="K66" s="224">
        <v>0</v>
      </c>
      <c r="L66" s="179">
        <f>'2017'!K66</f>
        <v>0</v>
      </c>
      <c r="M66" s="179">
        <f>'2018'!K66</f>
        <v>0</v>
      </c>
      <c r="N66" s="138">
        <f>'2019'!K66</f>
        <v>0</v>
      </c>
      <c r="O66" s="189">
        <v>0</v>
      </c>
      <c r="P66" s="190">
        <f>'2017'!N66</f>
        <v>0</v>
      </c>
      <c r="Q66" s="191">
        <f>'2018'!N66</f>
        <v>0</v>
      </c>
      <c r="R66" s="190">
        <f>'2019'!N66</f>
        <v>0</v>
      </c>
      <c r="S66" s="244">
        <v>0</v>
      </c>
      <c r="T66" s="180" t="s">
        <v>188</v>
      </c>
      <c r="U66" s="137">
        <v>0</v>
      </c>
      <c r="V66" s="137">
        <v>0</v>
      </c>
      <c r="W66" s="137">
        <v>0</v>
      </c>
      <c r="X66" s="176" t="str">
        <f t="shared" ref="X66" si="2">IF(U66=0," -",V66/U66)</f>
        <v xml:space="preserve"> -</v>
      </c>
      <c r="Y66" s="177" t="str">
        <f t="shared" ref="Y66" si="3">IF(W66=0," -",IF(V66=0,100%,W66/V66))</f>
        <v xml:space="preserve"> -</v>
      </c>
    </row>
    <row r="67" spans="2:25" ht="21" customHeight="1" thickBot="1">
      <c r="O67" s="246">
        <f>+AVERAGE(O12,O14:O16,O18:O61,O63:O64,O66)</f>
        <v>0.70833333333333337</v>
      </c>
      <c r="P67" s="229">
        <f t="shared" ref="P67:S67" si="4">+AVERAGE(P12,P14:P16,P18:P61,P63:P64,P66)</f>
        <v>0.81382978723404253</v>
      </c>
      <c r="Q67" s="229">
        <f t="shared" si="4"/>
        <v>0.7184848484848485</v>
      </c>
      <c r="R67" s="229">
        <f t="shared" si="4"/>
        <v>0</v>
      </c>
      <c r="S67" s="121">
        <f t="shared" si="4"/>
        <v>0.620303666921314</v>
      </c>
      <c r="U67" s="71">
        <f>+SUM(U12,U14:U16,U18:U61,U63:U64,U66)</f>
        <v>17059353</v>
      </c>
      <c r="V67" s="35">
        <f>+SUM(V12,V14:V16,V18:V61,V63:V64,V66)</f>
        <v>12050580</v>
      </c>
      <c r="W67" s="72">
        <f>+SUM(W12,W14:W16,W18:W61,W63:W64,W66)</f>
        <v>746905</v>
      </c>
      <c r="X67" s="36">
        <f t="shared" si="0"/>
        <v>0.70639138541772362</v>
      </c>
      <c r="Y67" s="34">
        <f t="shared" si="1"/>
        <v>6.1980834117527951E-2</v>
      </c>
    </row>
  </sheetData>
  <mergeCells count="29">
    <mergeCell ref="T9:Y10"/>
    <mergeCell ref="E10:E11"/>
    <mergeCell ref="F10:F11"/>
    <mergeCell ref="S10:S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O10:O11"/>
    <mergeCell ref="P10:P11"/>
    <mergeCell ref="Q10:Q11"/>
    <mergeCell ref="B12:B16"/>
    <mergeCell ref="C14:C16"/>
    <mergeCell ref="D14:D16"/>
    <mergeCell ref="B18:B64"/>
    <mergeCell ref="C18:C61"/>
    <mergeCell ref="D19:D30"/>
    <mergeCell ref="D31:D37"/>
    <mergeCell ref="D38:D44"/>
    <mergeCell ref="D46:D52"/>
    <mergeCell ref="D54:D61"/>
    <mergeCell ref="C63:C64"/>
    <mergeCell ref="D63:D6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7" t="s">
        <v>144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9"/>
    </row>
    <row r="4" spans="2:15" ht="16" thickBot="1">
      <c r="C4" s="247"/>
      <c r="D4" s="247"/>
      <c r="E4" s="247"/>
      <c r="F4" s="247"/>
      <c r="G4" s="247"/>
      <c r="H4" s="247"/>
      <c r="I4" s="247"/>
    </row>
    <row r="5" spans="2:15" ht="19" customHeight="1">
      <c r="C5" s="247"/>
      <c r="D5" s="247"/>
      <c r="E5" s="390" t="s">
        <v>104</v>
      </c>
      <c r="F5" s="391"/>
      <c r="G5" s="391"/>
      <c r="H5" s="391"/>
      <c r="I5" s="394" t="s">
        <v>103</v>
      </c>
      <c r="J5" s="395"/>
      <c r="K5" s="398" t="s">
        <v>105</v>
      </c>
      <c r="L5" s="399"/>
      <c r="M5" s="399"/>
      <c r="N5" s="399"/>
      <c r="O5" s="400"/>
    </row>
    <row r="6" spans="2:15" ht="19" customHeight="1" thickBot="1">
      <c r="E6" s="392"/>
      <c r="F6" s="393"/>
      <c r="G6" s="393"/>
      <c r="H6" s="393"/>
      <c r="I6" s="396"/>
      <c r="J6" s="397"/>
      <c r="K6" s="401" t="s">
        <v>101</v>
      </c>
      <c r="L6" s="402"/>
      <c r="M6" s="402"/>
      <c r="N6" s="402"/>
      <c r="O6" s="403"/>
    </row>
    <row r="7" spans="2:15" ht="32" customHeight="1" thickBot="1">
      <c r="C7" s="406"/>
      <c r="D7" s="407"/>
      <c r="E7" s="248">
        <v>2016</v>
      </c>
      <c r="F7" s="249">
        <v>2017</v>
      </c>
      <c r="G7" s="249">
        <v>2018</v>
      </c>
      <c r="H7" s="249">
        <v>2019</v>
      </c>
      <c r="I7" s="408" t="s">
        <v>101</v>
      </c>
      <c r="J7" s="409"/>
      <c r="K7" s="304" t="s">
        <v>106</v>
      </c>
      <c r="L7" s="305" t="s">
        <v>107</v>
      </c>
      <c r="M7" s="305" t="s">
        <v>108</v>
      </c>
      <c r="N7" s="305" t="s">
        <v>109</v>
      </c>
      <c r="O7" s="306" t="s">
        <v>110</v>
      </c>
    </row>
    <row r="8" spans="2:15" ht="22" customHeight="1" thickBot="1">
      <c r="B8" s="250">
        <v>1</v>
      </c>
      <c r="C8" s="410" t="s">
        <v>111</v>
      </c>
      <c r="D8" s="411"/>
      <c r="E8" s="251">
        <f>+IF(SUM('2016 - 2019'!G12:G16)&gt;0,AVERAGE('2016 - 2019'!O12:O16)," -")</f>
        <v>0</v>
      </c>
      <c r="F8" s="251">
        <f>+IF(SUM('2016 - 2019'!H12:H16)&gt;0,AVERAGE('2016 - 2019'!P12:P16)," -")</f>
        <v>0.5</v>
      </c>
      <c r="G8" s="251">
        <f>+IF(SUM('2016 - 2019'!I12:I16)&gt;0,AVERAGE('2016 - 2019'!Q12:Q16)," -")</f>
        <v>0.75</v>
      </c>
      <c r="H8" s="251">
        <f>+IF(SUM('2016 - 2019'!J12:J16)&gt;0,AVERAGE('2016 - 2019'!R12:R16)," -")</f>
        <v>0</v>
      </c>
      <c r="I8" s="252">
        <f>+AVERAGE('2016 - 2019'!S12:S16)</f>
        <v>0.3125</v>
      </c>
      <c r="J8" s="253">
        <f t="shared" ref="J8:J12" si="0">+I8</f>
        <v>0.3125</v>
      </c>
      <c r="K8" s="254">
        <f>+K9+K11</f>
        <v>315200</v>
      </c>
      <c r="L8" s="255">
        <f t="shared" ref="L8:M8" si="1">+L9+L11</f>
        <v>19200</v>
      </c>
      <c r="M8" s="255">
        <f t="shared" si="1"/>
        <v>0</v>
      </c>
      <c r="N8" s="256">
        <f t="shared" ref="N8:N12" si="2">IF(K8=0,"-",+L8/K8)</f>
        <v>6.0913705583756347E-2</v>
      </c>
      <c r="O8" s="257" t="str">
        <f>IF(M8=0," -",IF(L8=0,100%,M8/L8))</f>
        <v xml:space="preserve"> -</v>
      </c>
    </row>
    <row r="9" spans="2:15" ht="20" customHeight="1">
      <c r="B9" s="258" t="s">
        <v>112</v>
      </c>
      <c r="C9" s="412" t="s">
        <v>73</v>
      </c>
      <c r="D9" s="413"/>
      <c r="E9" s="259">
        <f>+IF('2016 - 2019'!G12&gt;0,'2016 - 2019'!O12," -")</f>
        <v>0</v>
      </c>
      <c r="F9" s="259">
        <f>+IF('2016 - 2019'!H12&gt;0,'2016 - 2019'!P12," -")</f>
        <v>1</v>
      </c>
      <c r="G9" s="259">
        <f>+IF('2016 - 2019'!I12&gt;0,'2016 - 2019'!Q12," -")</f>
        <v>0</v>
      </c>
      <c r="H9" s="259">
        <f>+IF('2016 - 2019'!J12&gt;0,'2016 - 2019'!R12," -")</f>
        <v>0</v>
      </c>
      <c r="I9" s="260">
        <f>+'2016 - 2019'!S12</f>
        <v>0.25</v>
      </c>
      <c r="J9" s="261">
        <f t="shared" si="0"/>
        <v>0.25</v>
      </c>
      <c r="K9" s="262">
        <f>+K10</f>
        <v>0</v>
      </c>
      <c r="L9" s="263">
        <f t="shared" ref="L9:M9" si="3">+L10</f>
        <v>0</v>
      </c>
      <c r="M9" s="263">
        <f t="shared" si="3"/>
        <v>0</v>
      </c>
      <c r="N9" s="264" t="str">
        <f t="shared" si="2"/>
        <v>-</v>
      </c>
      <c r="O9" s="265" t="str">
        <f>IF(M9=0," -",IF(L9=0,100%,M9/L9))</f>
        <v xml:space="preserve"> -</v>
      </c>
    </row>
    <row r="10" spans="2:15" ht="18" customHeight="1">
      <c r="B10" s="266" t="s">
        <v>113</v>
      </c>
      <c r="C10" s="404" t="s">
        <v>114</v>
      </c>
      <c r="D10" s="405"/>
      <c r="E10" s="267">
        <f>+IF('2016 - 2019'!G12&gt;0,'2016 - 2019'!O12," -")</f>
        <v>0</v>
      </c>
      <c r="F10" s="267">
        <f>+IF('2016 - 2019'!H12&gt;0,'2016 - 2019'!P12," -")</f>
        <v>1</v>
      </c>
      <c r="G10" s="267">
        <f>+IF('2016 - 2019'!I12&gt;0,'2016 - 2019'!Q12," -")</f>
        <v>0</v>
      </c>
      <c r="H10" s="267">
        <f>+IF('2016 - 2019'!J12&gt;0,'2016 - 2019'!R12," -")</f>
        <v>0</v>
      </c>
      <c r="I10" s="268">
        <f>+'2016 - 2019'!S12</f>
        <v>0.25</v>
      </c>
      <c r="J10" s="269">
        <f t="shared" si="0"/>
        <v>0.25</v>
      </c>
      <c r="K10" s="270">
        <f>+'2016 - 2019'!U12</f>
        <v>0</v>
      </c>
      <c r="L10" s="46">
        <f>+'2016 - 2019'!V12</f>
        <v>0</v>
      </c>
      <c r="M10" s="46">
        <f>+'2016 - 2019'!W12</f>
        <v>0</v>
      </c>
      <c r="N10" s="271" t="str">
        <f t="shared" si="2"/>
        <v>-</v>
      </c>
      <c r="O10" s="272" t="str">
        <f t="shared" ref="O10:O13" si="4">IF(M10=0," -",IF(L10=0,100%,M10/L10))</f>
        <v xml:space="preserve"> -</v>
      </c>
    </row>
    <row r="11" spans="2:15" ht="20" customHeight="1">
      <c r="B11" s="258" t="s">
        <v>115</v>
      </c>
      <c r="C11" s="414" t="s">
        <v>74</v>
      </c>
      <c r="D11" s="415"/>
      <c r="E11" s="273">
        <f>+IF(SUM('2016 - 2019'!G14:G16)&gt;0,AVERAGE('2016 - 2019'!O14:O16)," -")</f>
        <v>0</v>
      </c>
      <c r="F11" s="273">
        <f>+IF(SUM('2016 - 2019'!H14:H16)&gt;0,AVERAGE('2016 - 2019'!P14:P16)," -")</f>
        <v>0.33333333333333331</v>
      </c>
      <c r="G11" s="273">
        <f>+IF(SUM('2016 - 2019'!I14:I16)&gt;0,AVERAGE('2016 - 2019'!Q14:Q16)," -")</f>
        <v>1</v>
      </c>
      <c r="H11" s="273">
        <f>+IF(SUM('2016 - 2019'!J14:J16)&gt;0,AVERAGE('2016 - 2019'!R14:R16)," -")</f>
        <v>0</v>
      </c>
      <c r="I11" s="274">
        <f>+AVERAGE('2016 - 2019'!S14:S16)</f>
        <v>0.33333333333333331</v>
      </c>
      <c r="J11" s="275">
        <f t="shared" si="0"/>
        <v>0.33333333333333331</v>
      </c>
      <c r="K11" s="276">
        <f>+K12</f>
        <v>315200</v>
      </c>
      <c r="L11" s="277">
        <f t="shared" ref="L11:M11" si="5">+L12</f>
        <v>19200</v>
      </c>
      <c r="M11" s="277">
        <f t="shared" si="5"/>
        <v>0</v>
      </c>
      <c r="N11" s="278">
        <f t="shared" si="2"/>
        <v>6.0913705583756347E-2</v>
      </c>
      <c r="O11" s="279" t="str">
        <f t="shared" si="4"/>
        <v xml:space="preserve"> -</v>
      </c>
    </row>
    <row r="12" spans="2:15" ht="18" customHeight="1" thickBot="1">
      <c r="B12" s="266" t="s">
        <v>116</v>
      </c>
      <c r="C12" s="404" t="s">
        <v>117</v>
      </c>
      <c r="D12" s="405"/>
      <c r="E12" s="267">
        <f>+IF(SUM('2016 - 2019'!G14:G16)&gt;0,AVERAGE('2016 - 2019'!O14:O16)," -")</f>
        <v>0</v>
      </c>
      <c r="F12" s="267">
        <f>+IF(SUM('2016 - 2019'!H14:H16)&gt;0,AVERAGE('2016 - 2019'!P14:P16)," -")</f>
        <v>0.33333333333333331</v>
      </c>
      <c r="G12" s="267">
        <f>+IF(SUM('2016 - 2019'!I14:I16)&gt;0,AVERAGE('2016 - 2019'!Q14:Q16)," -")</f>
        <v>1</v>
      </c>
      <c r="H12" s="267">
        <f>+IF(SUM('2016 - 2019'!J14:J16)&gt;0,AVERAGE('2016 - 2019'!R14:R16)," -")</f>
        <v>0</v>
      </c>
      <c r="I12" s="268">
        <f>+AVERAGE('2016 - 2019'!S14:S16)</f>
        <v>0.33333333333333331</v>
      </c>
      <c r="J12" s="269">
        <f t="shared" si="0"/>
        <v>0.33333333333333331</v>
      </c>
      <c r="K12" s="270">
        <f>+SUM('2016 - 2019'!U14:U16)</f>
        <v>315200</v>
      </c>
      <c r="L12" s="46">
        <f>+SUM('2016 - 2019'!V14:V16)</f>
        <v>19200</v>
      </c>
      <c r="M12" s="46">
        <f>+SUM('2016 - 2019'!W14:W16)</f>
        <v>0</v>
      </c>
      <c r="N12" s="271">
        <f t="shared" si="2"/>
        <v>6.0913705583756347E-2</v>
      </c>
      <c r="O12" s="272" t="str">
        <f t="shared" si="4"/>
        <v xml:space="preserve"> -</v>
      </c>
    </row>
    <row r="13" spans="2:15" ht="22" customHeight="1" thickBot="1">
      <c r="B13" s="250">
        <v>4</v>
      </c>
      <c r="C13" s="416" t="s">
        <v>118</v>
      </c>
      <c r="D13" s="417"/>
      <c r="E13" s="280">
        <f>+IF(SUM('2016 - 2019'!G18:G64)&gt;0,AVERAGE('2016 - 2019'!O18:O64)," -")</f>
        <v>0.82258064516129037</v>
      </c>
      <c r="F13" s="280">
        <f>+IF(SUM('2016 - 2019'!H18:H64)&gt;0,AVERAGE('2016 - 2019'!P18:P64)," -")</f>
        <v>0.86309523809523814</v>
      </c>
      <c r="G13" s="280">
        <f>+IF(SUM('2016 - 2019'!I18:I64)&gt;0,AVERAGE('2016 - 2019'!Q18:Q64)," -")</f>
        <v>0.73367521367521371</v>
      </c>
      <c r="H13" s="280">
        <f>+IF(SUM('2016 - 2019'!J18:J64)&gt;0,AVERAGE('2016 - 2019'!R18:R64)," -")</f>
        <v>0</v>
      </c>
      <c r="I13" s="281">
        <f>+AVERAGE('2016 - 2019'!S18:S64)</f>
        <v>0.66055406549971774</v>
      </c>
      <c r="J13" s="282">
        <f t="shared" ref="J13:J27" si="6">+I13</f>
        <v>0.66055406549971774</v>
      </c>
      <c r="K13" s="283">
        <f>+K14+K23</f>
        <v>16744153</v>
      </c>
      <c r="L13" s="284">
        <f t="shared" ref="L13:M13" si="7">+L14+L23</f>
        <v>12031380</v>
      </c>
      <c r="M13" s="284">
        <f t="shared" si="7"/>
        <v>746905</v>
      </c>
      <c r="N13" s="285">
        <f t="shared" ref="N13:N27" si="8">IF(K13=0,"-",+L13/K13)</f>
        <v>0.7185421681228068</v>
      </c>
      <c r="O13" s="286">
        <f t="shared" si="4"/>
        <v>6.2079744800679557E-2</v>
      </c>
    </row>
    <row r="14" spans="2:15" ht="20" customHeight="1">
      <c r="B14" s="258" t="s">
        <v>119</v>
      </c>
      <c r="C14" s="414" t="s">
        <v>87</v>
      </c>
      <c r="D14" s="415"/>
      <c r="E14" s="273">
        <f>+IF(SUM('2016 - 2019'!G18:G61)&gt;0,AVERAGE('2016 - 2019'!O18:O61)," -")</f>
        <v>0.85</v>
      </c>
      <c r="F14" s="273">
        <f>+IF(SUM('2016 - 2019'!H18:H61)&gt;0,AVERAGE('2016 - 2019'!P18:P61)," -")</f>
        <v>0.8597560975609756</v>
      </c>
      <c r="G14" s="273">
        <f>+IF(SUM('2016 - 2019'!I18:I61)&gt;0,AVERAGE('2016 - 2019'!Q18:Q61)," -")</f>
        <v>0.77333333333333332</v>
      </c>
      <c r="H14" s="273">
        <f>+IF(SUM('2016 - 2019'!J18:J61)&gt;0,AVERAGE('2016 - 2019'!R18:R61)," -")</f>
        <v>0</v>
      </c>
      <c r="I14" s="274">
        <f>+AVERAGE('2016 - 2019'!S18:S61)</f>
        <v>0.6848974321133412</v>
      </c>
      <c r="J14" s="275">
        <f t="shared" si="6"/>
        <v>0.6848974321133412</v>
      </c>
      <c r="K14" s="276">
        <f>+SUM(K15:K22)</f>
        <v>16641637</v>
      </c>
      <c r="L14" s="277">
        <f t="shared" ref="L14:M14" si="9">+SUM(L15:L22)</f>
        <v>12001380</v>
      </c>
      <c r="M14" s="277">
        <f t="shared" si="9"/>
        <v>746905</v>
      </c>
      <c r="N14" s="278">
        <f t="shared" si="8"/>
        <v>0.72116583242381749</v>
      </c>
      <c r="O14" s="279">
        <f t="shared" ref="O14:O28" si="10">IF(M14=0," -",IF(L14=0,100%,M14/L14))</f>
        <v>6.2234926316806903E-2</v>
      </c>
    </row>
    <row r="15" spans="2:15" ht="18" customHeight="1">
      <c r="B15" s="266" t="s">
        <v>120</v>
      </c>
      <c r="C15" s="404" t="s">
        <v>121</v>
      </c>
      <c r="D15" s="405"/>
      <c r="E15" s="267" t="str">
        <f>+IF('2016 - 2019'!G18&gt;0,'2016 - 2019'!O18," -")</f>
        <v xml:space="preserve"> -</v>
      </c>
      <c r="F15" s="267">
        <f>+IF('2016 - 2019'!H18&gt;0,'2016 - 2019'!P18," -")</f>
        <v>1</v>
      </c>
      <c r="G15" s="267" t="str">
        <f>+IF('2016 - 2019'!I18&gt;0,'2016 - 2019'!Q18," -")</f>
        <v xml:space="preserve"> -</v>
      </c>
      <c r="H15" s="267">
        <f>+IF('2016 - 2019'!J18&gt;0,'2016 - 2019'!R18," -")</f>
        <v>0</v>
      </c>
      <c r="I15" s="268">
        <f>+'2016 - 2019'!S18</f>
        <v>0.5</v>
      </c>
      <c r="J15" s="269">
        <f t="shared" si="6"/>
        <v>0.5</v>
      </c>
      <c r="K15" s="270">
        <f>+'2016 - 2019'!U18</f>
        <v>211000</v>
      </c>
      <c r="L15" s="46">
        <f>+'2016 - 2019'!V18</f>
        <v>44703</v>
      </c>
      <c r="M15" s="46">
        <f>+'2016 - 2019'!W18</f>
        <v>0</v>
      </c>
      <c r="N15" s="271">
        <f t="shared" si="8"/>
        <v>0.21186255924170616</v>
      </c>
      <c r="O15" s="272" t="str">
        <f t="shared" si="10"/>
        <v xml:space="preserve"> -</v>
      </c>
    </row>
    <row r="16" spans="2:15" ht="18" customHeight="1">
      <c r="B16" s="266" t="s">
        <v>122</v>
      </c>
      <c r="C16" s="404" t="s">
        <v>123</v>
      </c>
      <c r="D16" s="405"/>
      <c r="E16" s="267">
        <f>+IF(SUM('2016 - 2019'!G19:G30)&gt;0,AVERAGE('2016 - 2019'!O19:O30)," -")</f>
        <v>0.875</v>
      </c>
      <c r="F16" s="267">
        <f>+IF(SUM('2016 - 2019'!H19:H30)&gt;0,AVERAGE('2016 - 2019'!P19:P30)," -")</f>
        <v>0.88636363636363635</v>
      </c>
      <c r="G16" s="267">
        <f>+IF(SUM('2016 - 2019'!I19:I30)&gt;0,AVERAGE('2016 - 2019'!Q19:Q30)," -")</f>
        <v>0.90909090909090906</v>
      </c>
      <c r="H16" s="267">
        <f>+IF(SUM('2016 - 2019'!J19:J30)&gt;0,AVERAGE('2016 - 2019'!R19:R30)," -")</f>
        <v>0</v>
      </c>
      <c r="I16" s="268">
        <f>+AVERAGE('2016 - 2019'!S19:S30)</f>
        <v>0.7236516955266955</v>
      </c>
      <c r="J16" s="269">
        <f t="shared" si="6"/>
        <v>0.7236516955266955</v>
      </c>
      <c r="K16" s="270">
        <f>+SUM('2016 - 2019'!U19:U30)</f>
        <v>6534997</v>
      </c>
      <c r="L16" s="46">
        <f>+SUM('2016 - 2019'!V19:V30)</f>
        <v>4687068</v>
      </c>
      <c r="M16" s="46">
        <f>+SUM('2016 - 2019'!W19:W30)</f>
        <v>35670</v>
      </c>
      <c r="N16" s="271">
        <f t="shared" si="8"/>
        <v>0.71722573093759645</v>
      </c>
      <c r="O16" s="272">
        <f t="shared" si="10"/>
        <v>7.6103013653738326E-3</v>
      </c>
    </row>
    <row r="17" spans="2:15" ht="18" customHeight="1">
      <c r="B17" s="266" t="s">
        <v>124</v>
      </c>
      <c r="C17" s="404" t="s">
        <v>125</v>
      </c>
      <c r="D17" s="405"/>
      <c r="E17" s="267">
        <f>+IF(SUM('2016 - 2019'!G31:G37)&gt;0,AVERAGE('2016 - 2019'!O31:O37)," -")</f>
        <v>1</v>
      </c>
      <c r="F17" s="267">
        <f>+IF(SUM('2016 - 2019'!H31:H37)&gt;0,AVERAGE('2016 - 2019'!P31:P37)," -")</f>
        <v>1</v>
      </c>
      <c r="G17" s="267">
        <f>+IF(SUM('2016 - 2019'!I31:I37)&gt;0,AVERAGE('2016 - 2019'!Q31:Q37)," -")</f>
        <v>1</v>
      </c>
      <c r="H17" s="267">
        <f>+IF(SUM('2016 - 2019'!J31:J37)&gt;0,AVERAGE('2016 - 2019'!R31:R37)," -")</f>
        <v>0</v>
      </c>
      <c r="I17" s="268">
        <f>+AVERAGE('2016 - 2019'!S31:S37)</f>
        <v>0.8214285714285714</v>
      </c>
      <c r="J17" s="269">
        <f t="shared" si="6"/>
        <v>0.8214285714285714</v>
      </c>
      <c r="K17" s="270">
        <f>+SUM('2016 - 2019'!U31:U37)</f>
        <v>1397552</v>
      </c>
      <c r="L17" s="46">
        <f>+SUM('2016 - 2019'!V31:V37)</f>
        <v>1242208</v>
      </c>
      <c r="M17" s="46">
        <f>+SUM('2016 - 2019'!W31:W37)</f>
        <v>0</v>
      </c>
      <c r="N17" s="271">
        <f t="shared" si="8"/>
        <v>0.88884563865959909</v>
      </c>
      <c r="O17" s="272" t="str">
        <f t="shared" si="10"/>
        <v xml:space="preserve"> -</v>
      </c>
    </row>
    <row r="18" spans="2:15" ht="18" customHeight="1">
      <c r="B18" s="266" t="s">
        <v>126</v>
      </c>
      <c r="C18" s="404" t="s">
        <v>127</v>
      </c>
      <c r="D18" s="405"/>
      <c r="E18" s="267">
        <f>+IF(SUM('2016 - 2019'!G38:G44),AVERAGE('2016 - 2019'!O38:O44)," -")</f>
        <v>1</v>
      </c>
      <c r="F18" s="267">
        <f>+IF(SUM('2016 - 2019'!H38:H44),AVERAGE('2016 - 2019'!P38:P44)," -")</f>
        <v>0.5714285714285714</v>
      </c>
      <c r="G18" s="267">
        <f>+IF(SUM('2016 - 2019'!I38:I44),AVERAGE('2016 - 2019'!Q38:Q44)," -")</f>
        <v>0.8</v>
      </c>
      <c r="H18" s="267">
        <f>+IF(SUM('2016 - 2019'!J38:J44),AVERAGE('2016 - 2019'!R38:R44)," -")</f>
        <v>0</v>
      </c>
      <c r="I18" s="268">
        <f>+AVERAGE('2016 - 2019'!S38:S44)</f>
        <v>0.7857142857142857</v>
      </c>
      <c r="J18" s="269">
        <f t="shared" si="6"/>
        <v>0.7857142857142857</v>
      </c>
      <c r="K18" s="270">
        <f>+SUM('2016 - 2019'!U38:U44)</f>
        <v>3297809</v>
      </c>
      <c r="L18" s="46">
        <f>+SUM('2016 - 2019'!V38:V44)</f>
        <v>1725178</v>
      </c>
      <c r="M18" s="46">
        <f>+SUM('2016 - 2019'!W38:W44)</f>
        <v>0</v>
      </c>
      <c r="N18" s="271">
        <f t="shared" si="8"/>
        <v>0.52312853776552859</v>
      </c>
      <c r="O18" s="272" t="str">
        <f t="shared" si="10"/>
        <v xml:space="preserve"> -</v>
      </c>
    </row>
    <row r="19" spans="2:15" ht="18" customHeight="1">
      <c r="B19" s="266" t="s">
        <v>128</v>
      </c>
      <c r="C19" s="404" t="s">
        <v>129</v>
      </c>
      <c r="D19" s="405"/>
      <c r="E19" s="267">
        <f>+IF('2016 - 2019'!G45&gt;0,'2016 - 2019'!O45," -")</f>
        <v>1</v>
      </c>
      <c r="F19" s="267">
        <f>+IF('2016 - 2019'!H45&gt;0,'2016 - 2019'!P45," -")</f>
        <v>1</v>
      </c>
      <c r="G19" s="267">
        <f>+IF('2016 - 2019'!I45&gt;0,'2016 - 2019'!Q45," -")</f>
        <v>1</v>
      </c>
      <c r="H19" s="267">
        <f>+IF('2016 - 2019'!J45&gt;0,'2016 - 2019'!R45," -")</f>
        <v>0</v>
      </c>
      <c r="I19" s="268">
        <f>+'2016 - 2019'!S45</f>
        <v>1</v>
      </c>
      <c r="J19" s="269">
        <f t="shared" si="6"/>
        <v>1</v>
      </c>
      <c r="K19" s="270">
        <f>+'2016 - 2019'!U45</f>
        <v>1838093</v>
      </c>
      <c r="L19" s="46">
        <f>+'2016 - 2019'!V45</f>
        <v>1118289</v>
      </c>
      <c r="M19" s="46">
        <f>+'2016 - 2019'!W45</f>
        <v>511235</v>
      </c>
      <c r="N19" s="271">
        <f t="shared" si="8"/>
        <v>0.60839631074162193</v>
      </c>
      <c r="O19" s="272">
        <f t="shared" si="10"/>
        <v>0.45715821223315262</v>
      </c>
    </row>
    <row r="20" spans="2:15" ht="18" customHeight="1">
      <c r="B20" s="266" t="s">
        <v>130</v>
      </c>
      <c r="C20" s="404" t="s">
        <v>131</v>
      </c>
      <c r="D20" s="405"/>
      <c r="E20" s="267">
        <f>+IF(SUM('2016 - 2019'!G46:G52)&gt;0,AVERAGE('2016 - 2019'!O46:O52)," -")</f>
        <v>0.5</v>
      </c>
      <c r="F20" s="267">
        <f>+IF(SUM('2016 - 2019'!H46:H52)&gt;0,AVERAGE('2016 - 2019'!P46:P52)," -")</f>
        <v>0.75</v>
      </c>
      <c r="G20" s="267">
        <f>+IF(SUM('2016 - 2019'!I46:I52)&gt;0,AVERAGE('2016 - 2019'!Q46:Q52)," -")</f>
        <v>0.46666666666666662</v>
      </c>
      <c r="H20" s="267">
        <f>+IF(SUM('2016 - 2019'!J46:J52)&gt;0,AVERAGE('2016 - 2019'!R46:R52)," -")</f>
        <v>0</v>
      </c>
      <c r="I20" s="268">
        <f>+AVERAGE('2016 - 2019'!S46:S52)</f>
        <v>0.42857142857142855</v>
      </c>
      <c r="J20" s="269">
        <f t="shared" si="6"/>
        <v>0.42857142857142855</v>
      </c>
      <c r="K20" s="270">
        <f>+SUM('2016 - 2019'!U46:U52)</f>
        <v>527529</v>
      </c>
      <c r="L20" s="46">
        <f>+SUM('2016 - 2019'!V46:V52)</f>
        <v>435243</v>
      </c>
      <c r="M20" s="46">
        <f>+SUM('2016 - 2019'!W46:W52)</f>
        <v>0</v>
      </c>
      <c r="N20" s="271">
        <f t="shared" si="8"/>
        <v>0.8250598545293244</v>
      </c>
      <c r="O20" s="272" t="str">
        <f t="shared" si="10"/>
        <v xml:space="preserve"> -</v>
      </c>
    </row>
    <row r="21" spans="2:15" ht="18" customHeight="1">
      <c r="B21" s="266" t="s">
        <v>132</v>
      </c>
      <c r="C21" s="404" t="s">
        <v>133</v>
      </c>
      <c r="D21" s="405"/>
      <c r="E21" s="267" t="str">
        <f>+IF('2016 - 2019'!G53&gt;0,'2016 - 2019'!O53," -")</f>
        <v xml:space="preserve"> -</v>
      </c>
      <c r="F21" s="267">
        <f>+IF('2016 - 2019'!H53&gt;0,'2016 - 2019'!P53," -")</f>
        <v>1</v>
      </c>
      <c r="G21" s="267">
        <f>+IF('2016 - 2019'!I53&gt;0,'2016 - 2019'!Q53," -")</f>
        <v>1</v>
      </c>
      <c r="H21" s="267">
        <f>+IF('2016 - 2019'!J53&gt;0,'2016 - 2019'!R53," -")</f>
        <v>0</v>
      </c>
      <c r="I21" s="268">
        <f>+'2016 - 2019'!S53</f>
        <v>0.66666666666666663</v>
      </c>
      <c r="J21" s="269">
        <f t="shared" si="6"/>
        <v>0.66666666666666663</v>
      </c>
      <c r="K21" s="270">
        <f>+'2016 - 2019'!U53</f>
        <v>90000</v>
      </c>
      <c r="L21" s="46">
        <f>+'2016 - 2019'!V53</f>
        <v>90000</v>
      </c>
      <c r="M21" s="46">
        <f>+'2016 - 2019'!W53</f>
        <v>0</v>
      </c>
      <c r="N21" s="271">
        <f t="shared" si="8"/>
        <v>1</v>
      </c>
      <c r="O21" s="272" t="str">
        <f t="shared" si="10"/>
        <v xml:space="preserve"> -</v>
      </c>
    </row>
    <row r="22" spans="2:15" ht="18" customHeight="1">
      <c r="B22" s="266" t="s">
        <v>134</v>
      </c>
      <c r="C22" s="404" t="s">
        <v>135</v>
      </c>
      <c r="D22" s="405"/>
      <c r="E22" s="267">
        <f>+IF(SUM('2016 - 2019'!G54:G61)&gt;0,AVERAGE('2016 - 2019'!O54:O61)," -")</f>
        <v>0.66666666666666663</v>
      </c>
      <c r="F22" s="267">
        <f>+IF(SUM('2016 - 2019'!H54:H61)&gt;0,AVERAGE('2016 - 2019'!P54:P61)," -")</f>
        <v>1</v>
      </c>
      <c r="G22" s="267">
        <f>+IF(SUM('2016 - 2019'!I54:I61)&gt;0,AVERAGE('2016 - 2019'!Q54:Q61)," -")</f>
        <v>0.53500000000000003</v>
      </c>
      <c r="H22" s="267">
        <f>+IF(SUM('2016 - 2019'!J54:J61)&gt;0,AVERAGE('2016 - 2019'!R54:R61)," -")</f>
        <v>0</v>
      </c>
      <c r="I22" s="268">
        <f>+AVERAGE('2016 - 2019'!S54:S61)</f>
        <v>0.62937500000000002</v>
      </c>
      <c r="J22" s="269">
        <f t="shared" si="6"/>
        <v>0.62937500000000002</v>
      </c>
      <c r="K22" s="270">
        <f>+SUM('2016 - 2019'!U54:U61)</f>
        <v>2744657</v>
      </c>
      <c r="L22" s="46">
        <f>+SUM('2016 - 2019'!V54:V61)</f>
        <v>2658691</v>
      </c>
      <c r="M22" s="46">
        <f>+SUM('2016 - 2019'!W54:W61)</f>
        <v>200000</v>
      </c>
      <c r="N22" s="271">
        <f t="shared" si="8"/>
        <v>0.96867878208461022</v>
      </c>
      <c r="O22" s="272">
        <f t="shared" si="10"/>
        <v>7.5224988537592366E-2</v>
      </c>
    </row>
    <row r="23" spans="2:15" ht="20" customHeight="1">
      <c r="B23" s="258" t="s">
        <v>136</v>
      </c>
      <c r="C23" s="414" t="s">
        <v>86</v>
      </c>
      <c r="D23" s="415"/>
      <c r="E23" s="273">
        <f>+IF(SUM('2016 - 2019'!G63:G64)&gt;0,AVERAGE('2016 - 2019'!O63:O64)," -")</f>
        <v>0</v>
      </c>
      <c r="F23" s="273">
        <f>+IF(SUM('2016 - 2019'!H63:H64)&gt;0,AVERAGE('2016 - 2019'!P63:P64)," -")</f>
        <v>1</v>
      </c>
      <c r="G23" s="273">
        <f>+IF(SUM('2016 - 2019'!I63:I64)&gt;0,AVERAGE('2016 - 2019'!Q63:Q64)," -")</f>
        <v>0</v>
      </c>
      <c r="H23" s="273">
        <f>+IF(SUM('2016 - 2019'!J63:J64)&gt;0,AVERAGE('2016 - 2019'!R63:R64)," -")</f>
        <v>0</v>
      </c>
      <c r="I23" s="274">
        <f>+AVERAGE('2016 - 2019'!S63:S64)</f>
        <v>0.125</v>
      </c>
      <c r="J23" s="275">
        <f t="shared" si="6"/>
        <v>0.125</v>
      </c>
      <c r="K23" s="276">
        <f>+K24</f>
        <v>102516</v>
      </c>
      <c r="L23" s="277">
        <f t="shared" ref="L23:M23" si="11">+L24</f>
        <v>30000</v>
      </c>
      <c r="M23" s="277">
        <f t="shared" si="11"/>
        <v>0</v>
      </c>
      <c r="N23" s="278">
        <f t="shared" si="8"/>
        <v>0.29263724686878145</v>
      </c>
      <c r="O23" s="279" t="str">
        <f t="shared" si="10"/>
        <v xml:space="preserve"> -</v>
      </c>
    </row>
    <row r="24" spans="2:15" ht="18" customHeight="1" thickBot="1">
      <c r="B24" s="266" t="s">
        <v>137</v>
      </c>
      <c r="C24" s="404" t="s">
        <v>138</v>
      </c>
      <c r="D24" s="405"/>
      <c r="E24" s="267">
        <f>+IF(SUM('2016 - 2019'!G63:G64)&gt;0,AVERAGE('2016 - 2019'!O63:O64)," -")</f>
        <v>0</v>
      </c>
      <c r="F24" s="267">
        <f>+IF(SUM('2016 - 2019'!H63:H64)&gt;0,AVERAGE('2016 - 2019'!P63:P64)," -")</f>
        <v>1</v>
      </c>
      <c r="G24" s="267">
        <f>+IF(SUM('2016 - 2019'!I63:I64)&gt;0,AVERAGE('2016 - 2019'!Q63:Q64)," -")</f>
        <v>0</v>
      </c>
      <c r="H24" s="267">
        <f>+IF(SUM('2016 - 2019'!J63:J64)&gt;0,AVERAGE('2016 - 2019'!R63:R64)," -")</f>
        <v>0</v>
      </c>
      <c r="I24" s="268">
        <f>+AVERAGE('2016 - 2019'!S63:S64)</f>
        <v>0.125</v>
      </c>
      <c r="J24" s="269">
        <f t="shared" si="6"/>
        <v>0.125</v>
      </c>
      <c r="K24" s="270">
        <f>+SUM('2016 - 2019'!U63:U64)</f>
        <v>102516</v>
      </c>
      <c r="L24" s="46">
        <f>+SUM('2016 - 2019'!V63:V64)</f>
        <v>30000</v>
      </c>
      <c r="M24" s="46">
        <f>+SUM('2016 - 2019'!W63:W64)</f>
        <v>0</v>
      </c>
      <c r="N24" s="271">
        <f t="shared" si="8"/>
        <v>0.29263724686878145</v>
      </c>
      <c r="O24" s="272" t="str">
        <f t="shared" si="10"/>
        <v xml:space="preserve"> -</v>
      </c>
    </row>
    <row r="25" spans="2:15" ht="22" customHeight="1" thickBot="1">
      <c r="B25" s="250">
        <v>5</v>
      </c>
      <c r="C25" s="418" t="s">
        <v>139</v>
      </c>
      <c r="D25" s="419"/>
      <c r="E25" s="287">
        <f>+IF('2016 - 2019'!G66&gt;0,'2016 - 2019'!O66," -")</f>
        <v>0</v>
      </c>
      <c r="F25" s="287">
        <f>+IF('2016 - 2019'!H66&gt;0,'2016 - 2019'!P66," -")</f>
        <v>0</v>
      </c>
      <c r="G25" s="287">
        <f>+IF('2016 - 2019'!I66&gt;0,'2016 - 2019'!Q66," -")</f>
        <v>0</v>
      </c>
      <c r="H25" s="287">
        <f>+IF('2016 - 2019'!J66&gt;0,'2016 - 2019'!R66," -")</f>
        <v>0</v>
      </c>
      <c r="I25" s="288">
        <f>+'2016 - 2019'!S66</f>
        <v>0</v>
      </c>
      <c r="J25" s="289">
        <f t="shared" si="6"/>
        <v>0</v>
      </c>
      <c r="K25" s="290">
        <f>+K26</f>
        <v>0</v>
      </c>
      <c r="L25" s="291">
        <f t="shared" ref="L25:M26" si="12">+L26</f>
        <v>0</v>
      </c>
      <c r="M25" s="291">
        <f t="shared" si="12"/>
        <v>0</v>
      </c>
      <c r="N25" s="292" t="str">
        <f t="shared" si="8"/>
        <v>-</v>
      </c>
      <c r="O25" s="293" t="str">
        <f t="shared" si="10"/>
        <v xml:space="preserve"> -</v>
      </c>
    </row>
    <row r="26" spans="2:15" ht="20" customHeight="1">
      <c r="B26" s="258" t="s">
        <v>140</v>
      </c>
      <c r="C26" s="414" t="s">
        <v>98</v>
      </c>
      <c r="D26" s="415"/>
      <c r="E26" s="273">
        <f>+IF('2016 - 2019'!G66&gt;0,'2016 - 2019'!O66," -")</f>
        <v>0</v>
      </c>
      <c r="F26" s="273">
        <f>+IF('2016 - 2019'!H66&gt;0,'2016 - 2019'!P66," -")</f>
        <v>0</v>
      </c>
      <c r="G26" s="273">
        <f>+IF('2016 - 2019'!I66&gt;0,'2016 - 2019'!Q66," -")</f>
        <v>0</v>
      </c>
      <c r="H26" s="273">
        <f>+IF('2016 - 2019'!J66&gt;0,'2016 - 2019'!R66," -")</f>
        <v>0</v>
      </c>
      <c r="I26" s="274">
        <f>+'2016 - 2019'!S66</f>
        <v>0</v>
      </c>
      <c r="J26" s="275">
        <f t="shared" si="6"/>
        <v>0</v>
      </c>
      <c r="K26" s="276">
        <f>+K27</f>
        <v>0</v>
      </c>
      <c r="L26" s="277">
        <f t="shared" si="12"/>
        <v>0</v>
      </c>
      <c r="M26" s="277">
        <f t="shared" si="12"/>
        <v>0</v>
      </c>
      <c r="N26" s="278" t="str">
        <f t="shared" si="8"/>
        <v>-</v>
      </c>
      <c r="O26" s="279" t="str">
        <f t="shared" si="10"/>
        <v xml:space="preserve"> -</v>
      </c>
    </row>
    <row r="27" spans="2:15" ht="18" customHeight="1" thickBot="1">
      <c r="B27" s="266" t="s">
        <v>141</v>
      </c>
      <c r="C27" s="404" t="s">
        <v>142</v>
      </c>
      <c r="D27" s="405"/>
      <c r="E27" s="267">
        <f>+IF('2016 - 2019'!G66&gt;0,'2016 - 2019'!O66," -")</f>
        <v>0</v>
      </c>
      <c r="F27" s="267">
        <f>+IF('2016 - 2019'!H66&gt;0,'2016 - 2019'!P66," -")</f>
        <v>0</v>
      </c>
      <c r="G27" s="267">
        <f>+IF('2016 - 2019'!I66&gt;0,'2016 - 2019'!Q66," -")</f>
        <v>0</v>
      </c>
      <c r="H27" s="267">
        <f>+IF('2016 - 2019'!J66&gt;0,'2016 - 2019'!R66," -")</f>
        <v>0</v>
      </c>
      <c r="I27" s="268">
        <f>+'2016 - 2019'!S66</f>
        <v>0</v>
      </c>
      <c r="J27" s="269">
        <f t="shared" si="6"/>
        <v>0</v>
      </c>
      <c r="K27" s="307">
        <f>+'2016 - 2019'!U66</f>
        <v>0</v>
      </c>
      <c r="L27" s="52">
        <f>+'2016 - 2019'!V66</f>
        <v>0</v>
      </c>
      <c r="M27" s="52">
        <f>+'2016 - 2019'!W66</f>
        <v>0</v>
      </c>
      <c r="N27" s="308" t="str">
        <f t="shared" si="8"/>
        <v>-</v>
      </c>
      <c r="O27" s="309" t="str">
        <f t="shared" si="10"/>
        <v xml:space="preserve"> -</v>
      </c>
    </row>
    <row r="28" spans="2:15" ht="24" customHeight="1" thickBot="1">
      <c r="C28" s="420" t="s">
        <v>143</v>
      </c>
      <c r="D28" s="421"/>
      <c r="E28" s="294">
        <f>+'2016 - 2019'!O67</f>
        <v>0.70833333333333337</v>
      </c>
      <c r="F28" s="294">
        <f>+'2016 - 2019'!P67</f>
        <v>0.81382978723404253</v>
      </c>
      <c r="G28" s="294">
        <f>+'2016 - 2019'!Q67</f>
        <v>0.7184848484848485</v>
      </c>
      <c r="H28" s="294">
        <f>+'2016 - 2019'!R67</f>
        <v>0</v>
      </c>
      <c r="I28" s="295">
        <f>+'2016 - 2019'!S67</f>
        <v>0.620303666921314</v>
      </c>
      <c r="J28" s="296">
        <f t="shared" ref="J28" si="13">+I28</f>
        <v>0.620303666921314</v>
      </c>
      <c r="K28" s="297">
        <f>+K8+K13+K25</f>
        <v>17059353</v>
      </c>
      <c r="L28" s="298">
        <f>+L8+L13+L25</f>
        <v>12050580</v>
      </c>
      <c r="M28" s="298">
        <f>+M8+M13+M25</f>
        <v>746905</v>
      </c>
      <c r="N28" s="299">
        <f t="shared" ref="N28" si="14">IF(K28=0,"-",+L28/K28)</f>
        <v>0.70639138541772362</v>
      </c>
      <c r="O28" s="300">
        <f t="shared" si="10"/>
        <v>6.1980834117527951E-2</v>
      </c>
    </row>
    <row r="30" spans="2:15" ht="17">
      <c r="C30" s="301" t="str">
        <f>+'2016 - 2019'!C7</f>
        <v>FECHA CORTE</v>
      </c>
      <c r="D30" s="302"/>
      <c r="E30" s="303"/>
      <c r="F30" s="303"/>
      <c r="I30" s="301" t="s">
        <v>190</v>
      </c>
    </row>
    <row r="31" spans="2:15" ht="17">
      <c r="C31" s="310">
        <f>+'2016 - 2019'!C8</f>
        <v>43373</v>
      </c>
    </row>
  </sheetData>
  <mergeCells count="28">
    <mergeCell ref="C25:D25"/>
    <mergeCell ref="C24:D24"/>
    <mergeCell ref="C26:D26"/>
    <mergeCell ref="C27:D27"/>
    <mergeCell ref="C28:D28"/>
    <mergeCell ref="C21:D21"/>
    <mergeCell ref="C22:D22"/>
    <mergeCell ref="C23:D23"/>
    <mergeCell ref="C14:D14"/>
    <mergeCell ref="C15:D15"/>
    <mergeCell ref="C16:D16"/>
    <mergeCell ref="C17:D17"/>
    <mergeCell ref="C18:D18"/>
    <mergeCell ref="C11:D11"/>
    <mergeCell ref="C12:D12"/>
    <mergeCell ref="C13:D13"/>
    <mergeCell ref="C19:D19"/>
    <mergeCell ref="C20:D20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2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{E7C3EAD4-9994-4547-84C6-59584C728E3F}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3EAD4-9994-4547-84C6-59584C728E3F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2018-10-08T21:14:57Z</dcterms:modified>
</cp:coreProperties>
</file>