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U22" i="11"/>
  <c r="U21" i="11"/>
  <c r="U20" i="11"/>
  <c r="U19" i="11"/>
  <c r="U18" i="11"/>
  <c r="U17" i="11"/>
  <c r="U15" i="11"/>
  <c r="U14" i="11"/>
  <c r="U13" i="11"/>
  <c r="U12" i="11"/>
  <c r="C21" i="12"/>
  <c r="C20" i="12"/>
  <c r="S25" i="11"/>
  <c r="L12" i="10"/>
  <c r="N12" i="10"/>
  <c r="R12" i="11"/>
  <c r="L13" i="10"/>
  <c r="N13" i="10"/>
  <c r="R13" i="11"/>
  <c r="L14" i="10"/>
  <c r="N14" i="10"/>
  <c r="R14" i="11"/>
  <c r="L15" i="10"/>
  <c r="N15" i="10"/>
  <c r="R15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N21" i="10"/>
  <c r="R21" i="11"/>
  <c r="N22" i="10"/>
  <c r="R22" i="11"/>
  <c r="N24" i="10"/>
  <c r="R24" i="11"/>
  <c r="R25" i="11"/>
  <c r="L12" i="9"/>
  <c r="N12" i="9"/>
  <c r="Q12" i="11"/>
  <c r="L13" i="9"/>
  <c r="N13" i="9"/>
  <c r="Q13" i="11"/>
  <c r="L14" i="9"/>
  <c r="N14" i="9"/>
  <c r="Q14" i="11"/>
  <c r="L15" i="9"/>
  <c r="N15" i="9"/>
  <c r="Q15" i="11"/>
  <c r="L17" i="9"/>
  <c r="N17" i="9"/>
  <c r="Q17" i="11"/>
  <c r="L18" i="9"/>
  <c r="N18" i="9"/>
  <c r="Q18" i="11"/>
  <c r="L19" i="9"/>
  <c r="N19" i="9"/>
  <c r="Q19" i="11"/>
  <c r="L20" i="9"/>
  <c r="N20" i="9"/>
  <c r="Q20" i="11"/>
  <c r="N21" i="9"/>
  <c r="Q21" i="11"/>
  <c r="N22" i="9"/>
  <c r="Q22" i="11"/>
  <c r="N24" i="9"/>
  <c r="Q24" i="11"/>
  <c r="Q25" i="11"/>
  <c r="L12" i="8"/>
  <c r="N12" i="8"/>
  <c r="P12" i="11"/>
  <c r="L13" i="8"/>
  <c r="N13" i="8"/>
  <c r="P13" i="11"/>
  <c r="L14" i="8"/>
  <c r="N14" i="8"/>
  <c r="P14" i="11"/>
  <c r="L15" i="8"/>
  <c r="N15" i="8"/>
  <c r="P15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2" i="8"/>
  <c r="N22" i="8"/>
  <c r="P22" i="11"/>
  <c r="L24" i="8"/>
  <c r="N24" i="8"/>
  <c r="P24" i="11"/>
  <c r="P25" i="11"/>
  <c r="L12" i="7"/>
  <c r="N12" i="7"/>
  <c r="O12" i="11"/>
  <c r="L13" i="7"/>
  <c r="N13" i="7"/>
  <c r="O13" i="11"/>
  <c r="L14" i="7"/>
  <c r="N14" i="7"/>
  <c r="O14" i="11"/>
  <c r="L15" i="7"/>
  <c r="N15" i="7"/>
  <c r="O15" i="11"/>
  <c r="L17" i="7"/>
  <c r="N17" i="7"/>
  <c r="O17" i="11"/>
  <c r="L18" i="7"/>
  <c r="N18" i="7"/>
  <c r="O18" i="11"/>
  <c r="L19" i="7"/>
  <c r="N19" i="7"/>
  <c r="O19" i="11"/>
  <c r="L20" i="7"/>
  <c r="N20" i="7"/>
  <c r="O20" i="11"/>
  <c r="N21" i="7"/>
  <c r="O21" i="11"/>
  <c r="L22" i="7"/>
  <c r="N22" i="7"/>
  <c r="O22" i="11"/>
  <c r="O25" i="11"/>
  <c r="I17" i="12"/>
  <c r="I16" i="12"/>
  <c r="I15" i="12"/>
  <c r="I14" i="12"/>
  <c r="I13" i="12"/>
  <c r="I12" i="12"/>
  <c r="I11" i="12"/>
  <c r="I10" i="12"/>
  <c r="I9" i="12"/>
  <c r="I8" i="12"/>
  <c r="L17" i="12"/>
  <c r="M17" i="12"/>
  <c r="V17" i="11"/>
  <c r="L13" i="12"/>
  <c r="W17" i="11"/>
  <c r="M13" i="12"/>
  <c r="V18" i="11"/>
  <c r="V19" i="11"/>
  <c r="V20" i="11"/>
  <c r="V21" i="11"/>
  <c r="V22" i="11"/>
  <c r="L14" i="12"/>
  <c r="W18" i="11"/>
  <c r="W19" i="11"/>
  <c r="W20" i="11"/>
  <c r="W21" i="11"/>
  <c r="W22" i="11"/>
  <c r="M14" i="12"/>
  <c r="V12" i="11"/>
  <c r="V13" i="11"/>
  <c r="V14" i="11"/>
  <c r="L10" i="12"/>
  <c r="W12" i="11"/>
  <c r="W13" i="11"/>
  <c r="W14" i="11"/>
  <c r="M10" i="12"/>
  <c r="V15" i="11"/>
  <c r="L11" i="12"/>
  <c r="W15" i="11"/>
  <c r="M11" i="12"/>
  <c r="K17" i="12"/>
  <c r="K14" i="12"/>
  <c r="K13" i="12"/>
  <c r="K11" i="12"/>
  <c r="K10" i="12"/>
  <c r="M12" i="12"/>
  <c r="L12" i="12"/>
  <c r="K12" i="12"/>
  <c r="M9" i="12"/>
  <c r="L9" i="12"/>
  <c r="K9" i="12"/>
  <c r="M8" i="12"/>
  <c r="L8" i="12"/>
  <c r="K8" i="12"/>
  <c r="M16" i="12"/>
  <c r="M15" i="12"/>
  <c r="L16" i="12"/>
  <c r="L15" i="12"/>
  <c r="K16" i="12"/>
  <c r="K15" i="12"/>
  <c r="H12" i="11"/>
  <c r="H13" i="11"/>
  <c r="H14" i="11"/>
  <c r="H15" i="11"/>
  <c r="H17" i="11"/>
  <c r="H18" i="11"/>
  <c r="H19" i="11"/>
  <c r="H20" i="11"/>
  <c r="H21" i="11"/>
  <c r="H22" i="11"/>
  <c r="F8" i="12"/>
  <c r="I12" i="11"/>
  <c r="I13" i="11"/>
  <c r="I14" i="11"/>
  <c r="I15" i="11"/>
  <c r="I17" i="11"/>
  <c r="I18" i="11"/>
  <c r="I19" i="11"/>
  <c r="I20" i="11"/>
  <c r="I21" i="11"/>
  <c r="I22" i="11"/>
  <c r="G8" i="12"/>
  <c r="J12" i="11"/>
  <c r="J13" i="11"/>
  <c r="J14" i="11"/>
  <c r="J15" i="11"/>
  <c r="J17" i="11"/>
  <c r="J18" i="11"/>
  <c r="J19" i="11"/>
  <c r="J20" i="11"/>
  <c r="J21" i="11"/>
  <c r="J22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H24" i="11"/>
  <c r="F15" i="12"/>
  <c r="I24" i="11"/>
  <c r="G15" i="12"/>
  <c r="J24" i="11"/>
  <c r="H15" i="12"/>
  <c r="F16" i="12"/>
  <c r="G16" i="12"/>
  <c r="H16" i="12"/>
  <c r="F17" i="12"/>
  <c r="G17" i="12"/>
  <c r="H17" i="12"/>
  <c r="E17" i="12"/>
  <c r="E16" i="12"/>
  <c r="E15" i="12"/>
  <c r="G18" i="11"/>
  <c r="G19" i="11"/>
  <c r="G20" i="11"/>
  <c r="G21" i="11"/>
  <c r="G22" i="11"/>
  <c r="E14" i="12"/>
  <c r="G17" i="11"/>
  <c r="E13" i="12"/>
  <c r="E12" i="12"/>
  <c r="G15" i="11"/>
  <c r="E11" i="12"/>
  <c r="G12" i="11"/>
  <c r="G13" i="11"/>
  <c r="G14" i="11"/>
  <c r="E10" i="12"/>
  <c r="E9" i="12"/>
  <c r="E8" i="12"/>
  <c r="I18" i="12"/>
  <c r="F18" i="12"/>
  <c r="G18" i="12"/>
  <c r="H18" i="12"/>
  <c r="E18" i="12"/>
  <c r="M18" i="12"/>
  <c r="L18" i="12"/>
  <c r="K18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3" i="11"/>
  <c r="N14" i="11"/>
  <c r="N15" i="11"/>
  <c r="N17" i="11"/>
  <c r="N18" i="11"/>
  <c r="N19" i="11"/>
  <c r="N20" i="11"/>
  <c r="N21" i="11"/>
  <c r="N22" i="11"/>
  <c r="N24" i="11"/>
  <c r="M12" i="11"/>
  <c r="M13" i="11"/>
  <c r="M14" i="11"/>
  <c r="M15" i="11"/>
  <c r="M17" i="11"/>
  <c r="M18" i="11"/>
  <c r="M19" i="11"/>
  <c r="M20" i="11"/>
  <c r="M21" i="11"/>
  <c r="M22" i="11"/>
  <c r="M24" i="11"/>
  <c r="L12" i="11"/>
  <c r="L13" i="11"/>
  <c r="L14" i="11"/>
  <c r="L15" i="11"/>
  <c r="L17" i="11"/>
  <c r="L18" i="11"/>
  <c r="L19" i="11"/>
  <c r="L20" i="11"/>
  <c r="L21" i="11"/>
  <c r="L22" i="11"/>
  <c r="L24" i="11"/>
  <c r="K12" i="11"/>
  <c r="K13" i="11"/>
  <c r="K14" i="11"/>
  <c r="K15" i="11"/>
  <c r="K17" i="11"/>
  <c r="K18" i="11"/>
  <c r="K19" i="11"/>
  <c r="K20" i="11"/>
  <c r="K21" i="11"/>
  <c r="K22" i="11"/>
  <c r="W25" i="11"/>
  <c r="Y25" i="11"/>
  <c r="U25" i="11"/>
  <c r="V25" i="11"/>
  <c r="X25" i="11"/>
  <c r="Y24" i="11"/>
  <c r="X24" i="11"/>
  <c r="Y22" i="11"/>
  <c r="X22" i="11"/>
  <c r="Y21" i="11"/>
  <c r="X21" i="11"/>
  <c r="Y20" i="11"/>
  <c r="X20" i="11"/>
  <c r="Y19" i="11"/>
  <c r="X19" i="11"/>
  <c r="Y18" i="11"/>
  <c r="X18" i="11"/>
  <c r="Y17" i="11"/>
  <c r="X17" i="11"/>
  <c r="Y15" i="11"/>
  <c r="X15" i="11"/>
  <c r="Y14" i="11"/>
  <c r="X14" i="11"/>
  <c r="Y13" i="11"/>
  <c r="X13" i="11"/>
  <c r="Y12" i="11"/>
  <c r="X12" i="11"/>
  <c r="M12" i="8"/>
  <c r="M13" i="8"/>
  <c r="M14" i="8"/>
  <c r="M15" i="8"/>
  <c r="M17" i="8"/>
  <c r="M18" i="8"/>
  <c r="M19" i="8"/>
  <c r="M20" i="8"/>
  <c r="M21" i="8"/>
  <c r="M22" i="8"/>
  <c r="M24" i="8"/>
  <c r="Q17" i="7"/>
  <c r="Q22" i="7"/>
  <c r="P22" i="7"/>
  <c r="P17" i="7"/>
  <c r="R25" i="10"/>
  <c r="T25" i="10"/>
  <c r="P25" i="10"/>
  <c r="Q25" i="10"/>
  <c r="S25" i="10"/>
  <c r="N25" i="10"/>
  <c r="M12" i="10"/>
  <c r="M13" i="10"/>
  <c r="M14" i="10"/>
  <c r="M15" i="10"/>
  <c r="M17" i="10"/>
  <c r="M18" i="10"/>
  <c r="M19" i="10"/>
  <c r="M20" i="10"/>
  <c r="M21" i="10"/>
  <c r="M22" i="10"/>
  <c r="M24" i="10"/>
  <c r="M25" i="10"/>
  <c r="R25" i="9"/>
  <c r="T25" i="9"/>
  <c r="P25" i="9"/>
  <c r="Q25" i="9"/>
  <c r="S25" i="9"/>
  <c r="N25" i="9"/>
  <c r="M12" i="9"/>
  <c r="M13" i="9"/>
  <c r="M14" i="9"/>
  <c r="M15" i="9"/>
  <c r="M17" i="9"/>
  <c r="M18" i="9"/>
  <c r="M19" i="9"/>
  <c r="M20" i="9"/>
  <c r="M21" i="9"/>
  <c r="M22" i="9"/>
  <c r="M24" i="9"/>
  <c r="M25" i="9"/>
  <c r="N25" i="8"/>
  <c r="M25" i="8"/>
  <c r="I12" i="10"/>
  <c r="I12" i="9"/>
  <c r="I12" i="8"/>
  <c r="I20" i="8"/>
  <c r="I20" i="9"/>
  <c r="I20" i="10"/>
  <c r="I18" i="10"/>
  <c r="I17" i="10"/>
  <c r="I18" i="9"/>
  <c r="I17" i="9"/>
  <c r="I17" i="8"/>
  <c r="I18" i="8"/>
  <c r="I13" i="8"/>
  <c r="I13" i="9"/>
  <c r="I13" i="10"/>
  <c r="I14" i="8"/>
  <c r="I14" i="9"/>
  <c r="I14" i="10"/>
  <c r="I15" i="8"/>
  <c r="I15" i="9"/>
  <c r="I15" i="10"/>
  <c r="I19" i="8"/>
  <c r="I19" i="9"/>
  <c r="I19" i="10"/>
  <c r="I21" i="8"/>
  <c r="I21" i="9"/>
  <c r="I21" i="10"/>
  <c r="I22" i="8"/>
  <c r="I22" i="9"/>
  <c r="I22" i="10"/>
  <c r="I24" i="9"/>
  <c r="I24" i="10"/>
  <c r="T24" i="10"/>
  <c r="S24" i="10"/>
  <c r="L24" i="10"/>
  <c r="T24" i="9"/>
  <c r="S24" i="9"/>
  <c r="L24" i="9"/>
  <c r="R25" i="8"/>
  <c r="Q25" i="8"/>
  <c r="P25" i="8"/>
  <c r="T24" i="8"/>
  <c r="S24" i="8"/>
  <c r="T22" i="10"/>
  <c r="S22" i="10"/>
  <c r="L22" i="10"/>
  <c r="T21" i="10"/>
  <c r="S21" i="10"/>
  <c r="L21" i="10"/>
  <c r="T20" i="10"/>
  <c r="S20" i="10"/>
  <c r="T19" i="10"/>
  <c r="S19" i="10"/>
  <c r="T18" i="10"/>
  <c r="S18" i="10"/>
  <c r="T17" i="10"/>
  <c r="S17" i="10"/>
  <c r="T15" i="10"/>
  <c r="S15" i="10"/>
  <c r="T14" i="10"/>
  <c r="S14" i="10"/>
  <c r="T13" i="10"/>
  <c r="S13" i="10"/>
  <c r="T12" i="10"/>
  <c r="S12" i="10"/>
  <c r="T22" i="9"/>
  <c r="S22" i="9"/>
  <c r="L22" i="9"/>
  <c r="T21" i="9"/>
  <c r="S21" i="9"/>
  <c r="L21" i="9"/>
  <c r="T20" i="9"/>
  <c r="S20" i="9"/>
  <c r="T19" i="9"/>
  <c r="S19" i="9"/>
  <c r="T18" i="9"/>
  <c r="S18" i="9"/>
  <c r="T17" i="9"/>
  <c r="S17" i="9"/>
  <c r="T15" i="9"/>
  <c r="S15" i="9"/>
  <c r="T14" i="9"/>
  <c r="S14" i="9"/>
  <c r="T13" i="9"/>
  <c r="S13" i="9"/>
  <c r="T12" i="9"/>
  <c r="S12" i="9"/>
  <c r="T25" i="8"/>
  <c r="S25" i="8"/>
  <c r="T22" i="8"/>
  <c r="S22" i="8"/>
  <c r="T21" i="8"/>
  <c r="S21" i="8"/>
  <c r="T20" i="8"/>
  <c r="S20" i="8"/>
  <c r="T19" i="8"/>
  <c r="S19" i="8"/>
  <c r="T18" i="8"/>
  <c r="S18" i="8"/>
  <c r="T17" i="8"/>
  <c r="S17" i="8"/>
  <c r="T15" i="8"/>
  <c r="S15" i="8"/>
  <c r="T14" i="8"/>
  <c r="S14" i="8"/>
  <c r="T13" i="8"/>
  <c r="S13" i="8"/>
  <c r="T12" i="8"/>
  <c r="S12" i="8"/>
  <c r="R23" i="7"/>
  <c r="Q23" i="7"/>
  <c r="P23" i="7"/>
  <c r="L21" i="7"/>
  <c r="N23" i="7"/>
  <c r="M12" i="7"/>
  <c r="M13" i="7"/>
  <c r="M14" i="7"/>
  <c r="M15" i="7"/>
  <c r="M17" i="7"/>
  <c r="M18" i="7"/>
  <c r="M19" i="7"/>
  <c r="M20" i="7"/>
  <c r="M21" i="7"/>
  <c r="M22" i="7"/>
  <c r="M23" i="7"/>
  <c r="T23" i="7"/>
  <c r="S23" i="7"/>
  <c r="T13" i="7"/>
  <c r="T14" i="7"/>
  <c r="T15" i="7"/>
  <c r="T17" i="7"/>
  <c r="T18" i="7"/>
  <c r="T19" i="7"/>
  <c r="T20" i="7"/>
  <c r="T21" i="7"/>
  <c r="T22" i="7"/>
  <c r="S13" i="7"/>
  <c r="S14" i="7"/>
  <c r="S15" i="7"/>
  <c r="S17" i="7"/>
  <c r="S18" i="7"/>
  <c r="S19" i="7"/>
  <c r="S20" i="7"/>
  <c r="S21" i="7"/>
  <c r="S22" i="7"/>
  <c r="T12" i="7"/>
  <c r="S12" i="7"/>
</calcChain>
</file>

<file path=xl/sharedStrings.xml><?xml version="1.0" encoding="utf-8"?>
<sst xmlns="http://schemas.openxmlformats.org/spreadsheetml/2006/main" count="309" uniqueCount="78">
  <si>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</si>
  <si>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</si>
  <si>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</si>
  <si>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</si>
  <si>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</si>
  <si>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</si>
  <si>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</si>
  <si>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</si>
  <si>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</si>
  <si>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</si>
  <si>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</si>
  <si>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</si>
  <si>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</si>
  <si>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</si>
  <si>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</si>
  <si>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</si>
  <si>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</si>
  <si>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</si>
  <si>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</si>
  <si>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</si>
  <si>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</si>
  <si>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</si>
  <si>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</si>
  <si>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</si>
  <si>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</si>
  <si>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</si>
  <si>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</si>
  <si>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HACIENDA</t>
  </si>
  <si>
    <t>Número de secciones web en línea creadas y mantenidas para que la ciudadanía pueda consultar el presupuesto y vigilar su aprobación y ejecución.</t>
  </si>
  <si>
    <t>Número de planes de socialización ejecutados del proyecto de acuerdo del presupuesto municipal previa presentación al Concejo.</t>
  </si>
  <si>
    <t>Número de cabildos ciudadanos celebrados para asignar presupuesto a obras comunitarias y discutir otros asuntos del presupuesto.</t>
  </si>
  <si>
    <t>Número de reuniones populares celebradas para rendir cuentas de la ejecución del Plan de Desarrollo y la ejecución del presupuesto.</t>
  </si>
  <si>
    <t>Número de estrategias de gobierno formuladas e implementadas para la aplicación cabal de la ley 1551 de 2012 por medio de la cual se dictaron normas para modernizar la organización y el funcionamiento de los municipios.</t>
  </si>
  <si>
    <t>Número de documentos financieros disponibles de fácil acceso e interpretación.</t>
  </si>
  <si>
    <t>Número de videos realizados que permitan dar a conocer de manera didáctica al ciudadano la información financiera del municipio.</t>
  </si>
  <si>
    <t>Número de normas internacionales de información financiera - NIIF implementadas y mantenidas.</t>
  </si>
  <si>
    <t>Número de estatutos tributarios actualizados.</t>
  </si>
  <si>
    <t>Número de acciones realizadas tendientes al fortalecimiento de los ingresos.</t>
  </si>
  <si>
    <t>PRESUPUESTOS INCLUYENTES</t>
  </si>
  <si>
    <t>RENDICIÓN DE CUENTAS PERMANENTE E INTERACTIVA</t>
  </si>
  <si>
    <t>ADMINISTRACIÓN ARTICULADA Y COHERENTE</t>
  </si>
  <si>
    <t>FINANZAS PÚBLICAS SOSTENIBLES Y COMPRENSIBLES PARA LA CIUDADANÍA</t>
  </si>
  <si>
    <t>GOBIERNO PARTICIPATIVO Y ABIERTO</t>
  </si>
  <si>
    <t>GOBIERNO LEGAL Y EFECTIVO</t>
  </si>
  <si>
    <t>1 - GOBERNANZA DEMOCRÁTICA</t>
  </si>
  <si>
    <t>6 - INFRAESTRUCTURA Y CONECTIVIDAD</t>
  </si>
  <si>
    <t>SERVICIOS PÚBLICOS</t>
  </si>
  <si>
    <t>ALUMBRADO PÚBLICO URBANO Y RURAL</t>
  </si>
  <si>
    <t>Número de proyectos de acuerdos municipales elaborados para la exención del alumbrado público de la zona residencial rural.</t>
  </si>
  <si>
    <t>2016 - 2019</t>
  </si>
  <si>
    <t>AVANCE EN CUMPLIMIENTO</t>
  </si>
  <si>
    <t>RECURSOS FINANCIEROS 2016 - 2017 (Miles de pesos)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</si>
  <si>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</si>
  <si>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</si>
  <si>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</si>
  <si>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</si>
  <si>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</si>
  <si>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</si>
  <si>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</si>
  <si>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</si>
  <si>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</si>
  <si>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1.1.2</t>
  </si>
  <si>
    <t>Presupuestos Incluyentes</t>
  </si>
  <si>
    <t>1.1.5</t>
  </si>
  <si>
    <t>Rendición de Cuentas Permanente e Interactiva</t>
  </si>
  <si>
    <t>1.2</t>
  </si>
  <si>
    <t>1.2.3</t>
  </si>
  <si>
    <t>Administración Articulada y Coherente</t>
  </si>
  <si>
    <t>1.2.5</t>
  </si>
  <si>
    <t>Finanzas Públicas Sostenibles y Comprensibles para la Ciudadanía</t>
  </si>
  <si>
    <t>LÍNEA ESTRATÉGICA 6: INFRAESTRUCTURA Y CONECTIVIDAD</t>
  </si>
  <si>
    <t>6.2</t>
  </si>
  <si>
    <t>6.2.2</t>
  </si>
  <si>
    <t>Alumbrado Público Urbano y Rural</t>
  </si>
  <si>
    <t>PLAN DE DESARROLLO 2016 - 2019</t>
  </si>
  <si>
    <t>RESUMEN CUMPLIMIENTO SECRETARÍA DE HACIENDA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</si>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</sst>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5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05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9" fontId="5" fillId="3" borderId="3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9" fontId="6" fillId="0" borderId="32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9" fontId="5" fillId="0" borderId="5" xfId="0" applyNumberFormat="1" applyFont="1" applyBorder="1" applyAlignment="1">
      <alignment horizontal="center" vertical="center"/>
    </xf>
    <xf numFmtId="164" fontId="3" fillId="0" borderId="17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9" fontId="9" fillId="2" borderId="39" xfId="0" applyNumberFormat="1" applyFont="1" applyFill="1" applyBorder="1" applyAlignment="1">
      <alignment horizontal="center" vertical="center"/>
    </xf>
    <xf numFmtId="9" fontId="9" fillId="2" borderId="27" xfId="0" applyNumberFormat="1" applyFont="1" applyFill="1" applyBorder="1" applyAlignment="1">
      <alignment horizontal="center" vertical="center"/>
    </xf>
    <xf numFmtId="0" fontId="5" fillId="0" borderId="25" xfId="0" quotePrefix="1" applyFont="1" applyFill="1" applyBorder="1"/>
    <xf numFmtId="3" fontId="9" fillId="2" borderId="40" xfId="0" applyNumberFormat="1" applyFont="1" applyFill="1" applyBorder="1" applyAlignment="1">
      <alignment horizontal="center" vertical="center"/>
    </xf>
    <xf numFmtId="3" fontId="9" fillId="2" borderId="28" xfId="0" applyNumberFormat="1" applyFont="1" applyFill="1" applyBorder="1" applyAlignment="1">
      <alignment horizontal="center" vertical="center"/>
    </xf>
    <xf numFmtId="9" fontId="9" fillId="2" borderId="28" xfId="0" applyNumberFormat="1" applyFont="1" applyFill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9" fontId="5" fillId="0" borderId="18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164" fontId="5" fillId="0" borderId="28" xfId="0" applyNumberFormat="1" applyFont="1" applyBorder="1" applyAlignment="1">
      <alignment horizontal="center" vertical="center"/>
    </xf>
    <xf numFmtId="0" fontId="3" fillId="0" borderId="28" xfId="0" applyFont="1" applyFill="1" applyBorder="1" applyAlignment="1">
      <alignment horizontal="justify" vertical="center" wrapText="1"/>
    </xf>
    <xf numFmtId="3" fontId="5" fillId="0" borderId="28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0" fontId="5" fillId="0" borderId="47" xfId="0" applyFont="1" applyBorder="1" applyAlignment="1">
      <alignment horizontal="justify" vertical="center" wrapText="1"/>
    </xf>
    <xf numFmtId="0" fontId="5" fillId="0" borderId="48" xfId="0" applyFont="1" applyBorder="1" applyAlignment="1">
      <alignment horizontal="justify" vertical="center" wrapText="1"/>
    </xf>
    <xf numFmtId="3" fontId="5" fillId="0" borderId="49" xfId="0" applyNumberFormat="1" applyFont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50" xfId="0" applyNumberFormat="1" applyFont="1" applyBorder="1" applyAlignment="1">
      <alignment horizontal="center" vertical="center"/>
    </xf>
    <xf numFmtId="3" fontId="5" fillId="0" borderId="51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9" fontId="6" fillId="0" borderId="44" xfId="0" applyNumberFormat="1" applyFont="1" applyBorder="1" applyAlignment="1">
      <alignment horizontal="center" vertical="center"/>
    </xf>
    <xf numFmtId="9" fontId="6" fillId="0" borderId="16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9" fontId="5" fillId="0" borderId="21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horizontal="justify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165" fontId="5" fillId="0" borderId="41" xfId="0" applyNumberFormat="1" applyFont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164" fontId="5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 wrapText="1"/>
    </xf>
    <xf numFmtId="9" fontId="5" fillId="4" borderId="0" xfId="0" applyNumberFormat="1" applyFont="1" applyFill="1" applyBorder="1" applyAlignment="1">
      <alignment horizontal="center" vertical="center" wrapText="1"/>
    </xf>
    <xf numFmtId="9" fontId="5" fillId="4" borderId="20" xfId="0" applyNumberFormat="1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164" fontId="5" fillId="0" borderId="54" xfId="0" applyNumberFormat="1" applyFont="1" applyBorder="1" applyAlignment="1">
      <alignment horizontal="center" vertical="center"/>
    </xf>
    <xf numFmtId="0" fontId="3" fillId="0" borderId="54" xfId="0" applyFont="1" applyFill="1" applyBorder="1" applyAlignment="1">
      <alignment horizontal="justify" vertical="center" wrapText="1"/>
    </xf>
    <xf numFmtId="3" fontId="5" fillId="0" borderId="54" xfId="0" applyNumberFormat="1" applyFont="1" applyBorder="1" applyAlignment="1">
      <alignment horizontal="center" vertical="center"/>
    </xf>
    <xf numFmtId="9" fontId="5" fillId="0" borderId="54" xfId="0" applyNumberFormat="1" applyFont="1" applyBorder="1" applyAlignment="1">
      <alignment horizontal="center" vertical="center"/>
    </xf>
    <xf numFmtId="9" fontId="5" fillId="0" borderId="55" xfId="0" applyNumberFormat="1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wrapText="1"/>
    </xf>
    <xf numFmtId="3" fontId="5" fillId="0" borderId="57" xfId="0" applyNumberFormat="1" applyFont="1" applyBorder="1" applyAlignment="1">
      <alignment horizontal="center" vertical="center"/>
    </xf>
    <xf numFmtId="0" fontId="5" fillId="0" borderId="58" xfId="0" applyFont="1" applyBorder="1" applyAlignment="1">
      <alignment horizontal="justify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9" fontId="6" fillId="0" borderId="52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3" fontId="5" fillId="3" borderId="59" xfId="0" applyNumberFormat="1" applyFont="1" applyFill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3" fontId="5" fillId="4" borderId="59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9" fontId="10" fillId="2" borderId="54" xfId="0" applyNumberFormat="1" applyFont="1" applyFill="1" applyBorder="1" applyAlignment="1">
      <alignment horizontal="center" vertical="center"/>
    </xf>
    <xf numFmtId="9" fontId="10" fillId="2" borderId="53" xfId="0" applyNumberFormat="1" applyFont="1" applyFill="1" applyBorder="1" applyAlignment="1">
      <alignment horizontal="center" vertical="center"/>
    </xf>
    <xf numFmtId="9" fontId="9" fillId="2" borderId="55" xfId="0" applyNumberFormat="1" applyFont="1" applyFill="1" applyBorder="1" applyAlignment="1">
      <alignment horizontal="center" vertical="center"/>
    </xf>
    <xf numFmtId="9" fontId="5" fillId="5" borderId="2" xfId="0" applyNumberFormat="1" applyFont="1" applyFill="1" applyBorder="1" applyAlignment="1">
      <alignment horizontal="center" vertical="center"/>
    </xf>
    <xf numFmtId="9" fontId="5" fillId="5" borderId="14" xfId="0" applyNumberFormat="1" applyFont="1" applyFill="1" applyBorder="1" applyAlignment="1">
      <alignment horizontal="center" vertical="center"/>
    </xf>
    <xf numFmtId="9" fontId="5" fillId="5" borderId="3" xfId="0" applyNumberFormat="1" applyFont="1" applyFill="1" applyBorder="1" applyAlignment="1">
      <alignment horizontal="center" vertical="center"/>
    </xf>
    <xf numFmtId="9" fontId="5" fillId="5" borderId="4" xfId="0" applyNumberFormat="1" applyFont="1" applyFill="1" applyBorder="1" applyAlignment="1">
      <alignment horizontal="center" vertical="center"/>
    </xf>
    <xf numFmtId="9" fontId="5" fillId="5" borderId="61" xfId="0" applyNumberFormat="1" applyFont="1" applyFill="1" applyBorder="1" applyAlignment="1">
      <alignment horizontal="center" vertical="center"/>
    </xf>
    <xf numFmtId="9" fontId="5" fillId="5" borderId="5" xfId="0" applyNumberFormat="1" applyFont="1" applyFill="1" applyBorder="1" applyAlignment="1">
      <alignment horizontal="center" vertical="center"/>
    </xf>
    <xf numFmtId="9" fontId="5" fillId="5" borderId="6" xfId="0" applyNumberFormat="1" applyFont="1" applyFill="1" applyBorder="1" applyAlignment="1">
      <alignment horizontal="center" vertical="center"/>
    </xf>
    <xf numFmtId="9" fontId="5" fillId="5" borderId="62" xfId="0" applyNumberFormat="1" applyFont="1" applyFill="1" applyBorder="1" applyAlignment="1">
      <alignment horizontal="center" vertical="center"/>
    </xf>
    <xf numFmtId="9" fontId="5" fillId="5" borderId="7" xfId="0" applyNumberFormat="1" applyFont="1" applyFill="1" applyBorder="1" applyAlignment="1">
      <alignment horizontal="center" vertical="center"/>
    </xf>
    <xf numFmtId="9" fontId="5" fillId="5" borderId="40" xfId="0" applyNumberFormat="1" applyFont="1" applyFill="1" applyBorder="1" applyAlignment="1">
      <alignment horizontal="center" vertical="center"/>
    </xf>
    <xf numFmtId="9" fontId="5" fillId="5" borderId="63" xfId="0" applyNumberFormat="1" applyFont="1" applyFill="1" applyBorder="1" applyAlignment="1">
      <alignment horizontal="center" vertical="center"/>
    </xf>
    <xf numFmtId="9" fontId="5" fillId="5" borderId="28" xfId="0" applyNumberFormat="1" applyFont="1" applyFill="1" applyBorder="1" applyAlignment="1">
      <alignment horizontal="center" vertical="center"/>
    </xf>
    <xf numFmtId="9" fontId="5" fillId="5" borderId="21" xfId="0" applyNumberFormat="1" applyFont="1" applyFill="1" applyBorder="1" applyAlignment="1">
      <alignment horizontal="center" vertical="center"/>
    </xf>
    <xf numFmtId="9" fontId="5" fillId="5" borderId="19" xfId="0" applyNumberFormat="1" applyFont="1" applyFill="1" applyBorder="1" applyAlignment="1">
      <alignment horizontal="center" vertical="center"/>
    </xf>
    <xf numFmtId="9" fontId="5" fillId="5" borderId="18" xfId="0" applyNumberFormat="1" applyFont="1" applyFill="1" applyBorder="1" applyAlignment="1">
      <alignment horizontal="center" vertical="center"/>
    </xf>
    <xf numFmtId="9" fontId="5" fillId="5" borderId="53" xfId="0" applyNumberFormat="1" applyFont="1" applyFill="1" applyBorder="1" applyAlignment="1">
      <alignment horizontal="center" vertical="center"/>
    </xf>
    <xf numFmtId="9" fontId="5" fillId="5" borderId="59" xfId="0" applyNumberFormat="1" applyFont="1" applyFill="1" applyBorder="1" applyAlignment="1">
      <alignment horizontal="center" vertical="center"/>
    </xf>
    <xf numFmtId="9" fontId="5" fillId="5" borderId="54" xfId="0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3" fontId="5" fillId="0" borderId="66" xfId="0" applyNumberFormat="1" applyFont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3" fontId="5" fillId="0" borderId="39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22" xfId="0" applyNumberFormat="1" applyFont="1" applyBorder="1" applyAlignment="1">
      <alignment horizontal="center" vertical="center"/>
    </xf>
    <xf numFmtId="3" fontId="5" fillId="0" borderId="56" xfId="0" applyNumberFormat="1" applyFont="1" applyBorder="1" applyAlignment="1">
      <alignment horizontal="center" vertical="center"/>
    </xf>
    <xf numFmtId="3" fontId="5" fillId="0" borderId="55" xfId="0" applyNumberFormat="1" applyFont="1" applyBorder="1" applyAlignment="1">
      <alignment horizontal="center" vertical="center"/>
    </xf>
    <xf numFmtId="9" fontId="9" fillId="5" borderId="8" xfId="0" applyNumberFormat="1" applyFont="1" applyFill="1" applyBorder="1" applyAlignment="1">
      <alignment horizontal="center" vertical="center"/>
    </xf>
    <xf numFmtId="9" fontId="9" fillId="5" borderId="9" xfId="0" applyNumberFormat="1" applyFont="1" applyFill="1" applyBorder="1" applyAlignment="1">
      <alignment horizontal="center" vertical="center"/>
    </xf>
    <xf numFmtId="9" fontId="9" fillId="5" borderId="45" xfId="0" applyNumberFormat="1" applyFont="1" applyFill="1" applyBorder="1" applyAlignment="1">
      <alignment horizontal="center" vertical="center"/>
    </xf>
    <xf numFmtId="9" fontId="9" fillId="5" borderId="27" xfId="0" applyNumberFormat="1" applyFont="1" applyFill="1" applyBorder="1" applyAlignment="1">
      <alignment horizontal="center" vertical="center"/>
    </xf>
    <xf numFmtId="9" fontId="9" fillId="5" borderId="2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Border="1" applyAlignment="1">
      <alignment horizontal="center" vertical="center" wrapText="1"/>
    </xf>
    <xf numFmtId="9" fontId="9" fillId="5" borderId="55" xfId="0" applyNumberFormat="1" applyFont="1" applyFill="1" applyBorder="1" applyAlignment="1">
      <alignment horizontal="center" vertical="center"/>
    </xf>
    <xf numFmtId="165" fontId="5" fillId="0" borderId="24" xfId="0" applyNumberFormat="1" applyFont="1" applyBorder="1" applyAlignment="1">
      <alignment horizontal="center" vertical="center"/>
    </xf>
    <xf numFmtId="9" fontId="5" fillId="3" borderId="62" xfId="0" applyNumberFormat="1" applyFont="1" applyFill="1" applyBorder="1" applyAlignment="1">
      <alignment horizontal="center" vertical="center"/>
    </xf>
    <xf numFmtId="0" fontId="9" fillId="3" borderId="62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9" fontId="9" fillId="3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21" xfId="0" applyFont="1" applyBorder="1" applyAlignment="1" applyProtection="1">
      <alignment horizontal="center" vertical="center"/>
      <protection locked="0"/>
    </xf>
    <xf numFmtId="0" fontId="1" fillId="0" borderId="5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9" fontId="13" fillId="7" borderId="54" xfId="0" applyNumberFormat="1" applyFont="1" applyFill="1" applyBorder="1" applyAlignment="1">
      <alignment horizontal="center" vertical="center"/>
    </xf>
    <xf numFmtId="9" fontId="14" fillId="7" borderId="56" xfId="0" applyNumberFormat="1" applyFont="1" applyFill="1" applyBorder="1" applyAlignment="1">
      <alignment horizontal="center" vertical="center"/>
    </xf>
    <xf numFmtId="9" fontId="15" fillId="7" borderId="59" xfId="0" applyNumberFormat="1" applyFont="1" applyFill="1" applyBorder="1" applyAlignment="1">
      <alignment horizontal="center" vertical="center"/>
    </xf>
    <xf numFmtId="3" fontId="13" fillId="7" borderId="53" xfId="0" applyNumberFormat="1" applyFont="1" applyFill="1" applyBorder="1" applyAlignment="1">
      <alignment horizontal="center" vertical="center"/>
    </xf>
    <xf numFmtId="3" fontId="13" fillId="7" borderId="54" xfId="0" applyNumberFormat="1" applyFont="1" applyFill="1" applyBorder="1" applyAlignment="1">
      <alignment horizontal="center" vertical="center"/>
    </xf>
    <xf numFmtId="9" fontId="16" fillId="7" borderId="57" xfId="0" applyNumberFormat="1" applyFont="1" applyFill="1" applyBorder="1" applyAlignment="1" applyProtection="1">
      <alignment horizontal="center" vertical="center"/>
    </xf>
    <xf numFmtId="9" fontId="16" fillId="7" borderId="55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9" fontId="17" fillId="8" borderId="60" xfId="0" applyNumberFormat="1" applyFont="1" applyFill="1" applyBorder="1" applyAlignment="1">
      <alignment horizontal="center" vertical="center"/>
    </xf>
    <xf numFmtId="9" fontId="18" fillId="8" borderId="68" xfId="0" applyNumberFormat="1" applyFont="1" applyFill="1" applyBorder="1" applyAlignment="1">
      <alignment horizontal="center" vertical="center"/>
    </xf>
    <xf numFmtId="9" fontId="19" fillId="8" borderId="69" xfId="0" applyNumberFormat="1" applyFont="1" applyFill="1" applyBorder="1" applyAlignment="1">
      <alignment horizontal="center" vertical="center"/>
    </xf>
    <xf numFmtId="3" fontId="5" fillId="8" borderId="70" xfId="0" applyNumberFormat="1" applyFont="1" applyFill="1" applyBorder="1" applyAlignment="1">
      <alignment horizontal="center" vertical="center"/>
    </xf>
    <xf numFmtId="3" fontId="5" fillId="8" borderId="60" xfId="0" applyNumberFormat="1" applyFont="1" applyFill="1" applyBorder="1" applyAlignment="1">
      <alignment horizontal="center" vertical="center"/>
    </xf>
    <xf numFmtId="9" fontId="20" fillId="8" borderId="67" xfId="0" applyNumberFormat="1" applyFont="1" applyFill="1" applyBorder="1" applyAlignment="1" applyProtection="1">
      <alignment horizontal="center" vertical="center"/>
    </xf>
    <xf numFmtId="9" fontId="20" fillId="8" borderId="7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4" xfId="0" applyNumberFormat="1" applyFont="1" applyBorder="1" applyAlignment="1">
      <alignment horizontal="center" vertical="center" wrapText="1"/>
    </xf>
    <xf numFmtId="9" fontId="19" fillId="0" borderId="61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20" fillId="0" borderId="41" xfId="0" applyNumberFormat="1" applyFont="1" applyBorder="1" applyAlignment="1" applyProtection="1">
      <alignment horizontal="center" vertical="center"/>
    </xf>
    <xf numFmtId="9" fontId="20" fillId="0" borderId="9" xfId="0" applyNumberFormat="1" applyFont="1" applyBorder="1" applyAlignment="1" applyProtection="1">
      <alignment horizontal="center" vertical="center"/>
    </xf>
    <xf numFmtId="9" fontId="17" fillId="8" borderId="5" xfId="0" applyNumberFormat="1" applyFont="1" applyFill="1" applyBorder="1" applyAlignment="1">
      <alignment horizontal="center" vertical="center" wrapText="1"/>
    </xf>
    <xf numFmtId="9" fontId="18" fillId="8" borderId="24" xfId="0" applyNumberFormat="1" applyFont="1" applyFill="1" applyBorder="1" applyAlignment="1">
      <alignment horizontal="center" vertical="center" wrapText="1"/>
    </xf>
    <xf numFmtId="9" fontId="19" fillId="8" borderId="61" xfId="0" applyNumberFormat="1" applyFont="1" applyFill="1" applyBorder="1" applyAlignment="1">
      <alignment horizontal="center" vertical="center" wrapText="1"/>
    </xf>
    <xf numFmtId="3" fontId="5" fillId="8" borderId="4" xfId="0" applyNumberFormat="1" applyFont="1" applyFill="1" applyBorder="1" applyAlignment="1">
      <alignment horizontal="center" vertical="center"/>
    </xf>
    <xf numFmtId="3" fontId="5" fillId="8" borderId="5" xfId="0" applyNumberFormat="1" applyFont="1" applyFill="1" applyBorder="1" applyAlignment="1">
      <alignment horizontal="center" vertical="center"/>
    </xf>
    <xf numFmtId="9" fontId="20" fillId="8" borderId="41" xfId="0" applyNumberFormat="1" applyFont="1" applyFill="1" applyBorder="1" applyAlignment="1" applyProtection="1">
      <alignment horizontal="center" vertical="center"/>
    </xf>
    <xf numFmtId="9" fontId="20" fillId="8" borderId="9" xfId="0" applyNumberFormat="1" applyFont="1" applyFill="1" applyBorder="1" applyAlignment="1" applyProtection="1">
      <alignment horizontal="center" vertical="center"/>
    </xf>
    <xf numFmtId="9" fontId="13" fillId="9" borderId="54" xfId="0" applyNumberFormat="1" applyFont="1" applyFill="1" applyBorder="1" applyAlignment="1">
      <alignment horizontal="center" vertical="center" wrapText="1"/>
    </xf>
    <xf numFmtId="9" fontId="14" fillId="9" borderId="56" xfId="0" applyNumberFormat="1" applyFont="1" applyFill="1" applyBorder="1" applyAlignment="1">
      <alignment horizontal="center" vertical="center" wrapText="1"/>
    </xf>
    <xf numFmtId="9" fontId="15" fillId="9" borderId="59" xfId="0" applyNumberFormat="1" applyFont="1" applyFill="1" applyBorder="1" applyAlignment="1">
      <alignment horizontal="center" vertical="center" wrapText="1"/>
    </xf>
    <xf numFmtId="3" fontId="13" fillId="9" borderId="53" xfId="0" applyNumberFormat="1" applyFont="1" applyFill="1" applyBorder="1" applyAlignment="1">
      <alignment horizontal="center" vertical="center"/>
    </xf>
    <xf numFmtId="3" fontId="13" fillId="9" borderId="54" xfId="0" applyNumberFormat="1" applyFont="1" applyFill="1" applyBorder="1" applyAlignment="1">
      <alignment horizontal="center" vertical="center"/>
    </xf>
    <xf numFmtId="9" fontId="13" fillId="9" borderId="57" xfId="0" applyNumberFormat="1" applyFont="1" applyFill="1" applyBorder="1" applyAlignment="1" applyProtection="1">
      <alignment horizontal="center" vertical="center"/>
    </xf>
    <xf numFmtId="9" fontId="13" fillId="9" borderId="55" xfId="0" applyNumberFormat="1" applyFont="1" applyFill="1" applyBorder="1" applyAlignment="1" applyProtection="1">
      <alignment horizontal="center" vertical="center"/>
    </xf>
    <xf numFmtId="9" fontId="9" fillId="2" borderId="54" xfId="0" applyNumberFormat="1" applyFont="1" applyFill="1" applyBorder="1" applyAlignment="1">
      <alignment horizontal="center" vertical="center" wrapText="1"/>
    </xf>
    <xf numFmtId="9" fontId="9" fillId="2" borderId="56" xfId="0" applyNumberFormat="1" applyFont="1" applyFill="1" applyBorder="1" applyAlignment="1">
      <alignment horizontal="center" vertical="center" wrapText="1"/>
    </xf>
    <xf numFmtId="9" fontId="22" fillId="2" borderId="59" xfId="0" applyNumberFormat="1" applyFont="1" applyFill="1" applyBorder="1" applyAlignment="1">
      <alignment horizontal="center" vertical="center" wrapText="1"/>
    </xf>
    <xf numFmtId="3" fontId="9" fillId="2" borderId="53" xfId="0" applyNumberFormat="1" applyFont="1" applyFill="1" applyBorder="1" applyAlignment="1">
      <alignment horizontal="center" vertical="center"/>
    </xf>
    <xf numFmtId="3" fontId="9" fillId="2" borderId="54" xfId="0" applyNumberFormat="1" applyFont="1" applyFill="1" applyBorder="1" applyAlignment="1">
      <alignment horizontal="center" vertical="center"/>
    </xf>
    <xf numFmtId="9" fontId="4" fillId="2" borderId="54" xfId="0" applyNumberFormat="1" applyFont="1" applyFill="1" applyBorder="1" applyAlignment="1" applyProtection="1">
      <alignment horizontal="center" vertical="center"/>
    </xf>
    <xf numFmtId="9" fontId="4" fillId="2" borderId="55" xfId="0" applyNumberFormat="1" applyFont="1" applyFill="1" applyBorder="1" applyAlignment="1" applyProtection="1">
      <alignment horizontal="center" vertical="center"/>
    </xf>
    <xf numFmtId="0" fontId="9" fillId="0" borderId="0" xfId="0" applyFont="1"/>
    <xf numFmtId="0" fontId="21" fillId="0" borderId="0" xfId="0" applyFont="1"/>
    <xf numFmtId="0" fontId="9" fillId="0" borderId="0" xfId="0" applyFont="1" applyAlignment="1">
      <alignment vertical="center"/>
    </xf>
    <xf numFmtId="0" fontId="2" fillId="0" borderId="21" xfId="0" applyFont="1" applyFill="1" applyBorder="1" applyAlignment="1" applyProtection="1">
      <alignment horizontal="center" vertical="center" wrapText="1"/>
      <protection locked="0"/>
    </xf>
    <xf numFmtId="0" fontId="2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22" xfId="0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Border="1" applyAlignment="1">
      <alignment horizontal="center" vertical="center"/>
    </xf>
    <xf numFmtId="9" fontId="20" fillId="0" borderId="12" xfId="0" applyNumberFormat="1" applyFont="1" applyBorder="1" applyAlignment="1" applyProtection="1">
      <alignment horizontal="center" vertical="center"/>
    </xf>
    <xf numFmtId="9" fontId="20" fillId="0" borderId="45" xfId="0" applyNumberFormat="1" applyFont="1" applyBorder="1" applyAlignment="1" applyProtection="1">
      <alignment horizontal="center" vertical="center"/>
    </xf>
    <xf numFmtId="164" fontId="21" fillId="0" borderId="0" xfId="0" applyNumberFormat="1" applyFont="1" applyAlignment="1">
      <alignment horizontal="left"/>
    </xf>
    <xf numFmtId="0" fontId="14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justify" vertical="center" wrapText="1"/>
    </xf>
    <xf numFmtId="0" fontId="5" fillId="0" borderId="42" xfId="0" applyFont="1" applyBorder="1" applyAlignment="1">
      <alignment horizontal="justify" vertical="center" wrapText="1"/>
    </xf>
    <xf numFmtId="0" fontId="5" fillId="0" borderId="13" xfId="0" applyFont="1" applyBorder="1" applyAlignment="1">
      <alignment horizontal="justify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51" xfId="0" applyFont="1" applyBorder="1" applyAlignment="1" applyProtection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65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2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47" xfId="0" applyFont="1" applyFill="1" applyBorder="1" applyAlignment="1">
      <alignment horizontal="center" vertical="center" wrapText="1"/>
    </xf>
    <xf numFmtId="0" fontId="12" fillId="0" borderId="56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2" fillId="6" borderId="29" xfId="0" applyFont="1" applyFill="1" applyBorder="1" applyAlignment="1" applyProtection="1">
      <alignment horizontal="center" vertical="center" wrapText="1"/>
      <protection locked="0"/>
    </xf>
    <xf numFmtId="0" fontId="2" fillId="6" borderId="19" xfId="0" applyFont="1" applyFill="1" applyBorder="1" applyAlignment="1" applyProtection="1">
      <alignment horizontal="center" vertical="center" wrapText="1"/>
      <protection locked="0"/>
    </xf>
    <xf numFmtId="0" fontId="2" fillId="6" borderId="39" xfId="0" applyFont="1" applyFill="1" applyBorder="1" applyAlignment="1" applyProtection="1">
      <alignment horizontal="center" vertical="center" wrapText="1"/>
      <protection locked="0"/>
    </xf>
    <xf numFmtId="0" fontId="2" fillId="6" borderId="63" xfId="0" applyFont="1" applyFill="1" applyBorder="1" applyAlignment="1" applyProtection="1">
      <alignment horizontal="center" vertical="center" wrapText="1"/>
      <protection locked="0"/>
    </xf>
    <xf numFmtId="0" fontId="1" fillId="6" borderId="29" xfId="0" applyFont="1" applyFill="1" applyBorder="1" applyAlignment="1" applyProtection="1">
      <alignment horizontal="center" vertical="center" wrapText="1"/>
      <protection locked="0"/>
    </xf>
    <xf numFmtId="0" fontId="1" fillId="6" borderId="11" xfId="0" applyFont="1" applyFill="1" applyBorder="1" applyAlignment="1" applyProtection="1">
      <alignment horizontal="center" vertical="center" wrapText="1"/>
      <protection locked="0"/>
    </xf>
    <xf numFmtId="0" fontId="1" fillId="6" borderId="39" xfId="0" applyFont="1" applyFill="1" applyBorder="1" applyAlignment="1" applyProtection="1">
      <alignment horizontal="center" vertical="center" wrapText="1"/>
      <protection locked="0"/>
    </xf>
    <xf numFmtId="0" fontId="1" fillId="6" borderId="17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justify" vertical="center"/>
    </xf>
    <xf numFmtId="0" fontId="5" fillId="0" borderId="42" xfId="0" applyFont="1" applyBorder="1" applyAlignment="1">
      <alignment horizontal="justify" vertical="center"/>
    </xf>
    <xf numFmtId="0" fontId="10" fillId="0" borderId="63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3" fillId="7" borderId="56" xfId="0" applyFont="1" applyFill="1" applyBorder="1" applyAlignment="1">
      <alignment horizontal="justify" vertical="center"/>
    </xf>
    <xf numFmtId="0" fontId="13" fillId="7" borderId="58" xfId="0" applyFont="1" applyFill="1" applyBorder="1" applyAlignment="1">
      <alignment horizontal="justify" vertical="center"/>
    </xf>
    <xf numFmtId="0" fontId="17" fillId="8" borderId="23" xfId="0" applyFont="1" applyFill="1" applyBorder="1" applyAlignment="1">
      <alignment horizontal="justify" vertical="center"/>
    </xf>
    <xf numFmtId="0" fontId="17" fillId="8" borderId="46" xfId="0" applyFont="1" applyFill="1" applyBorder="1" applyAlignment="1">
      <alignment horizontal="justify" vertical="center"/>
    </xf>
    <xf numFmtId="0" fontId="9" fillId="2" borderId="56" xfId="0" applyFont="1" applyFill="1" applyBorder="1" applyAlignment="1">
      <alignment horizontal="justify" vertical="center"/>
    </xf>
    <xf numFmtId="0" fontId="9" fillId="2" borderId="58" xfId="0" applyFont="1" applyFill="1" applyBorder="1" applyAlignment="1">
      <alignment horizontal="justify" vertical="center"/>
    </xf>
    <xf numFmtId="0" fontId="17" fillId="8" borderId="24" xfId="0" applyFont="1" applyFill="1" applyBorder="1" applyAlignment="1">
      <alignment horizontal="justify" vertical="center"/>
    </xf>
    <xf numFmtId="0" fontId="17" fillId="8" borderId="42" xfId="0" applyFont="1" applyFill="1" applyBorder="1" applyAlignment="1">
      <alignment horizontal="justify" vertical="center"/>
    </xf>
    <xf numFmtId="0" fontId="13" fillId="9" borderId="56" xfId="0" applyFont="1" applyFill="1" applyBorder="1" applyAlignment="1">
      <alignment horizontal="justify" vertical="center"/>
    </xf>
    <xf numFmtId="0" fontId="13" fillId="9" borderId="58" xfId="0" applyFont="1" applyFill="1" applyBorder="1" applyAlignment="1">
      <alignment horizontal="justify" vertical="center"/>
    </xf>
  </cellXfs>
  <cellStyles count="15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520700</xdr:colOff>
      <xdr:row>1</xdr:row>
      <xdr:rowOff>63500</xdr:rowOff>
    </xdr:from>
    <xdr:to>
      <xdr:col>17</xdr:col>
      <xdr:colOff>1016000</xdr:colOff>
      <xdr:row>5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710400" y="254000"/>
          <a:ext cx="25908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2082800</xdr:colOff>
      <xdr:row>1</xdr:row>
      <xdr:rowOff>101600</xdr:rowOff>
    </xdr:from>
    <xdr:to>
      <xdr:col>17</xdr:col>
      <xdr:colOff>685800</xdr:colOff>
      <xdr:row>5</xdr:row>
      <xdr:rowOff>38100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77000" y="292100"/>
          <a:ext cx="27940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1574800</xdr:colOff>
      <xdr:row>0</xdr:row>
      <xdr:rowOff>88900</xdr:rowOff>
    </xdr:from>
    <xdr:to>
      <xdr:col>4</xdr:col>
      <xdr:colOff>1206500</xdr:colOff>
      <xdr:row>5</xdr:row>
      <xdr:rowOff>127000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4800" y="889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1409700</xdr:colOff>
      <xdr:row>1</xdr:row>
      <xdr:rowOff>38100</xdr:rowOff>
    </xdr:from>
    <xdr:to>
      <xdr:col>21</xdr:col>
      <xdr:colOff>1752600</xdr:colOff>
      <xdr:row>4</xdr:row>
      <xdr:rowOff>165100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371300" y="2286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3225800</xdr:colOff>
      <xdr:row>3</xdr:row>
      <xdr:rowOff>76200</xdr:rowOff>
    </xdr:from>
    <xdr:to>
      <xdr:col>3</xdr:col>
      <xdr:colOff>1409700</xdr:colOff>
      <xdr:row>6</xdr:row>
      <xdr:rowOff>254000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216400" y="749300"/>
          <a:ext cx="22098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5" t="s">
        <v>16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</row>
    <row r="3" spans="2:20" ht="20" customHeight="1">
      <c r="B3" s="225" t="s">
        <v>19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</row>
    <row r="4" spans="2:20" ht="20" customHeight="1">
      <c r="B4" s="225" t="s">
        <v>27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18">
        <v>42735</v>
      </c>
      <c r="D8" s="226" t="s">
        <v>3</v>
      </c>
      <c r="E8" s="227"/>
      <c r="F8" s="227"/>
      <c r="G8" s="227"/>
      <c r="H8" s="227"/>
      <c r="I8" s="227"/>
      <c r="J8" s="227"/>
      <c r="K8" s="22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9" t="s">
        <v>17</v>
      </c>
      <c r="C9" s="232" t="s">
        <v>18</v>
      </c>
      <c r="D9" s="234" t="s">
        <v>0</v>
      </c>
      <c r="E9" s="237" t="s">
        <v>4</v>
      </c>
      <c r="F9" s="237"/>
      <c r="G9" s="237" t="s">
        <v>5</v>
      </c>
      <c r="H9" s="237"/>
      <c r="I9" s="237"/>
      <c r="J9" s="237"/>
      <c r="K9" s="239"/>
      <c r="L9" s="5"/>
      <c r="M9" s="234" t="s">
        <v>6</v>
      </c>
      <c r="N9" s="239"/>
      <c r="O9" s="248" t="s">
        <v>24</v>
      </c>
      <c r="P9" s="249"/>
      <c r="Q9" s="249"/>
      <c r="R9" s="249"/>
      <c r="S9" s="249"/>
      <c r="T9" s="250"/>
    </row>
    <row r="10" spans="2:20" ht="17" customHeight="1">
      <c r="B10" s="230"/>
      <c r="C10" s="233"/>
      <c r="D10" s="235"/>
      <c r="E10" s="238"/>
      <c r="F10" s="238"/>
      <c r="G10" s="238" t="s">
        <v>7</v>
      </c>
      <c r="H10" s="217" t="s">
        <v>25</v>
      </c>
      <c r="I10" s="217" t="s">
        <v>26</v>
      </c>
      <c r="J10" s="242" t="s">
        <v>1</v>
      </c>
      <c r="K10" s="240" t="s">
        <v>8</v>
      </c>
      <c r="L10" s="6"/>
      <c r="M10" s="244" t="s">
        <v>9</v>
      </c>
      <c r="N10" s="246" t="s">
        <v>10</v>
      </c>
      <c r="O10" s="251"/>
      <c r="P10" s="252"/>
      <c r="Q10" s="252"/>
      <c r="R10" s="252"/>
      <c r="S10" s="252"/>
      <c r="T10" s="253"/>
    </row>
    <row r="11" spans="2:20" ht="37.5" customHeight="1" thickBot="1">
      <c r="B11" s="231"/>
      <c r="C11" s="233"/>
      <c r="D11" s="236"/>
      <c r="E11" s="19" t="s">
        <v>11</v>
      </c>
      <c r="F11" s="19" t="s">
        <v>12</v>
      </c>
      <c r="G11" s="217"/>
      <c r="H11" s="218"/>
      <c r="I11" s="218"/>
      <c r="J11" s="243"/>
      <c r="K11" s="241"/>
      <c r="L11" s="10"/>
      <c r="M11" s="245"/>
      <c r="N11" s="247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60">
      <c r="B12" s="222" t="s">
        <v>44</v>
      </c>
      <c r="C12" s="222" t="s">
        <v>42</v>
      </c>
      <c r="D12" s="219" t="s">
        <v>38</v>
      </c>
      <c r="E12" s="35">
        <v>42370</v>
      </c>
      <c r="F12" s="35">
        <v>42735</v>
      </c>
      <c r="G12" s="69" t="s">
        <v>28</v>
      </c>
      <c r="H12" s="36">
        <v>1</v>
      </c>
      <c r="I12" s="36">
        <v>1</v>
      </c>
      <c r="J12" s="36">
        <v>1</v>
      </c>
      <c r="K12" s="55">
        <v>1</v>
      </c>
      <c r="L12" s="60">
        <f>+K12/J12</f>
        <v>1</v>
      </c>
      <c r="M12" s="65">
        <f>DAYS360(E12,$C$8)/DAYS360(E12,F12)</f>
        <v>1</v>
      </c>
      <c r="N12" s="38">
        <f>IF(J12=0," -",IF(L12&gt;100%,100%,L12))</f>
        <v>1</v>
      </c>
      <c r="O12" s="71" t="s">
        <v>76</v>
      </c>
      <c r="P12" s="36">
        <v>0</v>
      </c>
      <c r="Q12" s="36">
        <v>0</v>
      </c>
      <c r="R12" s="36">
        <v>0</v>
      </c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>
      <c r="B13" s="223"/>
      <c r="C13" s="223"/>
      <c r="D13" s="220"/>
      <c r="E13" s="33">
        <v>42370</v>
      </c>
      <c r="F13" s="33">
        <v>42735</v>
      </c>
      <c r="G13" s="8" t="s">
        <v>29</v>
      </c>
      <c r="H13" s="34">
        <v>4</v>
      </c>
      <c r="I13" s="34">
        <v>1</v>
      </c>
      <c r="J13" s="34">
        <v>1</v>
      </c>
      <c r="K13" s="56">
        <v>1</v>
      </c>
      <c r="L13" s="12">
        <f t="shared" ref="L13:L22" si="0">+K13/J13</f>
        <v>1</v>
      </c>
      <c r="M13" s="13">
        <f t="shared" ref="M13:M22" si="1">DAYS360(E13,$C$8)/DAYS360(E13,F13)</f>
        <v>1</v>
      </c>
      <c r="N13" s="14">
        <f t="shared" ref="N13:N22" si="2">IF(J13=0," -",IF(L13&gt;100%,100%,L13))</f>
        <v>1</v>
      </c>
      <c r="O13" s="72" t="s">
        <v>76</v>
      </c>
      <c r="P13" s="34">
        <v>0</v>
      </c>
      <c r="Q13" s="34">
        <v>0</v>
      </c>
      <c r="R13" s="34">
        <v>0</v>
      </c>
      <c r="S13" s="17" t="str">
        <f t="shared" ref="S13:S23" si="3">IF(P13=0," -",Q13/P13)</f>
        <v xml:space="preserve"> -</v>
      </c>
      <c r="T13" s="14" t="str">
        <f t="shared" ref="T13:T23" si="4">IF(R13=0," -",IF(Q13=0,100%,R13/Q13))</f>
        <v xml:space="preserve"> -</v>
      </c>
    </row>
    <row r="14" spans="2:20" ht="61" thickBot="1">
      <c r="B14" s="223"/>
      <c r="C14" s="223"/>
      <c r="D14" s="221"/>
      <c r="E14" s="39">
        <v>42370</v>
      </c>
      <c r="F14" s="39">
        <v>42735</v>
      </c>
      <c r="G14" s="40" t="s">
        <v>30</v>
      </c>
      <c r="H14" s="41">
        <v>4</v>
      </c>
      <c r="I14" s="41">
        <v>1</v>
      </c>
      <c r="J14" s="41">
        <v>1</v>
      </c>
      <c r="K14" s="57">
        <v>1</v>
      </c>
      <c r="L14" s="61">
        <f t="shared" si="0"/>
        <v>1</v>
      </c>
      <c r="M14" s="66">
        <f t="shared" si="1"/>
        <v>1</v>
      </c>
      <c r="N14" s="43">
        <f t="shared" si="2"/>
        <v>1</v>
      </c>
      <c r="O14" s="73" t="s">
        <v>76</v>
      </c>
      <c r="P14" s="41">
        <v>0</v>
      </c>
      <c r="Q14" s="41">
        <v>0</v>
      </c>
      <c r="R14" s="41">
        <v>0</v>
      </c>
      <c r="S14" s="42" t="str">
        <f t="shared" si="3"/>
        <v xml:space="preserve"> -</v>
      </c>
      <c r="T14" s="43" t="str">
        <f t="shared" si="4"/>
        <v xml:space="preserve"> -</v>
      </c>
    </row>
    <row r="15" spans="2:20" ht="61" thickBot="1">
      <c r="B15" s="223"/>
      <c r="C15" s="224"/>
      <c r="D15" s="53" t="s">
        <v>39</v>
      </c>
      <c r="E15" s="48">
        <v>42370</v>
      </c>
      <c r="F15" s="48">
        <v>42735</v>
      </c>
      <c r="G15" s="49" t="s">
        <v>31</v>
      </c>
      <c r="H15" s="50">
        <v>7</v>
      </c>
      <c r="I15" s="50">
        <v>1</v>
      </c>
      <c r="J15" s="50">
        <v>1</v>
      </c>
      <c r="K15" s="58">
        <v>1</v>
      </c>
      <c r="L15" s="62">
        <f t="shared" si="0"/>
        <v>1</v>
      </c>
      <c r="M15" s="67">
        <f t="shared" si="1"/>
        <v>1</v>
      </c>
      <c r="N15" s="52">
        <f t="shared" si="2"/>
        <v>1</v>
      </c>
      <c r="O15" s="74">
        <v>0</v>
      </c>
      <c r="P15" s="50">
        <v>0</v>
      </c>
      <c r="Q15" s="50">
        <v>0</v>
      </c>
      <c r="R15" s="50">
        <v>0</v>
      </c>
      <c r="S15" s="51" t="str">
        <f t="shared" si="3"/>
        <v xml:space="preserve"> -</v>
      </c>
      <c r="T15" s="52" t="str">
        <f t="shared" si="4"/>
        <v xml:space="preserve"> -</v>
      </c>
    </row>
    <row r="16" spans="2:20" ht="13" customHeight="1" thickBot="1">
      <c r="B16" s="223"/>
      <c r="C16" s="24"/>
      <c r="D16" s="25"/>
      <c r="E16" s="26"/>
      <c r="F16" s="26"/>
      <c r="G16" s="22"/>
      <c r="H16" s="23"/>
      <c r="I16" s="23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91" thickBot="1">
      <c r="B17" s="223"/>
      <c r="C17" s="222" t="s">
        <v>43</v>
      </c>
      <c r="D17" s="54" t="s">
        <v>40</v>
      </c>
      <c r="E17" s="44">
        <v>42370</v>
      </c>
      <c r="F17" s="44">
        <v>42735</v>
      </c>
      <c r="G17" s="70" t="s">
        <v>32</v>
      </c>
      <c r="H17" s="45">
        <v>1</v>
      </c>
      <c r="I17" s="45">
        <v>1</v>
      </c>
      <c r="J17" s="45">
        <v>1</v>
      </c>
      <c r="K17" s="59">
        <v>1</v>
      </c>
      <c r="L17" s="63">
        <f t="shared" si="0"/>
        <v>1</v>
      </c>
      <c r="M17" s="64">
        <f t="shared" si="1"/>
        <v>1</v>
      </c>
      <c r="N17" s="47">
        <f t="shared" si="2"/>
        <v>1</v>
      </c>
      <c r="O17" s="75">
        <v>2210301</v>
      </c>
      <c r="P17" s="45">
        <f>552000+772698+5625825</f>
        <v>6950523</v>
      </c>
      <c r="Q17" s="45">
        <f>508340+521646+5623065</f>
        <v>6653051</v>
      </c>
      <c r="R17" s="45">
        <v>0</v>
      </c>
      <c r="S17" s="46">
        <f t="shared" si="3"/>
        <v>0.95720149404584376</v>
      </c>
      <c r="T17" s="47" t="str">
        <f t="shared" si="4"/>
        <v xml:space="preserve"> -</v>
      </c>
    </row>
    <row r="18" spans="2:20" ht="30">
      <c r="B18" s="223"/>
      <c r="C18" s="223"/>
      <c r="D18" s="219" t="s">
        <v>41</v>
      </c>
      <c r="E18" s="35">
        <v>42370</v>
      </c>
      <c r="F18" s="35">
        <v>42735</v>
      </c>
      <c r="G18" s="69" t="s">
        <v>33</v>
      </c>
      <c r="H18" s="36">
        <v>3</v>
      </c>
      <c r="I18" s="36">
        <v>3</v>
      </c>
      <c r="J18" s="36">
        <v>3</v>
      </c>
      <c r="K18" s="55">
        <v>3</v>
      </c>
      <c r="L18" s="60">
        <f t="shared" si="0"/>
        <v>1</v>
      </c>
      <c r="M18" s="65">
        <f t="shared" si="1"/>
        <v>1</v>
      </c>
      <c r="N18" s="38">
        <f t="shared" si="2"/>
        <v>1</v>
      </c>
      <c r="O18" s="71" t="s">
        <v>76</v>
      </c>
      <c r="P18" s="36">
        <v>0</v>
      </c>
      <c r="Q18" s="36">
        <v>0</v>
      </c>
      <c r="R18" s="36">
        <v>0</v>
      </c>
      <c r="S18" s="37" t="str">
        <f t="shared" si="3"/>
        <v xml:space="preserve"> -</v>
      </c>
      <c r="T18" s="38" t="str">
        <f t="shared" si="4"/>
        <v xml:space="preserve"> -</v>
      </c>
    </row>
    <row r="19" spans="2:20" ht="60">
      <c r="B19" s="223"/>
      <c r="C19" s="223"/>
      <c r="D19" s="220"/>
      <c r="E19" s="33">
        <v>42370</v>
      </c>
      <c r="F19" s="33">
        <v>42735</v>
      </c>
      <c r="G19" s="8" t="s">
        <v>34</v>
      </c>
      <c r="H19" s="34">
        <v>16</v>
      </c>
      <c r="I19" s="34">
        <v>4</v>
      </c>
      <c r="J19" s="34">
        <v>4</v>
      </c>
      <c r="K19" s="56">
        <v>4</v>
      </c>
      <c r="L19" s="12">
        <f t="shared" si="0"/>
        <v>1</v>
      </c>
      <c r="M19" s="13">
        <f t="shared" si="1"/>
        <v>1</v>
      </c>
      <c r="N19" s="14">
        <f t="shared" si="2"/>
        <v>1</v>
      </c>
      <c r="O19" s="72" t="s">
        <v>76</v>
      </c>
      <c r="P19" s="34">
        <v>0</v>
      </c>
      <c r="Q19" s="34">
        <v>0</v>
      </c>
      <c r="R19" s="34">
        <v>0</v>
      </c>
      <c r="S19" s="17" t="str">
        <f t="shared" si="3"/>
        <v xml:space="preserve"> -</v>
      </c>
      <c r="T19" s="14" t="str">
        <f t="shared" si="4"/>
        <v xml:space="preserve"> -</v>
      </c>
    </row>
    <row r="20" spans="2:20" ht="45">
      <c r="B20" s="223"/>
      <c r="C20" s="223"/>
      <c r="D20" s="220"/>
      <c r="E20" s="33">
        <v>42370</v>
      </c>
      <c r="F20" s="33">
        <v>42735</v>
      </c>
      <c r="G20" s="8" t="s">
        <v>35</v>
      </c>
      <c r="H20" s="34">
        <v>1</v>
      </c>
      <c r="I20" s="34">
        <v>1</v>
      </c>
      <c r="J20" s="34">
        <v>1</v>
      </c>
      <c r="K20" s="76">
        <v>0.3</v>
      </c>
      <c r="L20" s="12">
        <f t="shared" si="0"/>
        <v>0.3</v>
      </c>
      <c r="M20" s="13">
        <f t="shared" si="1"/>
        <v>1</v>
      </c>
      <c r="N20" s="14">
        <f t="shared" si="2"/>
        <v>0.3</v>
      </c>
      <c r="O20" s="72">
        <v>2210277</v>
      </c>
      <c r="P20" s="34">
        <v>68500</v>
      </c>
      <c r="Q20" s="34">
        <v>59940</v>
      </c>
      <c r="R20" s="34">
        <v>0</v>
      </c>
      <c r="S20" s="17">
        <f t="shared" si="3"/>
        <v>0.87503649635036496</v>
      </c>
      <c r="T20" s="14" t="str">
        <f t="shared" si="4"/>
        <v xml:space="preserve"> -</v>
      </c>
    </row>
    <row r="21" spans="2:20" ht="30" customHeight="1">
      <c r="B21" s="223"/>
      <c r="C21" s="223"/>
      <c r="D21" s="220"/>
      <c r="E21" s="33">
        <v>42370</v>
      </c>
      <c r="F21" s="33">
        <v>42735</v>
      </c>
      <c r="G21" s="8" t="s">
        <v>36</v>
      </c>
      <c r="H21" s="34">
        <v>1</v>
      </c>
      <c r="I21" s="34">
        <v>0</v>
      </c>
      <c r="J21" s="34">
        <v>0</v>
      </c>
      <c r="K21" s="56">
        <v>0</v>
      </c>
      <c r="L21" s="12" t="e">
        <f t="shared" si="0"/>
        <v>#DIV/0!</v>
      </c>
      <c r="M21" s="13">
        <f t="shared" si="1"/>
        <v>1</v>
      </c>
      <c r="N21" s="14" t="str">
        <f t="shared" si="2"/>
        <v xml:space="preserve"> -</v>
      </c>
      <c r="O21" s="72" t="s">
        <v>76</v>
      </c>
      <c r="P21" s="34">
        <v>0</v>
      </c>
      <c r="Q21" s="34">
        <v>0</v>
      </c>
      <c r="R21" s="34">
        <v>0</v>
      </c>
      <c r="S21" s="17" t="str">
        <f t="shared" si="3"/>
        <v xml:space="preserve"> -</v>
      </c>
      <c r="T21" s="14" t="str">
        <f t="shared" si="4"/>
        <v xml:space="preserve"> -</v>
      </c>
    </row>
    <row r="22" spans="2:20" ht="31" thickBot="1">
      <c r="B22" s="224"/>
      <c r="C22" s="224"/>
      <c r="D22" s="221"/>
      <c r="E22" s="39">
        <v>42370</v>
      </c>
      <c r="F22" s="39">
        <v>42735</v>
      </c>
      <c r="G22" s="40" t="s">
        <v>37</v>
      </c>
      <c r="H22" s="41">
        <v>5</v>
      </c>
      <c r="I22" s="41">
        <v>2</v>
      </c>
      <c r="J22" s="41">
        <v>2</v>
      </c>
      <c r="K22" s="57">
        <v>1</v>
      </c>
      <c r="L22" s="61">
        <f t="shared" si="0"/>
        <v>0.5</v>
      </c>
      <c r="M22" s="66">
        <f t="shared" si="1"/>
        <v>1</v>
      </c>
      <c r="N22" s="43">
        <f t="shared" si="2"/>
        <v>0.5</v>
      </c>
      <c r="O22" s="73">
        <v>2210277</v>
      </c>
      <c r="P22" s="41">
        <f>250000+53592+8822</f>
        <v>312414</v>
      </c>
      <c r="Q22" s="41">
        <f>232300+50734+0</f>
        <v>283034</v>
      </c>
      <c r="R22" s="41">
        <v>0</v>
      </c>
      <c r="S22" s="42">
        <f t="shared" si="3"/>
        <v>0.90595811967453443</v>
      </c>
      <c r="T22" s="43" t="str">
        <f t="shared" si="4"/>
        <v xml:space="preserve"> -</v>
      </c>
    </row>
    <row r="23" spans="2:20" ht="21" customHeight="1" thickBot="1">
      <c r="M23" s="27">
        <f>+AVERAGE(M12:M15,M17:M22)</f>
        <v>1</v>
      </c>
      <c r="N23" s="28">
        <f>+AVERAGE(N12:N15,N17:N22)</f>
        <v>0.8666666666666667</v>
      </c>
      <c r="O23" s="29"/>
      <c r="P23" s="30">
        <f>+SUM(P12:P15,P17:P22)</f>
        <v>7331437</v>
      </c>
      <c r="Q23" s="31">
        <f>+SUM(Q12:Q15,Q17:Q22)</f>
        <v>6996025</v>
      </c>
      <c r="R23" s="31">
        <f>+SUM(R12:R15,R17:R22)</f>
        <v>0</v>
      </c>
      <c r="S23" s="32">
        <f t="shared" si="3"/>
        <v>0.95425016950974273</v>
      </c>
      <c r="T23" s="28" t="str">
        <f t="shared" si="4"/>
        <v xml:space="preserve"> -</v>
      </c>
    </row>
  </sheetData>
  <mergeCells count="23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  <mergeCell ref="D12:D14"/>
    <mergeCell ref="D18:D22"/>
    <mergeCell ref="B12:B22"/>
    <mergeCell ref="C12:C15"/>
    <mergeCell ref="C17:C22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5" t="s">
        <v>16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</row>
    <row r="3" spans="2:20" ht="20" customHeight="1">
      <c r="B3" s="225" t="s">
        <v>19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</row>
    <row r="4" spans="2:20" ht="20" customHeight="1">
      <c r="B4" s="225" t="s">
        <v>27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18">
        <v>43100</v>
      </c>
      <c r="D8" s="226" t="s">
        <v>3</v>
      </c>
      <c r="E8" s="227"/>
      <c r="F8" s="227"/>
      <c r="G8" s="227"/>
      <c r="H8" s="227"/>
      <c r="I8" s="227"/>
      <c r="J8" s="227"/>
      <c r="K8" s="22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9" t="s">
        <v>17</v>
      </c>
      <c r="C9" s="232" t="s">
        <v>18</v>
      </c>
      <c r="D9" s="234" t="s">
        <v>0</v>
      </c>
      <c r="E9" s="237" t="s">
        <v>4</v>
      </c>
      <c r="F9" s="237"/>
      <c r="G9" s="237" t="s">
        <v>5</v>
      </c>
      <c r="H9" s="237"/>
      <c r="I9" s="237"/>
      <c r="J9" s="237"/>
      <c r="K9" s="239"/>
      <c r="L9" s="5"/>
      <c r="M9" s="234" t="s">
        <v>6</v>
      </c>
      <c r="N9" s="239"/>
      <c r="O9" s="248" t="s">
        <v>24</v>
      </c>
      <c r="P9" s="249"/>
      <c r="Q9" s="249"/>
      <c r="R9" s="249"/>
      <c r="S9" s="249"/>
      <c r="T9" s="250"/>
    </row>
    <row r="10" spans="2:20" ht="17" customHeight="1">
      <c r="B10" s="230"/>
      <c r="C10" s="233"/>
      <c r="D10" s="235"/>
      <c r="E10" s="238"/>
      <c r="F10" s="238"/>
      <c r="G10" s="238" t="s">
        <v>7</v>
      </c>
      <c r="H10" s="217" t="s">
        <v>25</v>
      </c>
      <c r="I10" s="217" t="s">
        <v>26</v>
      </c>
      <c r="J10" s="242" t="s">
        <v>1</v>
      </c>
      <c r="K10" s="240" t="s">
        <v>8</v>
      </c>
      <c r="L10" s="6"/>
      <c r="M10" s="244" t="s">
        <v>9</v>
      </c>
      <c r="N10" s="246" t="s">
        <v>10</v>
      </c>
      <c r="O10" s="251"/>
      <c r="P10" s="252"/>
      <c r="Q10" s="252"/>
      <c r="R10" s="252"/>
      <c r="S10" s="252"/>
      <c r="T10" s="253"/>
    </row>
    <row r="11" spans="2:20" ht="37.5" customHeight="1" thickBot="1">
      <c r="B11" s="231"/>
      <c r="C11" s="233"/>
      <c r="D11" s="236"/>
      <c r="E11" s="19" t="s">
        <v>11</v>
      </c>
      <c r="F11" s="19" t="s">
        <v>12</v>
      </c>
      <c r="G11" s="217"/>
      <c r="H11" s="218"/>
      <c r="I11" s="254"/>
      <c r="J11" s="243"/>
      <c r="K11" s="241"/>
      <c r="L11" s="10"/>
      <c r="M11" s="245"/>
      <c r="N11" s="247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60">
      <c r="B12" s="222" t="s">
        <v>44</v>
      </c>
      <c r="C12" s="222" t="s">
        <v>42</v>
      </c>
      <c r="D12" s="219" t="s">
        <v>38</v>
      </c>
      <c r="E12" s="35">
        <v>42736</v>
      </c>
      <c r="F12" s="35">
        <v>43100</v>
      </c>
      <c r="G12" s="69" t="s">
        <v>28</v>
      </c>
      <c r="H12" s="36">
        <v>1</v>
      </c>
      <c r="I12" s="97">
        <f>+J12</f>
        <v>1</v>
      </c>
      <c r="J12" s="36">
        <v>1</v>
      </c>
      <c r="K12" s="55">
        <v>1</v>
      </c>
      <c r="L12" s="60">
        <f>+K12/J12</f>
        <v>1</v>
      </c>
      <c r="M12" s="65">
        <f>DAYS360(E12,$C$8)/DAYS360(E12,F12)</f>
        <v>1</v>
      </c>
      <c r="N12" s="38">
        <f>IF(J12=0," -",IF(L12&gt;100%,100%,L12))</f>
        <v>1</v>
      </c>
      <c r="O12" s="71" t="s">
        <v>76</v>
      </c>
      <c r="P12" s="36">
        <v>0</v>
      </c>
      <c r="Q12" s="36">
        <v>0</v>
      </c>
      <c r="R12" s="36">
        <v>0</v>
      </c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>
      <c r="B13" s="223"/>
      <c r="C13" s="223"/>
      <c r="D13" s="220"/>
      <c r="E13" s="33">
        <v>42736</v>
      </c>
      <c r="F13" s="33">
        <v>43100</v>
      </c>
      <c r="G13" s="8" t="s">
        <v>29</v>
      </c>
      <c r="H13" s="34">
        <v>4</v>
      </c>
      <c r="I13" s="34">
        <f>+J13+('2016'!I13-'2016'!K13)</f>
        <v>1</v>
      </c>
      <c r="J13" s="34">
        <v>1</v>
      </c>
      <c r="K13" s="56">
        <v>1</v>
      </c>
      <c r="L13" s="12">
        <f t="shared" ref="L13:L24" si="0">+K13/J13</f>
        <v>1</v>
      </c>
      <c r="M13" s="13">
        <f t="shared" ref="M13:M22" si="1">DAYS360(E13,$C$8)/DAYS360(E13,F13)</f>
        <v>1</v>
      </c>
      <c r="N13" s="14">
        <f t="shared" ref="N13:N22" si="2">IF(J13=0," -",IF(L13&gt;100%,100%,L13))</f>
        <v>1</v>
      </c>
      <c r="O13" s="72" t="s">
        <v>76</v>
      </c>
      <c r="P13" s="34">
        <v>0</v>
      </c>
      <c r="Q13" s="34">
        <v>0</v>
      </c>
      <c r="R13" s="34">
        <v>0</v>
      </c>
      <c r="S13" s="17" t="str">
        <f t="shared" ref="S13:S25" si="3">IF(P13=0," -",Q13/P13)</f>
        <v xml:space="preserve"> -</v>
      </c>
      <c r="T13" s="14" t="str">
        <f t="shared" ref="T13:T25" si="4">IF(R13=0," -",IF(Q13=0,100%,R13/Q13))</f>
        <v xml:space="preserve"> -</v>
      </c>
    </row>
    <row r="14" spans="2:20" ht="61" thickBot="1">
      <c r="B14" s="223"/>
      <c r="C14" s="223"/>
      <c r="D14" s="221"/>
      <c r="E14" s="39">
        <v>42736</v>
      </c>
      <c r="F14" s="39">
        <v>43100</v>
      </c>
      <c r="G14" s="40" t="s">
        <v>30</v>
      </c>
      <c r="H14" s="41">
        <v>4</v>
      </c>
      <c r="I14" s="41">
        <f>+J14+('2016'!I14-'2016'!K14)</f>
        <v>1</v>
      </c>
      <c r="J14" s="41">
        <v>1</v>
      </c>
      <c r="K14" s="57">
        <v>1</v>
      </c>
      <c r="L14" s="61">
        <f t="shared" si="0"/>
        <v>1</v>
      </c>
      <c r="M14" s="66">
        <f t="shared" si="1"/>
        <v>1</v>
      </c>
      <c r="N14" s="43">
        <f t="shared" si="2"/>
        <v>1</v>
      </c>
      <c r="O14" s="73" t="s">
        <v>76</v>
      </c>
      <c r="P14" s="41">
        <v>0</v>
      </c>
      <c r="Q14" s="41">
        <v>0</v>
      </c>
      <c r="R14" s="41">
        <v>0</v>
      </c>
      <c r="S14" s="42" t="str">
        <f t="shared" si="3"/>
        <v xml:space="preserve"> -</v>
      </c>
      <c r="T14" s="43" t="str">
        <f t="shared" si="4"/>
        <v xml:space="preserve"> -</v>
      </c>
    </row>
    <row r="15" spans="2:20" ht="61" thickBot="1">
      <c r="B15" s="223"/>
      <c r="C15" s="224"/>
      <c r="D15" s="53" t="s">
        <v>39</v>
      </c>
      <c r="E15" s="48">
        <v>42736</v>
      </c>
      <c r="F15" s="48">
        <v>43100</v>
      </c>
      <c r="G15" s="49" t="s">
        <v>31</v>
      </c>
      <c r="H15" s="50">
        <v>7</v>
      </c>
      <c r="I15" s="99">
        <f>+J15+('2016'!I15-'2016'!K15)</f>
        <v>2</v>
      </c>
      <c r="J15" s="50">
        <v>2</v>
      </c>
      <c r="K15" s="58">
        <v>2</v>
      </c>
      <c r="L15" s="62">
        <f t="shared" si="0"/>
        <v>1</v>
      </c>
      <c r="M15" s="67">
        <f t="shared" si="1"/>
        <v>1</v>
      </c>
      <c r="N15" s="52">
        <f t="shared" si="2"/>
        <v>1</v>
      </c>
      <c r="O15" s="74">
        <v>0</v>
      </c>
      <c r="P15" s="50">
        <v>0</v>
      </c>
      <c r="Q15" s="50">
        <v>0</v>
      </c>
      <c r="R15" s="50">
        <v>0</v>
      </c>
      <c r="S15" s="51" t="str">
        <f t="shared" si="3"/>
        <v xml:space="preserve"> -</v>
      </c>
      <c r="T15" s="52" t="str">
        <f t="shared" si="4"/>
        <v xml:space="preserve"> -</v>
      </c>
    </row>
    <row r="16" spans="2:20" ht="13" customHeight="1" thickBot="1">
      <c r="B16" s="223"/>
      <c r="C16" s="24"/>
      <c r="D16" s="25"/>
      <c r="E16" s="26"/>
      <c r="F16" s="26"/>
      <c r="G16" s="22"/>
      <c r="H16" s="23"/>
      <c r="I16" s="98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91" thickBot="1">
      <c r="B17" s="223"/>
      <c r="C17" s="222" t="s">
        <v>43</v>
      </c>
      <c r="D17" s="54" t="s">
        <v>40</v>
      </c>
      <c r="E17" s="44">
        <v>42736</v>
      </c>
      <c r="F17" s="44">
        <v>43100</v>
      </c>
      <c r="G17" s="70" t="s">
        <v>32</v>
      </c>
      <c r="H17" s="45">
        <v>1</v>
      </c>
      <c r="I17" s="50">
        <f>+J17</f>
        <v>1</v>
      </c>
      <c r="J17" s="45">
        <v>1</v>
      </c>
      <c r="K17" s="59">
        <v>2</v>
      </c>
      <c r="L17" s="63">
        <f t="shared" si="0"/>
        <v>2</v>
      </c>
      <c r="M17" s="64">
        <f t="shared" si="1"/>
        <v>1</v>
      </c>
      <c r="N17" s="47">
        <f t="shared" si="2"/>
        <v>1</v>
      </c>
      <c r="O17" s="75">
        <v>2210301</v>
      </c>
      <c r="P17" s="45">
        <v>22431254</v>
      </c>
      <c r="Q17" s="45">
        <v>18616411</v>
      </c>
      <c r="R17" s="45">
        <v>0</v>
      </c>
      <c r="S17" s="46">
        <f t="shared" si="3"/>
        <v>0.82993179962208086</v>
      </c>
      <c r="T17" s="47" t="str">
        <f t="shared" si="4"/>
        <v xml:space="preserve"> -</v>
      </c>
    </row>
    <row r="18" spans="2:20" ht="30">
      <c r="B18" s="223"/>
      <c r="C18" s="223"/>
      <c r="D18" s="219" t="s">
        <v>41</v>
      </c>
      <c r="E18" s="35">
        <v>42736</v>
      </c>
      <c r="F18" s="35">
        <v>43100</v>
      </c>
      <c r="G18" s="69" t="s">
        <v>33</v>
      </c>
      <c r="H18" s="36">
        <v>3</v>
      </c>
      <c r="I18" s="97">
        <f>+J18</f>
        <v>3</v>
      </c>
      <c r="J18" s="36">
        <v>3</v>
      </c>
      <c r="K18" s="55">
        <v>3</v>
      </c>
      <c r="L18" s="60">
        <f t="shared" si="0"/>
        <v>1</v>
      </c>
      <c r="M18" s="65">
        <f t="shared" si="1"/>
        <v>1</v>
      </c>
      <c r="N18" s="38">
        <f t="shared" si="2"/>
        <v>1</v>
      </c>
      <c r="O18" s="71" t="s">
        <v>76</v>
      </c>
      <c r="P18" s="36">
        <v>0</v>
      </c>
      <c r="Q18" s="36">
        <v>0</v>
      </c>
      <c r="R18" s="36">
        <v>0</v>
      </c>
      <c r="S18" s="37" t="str">
        <f t="shared" si="3"/>
        <v xml:space="preserve"> -</v>
      </c>
      <c r="T18" s="38" t="str">
        <f t="shared" si="4"/>
        <v xml:space="preserve"> -</v>
      </c>
    </row>
    <row r="19" spans="2:20" ht="60">
      <c r="B19" s="223"/>
      <c r="C19" s="223"/>
      <c r="D19" s="220"/>
      <c r="E19" s="33">
        <v>42736</v>
      </c>
      <c r="F19" s="33">
        <v>43100</v>
      </c>
      <c r="G19" s="8" t="s">
        <v>34</v>
      </c>
      <c r="H19" s="34">
        <v>16</v>
      </c>
      <c r="I19" s="34">
        <f>+J19+('2016'!I19-'2016'!K19)</f>
        <v>4</v>
      </c>
      <c r="J19" s="34">
        <v>4</v>
      </c>
      <c r="K19" s="56">
        <v>4</v>
      </c>
      <c r="L19" s="12">
        <f t="shared" si="0"/>
        <v>1</v>
      </c>
      <c r="M19" s="13">
        <f t="shared" si="1"/>
        <v>1</v>
      </c>
      <c r="N19" s="14">
        <f t="shared" si="2"/>
        <v>1</v>
      </c>
      <c r="O19" s="72" t="s">
        <v>76</v>
      </c>
      <c r="P19" s="34">
        <v>0</v>
      </c>
      <c r="Q19" s="34">
        <v>0</v>
      </c>
      <c r="R19" s="34">
        <v>0</v>
      </c>
      <c r="S19" s="17" t="str">
        <f t="shared" si="3"/>
        <v xml:space="preserve"> -</v>
      </c>
      <c r="T19" s="14" t="str">
        <f t="shared" si="4"/>
        <v xml:space="preserve"> -</v>
      </c>
    </row>
    <row r="20" spans="2:20" ht="45">
      <c r="B20" s="223"/>
      <c r="C20" s="223"/>
      <c r="D20" s="220"/>
      <c r="E20" s="33">
        <v>42736</v>
      </c>
      <c r="F20" s="33">
        <v>43100</v>
      </c>
      <c r="G20" s="8" t="s">
        <v>35</v>
      </c>
      <c r="H20" s="34">
        <v>1</v>
      </c>
      <c r="I20" s="34">
        <f>+J20</f>
        <v>1</v>
      </c>
      <c r="J20" s="34">
        <v>1</v>
      </c>
      <c r="K20" s="76">
        <v>0.5</v>
      </c>
      <c r="L20" s="12">
        <f t="shared" si="0"/>
        <v>0.5</v>
      </c>
      <c r="M20" s="13">
        <f t="shared" si="1"/>
        <v>1</v>
      </c>
      <c r="N20" s="14">
        <f t="shared" si="2"/>
        <v>0.5</v>
      </c>
      <c r="O20" s="72">
        <v>2210277</v>
      </c>
      <c r="P20" s="34">
        <v>269500</v>
      </c>
      <c r="Q20" s="34">
        <v>269500</v>
      </c>
      <c r="R20" s="34">
        <v>0</v>
      </c>
      <c r="S20" s="17">
        <f t="shared" si="3"/>
        <v>1</v>
      </c>
      <c r="T20" s="14" t="str">
        <f t="shared" si="4"/>
        <v xml:space="preserve"> -</v>
      </c>
    </row>
    <row r="21" spans="2:20" ht="30" customHeight="1">
      <c r="B21" s="223"/>
      <c r="C21" s="223"/>
      <c r="D21" s="220"/>
      <c r="E21" s="33">
        <v>42736</v>
      </c>
      <c r="F21" s="33">
        <v>43100</v>
      </c>
      <c r="G21" s="8" t="s">
        <v>36</v>
      </c>
      <c r="H21" s="34">
        <v>1</v>
      </c>
      <c r="I21" s="34">
        <f>+J21+('2016'!I21-'2016'!K21)</f>
        <v>1</v>
      </c>
      <c r="J21" s="34">
        <v>1</v>
      </c>
      <c r="K21" s="56">
        <v>1</v>
      </c>
      <c r="L21" s="12">
        <f t="shared" si="0"/>
        <v>1</v>
      </c>
      <c r="M21" s="13">
        <f t="shared" si="1"/>
        <v>1</v>
      </c>
      <c r="N21" s="14">
        <f t="shared" si="2"/>
        <v>1</v>
      </c>
      <c r="O21" s="72" t="s">
        <v>76</v>
      </c>
      <c r="P21" s="34">
        <v>0</v>
      </c>
      <c r="Q21" s="34">
        <v>0</v>
      </c>
      <c r="R21" s="34">
        <v>0</v>
      </c>
      <c r="S21" s="17" t="str">
        <f t="shared" si="3"/>
        <v xml:space="preserve"> -</v>
      </c>
      <c r="T21" s="14" t="str">
        <f t="shared" si="4"/>
        <v xml:space="preserve"> -</v>
      </c>
    </row>
    <row r="22" spans="2:20" ht="31" thickBot="1">
      <c r="B22" s="224"/>
      <c r="C22" s="224"/>
      <c r="D22" s="221"/>
      <c r="E22" s="39">
        <v>42736</v>
      </c>
      <c r="F22" s="39">
        <v>43100</v>
      </c>
      <c r="G22" s="40" t="s">
        <v>37</v>
      </c>
      <c r="H22" s="41">
        <v>5</v>
      </c>
      <c r="I22" s="41">
        <f>+J22+('2016'!I22-'2016'!K22)</f>
        <v>4</v>
      </c>
      <c r="J22" s="41">
        <v>3</v>
      </c>
      <c r="K22" s="57">
        <v>4</v>
      </c>
      <c r="L22" s="61">
        <f t="shared" si="0"/>
        <v>1.3333333333333333</v>
      </c>
      <c r="M22" s="66">
        <f t="shared" si="1"/>
        <v>1</v>
      </c>
      <c r="N22" s="43">
        <f t="shared" si="2"/>
        <v>1</v>
      </c>
      <c r="O22" s="73">
        <v>2210277</v>
      </c>
      <c r="P22" s="41">
        <v>5331547</v>
      </c>
      <c r="Q22" s="41">
        <v>5312293</v>
      </c>
      <c r="R22" s="41">
        <v>0</v>
      </c>
      <c r="S22" s="42">
        <f t="shared" si="3"/>
        <v>0.99638866542862703</v>
      </c>
      <c r="T22" s="43" t="str">
        <f t="shared" si="4"/>
        <v xml:space="preserve"> -</v>
      </c>
    </row>
    <row r="23" spans="2:20" ht="13" customHeight="1" thickBot="1">
      <c r="B23" s="83"/>
      <c r="C23" s="77"/>
      <c r="D23" s="77"/>
      <c r="E23" s="78"/>
      <c r="F23" s="78"/>
      <c r="G23" s="77"/>
      <c r="H23" s="79"/>
      <c r="I23" s="79"/>
      <c r="J23" s="79"/>
      <c r="K23" s="79"/>
      <c r="L23" s="80"/>
      <c r="M23" s="81"/>
      <c r="N23" s="81"/>
      <c r="O23" s="77"/>
      <c r="P23" s="79"/>
      <c r="Q23" s="79"/>
      <c r="R23" s="79"/>
      <c r="S23" s="81"/>
      <c r="T23" s="82"/>
    </row>
    <row r="24" spans="2:20" ht="46" customHeight="1" thickBot="1">
      <c r="B24" s="89" t="s">
        <v>45</v>
      </c>
      <c r="C24" s="93" t="s">
        <v>46</v>
      </c>
      <c r="D24" s="91" t="s">
        <v>47</v>
      </c>
      <c r="E24" s="84">
        <v>42736</v>
      </c>
      <c r="F24" s="84">
        <v>43100</v>
      </c>
      <c r="G24" s="85" t="s">
        <v>48</v>
      </c>
      <c r="H24" s="86">
        <v>1</v>
      </c>
      <c r="I24" s="86">
        <v>1</v>
      </c>
      <c r="J24" s="86">
        <v>1</v>
      </c>
      <c r="K24" s="90">
        <v>1</v>
      </c>
      <c r="L24" s="94">
        <f t="shared" si="0"/>
        <v>1</v>
      </c>
      <c r="M24" s="95">
        <f t="shared" ref="M24" si="5">DAYS360(E24,$C$8)/DAYS360(E24,F24)</f>
        <v>1</v>
      </c>
      <c r="N24" s="88">
        <f t="shared" ref="N24" si="6">IF(J24=0," -",IF(L24&gt;100%,100%,L24))</f>
        <v>1</v>
      </c>
      <c r="O24" s="92" t="s">
        <v>76</v>
      </c>
      <c r="P24" s="86">
        <v>0</v>
      </c>
      <c r="Q24" s="86">
        <v>0</v>
      </c>
      <c r="R24" s="90">
        <v>0</v>
      </c>
      <c r="S24" s="87" t="str">
        <f t="shared" ref="S24" si="7">IF(P24=0," -",Q24/P24)</f>
        <v xml:space="preserve"> -</v>
      </c>
      <c r="T24" s="88" t="str">
        <f t="shared" ref="T24" si="8">IF(R24=0," -",IF(Q24=0,100%,R24/Q24))</f>
        <v xml:space="preserve"> -</v>
      </c>
    </row>
    <row r="25" spans="2:20" ht="21" customHeight="1" thickBot="1">
      <c r="M25" s="27">
        <f>+AVERAGE(M12:M15,M17:M22,M24)</f>
        <v>1</v>
      </c>
      <c r="N25" s="28">
        <f>+AVERAGE(N12:N15,N17:N22,N24)</f>
        <v>0.95454545454545459</v>
      </c>
      <c r="O25" s="29"/>
      <c r="P25" s="30">
        <f>+SUM(P12:P15,P17:P22,P24)</f>
        <v>28032301</v>
      </c>
      <c r="Q25" s="31">
        <f>+SUM(Q12:Q15,Q17:Q22,Q24)</f>
        <v>24198204</v>
      </c>
      <c r="R25" s="31">
        <f>+SUM(R12:R15,R17:R22,R24)</f>
        <v>0</v>
      </c>
      <c r="S25" s="32">
        <f t="shared" si="3"/>
        <v>0.86322574803973462</v>
      </c>
      <c r="T25" s="28" t="str">
        <f t="shared" si="4"/>
        <v xml:space="preserve"> -</v>
      </c>
    </row>
  </sheetData>
  <mergeCells count="23">
    <mergeCell ref="M10:M11"/>
    <mergeCell ref="N10:N11"/>
    <mergeCell ref="B12:B22"/>
    <mergeCell ref="C12:C15"/>
    <mergeCell ref="D12:D14"/>
    <mergeCell ref="C17:C22"/>
    <mergeCell ref="D18:D22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5" t="s">
        <v>16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</row>
    <row r="3" spans="2:20" ht="20" customHeight="1">
      <c r="B3" s="225" t="s">
        <v>19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</row>
    <row r="4" spans="2:20" ht="20" customHeight="1">
      <c r="B4" s="225" t="s">
        <v>27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18">
        <v>43465</v>
      </c>
      <c r="D8" s="226" t="s">
        <v>3</v>
      </c>
      <c r="E8" s="227"/>
      <c r="F8" s="227"/>
      <c r="G8" s="227"/>
      <c r="H8" s="227"/>
      <c r="I8" s="227"/>
      <c r="J8" s="227"/>
      <c r="K8" s="22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9" t="s">
        <v>17</v>
      </c>
      <c r="C9" s="232" t="s">
        <v>18</v>
      </c>
      <c r="D9" s="234" t="s">
        <v>0</v>
      </c>
      <c r="E9" s="237" t="s">
        <v>4</v>
      </c>
      <c r="F9" s="237"/>
      <c r="G9" s="237" t="s">
        <v>5</v>
      </c>
      <c r="H9" s="237"/>
      <c r="I9" s="237"/>
      <c r="J9" s="237"/>
      <c r="K9" s="239"/>
      <c r="L9" s="5"/>
      <c r="M9" s="234" t="s">
        <v>6</v>
      </c>
      <c r="N9" s="239"/>
      <c r="O9" s="248" t="s">
        <v>24</v>
      </c>
      <c r="P9" s="249"/>
      <c r="Q9" s="249"/>
      <c r="R9" s="249"/>
      <c r="S9" s="249"/>
      <c r="T9" s="250"/>
    </row>
    <row r="10" spans="2:20" ht="17" customHeight="1">
      <c r="B10" s="230"/>
      <c r="C10" s="233"/>
      <c r="D10" s="235"/>
      <c r="E10" s="238"/>
      <c r="F10" s="238"/>
      <c r="G10" s="238" t="s">
        <v>7</v>
      </c>
      <c r="H10" s="217" t="s">
        <v>25</v>
      </c>
      <c r="I10" s="217" t="s">
        <v>26</v>
      </c>
      <c r="J10" s="242" t="s">
        <v>1</v>
      </c>
      <c r="K10" s="240" t="s">
        <v>8</v>
      </c>
      <c r="L10" s="6"/>
      <c r="M10" s="244" t="s">
        <v>9</v>
      </c>
      <c r="N10" s="246" t="s">
        <v>10</v>
      </c>
      <c r="O10" s="251"/>
      <c r="P10" s="252"/>
      <c r="Q10" s="252"/>
      <c r="R10" s="252"/>
      <c r="S10" s="252"/>
      <c r="T10" s="253"/>
    </row>
    <row r="11" spans="2:20" ht="37.5" customHeight="1" thickBot="1">
      <c r="B11" s="231"/>
      <c r="C11" s="233"/>
      <c r="D11" s="236"/>
      <c r="E11" s="19" t="s">
        <v>11</v>
      </c>
      <c r="F11" s="19" t="s">
        <v>12</v>
      </c>
      <c r="G11" s="217"/>
      <c r="H11" s="218"/>
      <c r="I11" s="254"/>
      <c r="J11" s="243"/>
      <c r="K11" s="241"/>
      <c r="L11" s="10"/>
      <c r="M11" s="245"/>
      <c r="N11" s="247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60">
      <c r="B12" s="222" t="s">
        <v>44</v>
      </c>
      <c r="C12" s="222" t="s">
        <v>42</v>
      </c>
      <c r="D12" s="219" t="s">
        <v>38</v>
      </c>
      <c r="E12" s="35">
        <v>43101</v>
      </c>
      <c r="F12" s="35">
        <v>43465</v>
      </c>
      <c r="G12" s="69" t="s">
        <v>28</v>
      </c>
      <c r="H12" s="36">
        <v>1</v>
      </c>
      <c r="I12" s="97">
        <f>+J12</f>
        <v>1</v>
      </c>
      <c r="J12" s="36">
        <v>1</v>
      </c>
      <c r="K12" s="55">
        <v>1</v>
      </c>
      <c r="L12" s="60">
        <f>+K12/J12</f>
        <v>1</v>
      </c>
      <c r="M12" s="65">
        <f>DAYS360(E12,$C$8)/DAYS360(E12,F12)</f>
        <v>1</v>
      </c>
      <c r="N12" s="38">
        <f>IF(J12=0," -",IF(L12&gt;100%,100%,L12))</f>
        <v>1</v>
      </c>
      <c r="O12" s="71" t="s">
        <v>76</v>
      </c>
      <c r="P12" s="36">
        <v>0</v>
      </c>
      <c r="Q12" s="36">
        <v>0</v>
      </c>
      <c r="R12" s="36">
        <v>0</v>
      </c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>
      <c r="B13" s="223"/>
      <c r="C13" s="223"/>
      <c r="D13" s="220"/>
      <c r="E13" s="33">
        <v>43101</v>
      </c>
      <c r="F13" s="33">
        <v>43465</v>
      </c>
      <c r="G13" s="8" t="s">
        <v>29</v>
      </c>
      <c r="H13" s="34">
        <v>4</v>
      </c>
      <c r="I13" s="34">
        <f>+J13+('2017'!I13-'2017'!K13)</f>
        <v>1</v>
      </c>
      <c r="J13" s="34">
        <v>1</v>
      </c>
      <c r="K13" s="56">
        <v>1</v>
      </c>
      <c r="L13" s="12">
        <f t="shared" ref="L13:L22" si="0">+K13/J13</f>
        <v>1</v>
      </c>
      <c r="M13" s="13">
        <f t="shared" ref="M13:M22" si="1">DAYS360(E13,$C$8)/DAYS360(E13,F13)</f>
        <v>1</v>
      </c>
      <c r="N13" s="14">
        <f t="shared" ref="N13:N22" si="2">IF(J13=0," -",IF(L13&gt;100%,100%,L13))</f>
        <v>1</v>
      </c>
      <c r="O13" s="72" t="s">
        <v>76</v>
      </c>
      <c r="P13" s="34">
        <v>0</v>
      </c>
      <c r="Q13" s="34">
        <v>0</v>
      </c>
      <c r="R13" s="34">
        <v>0</v>
      </c>
      <c r="S13" s="17" t="str">
        <f t="shared" ref="S13:S22" si="3">IF(P13=0," -",Q13/P13)</f>
        <v xml:space="preserve"> -</v>
      </c>
      <c r="T13" s="14" t="str">
        <f t="shared" ref="T13:T22" si="4">IF(R13=0," -",IF(Q13=0,100%,R13/Q13))</f>
        <v xml:space="preserve"> -</v>
      </c>
    </row>
    <row r="14" spans="2:20" ht="61" thickBot="1">
      <c r="B14" s="223"/>
      <c r="C14" s="223"/>
      <c r="D14" s="221"/>
      <c r="E14" s="39">
        <v>43101</v>
      </c>
      <c r="F14" s="39">
        <v>43465</v>
      </c>
      <c r="G14" s="40" t="s">
        <v>30</v>
      </c>
      <c r="H14" s="41">
        <v>4</v>
      </c>
      <c r="I14" s="41">
        <f>+J14+('2017'!I14-'2017'!K14)</f>
        <v>1</v>
      </c>
      <c r="J14" s="41">
        <v>1</v>
      </c>
      <c r="K14" s="57">
        <v>1</v>
      </c>
      <c r="L14" s="61">
        <f t="shared" si="0"/>
        <v>1</v>
      </c>
      <c r="M14" s="66">
        <f t="shared" si="1"/>
        <v>1</v>
      </c>
      <c r="N14" s="43">
        <f t="shared" si="2"/>
        <v>1</v>
      </c>
      <c r="O14" s="73" t="s">
        <v>76</v>
      </c>
      <c r="P14" s="41">
        <v>0</v>
      </c>
      <c r="Q14" s="41">
        <v>0</v>
      </c>
      <c r="R14" s="41">
        <v>0</v>
      </c>
      <c r="S14" s="42" t="str">
        <f t="shared" si="3"/>
        <v xml:space="preserve"> -</v>
      </c>
      <c r="T14" s="43" t="str">
        <f t="shared" si="4"/>
        <v xml:space="preserve"> -</v>
      </c>
    </row>
    <row r="15" spans="2:20" ht="61" thickBot="1">
      <c r="B15" s="223"/>
      <c r="C15" s="224"/>
      <c r="D15" s="53" t="s">
        <v>39</v>
      </c>
      <c r="E15" s="48">
        <v>43101</v>
      </c>
      <c r="F15" s="48">
        <v>43465</v>
      </c>
      <c r="G15" s="49" t="s">
        <v>31</v>
      </c>
      <c r="H15" s="50">
        <v>7</v>
      </c>
      <c r="I15" s="99">
        <f>+J15+('2017'!I15-'2017'!K15)</f>
        <v>2</v>
      </c>
      <c r="J15" s="50">
        <v>2</v>
      </c>
      <c r="K15" s="58">
        <v>2</v>
      </c>
      <c r="L15" s="62">
        <f t="shared" si="0"/>
        <v>1</v>
      </c>
      <c r="M15" s="67">
        <f t="shared" si="1"/>
        <v>1</v>
      </c>
      <c r="N15" s="52">
        <f t="shared" si="2"/>
        <v>1</v>
      </c>
      <c r="O15" s="74">
        <v>0</v>
      </c>
      <c r="P15" s="50">
        <v>0</v>
      </c>
      <c r="Q15" s="50">
        <v>0</v>
      </c>
      <c r="R15" s="50">
        <v>0</v>
      </c>
      <c r="S15" s="51" t="str">
        <f t="shared" si="3"/>
        <v xml:space="preserve"> -</v>
      </c>
      <c r="T15" s="52" t="str">
        <f t="shared" si="4"/>
        <v xml:space="preserve"> -</v>
      </c>
    </row>
    <row r="16" spans="2:20" ht="13" customHeight="1" thickBot="1">
      <c r="B16" s="223"/>
      <c r="C16" s="24"/>
      <c r="D16" s="25"/>
      <c r="E16" s="26"/>
      <c r="F16" s="26"/>
      <c r="G16" s="22"/>
      <c r="H16" s="23"/>
      <c r="I16" s="98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91" thickBot="1">
      <c r="B17" s="223"/>
      <c r="C17" s="222" t="s">
        <v>43</v>
      </c>
      <c r="D17" s="54" t="s">
        <v>40</v>
      </c>
      <c r="E17" s="44">
        <v>43101</v>
      </c>
      <c r="F17" s="44">
        <v>43465</v>
      </c>
      <c r="G17" s="70" t="s">
        <v>32</v>
      </c>
      <c r="H17" s="45">
        <v>1</v>
      </c>
      <c r="I17" s="50">
        <f>+J17</f>
        <v>1</v>
      </c>
      <c r="J17" s="45">
        <v>1</v>
      </c>
      <c r="K17" s="59">
        <v>1</v>
      </c>
      <c r="L17" s="63">
        <f t="shared" si="0"/>
        <v>1</v>
      </c>
      <c r="M17" s="64">
        <f t="shared" si="1"/>
        <v>1</v>
      </c>
      <c r="N17" s="47">
        <f t="shared" si="2"/>
        <v>1</v>
      </c>
      <c r="O17" s="75">
        <v>2210301</v>
      </c>
      <c r="P17" s="45">
        <v>40410002</v>
      </c>
      <c r="Q17" s="45">
        <v>38128921</v>
      </c>
      <c r="R17" s="45">
        <v>0</v>
      </c>
      <c r="S17" s="46">
        <f t="shared" si="3"/>
        <v>0.94355157418700453</v>
      </c>
      <c r="T17" s="47" t="str">
        <f t="shared" si="4"/>
        <v xml:space="preserve"> -</v>
      </c>
    </row>
    <row r="18" spans="2:20" ht="30">
      <c r="B18" s="223"/>
      <c r="C18" s="223"/>
      <c r="D18" s="219" t="s">
        <v>41</v>
      </c>
      <c r="E18" s="35">
        <v>43101</v>
      </c>
      <c r="F18" s="35">
        <v>43465</v>
      </c>
      <c r="G18" s="69" t="s">
        <v>33</v>
      </c>
      <c r="H18" s="36">
        <v>3</v>
      </c>
      <c r="I18" s="97">
        <f>+J18</f>
        <v>3</v>
      </c>
      <c r="J18" s="36">
        <v>3</v>
      </c>
      <c r="K18" s="55">
        <v>3</v>
      </c>
      <c r="L18" s="60">
        <f t="shared" si="0"/>
        <v>1</v>
      </c>
      <c r="M18" s="65">
        <f t="shared" si="1"/>
        <v>1</v>
      </c>
      <c r="N18" s="38">
        <f t="shared" si="2"/>
        <v>1</v>
      </c>
      <c r="O18" s="71" t="s">
        <v>76</v>
      </c>
      <c r="P18" s="36">
        <v>0</v>
      </c>
      <c r="Q18" s="36">
        <v>0</v>
      </c>
      <c r="R18" s="36">
        <v>0</v>
      </c>
      <c r="S18" s="37" t="str">
        <f t="shared" si="3"/>
        <v xml:space="preserve"> -</v>
      </c>
      <c r="T18" s="38" t="str">
        <f t="shared" si="4"/>
        <v xml:space="preserve"> -</v>
      </c>
    </row>
    <row r="19" spans="2:20" ht="60">
      <c r="B19" s="223"/>
      <c r="C19" s="223"/>
      <c r="D19" s="220"/>
      <c r="E19" s="33">
        <v>43101</v>
      </c>
      <c r="F19" s="33">
        <v>43465</v>
      </c>
      <c r="G19" s="8" t="s">
        <v>34</v>
      </c>
      <c r="H19" s="34">
        <v>16</v>
      </c>
      <c r="I19" s="34">
        <f>+J19+('2017'!I19-'2017'!K19)</f>
        <v>4</v>
      </c>
      <c r="J19" s="34">
        <v>4</v>
      </c>
      <c r="K19" s="56">
        <v>3</v>
      </c>
      <c r="L19" s="12">
        <f t="shared" si="0"/>
        <v>0.75</v>
      </c>
      <c r="M19" s="13">
        <f t="shared" si="1"/>
        <v>1</v>
      </c>
      <c r="N19" s="14">
        <f t="shared" si="2"/>
        <v>0.75</v>
      </c>
      <c r="O19" s="72" t="s">
        <v>76</v>
      </c>
      <c r="P19" s="34">
        <v>0</v>
      </c>
      <c r="Q19" s="34">
        <v>0</v>
      </c>
      <c r="R19" s="34">
        <v>0</v>
      </c>
      <c r="S19" s="17" t="str">
        <f t="shared" si="3"/>
        <v xml:space="preserve"> -</v>
      </c>
      <c r="T19" s="14" t="str">
        <f t="shared" si="4"/>
        <v xml:space="preserve"> -</v>
      </c>
    </row>
    <row r="20" spans="2:20" ht="45">
      <c r="B20" s="223"/>
      <c r="C20" s="223"/>
      <c r="D20" s="220"/>
      <c r="E20" s="33">
        <v>43101</v>
      </c>
      <c r="F20" s="33">
        <v>43465</v>
      </c>
      <c r="G20" s="8" t="s">
        <v>35</v>
      </c>
      <c r="H20" s="34">
        <v>1</v>
      </c>
      <c r="I20" s="34">
        <f>+J20</f>
        <v>1</v>
      </c>
      <c r="J20" s="34">
        <v>1</v>
      </c>
      <c r="K20" s="76">
        <v>0.7</v>
      </c>
      <c r="L20" s="12">
        <f t="shared" si="0"/>
        <v>0.7</v>
      </c>
      <c r="M20" s="13">
        <f t="shared" si="1"/>
        <v>1</v>
      </c>
      <c r="N20" s="14">
        <f t="shared" si="2"/>
        <v>0.7</v>
      </c>
      <c r="O20" s="72">
        <v>2210277</v>
      </c>
      <c r="P20" s="34">
        <v>285000</v>
      </c>
      <c r="Q20" s="34">
        <v>285000</v>
      </c>
      <c r="R20" s="34">
        <v>0</v>
      </c>
      <c r="S20" s="17">
        <f t="shared" si="3"/>
        <v>1</v>
      </c>
      <c r="T20" s="14" t="str">
        <f t="shared" si="4"/>
        <v xml:space="preserve"> -</v>
      </c>
    </row>
    <row r="21" spans="2:20" ht="30" customHeight="1">
      <c r="B21" s="223"/>
      <c r="C21" s="223"/>
      <c r="D21" s="220"/>
      <c r="E21" s="33">
        <v>43101</v>
      </c>
      <c r="F21" s="33">
        <v>43465</v>
      </c>
      <c r="G21" s="8" t="s">
        <v>36</v>
      </c>
      <c r="H21" s="34">
        <v>1</v>
      </c>
      <c r="I21" s="34">
        <f>+J21+('2017'!I21-'2017'!K21)</f>
        <v>0</v>
      </c>
      <c r="J21" s="34">
        <v>0</v>
      </c>
      <c r="K21" s="56">
        <v>0</v>
      </c>
      <c r="L21" s="12" t="e">
        <f t="shared" si="0"/>
        <v>#DIV/0!</v>
      </c>
      <c r="M21" s="13">
        <f t="shared" si="1"/>
        <v>1</v>
      </c>
      <c r="N21" s="14" t="str">
        <f t="shared" si="2"/>
        <v xml:space="preserve"> -</v>
      </c>
      <c r="O21" s="72" t="s">
        <v>76</v>
      </c>
      <c r="P21" s="34">
        <v>0</v>
      </c>
      <c r="Q21" s="34">
        <v>0</v>
      </c>
      <c r="R21" s="34">
        <v>0</v>
      </c>
      <c r="S21" s="17" t="str">
        <f t="shared" si="3"/>
        <v xml:space="preserve"> -</v>
      </c>
      <c r="T21" s="14" t="str">
        <f t="shared" si="4"/>
        <v xml:space="preserve"> -</v>
      </c>
    </row>
    <row r="22" spans="2:20" ht="31" thickBot="1">
      <c r="B22" s="224"/>
      <c r="C22" s="224"/>
      <c r="D22" s="221"/>
      <c r="E22" s="39">
        <v>43101</v>
      </c>
      <c r="F22" s="39">
        <v>43465</v>
      </c>
      <c r="G22" s="40" t="s">
        <v>37</v>
      </c>
      <c r="H22" s="41">
        <v>5</v>
      </c>
      <c r="I22" s="96">
        <f>+J22+('2017'!I22-'2017'!K22)</f>
        <v>0</v>
      </c>
      <c r="J22" s="41">
        <v>0</v>
      </c>
      <c r="K22" s="57">
        <v>3</v>
      </c>
      <c r="L22" s="61" t="e">
        <f t="shared" si="0"/>
        <v>#DIV/0!</v>
      </c>
      <c r="M22" s="66">
        <f t="shared" si="1"/>
        <v>1</v>
      </c>
      <c r="N22" s="43" t="str">
        <f t="shared" si="2"/>
        <v xml:space="preserve"> -</v>
      </c>
      <c r="O22" s="73">
        <v>2210277</v>
      </c>
      <c r="P22" s="41">
        <v>1515800</v>
      </c>
      <c r="Q22" s="41">
        <v>815432</v>
      </c>
      <c r="R22" s="41">
        <v>0</v>
      </c>
      <c r="S22" s="42">
        <f t="shared" si="3"/>
        <v>0.53795487531336583</v>
      </c>
      <c r="T22" s="43" t="str">
        <f t="shared" si="4"/>
        <v xml:space="preserve"> -</v>
      </c>
    </row>
    <row r="23" spans="2:20" ht="13" customHeight="1" thickBot="1">
      <c r="B23" s="83"/>
      <c r="C23" s="77"/>
      <c r="D23" s="77"/>
      <c r="E23" s="78"/>
      <c r="F23" s="78"/>
      <c r="G23" s="77"/>
      <c r="H23" s="79"/>
      <c r="I23" s="100"/>
      <c r="J23" s="79"/>
      <c r="K23" s="79"/>
      <c r="L23" s="80"/>
      <c r="M23" s="81"/>
      <c r="N23" s="81"/>
      <c r="O23" s="77"/>
      <c r="P23" s="79"/>
      <c r="Q23" s="79"/>
      <c r="R23" s="79"/>
      <c r="S23" s="81"/>
      <c r="T23" s="82"/>
    </row>
    <row r="24" spans="2:20" ht="46" customHeight="1" thickBot="1">
      <c r="B24" s="89" t="s">
        <v>45</v>
      </c>
      <c r="C24" s="93" t="s">
        <v>46</v>
      </c>
      <c r="D24" s="91" t="s">
        <v>47</v>
      </c>
      <c r="E24" s="84">
        <v>43101</v>
      </c>
      <c r="F24" s="84">
        <v>43465</v>
      </c>
      <c r="G24" s="85" t="s">
        <v>48</v>
      </c>
      <c r="H24" s="86">
        <v>1</v>
      </c>
      <c r="I24" s="50">
        <f>+J24+('2017'!I24-'2017'!K24)</f>
        <v>0</v>
      </c>
      <c r="J24" s="86">
        <v>0</v>
      </c>
      <c r="K24" s="90">
        <v>0</v>
      </c>
      <c r="L24" s="94" t="e">
        <f t="shared" ref="L24" si="5">+K24/J24</f>
        <v>#DIV/0!</v>
      </c>
      <c r="M24" s="95">
        <f t="shared" ref="M24" si="6">DAYS360(E24,$C$8)/DAYS360(E24,F24)</f>
        <v>1</v>
      </c>
      <c r="N24" s="88" t="str">
        <f t="shared" ref="N24" si="7">IF(J24=0," -",IF(L24&gt;100%,100%,L24))</f>
        <v xml:space="preserve"> -</v>
      </c>
      <c r="O24" s="92" t="s">
        <v>76</v>
      </c>
      <c r="P24" s="86">
        <v>0</v>
      </c>
      <c r="Q24" s="86">
        <v>0</v>
      </c>
      <c r="R24" s="90">
        <v>0</v>
      </c>
      <c r="S24" s="87" t="str">
        <f t="shared" ref="S24:S25" si="8">IF(P24=0," -",Q24/P24)</f>
        <v xml:space="preserve"> -</v>
      </c>
      <c r="T24" s="88" t="str">
        <f t="shared" ref="T24:T25" si="9">IF(R24=0," -",IF(Q24=0,100%,R24/Q24))</f>
        <v xml:space="preserve"> -</v>
      </c>
    </row>
    <row r="25" spans="2:20" ht="21" customHeight="1" thickBot="1">
      <c r="M25" s="27">
        <f>+AVERAGE(M12:M15,M17:M22,M24)</f>
        <v>1</v>
      </c>
      <c r="N25" s="28">
        <f>+AVERAGE(N12:N15,N17:N22,N24)</f>
        <v>0.93125000000000002</v>
      </c>
      <c r="O25" s="29"/>
      <c r="P25" s="30">
        <f>+SUM(P12:P15,P17:P22,P24)</f>
        <v>42210802</v>
      </c>
      <c r="Q25" s="31">
        <f>+SUM(Q12:Q15,Q17:Q22,Q24)</f>
        <v>39229353</v>
      </c>
      <c r="R25" s="31">
        <f>+SUM(R12:R15,R17:R22,R24)</f>
        <v>0</v>
      </c>
      <c r="S25" s="32">
        <f t="shared" si="8"/>
        <v>0.92936762964134156</v>
      </c>
      <c r="T25" s="28" t="str">
        <f t="shared" si="9"/>
        <v xml:space="preserve"> -</v>
      </c>
    </row>
  </sheetData>
  <mergeCells count="23">
    <mergeCell ref="M10:M11"/>
    <mergeCell ref="N10:N11"/>
    <mergeCell ref="B12:B22"/>
    <mergeCell ref="C12:C15"/>
    <mergeCell ref="D12:D14"/>
    <mergeCell ref="C17:C22"/>
    <mergeCell ref="D18:D22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5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25" t="s">
        <v>16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</row>
    <row r="3" spans="2:20" ht="20" customHeight="1">
      <c r="B3" s="225" t="s">
        <v>19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</row>
    <row r="4" spans="2:20" ht="20" customHeight="1">
      <c r="B4" s="225" t="s">
        <v>27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18">
        <v>43830</v>
      </c>
      <c r="D8" s="226" t="s">
        <v>3</v>
      </c>
      <c r="E8" s="227"/>
      <c r="F8" s="227"/>
      <c r="G8" s="227"/>
      <c r="H8" s="227"/>
      <c r="I8" s="227"/>
      <c r="J8" s="227"/>
      <c r="K8" s="22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29" t="s">
        <v>17</v>
      </c>
      <c r="C9" s="232" t="s">
        <v>18</v>
      </c>
      <c r="D9" s="234" t="s">
        <v>0</v>
      </c>
      <c r="E9" s="237" t="s">
        <v>4</v>
      </c>
      <c r="F9" s="237"/>
      <c r="G9" s="237" t="s">
        <v>5</v>
      </c>
      <c r="H9" s="237"/>
      <c r="I9" s="237"/>
      <c r="J9" s="237"/>
      <c r="K9" s="239"/>
      <c r="L9" s="5"/>
      <c r="M9" s="234" t="s">
        <v>6</v>
      </c>
      <c r="N9" s="239"/>
      <c r="O9" s="248" t="s">
        <v>24</v>
      </c>
      <c r="P9" s="249"/>
      <c r="Q9" s="249"/>
      <c r="R9" s="249"/>
      <c r="S9" s="249"/>
      <c r="T9" s="250"/>
    </row>
    <row r="10" spans="2:20" ht="17" customHeight="1">
      <c r="B10" s="230"/>
      <c r="C10" s="233"/>
      <c r="D10" s="235"/>
      <c r="E10" s="238"/>
      <c r="F10" s="238"/>
      <c r="G10" s="238" t="s">
        <v>7</v>
      </c>
      <c r="H10" s="217" t="s">
        <v>25</v>
      </c>
      <c r="I10" s="217" t="s">
        <v>26</v>
      </c>
      <c r="J10" s="242" t="s">
        <v>1</v>
      </c>
      <c r="K10" s="240" t="s">
        <v>8</v>
      </c>
      <c r="L10" s="6"/>
      <c r="M10" s="244" t="s">
        <v>9</v>
      </c>
      <c r="N10" s="246" t="s">
        <v>10</v>
      </c>
      <c r="O10" s="251"/>
      <c r="P10" s="252"/>
      <c r="Q10" s="252"/>
      <c r="R10" s="252"/>
      <c r="S10" s="252"/>
      <c r="T10" s="253"/>
    </row>
    <row r="11" spans="2:20" ht="37.5" customHeight="1" thickBot="1">
      <c r="B11" s="231"/>
      <c r="C11" s="233"/>
      <c r="D11" s="236"/>
      <c r="E11" s="19" t="s">
        <v>11</v>
      </c>
      <c r="F11" s="19" t="s">
        <v>12</v>
      </c>
      <c r="G11" s="217"/>
      <c r="H11" s="218"/>
      <c r="I11" s="254"/>
      <c r="J11" s="243"/>
      <c r="K11" s="241"/>
      <c r="L11" s="10"/>
      <c r="M11" s="245"/>
      <c r="N11" s="247"/>
      <c r="O11" s="11" t="s">
        <v>23</v>
      </c>
      <c r="P11" s="20" t="s">
        <v>20</v>
      </c>
      <c r="Q11" s="21" t="s">
        <v>21</v>
      </c>
      <c r="R11" s="15" t="s">
        <v>22</v>
      </c>
      <c r="S11" s="15" t="s">
        <v>14</v>
      </c>
      <c r="T11" s="16" t="s">
        <v>15</v>
      </c>
    </row>
    <row r="12" spans="2:20" ht="60">
      <c r="B12" s="222" t="s">
        <v>44</v>
      </c>
      <c r="C12" s="222" t="s">
        <v>42</v>
      </c>
      <c r="D12" s="219" t="s">
        <v>38</v>
      </c>
      <c r="E12" s="35">
        <v>43466</v>
      </c>
      <c r="F12" s="35">
        <v>43830</v>
      </c>
      <c r="G12" s="69" t="s">
        <v>28</v>
      </c>
      <c r="H12" s="36">
        <v>1</v>
      </c>
      <c r="I12" s="97">
        <f>+J12</f>
        <v>1</v>
      </c>
      <c r="J12" s="36">
        <v>1</v>
      </c>
      <c r="K12" s="55">
        <v>1</v>
      </c>
      <c r="L12" s="60">
        <f>+K12/J12</f>
        <v>1</v>
      </c>
      <c r="M12" s="65">
        <f>DAYS360(E12,$C$8)/DAYS360(E12,F12)</f>
        <v>1</v>
      </c>
      <c r="N12" s="38">
        <f>IF(J12=0," -",IF(L12&gt;100%,100%,L12))</f>
        <v>1</v>
      </c>
      <c r="O12" s="71" t="s">
        <v>76</v>
      </c>
      <c r="P12" s="36">
        <v>0</v>
      </c>
      <c r="Q12" s="36">
        <v>0</v>
      </c>
      <c r="R12" s="36">
        <v>0</v>
      </c>
      <c r="S12" s="37" t="str">
        <f>IF(P12=0," -",Q12/P12)</f>
        <v xml:space="preserve"> -</v>
      </c>
      <c r="T12" s="38" t="str">
        <f>IF(R12=0," -",IF(Q12=0,100%,R12/Q12))</f>
        <v xml:space="preserve"> -</v>
      </c>
    </row>
    <row r="13" spans="2:20" ht="60">
      <c r="B13" s="223"/>
      <c r="C13" s="223"/>
      <c r="D13" s="220"/>
      <c r="E13" s="33">
        <v>43466</v>
      </c>
      <c r="F13" s="33">
        <v>43830</v>
      </c>
      <c r="G13" s="8" t="s">
        <v>29</v>
      </c>
      <c r="H13" s="34">
        <v>4</v>
      </c>
      <c r="I13" s="34">
        <f>+J13+('2018'!I13-'2018'!K13)</f>
        <v>1</v>
      </c>
      <c r="J13" s="34">
        <v>1</v>
      </c>
      <c r="K13" s="56">
        <v>1</v>
      </c>
      <c r="L13" s="12">
        <f t="shared" ref="L13:L22" si="0">+K13/J13</f>
        <v>1</v>
      </c>
      <c r="M13" s="13">
        <f t="shared" ref="M13:M22" si="1">DAYS360(E13,$C$8)/DAYS360(E13,F13)</f>
        <v>1</v>
      </c>
      <c r="N13" s="14">
        <f t="shared" ref="N13:N22" si="2">IF(J13=0," -",IF(L13&gt;100%,100%,L13))</f>
        <v>1</v>
      </c>
      <c r="O13" s="72" t="s">
        <v>76</v>
      </c>
      <c r="P13" s="34">
        <v>0</v>
      </c>
      <c r="Q13" s="34">
        <v>0</v>
      </c>
      <c r="R13" s="34">
        <v>0</v>
      </c>
      <c r="S13" s="17" t="str">
        <f t="shared" ref="S13:S22" si="3">IF(P13=0," -",Q13/P13)</f>
        <v xml:space="preserve"> -</v>
      </c>
      <c r="T13" s="14" t="str">
        <f t="shared" ref="T13:T22" si="4">IF(R13=0," -",IF(Q13=0,100%,R13/Q13))</f>
        <v xml:space="preserve"> -</v>
      </c>
    </row>
    <row r="14" spans="2:20" ht="61" thickBot="1">
      <c r="B14" s="223"/>
      <c r="C14" s="223"/>
      <c r="D14" s="221"/>
      <c r="E14" s="39">
        <v>43466</v>
      </c>
      <c r="F14" s="39">
        <v>43830</v>
      </c>
      <c r="G14" s="40" t="s">
        <v>30</v>
      </c>
      <c r="H14" s="41">
        <v>4</v>
      </c>
      <c r="I14" s="41">
        <f>+J14+('2018'!I14-'2018'!K14)</f>
        <v>1</v>
      </c>
      <c r="J14" s="41">
        <v>1</v>
      </c>
      <c r="K14" s="57">
        <v>1</v>
      </c>
      <c r="L14" s="61">
        <f t="shared" si="0"/>
        <v>1</v>
      </c>
      <c r="M14" s="66">
        <f t="shared" si="1"/>
        <v>1</v>
      </c>
      <c r="N14" s="43">
        <f t="shared" si="2"/>
        <v>1</v>
      </c>
      <c r="O14" s="73" t="s">
        <v>76</v>
      </c>
      <c r="P14" s="41">
        <v>0</v>
      </c>
      <c r="Q14" s="41">
        <v>0</v>
      </c>
      <c r="R14" s="41">
        <v>0</v>
      </c>
      <c r="S14" s="42" t="str">
        <f t="shared" si="3"/>
        <v xml:space="preserve"> -</v>
      </c>
      <c r="T14" s="43" t="str">
        <f t="shared" si="4"/>
        <v xml:space="preserve"> -</v>
      </c>
    </row>
    <row r="15" spans="2:20" ht="61" thickBot="1">
      <c r="B15" s="223"/>
      <c r="C15" s="224"/>
      <c r="D15" s="53" t="s">
        <v>39</v>
      </c>
      <c r="E15" s="48">
        <v>43466</v>
      </c>
      <c r="F15" s="48">
        <v>43830</v>
      </c>
      <c r="G15" s="49" t="s">
        <v>31</v>
      </c>
      <c r="H15" s="50">
        <v>7</v>
      </c>
      <c r="I15" s="99">
        <f>+J15+('2018'!I15-'2018'!K15)</f>
        <v>2</v>
      </c>
      <c r="J15" s="50">
        <v>2</v>
      </c>
      <c r="K15" s="58">
        <v>2</v>
      </c>
      <c r="L15" s="62">
        <f t="shared" si="0"/>
        <v>1</v>
      </c>
      <c r="M15" s="67">
        <f t="shared" si="1"/>
        <v>1</v>
      </c>
      <c r="N15" s="52">
        <f t="shared" si="2"/>
        <v>1</v>
      </c>
      <c r="O15" s="74">
        <v>0</v>
      </c>
      <c r="P15" s="50">
        <v>0</v>
      </c>
      <c r="Q15" s="50">
        <v>0</v>
      </c>
      <c r="R15" s="50">
        <v>0</v>
      </c>
      <c r="S15" s="51" t="str">
        <f t="shared" si="3"/>
        <v xml:space="preserve"> -</v>
      </c>
      <c r="T15" s="52" t="str">
        <f t="shared" si="4"/>
        <v xml:space="preserve"> -</v>
      </c>
    </row>
    <row r="16" spans="2:20" ht="13" customHeight="1" thickBot="1">
      <c r="B16" s="223"/>
      <c r="C16" s="24"/>
      <c r="D16" s="25"/>
      <c r="E16" s="26"/>
      <c r="F16" s="26"/>
      <c r="G16" s="22"/>
      <c r="H16" s="23"/>
      <c r="I16" s="98"/>
      <c r="J16" s="23"/>
      <c r="K16" s="23"/>
      <c r="L16" s="22"/>
      <c r="M16" s="22"/>
      <c r="N16" s="22"/>
      <c r="O16" s="24"/>
      <c r="P16" s="23"/>
      <c r="Q16" s="23"/>
      <c r="R16" s="23"/>
      <c r="S16" s="68"/>
      <c r="T16" s="9"/>
    </row>
    <row r="17" spans="2:20" ht="91" thickBot="1">
      <c r="B17" s="223"/>
      <c r="C17" s="222" t="s">
        <v>43</v>
      </c>
      <c r="D17" s="54" t="s">
        <v>40</v>
      </c>
      <c r="E17" s="44">
        <v>43466</v>
      </c>
      <c r="F17" s="44">
        <v>43830</v>
      </c>
      <c r="G17" s="70" t="s">
        <v>32</v>
      </c>
      <c r="H17" s="45">
        <v>1</v>
      </c>
      <c r="I17" s="50">
        <f>+J17</f>
        <v>1</v>
      </c>
      <c r="J17" s="45">
        <v>1</v>
      </c>
      <c r="K17" s="59">
        <v>1</v>
      </c>
      <c r="L17" s="63">
        <f t="shared" si="0"/>
        <v>1</v>
      </c>
      <c r="M17" s="64">
        <f t="shared" si="1"/>
        <v>1</v>
      </c>
      <c r="N17" s="47">
        <f t="shared" si="2"/>
        <v>1</v>
      </c>
      <c r="O17" s="75">
        <v>2210301</v>
      </c>
      <c r="P17" s="45">
        <v>24322146</v>
      </c>
      <c r="Q17" s="45">
        <v>24322146</v>
      </c>
      <c r="R17" s="45">
        <v>0</v>
      </c>
      <c r="S17" s="46">
        <f t="shared" si="3"/>
        <v>1</v>
      </c>
      <c r="T17" s="47" t="str">
        <f t="shared" si="4"/>
        <v xml:space="preserve"> -</v>
      </c>
    </row>
    <row r="18" spans="2:20" ht="30">
      <c r="B18" s="223"/>
      <c r="C18" s="223"/>
      <c r="D18" s="219" t="s">
        <v>41</v>
      </c>
      <c r="E18" s="35">
        <v>43466</v>
      </c>
      <c r="F18" s="35">
        <v>43830</v>
      </c>
      <c r="G18" s="69" t="s">
        <v>33</v>
      </c>
      <c r="H18" s="36">
        <v>3</v>
      </c>
      <c r="I18" s="97">
        <f>+J18</f>
        <v>3</v>
      </c>
      <c r="J18" s="36">
        <v>3</v>
      </c>
      <c r="K18" s="55">
        <v>3</v>
      </c>
      <c r="L18" s="60">
        <f t="shared" si="0"/>
        <v>1</v>
      </c>
      <c r="M18" s="65">
        <f t="shared" si="1"/>
        <v>1</v>
      </c>
      <c r="N18" s="38">
        <f t="shared" si="2"/>
        <v>1</v>
      </c>
      <c r="O18" s="71" t="s">
        <v>76</v>
      </c>
      <c r="P18" s="36">
        <v>0</v>
      </c>
      <c r="Q18" s="36">
        <v>0</v>
      </c>
      <c r="R18" s="36">
        <v>0</v>
      </c>
      <c r="S18" s="37" t="str">
        <f t="shared" si="3"/>
        <v xml:space="preserve"> -</v>
      </c>
      <c r="T18" s="38" t="str">
        <f t="shared" si="4"/>
        <v xml:space="preserve"> -</v>
      </c>
    </row>
    <row r="19" spans="2:20" ht="60">
      <c r="B19" s="223"/>
      <c r="C19" s="223"/>
      <c r="D19" s="220"/>
      <c r="E19" s="33">
        <v>43466</v>
      </c>
      <c r="F19" s="33">
        <v>43830</v>
      </c>
      <c r="G19" s="8" t="s">
        <v>34</v>
      </c>
      <c r="H19" s="34">
        <v>16</v>
      </c>
      <c r="I19" s="34">
        <f>+J19+('2018'!I19-'2018'!K19)</f>
        <v>5</v>
      </c>
      <c r="J19" s="34">
        <v>4</v>
      </c>
      <c r="K19" s="56">
        <v>4</v>
      </c>
      <c r="L19" s="12">
        <f t="shared" si="0"/>
        <v>1</v>
      </c>
      <c r="M19" s="13">
        <f t="shared" si="1"/>
        <v>1</v>
      </c>
      <c r="N19" s="14">
        <f t="shared" si="2"/>
        <v>1</v>
      </c>
      <c r="O19" s="72" t="s">
        <v>76</v>
      </c>
      <c r="P19" s="34">
        <v>0</v>
      </c>
      <c r="Q19" s="34">
        <v>0</v>
      </c>
      <c r="R19" s="34">
        <v>0</v>
      </c>
      <c r="S19" s="17" t="str">
        <f t="shared" si="3"/>
        <v xml:space="preserve"> -</v>
      </c>
      <c r="T19" s="14" t="str">
        <f t="shared" si="4"/>
        <v xml:space="preserve"> -</v>
      </c>
    </row>
    <row r="20" spans="2:20" ht="45">
      <c r="B20" s="223"/>
      <c r="C20" s="223"/>
      <c r="D20" s="220"/>
      <c r="E20" s="33">
        <v>43466</v>
      </c>
      <c r="F20" s="33">
        <v>43830</v>
      </c>
      <c r="G20" s="8" t="s">
        <v>35</v>
      </c>
      <c r="H20" s="34">
        <v>1</v>
      </c>
      <c r="I20" s="34">
        <f>+J20</f>
        <v>1</v>
      </c>
      <c r="J20" s="34">
        <v>1</v>
      </c>
      <c r="K20" s="56">
        <v>1</v>
      </c>
      <c r="L20" s="12">
        <f t="shared" si="0"/>
        <v>1</v>
      </c>
      <c r="M20" s="13">
        <f t="shared" si="1"/>
        <v>1</v>
      </c>
      <c r="N20" s="14">
        <f t="shared" si="2"/>
        <v>1</v>
      </c>
      <c r="O20" s="72">
        <v>2210277</v>
      </c>
      <c r="P20" s="34">
        <v>230500</v>
      </c>
      <c r="Q20" s="34">
        <v>230500</v>
      </c>
      <c r="R20" s="34">
        <v>0</v>
      </c>
      <c r="S20" s="17">
        <f t="shared" si="3"/>
        <v>1</v>
      </c>
      <c r="T20" s="14" t="str">
        <f t="shared" si="4"/>
        <v xml:space="preserve"> -</v>
      </c>
    </row>
    <row r="21" spans="2:20" ht="30" customHeight="1">
      <c r="B21" s="223"/>
      <c r="C21" s="223"/>
      <c r="D21" s="220"/>
      <c r="E21" s="33">
        <v>43466</v>
      </c>
      <c r="F21" s="33">
        <v>43830</v>
      </c>
      <c r="G21" s="8" t="s">
        <v>36</v>
      </c>
      <c r="H21" s="34">
        <v>1</v>
      </c>
      <c r="I21" s="34">
        <f>+J21+('2018'!I21-'2018'!K21)</f>
        <v>0</v>
      </c>
      <c r="J21" s="34">
        <v>0</v>
      </c>
      <c r="K21" s="56">
        <v>0</v>
      </c>
      <c r="L21" s="12" t="e">
        <f t="shared" si="0"/>
        <v>#DIV/0!</v>
      </c>
      <c r="M21" s="13">
        <f t="shared" si="1"/>
        <v>1</v>
      </c>
      <c r="N21" s="14" t="str">
        <f t="shared" si="2"/>
        <v xml:space="preserve"> -</v>
      </c>
      <c r="O21" s="72" t="s">
        <v>76</v>
      </c>
      <c r="P21" s="34">
        <v>0</v>
      </c>
      <c r="Q21" s="34">
        <v>0</v>
      </c>
      <c r="R21" s="34">
        <v>0</v>
      </c>
      <c r="S21" s="17" t="str">
        <f t="shared" si="3"/>
        <v xml:space="preserve"> -</v>
      </c>
      <c r="T21" s="14" t="str">
        <f t="shared" si="4"/>
        <v xml:space="preserve"> -</v>
      </c>
    </row>
    <row r="22" spans="2:20" ht="31" thickBot="1">
      <c r="B22" s="224"/>
      <c r="C22" s="224"/>
      <c r="D22" s="221"/>
      <c r="E22" s="39">
        <v>43466</v>
      </c>
      <c r="F22" s="39">
        <v>43830</v>
      </c>
      <c r="G22" s="40" t="s">
        <v>37</v>
      </c>
      <c r="H22" s="41">
        <v>5</v>
      </c>
      <c r="I22" s="96">
        <f>+J22+('2018'!I22-'2018'!K22)</f>
        <v>-3</v>
      </c>
      <c r="J22" s="41">
        <v>0</v>
      </c>
      <c r="K22" s="57">
        <v>1</v>
      </c>
      <c r="L22" s="61" t="e">
        <f t="shared" si="0"/>
        <v>#DIV/0!</v>
      </c>
      <c r="M22" s="66">
        <f t="shared" si="1"/>
        <v>1</v>
      </c>
      <c r="N22" s="43" t="str">
        <f t="shared" si="2"/>
        <v xml:space="preserve"> -</v>
      </c>
      <c r="O22" s="73">
        <v>2210277</v>
      </c>
      <c r="P22" s="41">
        <v>1557955</v>
      </c>
      <c r="Q22" s="41">
        <v>1529955</v>
      </c>
      <c r="R22" s="41">
        <v>0</v>
      </c>
      <c r="S22" s="42">
        <f t="shared" si="3"/>
        <v>0.98202772223844714</v>
      </c>
      <c r="T22" s="43" t="str">
        <f t="shared" si="4"/>
        <v xml:space="preserve"> -</v>
      </c>
    </row>
    <row r="23" spans="2:20" ht="13" customHeight="1" thickBot="1">
      <c r="B23" s="83"/>
      <c r="C23" s="77"/>
      <c r="D23" s="77"/>
      <c r="E23" s="78"/>
      <c r="F23" s="78"/>
      <c r="G23" s="77"/>
      <c r="H23" s="79"/>
      <c r="I23" s="100"/>
      <c r="J23" s="79"/>
      <c r="K23" s="79"/>
      <c r="L23" s="80"/>
      <c r="M23" s="81"/>
      <c r="N23" s="81"/>
      <c r="O23" s="77"/>
      <c r="P23" s="79"/>
      <c r="Q23" s="79"/>
      <c r="R23" s="79"/>
      <c r="S23" s="81"/>
      <c r="T23" s="82"/>
    </row>
    <row r="24" spans="2:20" ht="46" customHeight="1" thickBot="1">
      <c r="B24" s="89" t="s">
        <v>45</v>
      </c>
      <c r="C24" s="93" t="s">
        <v>46</v>
      </c>
      <c r="D24" s="91" t="s">
        <v>47</v>
      </c>
      <c r="E24" s="84">
        <v>43466</v>
      </c>
      <c r="F24" s="84">
        <v>43830</v>
      </c>
      <c r="G24" s="85" t="s">
        <v>48</v>
      </c>
      <c r="H24" s="86">
        <v>1</v>
      </c>
      <c r="I24" s="50">
        <f>+J24+('2018'!I24-'2018'!K24)</f>
        <v>0</v>
      </c>
      <c r="J24" s="86">
        <v>0</v>
      </c>
      <c r="K24" s="90">
        <v>1</v>
      </c>
      <c r="L24" s="94" t="e">
        <f t="shared" ref="L24" si="5">+K24/J24</f>
        <v>#DIV/0!</v>
      </c>
      <c r="M24" s="95">
        <f t="shared" ref="M24" si="6">DAYS360(E24,$C$8)/DAYS360(E24,F24)</f>
        <v>1</v>
      </c>
      <c r="N24" s="88" t="str">
        <f t="shared" ref="N24" si="7">IF(J24=0," -",IF(L24&gt;100%,100%,L24))</f>
        <v xml:space="preserve"> -</v>
      </c>
      <c r="O24" s="92" t="s">
        <v>76</v>
      </c>
      <c r="P24" s="86">
        <v>0</v>
      </c>
      <c r="Q24" s="86">
        <v>0</v>
      </c>
      <c r="R24" s="90">
        <v>0</v>
      </c>
      <c r="S24" s="87" t="str">
        <f t="shared" ref="S24:S25" si="8">IF(P24=0," -",Q24/P24)</f>
        <v xml:space="preserve"> -</v>
      </c>
      <c r="T24" s="88" t="str">
        <f t="shared" ref="T24:T25" si="9">IF(R24=0," -",IF(Q24=0,100%,R24/Q24))</f>
        <v xml:space="preserve"> -</v>
      </c>
    </row>
    <row r="25" spans="2:20" ht="21" customHeight="1" thickBot="1">
      <c r="M25" s="27">
        <f>+AVERAGE(M12:M15,M17:M22,M24)</f>
        <v>1</v>
      </c>
      <c r="N25" s="28">
        <f>+AVERAGE(N12:N15,N17:N22,N24)</f>
        <v>1</v>
      </c>
      <c r="O25" s="29"/>
      <c r="P25" s="30">
        <f>+SUM(P12:P15,P17:P22,P24)</f>
        <v>26110601</v>
      </c>
      <c r="Q25" s="31">
        <f>+SUM(Q12:Q15,Q17:Q22,Q24)</f>
        <v>26082601</v>
      </c>
      <c r="R25" s="31">
        <f>+SUM(R12:R15,R17:R22,R24)</f>
        <v>0</v>
      </c>
      <c r="S25" s="32">
        <f t="shared" si="8"/>
        <v>0.99892763862463374</v>
      </c>
      <c r="T25" s="28" t="str">
        <f t="shared" si="9"/>
        <v xml:space="preserve"> -</v>
      </c>
    </row>
  </sheetData>
  <mergeCells count="23">
    <mergeCell ref="M10:M11"/>
    <mergeCell ref="N10:N11"/>
    <mergeCell ref="B12:B22"/>
    <mergeCell ref="C12:C15"/>
    <mergeCell ref="D12:D14"/>
    <mergeCell ref="C17:C22"/>
    <mergeCell ref="D18:D22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5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4" width="9.5703125" style="1" customWidth="1"/>
    <col min="15" max="18" width="10.7109375" style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25" t="s">
        <v>16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</row>
    <row r="3" spans="2:25" ht="20" customHeight="1">
      <c r="B3" s="225" t="s">
        <v>19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</row>
    <row r="4" spans="2:25" ht="20" customHeight="1">
      <c r="B4" s="225" t="s">
        <v>27</v>
      </c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49</v>
      </c>
      <c r="C8" s="18">
        <f>+'2019'!C8</f>
        <v>43830</v>
      </c>
      <c r="D8" s="226" t="s">
        <v>3</v>
      </c>
      <c r="E8" s="227"/>
      <c r="F8" s="227"/>
      <c r="G8" s="227"/>
      <c r="H8" s="255"/>
      <c r="I8" s="255"/>
      <c r="J8" s="255"/>
      <c r="K8" s="255"/>
      <c r="L8" s="255"/>
      <c r="M8" s="255"/>
      <c r="N8" s="228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29" t="s">
        <v>17</v>
      </c>
      <c r="C9" s="232" t="s">
        <v>18</v>
      </c>
      <c r="D9" s="234" t="s">
        <v>0</v>
      </c>
      <c r="E9" s="256" t="s">
        <v>5</v>
      </c>
      <c r="F9" s="257"/>
      <c r="G9" s="257"/>
      <c r="H9" s="257"/>
      <c r="I9" s="257"/>
      <c r="J9" s="257"/>
      <c r="K9" s="257"/>
      <c r="L9" s="257"/>
      <c r="M9" s="257"/>
      <c r="N9" s="258"/>
      <c r="O9" s="259" t="s">
        <v>50</v>
      </c>
      <c r="P9" s="260"/>
      <c r="Q9" s="260"/>
      <c r="R9" s="260"/>
      <c r="S9" s="261"/>
      <c r="T9" s="248" t="s">
        <v>51</v>
      </c>
      <c r="U9" s="249"/>
      <c r="V9" s="249"/>
      <c r="W9" s="249"/>
      <c r="X9" s="249"/>
      <c r="Y9" s="250"/>
    </row>
    <row r="10" spans="2:25" ht="17" customHeight="1">
      <c r="B10" s="230"/>
      <c r="C10" s="233"/>
      <c r="D10" s="235"/>
      <c r="E10" s="238" t="s">
        <v>7</v>
      </c>
      <c r="F10" s="217" t="s">
        <v>25</v>
      </c>
      <c r="G10" s="102" t="s">
        <v>1</v>
      </c>
      <c r="H10" s="103" t="s">
        <v>1</v>
      </c>
      <c r="I10" s="127" t="s">
        <v>1</v>
      </c>
      <c r="J10" s="127" t="s">
        <v>1</v>
      </c>
      <c r="K10" s="129" t="s">
        <v>8</v>
      </c>
      <c r="L10" s="127" t="s">
        <v>8</v>
      </c>
      <c r="M10" s="127" t="s">
        <v>8</v>
      </c>
      <c r="N10" s="101" t="s">
        <v>8</v>
      </c>
      <c r="O10" s="264">
        <v>2016</v>
      </c>
      <c r="P10" s="262">
        <v>2017</v>
      </c>
      <c r="Q10" s="268">
        <v>2018</v>
      </c>
      <c r="R10" s="270">
        <v>2019</v>
      </c>
      <c r="S10" s="266" t="s">
        <v>49</v>
      </c>
      <c r="T10" s="251"/>
      <c r="U10" s="252"/>
      <c r="V10" s="252"/>
      <c r="W10" s="252"/>
      <c r="X10" s="252"/>
      <c r="Y10" s="253"/>
    </row>
    <row r="11" spans="2:25" ht="37.5" customHeight="1" thickBot="1">
      <c r="B11" s="231"/>
      <c r="C11" s="233"/>
      <c r="D11" s="236"/>
      <c r="E11" s="217"/>
      <c r="F11" s="218"/>
      <c r="G11" s="105">
        <v>2016</v>
      </c>
      <c r="H11" s="130">
        <v>2017</v>
      </c>
      <c r="I11" s="128">
        <v>2018</v>
      </c>
      <c r="J11" s="128">
        <v>2019</v>
      </c>
      <c r="K11" s="131">
        <v>2016</v>
      </c>
      <c r="L11" s="130">
        <v>2017</v>
      </c>
      <c r="M11" s="128">
        <v>2018</v>
      </c>
      <c r="N11" s="132">
        <v>2019</v>
      </c>
      <c r="O11" s="265"/>
      <c r="P11" s="263"/>
      <c r="Q11" s="269"/>
      <c r="R11" s="271"/>
      <c r="S11" s="267"/>
      <c r="T11" s="104" t="s">
        <v>23</v>
      </c>
      <c r="U11" s="73" t="s">
        <v>20</v>
      </c>
      <c r="V11" s="156" t="s">
        <v>21</v>
      </c>
      <c r="W11" s="157" t="s">
        <v>22</v>
      </c>
      <c r="X11" s="15" t="s">
        <v>14</v>
      </c>
      <c r="Y11" s="16" t="s">
        <v>15</v>
      </c>
    </row>
    <row r="12" spans="2:25" ht="60">
      <c r="B12" s="222" t="s">
        <v>44</v>
      </c>
      <c r="C12" s="222" t="s">
        <v>42</v>
      </c>
      <c r="D12" s="219" t="s">
        <v>38</v>
      </c>
      <c r="E12" s="69" t="s">
        <v>28</v>
      </c>
      <c r="F12" s="36">
        <v>1</v>
      </c>
      <c r="G12" s="36">
        <f>'2016'!J12</f>
        <v>1</v>
      </c>
      <c r="H12" s="55">
        <f>'2017'!J12</f>
        <v>1</v>
      </c>
      <c r="I12" s="55">
        <f>'2018'!J12</f>
        <v>1</v>
      </c>
      <c r="J12" s="55">
        <f>'2019'!J12</f>
        <v>1</v>
      </c>
      <c r="K12" s="133">
        <f>'2016'!K12</f>
        <v>1</v>
      </c>
      <c r="L12" s="55">
        <f>'2017'!K12</f>
        <v>1</v>
      </c>
      <c r="M12" s="55">
        <f>'2018'!K12</f>
        <v>1</v>
      </c>
      <c r="N12" s="134">
        <f>'2019'!K12</f>
        <v>1</v>
      </c>
      <c r="O12" s="109">
        <f>'2016'!N12</f>
        <v>1</v>
      </c>
      <c r="P12" s="110">
        <f>'2017'!N12</f>
        <v>1</v>
      </c>
      <c r="Q12" s="111">
        <f>'2018'!N12</f>
        <v>1</v>
      </c>
      <c r="R12" s="110">
        <f>'2019'!N12</f>
        <v>1</v>
      </c>
      <c r="S12" s="145">
        <v>1</v>
      </c>
      <c r="T12" s="71" t="s">
        <v>76</v>
      </c>
      <c r="U12" s="97">
        <f>+'2016'!P12+'2017'!P12+'2018'!P12+'2019'!P12</f>
        <v>0</v>
      </c>
      <c r="V12" s="97">
        <f>+'2016'!Q12+'2017'!Q12</f>
        <v>0</v>
      </c>
      <c r="W12" s="97">
        <f>+'2016'!R12+'2017'!R12</f>
        <v>0</v>
      </c>
      <c r="X12" s="37" t="str">
        <f>IF(U12=0," -",V12/U12)</f>
        <v xml:space="preserve"> -</v>
      </c>
      <c r="Y12" s="38" t="str">
        <f>IF(W12=0," -",IF(V12=0,100%,W12/V12))</f>
        <v xml:space="preserve"> -</v>
      </c>
    </row>
    <row r="13" spans="2:25" ht="60">
      <c r="B13" s="223"/>
      <c r="C13" s="223"/>
      <c r="D13" s="220"/>
      <c r="E13" s="8" t="s">
        <v>29</v>
      </c>
      <c r="F13" s="34">
        <v>4</v>
      </c>
      <c r="G13" s="34">
        <f>'2016'!J13</f>
        <v>1</v>
      </c>
      <c r="H13" s="56">
        <f>'2017'!J13</f>
        <v>1</v>
      </c>
      <c r="I13" s="56">
        <f>'2018'!J13</f>
        <v>1</v>
      </c>
      <c r="J13" s="56">
        <f>'2019'!J13</f>
        <v>1</v>
      </c>
      <c r="K13" s="135">
        <f>'2016'!K13</f>
        <v>1</v>
      </c>
      <c r="L13" s="56">
        <f>'2017'!K13</f>
        <v>1</v>
      </c>
      <c r="M13" s="56">
        <f>'2018'!K13</f>
        <v>1</v>
      </c>
      <c r="N13" s="136">
        <f>'2019'!K13</f>
        <v>1</v>
      </c>
      <c r="O13" s="112">
        <f>'2016'!N13</f>
        <v>1</v>
      </c>
      <c r="P13" s="113">
        <f>'2017'!N13</f>
        <v>1</v>
      </c>
      <c r="Q13" s="114">
        <f>'2018'!N13</f>
        <v>1</v>
      </c>
      <c r="R13" s="113">
        <f>'2019'!N13</f>
        <v>1</v>
      </c>
      <c r="S13" s="146">
        <v>1</v>
      </c>
      <c r="T13" s="72" t="s">
        <v>76</v>
      </c>
      <c r="U13" s="34">
        <f>+'2016'!P13+'2017'!P13+'2018'!P13+'2019'!P13</f>
        <v>0</v>
      </c>
      <c r="V13" s="34">
        <f>+'2016'!Q13+'2017'!Q13</f>
        <v>0</v>
      </c>
      <c r="W13" s="34">
        <f>+'2016'!R13+'2017'!R13</f>
        <v>0</v>
      </c>
      <c r="X13" s="17" t="str">
        <f t="shared" ref="X13:X22" si="0">IF(U13=0," -",V13/U13)</f>
        <v xml:space="preserve"> -</v>
      </c>
      <c r="Y13" s="14" t="str">
        <f t="shared" ref="Y13:Y22" si="1">IF(W13=0," -",IF(V13=0,100%,W13/V13))</f>
        <v xml:space="preserve"> -</v>
      </c>
    </row>
    <row r="14" spans="2:25" ht="61" thickBot="1">
      <c r="B14" s="223"/>
      <c r="C14" s="223"/>
      <c r="D14" s="221"/>
      <c r="E14" s="40" t="s">
        <v>30</v>
      </c>
      <c r="F14" s="41">
        <v>4</v>
      </c>
      <c r="G14" s="41">
        <f>'2016'!J14</f>
        <v>1</v>
      </c>
      <c r="H14" s="57">
        <f>'2017'!J14</f>
        <v>1</v>
      </c>
      <c r="I14" s="57">
        <f>'2018'!J14</f>
        <v>1</v>
      </c>
      <c r="J14" s="57">
        <f>'2019'!J14</f>
        <v>1</v>
      </c>
      <c r="K14" s="137">
        <f>'2016'!K14</f>
        <v>1</v>
      </c>
      <c r="L14" s="57">
        <f>'2017'!K14</f>
        <v>1</v>
      </c>
      <c r="M14" s="57">
        <f>'2018'!K14</f>
        <v>1</v>
      </c>
      <c r="N14" s="138">
        <f>'2019'!K14</f>
        <v>1</v>
      </c>
      <c r="O14" s="115">
        <f>'2016'!N14</f>
        <v>1</v>
      </c>
      <c r="P14" s="116">
        <f>'2017'!N14</f>
        <v>1</v>
      </c>
      <c r="Q14" s="117">
        <f>'2018'!N14</f>
        <v>1</v>
      </c>
      <c r="R14" s="116">
        <f>'2019'!N14</f>
        <v>1</v>
      </c>
      <c r="S14" s="147">
        <v>1</v>
      </c>
      <c r="T14" s="73" t="s">
        <v>76</v>
      </c>
      <c r="U14" s="41">
        <f>+'2016'!P14+'2017'!P14+'2018'!P14+'2019'!P14</f>
        <v>0</v>
      </c>
      <c r="V14" s="41">
        <f>+'2016'!Q14+'2017'!Q14</f>
        <v>0</v>
      </c>
      <c r="W14" s="41">
        <f>+'2016'!R14+'2017'!R14</f>
        <v>0</v>
      </c>
      <c r="X14" s="42" t="str">
        <f t="shared" si="0"/>
        <v xml:space="preserve"> -</v>
      </c>
      <c r="Y14" s="43" t="str">
        <f t="shared" si="1"/>
        <v xml:space="preserve"> -</v>
      </c>
    </row>
    <row r="15" spans="2:25" ht="61" thickBot="1">
      <c r="B15" s="223"/>
      <c r="C15" s="224"/>
      <c r="D15" s="53" t="s">
        <v>39</v>
      </c>
      <c r="E15" s="49" t="s">
        <v>31</v>
      </c>
      <c r="F15" s="50">
        <v>7</v>
      </c>
      <c r="G15" s="50">
        <f>'2016'!J15</f>
        <v>1</v>
      </c>
      <c r="H15" s="58">
        <f>'2017'!J15</f>
        <v>2</v>
      </c>
      <c r="I15" s="58">
        <f>'2018'!J15</f>
        <v>2</v>
      </c>
      <c r="J15" s="58">
        <f>'2019'!J15</f>
        <v>2</v>
      </c>
      <c r="K15" s="139">
        <f>'2016'!K15</f>
        <v>1</v>
      </c>
      <c r="L15" s="58">
        <f>'2017'!K15</f>
        <v>2</v>
      </c>
      <c r="M15" s="58">
        <f>'2018'!K15</f>
        <v>2</v>
      </c>
      <c r="N15" s="140">
        <f>'2019'!K15</f>
        <v>2</v>
      </c>
      <c r="O15" s="118">
        <f>'2016'!N15</f>
        <v>1</v>
      </c>
      <c r="P15" s="119">
        <f>'2017'!N15</f>
        <v>1</v>
      </c>
      <c r="Q15" s="120">
        <f>'2018'!N15</f>
        <v>1</v>
      </c>
      <c r="R15" s="119">
        <f>'2019'!N15</f>
        <v>1</v>
      </c>
      <c r="S15" s="148">
        <v>1</v>
      </c>
      <c r="T15" s="74">
        <v>0</v>
      </c>
      <c r="U15" s="41">
        <f>+'2016'!P15+'2017'!P15+'2018'!P15+'2019'!P15</f>
        <v>0</v>
      </c>
      <c r="V15" s="41">
        <f>+'2016'!Q15+'2017'!Q15</f>
        <v>0</v>
      </c>
      <c r="W15" s="41">
        <f>+'2016'!R15+'2017'!R15</f>
        <v>0</v>
      </c>
      <c r="X15" s="51" t="str">
        <f t="shared" si="0"/>
        <v xml:space="preserve"> -</v>
      </c>
      <c r="Y15" s="52" t="str">
        <f t="shared" si="1"/>
        <v xml:space="preserve"> -</v>
      </c>
    </row>
    <row r="16" spans="2:25" ht="13" customHeight="1" thickBot="1">
      <c r="B16" s="223"/>
      <c r="C16" s="24"/>
      <c r="D16" s="25"/>
      <c r="E16" s="22"/>
      <c r="F16" s="23"/>
      <c r="G16" s="23"/>
      <c r="H16" s="23"/>
      <c r="I16" s="23"/>
      <c r="J16" s="23"/>
      <c r="K16" s="23"/>
      <c r="L16" s="23"/>
      <c r="M16" s="23"/>
      <c r="N16" s="23"/>
      <c r="O16" s="68"/>
      <c r="P16" s="68"/>
      <c r="Q16" s="68"/>
      <c r="R16" s="68"/>
      <c r="S16" s="158"/>
      <c r="T16" s="24"/>
      <c r="U16" s="153"/>
      <c r="V16" s="154"/>
      <c r="W16" s="155"/>
      <c r="X16" s="68"/>
      <c r="Y16" s="9"/>
    </row>
    <row r="17" spans="2:25" ht="91" thickBot="1">
      <c r="B17" s="223"/>
      <c r="C17" s="222" t="s">
        <v>43</v>
      </c>
      <c r="D17" s="54" t="s">
        <v>40</v>
      </c>
      <c r="E17" s="70" t="s">
        <v>32</v>
      </c>
      <c r="F17" s="45">
        <v>1</v>
      </c>
      <c r="G17" s="45">
        <f>'2016'!J17</f>
        <v>1</v>
      </c>
      <c r="H17" s="59">
        <f>'2017'!J17</f>
        <v>1</v>
      </c>
      <c r="I17" s="59">
        <f>'2018'!J17</f>
        <v>1</v>
      </c>
      <c r="J17" s="59">
        <f>'2019'!J17</f>
        <v>1</v>
      </c>
      <c r="K17" s="141">
        <f>'2016'!K17</f>
        <v>1</v>
      </c>
      <c r="L17" s="59">
        <f>'2017'!K17</f>
        <v>2</v>
      </c>
      <c r="M17" s="59">
        <f>'2018'!K17</f>
        <v>1</v>
      </c>
      <c r="N17" s="142">
        <f>'2019'!K17</f>
        <v>1</v>
      </c>
      <c r="O17" s="121">
        <f>'2016'!N17</f>
        <v>1</v>
      </c>
      <c r="P17" s="122">
        <f>'2017'!N17</f>
        <v>1</v>
      </c>
      <c r="Q17" s="123">
        <f>'2018'!N17</f>
        <v>1</v>
      </c>
      <c r="R17" s="122">
        <f>'2019'!N17</f>
        <v>1</v>
      </c>
      <c r="S17" s="149">
        <v>1</v>
      </c>
      <c r="T17" s="75">
        <v>2210301</v>
      </c>
      <c r="U17" s="41">
        <f>+'2016'!P17+'2017'!P17+'2018'!P17+'2019'!P17</f>
        <v>94113925</v>
      </c>
      <c r="V17" s="41">
        <f>+'2016'!Q17+'2017'!Q17</f>
        <v>25269462</v>
      </c>
      <c r="W17" s="41">
        <f>+'2016'!R17+'2017'!R17</f>
        <v>0</v>
      </c>
      <c r="X17" s="46">
        <f t="shared" si="0"/>
        <v>0.26849865203262963</v>
      </c>
      <c r="Y17" s="47" t="str">
        <f t="shared" si="1"/>
        <v xml:space="preserve"> -</v>
      </c>
    </row>
    <row r="18" spans="2:25" ht="30">
      <c r="B18" s="223"/>
      <c r="C18" s="223"/>
      <c r="D18" s="219" t="s">
        <v>41</v>
      </c>
      <c r="E18" s="69" t="s">
        <v>33</v>
      </c>
      <c r="F18" s="36">
        <v>3</v>
      </c>
      <c r="G18" s="36">
        <f>'2016'!J18</f>
        <v>3</v>
      </c>
      <c r="H18" s="55">
        <f>'2017'!J18</f>
        <v>3</v>
      </c>
      <c r="I18" s="55">
        <f>'2018'!J18</f>
        <v>3</v>
      </c>
      <c r="J18" s="55">
        <f>'2019'!J18</f>
        <v>3</v>
      </c>
      <c r="K18" s="133">
        <f>'2016'!K18</f>
        <v>3</v>
      </c>
      <c r="L18" s="55">
        <f>'2017'!K18</f>
        <v>3</v>
      </c>
      <c r="M18" s="55">
        <f>'2018'!K18</f>
        <v>3</v>
      </c>
      <c r="N18" s="134">
        <f>'2019'!K18</f>
        <v>3</v>
      </c>
      <c r="O18" s="109">
        <f>'2016'!N18</f>
        <v>1</v>
      </c>
      <c r="P18" s="110">
        <f>'2017'!N18</f>
        <v>1</v>
      </c>
      <c r="Q18" s="111">
        <f>'2018'!N18</f>
        <v>1</v>
      </c>
      <c r="R18" s="110">
        <f>'2019'!N18</f>
        <v>1</v>
      </c>
      <c r="S18" s="145">
        <v>1</v>
      </c>
      <c r="T18" s="71" t="s">
        <v>76</v>
      </c>
      <c r="U18" s="97">
        <f>+'2016'!P18+'2017'!P18+'2018'!P18+'2019'!P18</f>
        <v>0</v>
      </c>
      <c r="V18" s="97">
        <f>+'2016'!Q18+'2017'!Q18</f>
        <v>0</v>
      </c>
      <c r="W18" s="97">
        <f>+'2016'!R18+'2017'!R18</f>
        <v>0</v>
      </c>
      <c r="X18" s="37" t="str">
        <f t="shared" si="0"/>
        <v xml:space="preserve"> -</v>
      </c>
      <c r="Y18" s="38" t="str">
        <f t="shared" si="1"/>
        <v xml:space="preserve"> -</v>
      </c>
    </row>
    <row r="19" spans="2:25" ht="60">
      <c r="B19" s="223"/>
      <c r="C19" s="223"/>
      <c r="D19" s="220"/>
      <c r="E19" s="8" t="s">
        <v>34</v>
      </c>
      <c r="F19" s="34">
        <v>16</v>
      </c>
      <c r="G19" s="34">
        <f>'2016'!J19</f>
        <v>4</v>
      </c>
      <c r="H19" s="56">
        <f>'2017'!J19</f>
        <v>4</v>
      </c>
      <c r="I19" s="56">
        <f>'2018'!J19</f>
        <v>4</v>
      </c>
      <c r="J19" s="56">
        <f>'2019'!J19</f>
        <v>4</v>
      </c>
      <c r="K19" s="135">
        <f>'2016'!K19</f>
        <v>4</v>
      </c>
      <c r="L19" s="56">
        <f>'2017'!K19</f>
        <v>4</v>
      </c>
      <c r="M19" s="56">
        <f>'2018'!K19</f>
        <v>3</v>
      </c>
      <c r="N19" s="136">
        <f>'2019'!K19</f>
        <v>4</v>
      </c>
      <c r="O19" s="112">
        <f>'2016'!N19</f>
        <v>1</v>
      </c>
      <c r="P19" s="113">
        <f>'2017'!N19</f>
        <v>1</v>
      </c>
      <c r="Q19" s="114">
        <f>'2018'!N19</f>
        <v>0.75</v>
      </c>
      <c r="R19" s="113">
        <f>'2019'!N19</f>
        <v>1</v>
      </c>
      <c r="S19" s="146">
        <v>0.9375</v>
      </c>
      <c r="T19" s="72" t="s">
        <v>76</v>
      </c>
      <c r="U19" s="34">
        <f>+'2016'!P19+'2017'!P19+'2018'!P19+'2019'!P19</f>
        <v>0</v>
      </c>
      <c r="V19" s="34">
        <f>+'2016'!Q19+'2017'!Q19</f>
        <v>0</v>
      </c>
      <c r="W19" s="34">
        <f>+'2016'!R19+'2017'!R19</f>
        <v>0</v>
      </c>
      <c r="X19" s="17" t="str">
        <f t="shared" si="0"/>
        <v xml:space="preserve"> -</v>
      </c>
      <c r="Y19" s="14" t="str">
        <f t="shared" si="1"/>
        <v xml:space="preserve"> -</v>
      </c>
    </row>
    <row r="20" spans="2:25" ht="45">
      <c r="B20" s="223"/>
      <c r="C20" s="223"/>
      <c r="D20" s="220"/>
      <c r="E20" s="8" t="s">
        <v>35</v>
      </c>
      <c r="F20" s="34">
        <v>1</v>
      </c>
      <c r="G20" s="34">
        <f>'2016'!J20</f>
        <v>1</v>
      </c>
      <c r="H20" s="56">
        <f>'2017'!J20</f>
        <v>1</v>
      </c>
      <c r="I20" s="56">
        <f>'2018'!J20</f>
        <v>1</v>
      </c>
      <c r="J20" s="56">
        <f>'2019'!J20</f>
        <v>1</v>
      </c>
      <c r="K20" s="152">
        <f>'2016'!K20</f>
        <v>0.3</v>
      </c>
      <c r="L20" s="56">
        <f>'2017'!K20</f>
        <v>0.5</v>
      </c>
      <c r="M20" s="56">
        <f>'2018'!K20</f>
        <v>0.7</v>
      </c>
      <c r="N20" s="136">
        <f>'2019'!K20</f>
        <v>1</v>
      </c>
      <c r="O20" s="112">
        <f>'2016'!N20</f>
        <v>0.3</v>
      </c>
      <c r="P20" s="113">
        <f>'2017'!N20</f>
        <v>0.5</v>
      </c>
      <c r="Q20" s="114">
        <f>'2018'!N20</f>
        <v>0.7</v>
      </c>
      <c r="R20" s="113">
        <f>'2019'!N20</f>
        <v>1</v>
      </c>
      <c r="S20" s="146">
        <v>0.625</v>
      </c>
      <c r="T20" s="72">
        <v>2210277</v>
      </c>
      <c r="U20" s="34">
        <f>+'2016'!P20+'2017'!P20+'2018'!P20+'2019'!P20</f>
        <v>853500</v>
      </c>
      <c r="V20" s="34">
        <f>+'2016'!Q20+'2017'!Q20</f>
        <v>329440</v>
      </c>
      <c r="W20" s="34">
        <f>+'2016'!R20+'2017'!R20</f>
        <v>0</v>
      </c>
      <c r="X20" s="17">
        <f t="shared" si="0"/>
        <v>0.38598711189220858</v>
      </c>
      <c r="Y20" s="14" t="str">
        <f t="shared" si="1"/>
        <v xml:space="preserve"> -</v>
      </c>
    </row>
    <row r="21" spans="2:25" ht="30" customHeight="1">
      <c r="B21" s="223"/>
      <c r="C21" s="223"/>
      <c r="D21" s="220"/>
      <c r="E21" s="8" t="s">
        <v>36</v>
      </c>
      <c r="F21" s="34">
        <v>1</v>
      </c>
      <c r="G21" s="34">
        <f>'2016'!J21</f>
        <v>0</v>
      </c>
      <c r="H21" s="56">
        <f>'2017'!J21</f>
        <v>1</v>
      </c>
      <c r="I21" s="56">
        <f>'2018'!J21</f>
        <v>0</v>
      </c>
      <c r="J21" s="56">
        <f>'2019'!J21</f>
        <v>0</v>
      </c>
      <c r="K21" s="135">
        <f>'2016'!K21</f>
        <v>0</v>
      </c>
      <c r="L21" s="56">
        <f>'2017'!K21</f>
        <v>1</v>
      </c>
      <c r="M21" s="56">
        <f>'2018'!K21</f>
        <v>0</v>
      </c>
      <c r="N21" s="136">
        <f>'2019'!K21</f>
        <v>0</v>
      </c>
      <c r="O21" s="112" t="str">
        <f>'2016'!N21</f>
        <v xml:space="preserve"> -</v>
      </c>
      <c r="P21" s="113">
        <f>'2017'!N21</f>
        <v>1</v>
      </c>
      <c r="Q21" s="114" t="str">
        <f>'2018'!N21</f>
        <v xml:space="preserve"> -</v>
      </c>
      <c r="R21" s="113" t="str">
        <f>'2019'!N21</f>
        <v xml:space="preserve"> -</v>
      </c>
      <c r="S21" s="146">
        <v>1</v>
      </c>
      <c r="T21" s="72" t="s">
        <v>76</v>
      </c>
      <c r="U21" s="34">
        <f>+'2016'!P21+'2017'!P21+'2018'!P21+'2019'!P21</f>
        <v>0</v>
      </c>
      <c r="V21" s="34">
        <f>+'2016'!Q21+'2017'!Q21</f>
        <v>0</v>
      </c>
      <c r="W21" s="34">
        <f>+'2016'!R21+'2017'!R21</f>
        <v>0</v>
      </c>
      <c r="X21" s="17" t="str">
        <f t="shared" si="0"/>
        <v xml:space="preserve"> -</v>
      </c>
      <c r="Y21" s="14" t="str">
        <f t="shared" si="1"/>
        <v xml:space="preserve"> -</v>
      </c>
    </row>
    <row r="22" spans="2:25" ht="31" thickBot="1">
      <c r="B22" s="224"/>
      <c r="C22" s="224"/>
      <c r="D22" s="221"/>
      <c r="E22" s="40" t="s">
        <v>37</v>
      </c>
      <c r="F22" s="41">
        <v>5</v>
      </c>
      <c r="G22" s="41">
        <f>'2016'!J22</f>
        <v>2</v>
      </c>
      <c r="H22" s="57">
        <f>'2017'!J22</f>
        <v>3</v>
      </c>
      <c r="I22" s="57">
        <f>'2018'!J22</f>
        <v>0</v>
      </c>
      <c r="J22" s="57">
        <f>'2019'!J22</f>
        <v>0</v>
      </c>
      <c r="K22" s="137">
        <f>'2016'!K22</f>
        <v>1</v>
      </c>
      <c r="L22" s="57">
        <f>'2017'!K22</f>
        <v>4</v>
      </c>
      <c r="M22" s="57">
        <f>'2018'!K22</f>
        <v>3</v>
      </c>
      <c r="N22" s="138">
        <f>'2019'!K22</f>
        <v>1</v>
      </c>
      <c r="O22" s="115">
        <f>'2016'!N22</f>
        <v>0.5</v>
      </c>
      <c r="P22" s="116">
        <f>'2017'!N22</f>
        <v>1</v>
      </c>
      <c r="Q22" s="117" t="str">
        <f>'2018'!N22</f>
        <v xml:space="preserve"> -</v>
      </c>
      <c r="R22" s="116" t="str">
        <f>'2019'!N22</f>
        <v xml:space="preserve"> -</v>
      </c>
      <c r="S22" s="147">
        <v>1</v>
      </c>
      <c r="T22" s="73">
        <v>2210277</v>
      </c>
      <c r="U22" s="41">
        <f>+'2016'!P22+'2017'!P22+'2018'!P22+'2019'!P22</f>
        <v>8717716</v>
      </c>
      <c r="V22" s="41">
        <f>+'2016'!Q22+'2017'!Q22</f>
        <v>5595327</v>
      </c>
      <c r="W22" s="41">
        <f>+'2016'!R22+'2017'!R22</f>
        <v>0</v>
      </c>
      <c r="X22" s="42">
        <f t="shared" si="0"/>
        <v>0.64183405378197689</v>
      </c>
      <c r="Y22" s="43" t="str">
        <f t="shared" si="1"/>
        <v xml:space="preserve"> -</v>
      </c>
    </row>
    <row r="23" spans="2:25" ht="13" customHeight="1" thickBot="1">
      <c r="B23" s="83"/>
      <c r="C23" s="77"/>
      <c r="D23" s="77"/>
      <c r="E23" s="77"/>
      <c r="F23" s="79"/>
      <c r="G23" s="79"/>
      <c r="H23" s="79"/>
      <c r="I23" s="79"/>
      <c r="J23" s="79"/>
      <c r="K23" s="79"/>
      <c r="L23" s="79"/>
      <c r="M23" s="79"/>
      <c r="N23" s="79"/>
      <c r="O23" s="81"/>
      <c r="P23" s="81"/>
      <c r="Q23" s="81"/>
      <c r="R23" s="81"/>
      <c r="S23" s="150"/>
      <c r="T23" s="77"/>
      <c r="U23" s="79"/>
      <c r="V23" s="79"/>
      <c r="W23" s="79"/>
      <c r="X23" s="81"/>
      <c r="Y23" s="82"/>
    </row>
    <row r="24" spans="2:25" ht="46" customHeight="1" thickBot="1">
      <c r="B24" s="89" t="s">
        <v>45</v>
      </c>
      <c r="C24" s="93" t="s">
        <v>46</v>
      </c>
      <c r="D24" s="91" t="s">
        <v>47</v>
      </c>
      <c r="E24" s="85" t="s">
        <v>48</v>
      </c>
      <c r="F24" s="86">
        <v>1</v>
      </c>
      <c r="G24" s="86">
        <v>0</v>
      </c>
      <c r="H24" s="90">
        <f>'2017'!J24</f>
        <v>1</v>
      </c>
      <c r="I24" s="90">
        <f>'2018'!J24</f>
        <v>0</v>
      </c>
      <c r="J24" s="90">
        <f>'2019'!J24</f>
        <v>0</v>
      </c>
      <c r="K24" s="143">
        <v>0</v>
      </c>
      <c r="L24" s="90">
        <f>'2017'!K24</f>
        <v>1</v>
      </c>
      <c r="M24" s="90">
        <f>'2018'!K24</f>
        <v>0</v>
      </c>
      <c r="N24" s="144">
        <f>'2019'!K24</f>
        <v>1</v>
      </c>
      <c r="O24" s="124" t="s">
        <v>76</v>
      </c>
      <c r="P24" s="125">
        <f>'2017'!N24</f>
        <v>1</v>
      </c>
      <c r="Q24" s="126" t="str">
        <f>'2018'!N24</f>
        <v xml:space="preserve"> -</v>
      </c>
      <c r="R24" s="125" t="str">
        <f>'2019'!N24</f>
        <v xml:space="preserve"> -</v>
      </c>
      <c r="S24" s="151">
        <v>1</v>
      </c>
      <c r="T24" s="92" t="s">
        <v>76</v>
      </c>
      <c r="U24" s="86">
        <v>0</v>
      </c>
      <c r="V24" s="86">
        <v>0</v>
      </c>
      <c r="W24" s="86">
        <v>0</v>
      </c>
      <c r="X24" s="87" t="str">
        <f t="shared" ref="X24:X25" si="2">IF(U24=0," -",V24/U24)</f>
        <v xml:space="preserve"> -</v>
      </c>
      <c r="Y24" s="88" t="str">
        <f t="shared" ref="Y24:Y25" si="3">IF(W24=0," -",IF(V24=0,100%,W24/V24))</f>
        <v xml:space="preserve"> -</v>
      </c>
    </row>
    <row r="25" spans="2:25" ht="21" customHeight="1" thickBot="1">
      <c r="O25" s="107">
        <f>+AVERAGE(O12:O15,O17:O22,O24)</f>
        <v>0.8666666666666667</v>
      </c>
      <c r="P25" s="106">
        <f t="shared" ref="P25:R25" si="4">+AVERAGE(P12:P15,P17:P22,P24)</f>
        <v>0.95454545454545459</v>
      </c>
      <c r="Q25" s="106">
        <f t="shared" si="4"/>
        <v>0.93125000000000002</v>
      </c>
      <c r="R25" s="106">
        <f t="shared" si="4"/>
        <v>1</v>
      </c>
      <c r="S25" s="108">
        <f>+AVERAGE(S12:S15,S17:S22,S24)</f>
        <v>0.96022727272727271</v>
      </c>
      <c r="T25" s="29"/>
      <c r="U25" s="30">
        <f>+SUM(U12:U15,U17:U22,U24)</f>
        <v>103685141</v>
      </c>
      <c r="V25" s="31">
        <f>+SUM(V12:V15,V17:V22,V24)</f>
        <v>31194229</v>
      </c>
      <c r="W25" s="31">
        <f>+SUM(W12:W15,W17:W22,W24)</f>
        <v>0</v>
      </c>
      <c r="X25" s="32">
        <f t="shared" si="2"/>
        <v>0.30085534628341781</v>
      </c>
      <c r="Y25" s="28" t="str">
        <f t="shared" si="3"/>
        <v xml:space="preserve"> -</v>
      </c>
    </row>
  </sheetData>
  <mergeCells count="22">
    <mergeCell ref="R10:R11"/>
    <mergeCell ref="B12:B22"/>
    <mergeCell ref="C12:C15"/>
    <mergeCell ref="D12:D14"/>
    <mergeCell ref="C17:C22"/>
    <mergeCell ref="D18:D22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P10:P11"/>
    <mergeCell ref="T9:Y10"/>
    <mergeCell ref="E10:E11"/>
    <mergeCell ref="F10:F11"/>
    <mergeCell ref="O10:O11"/>
    <mergeCell ref="S10:S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1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272" t="s">
        <v>75</v>
      </c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4"/>
    </row>
    <row r="4" spans="2:15" ht="16" thickBot="1">
      <c r="C4" s="159"/>
      <c r="D4" s="159"/>
      <c r="E4" s="159"/>
      <c r="F4" s="159"/>
      <c r="G4" s="159"/>
      <c r="H4" s="159"/>
      <c r="I4" s="159"/>
    </row>
    <row r="5" spans="2:15" ht="19" customHeight="1">
      <c r="C5" s="159"/>
      <c r="D5" s="159"/>
      <c r="E5" s="275" t="s">
        <v>52</v>
      </c>
      <c r="F5" s="276"/>
      <c r="G5" s="276"/>
      <c r="H5" s="276"/>
      <c r="I5" s="279" t="s">
        <v>50</v>
      </c>
      <c r="J5" s="280"/>
      <c r="K5" s="283" t="s">
        <v>53</v>
      </c>
      <c r="L5" s="284"/>
      <c r="M5" s="284"/>
      <c r="N5" s="284"/>
      <c r="O5" s="285"/>
    </row>
    <row r="6" spans="2:15" ht="19" customHeight="1" thickBot="1">
      <c r="E6" s="277"/>
      <c r="F6" s="278"/>
      <c r="G6" s="278"/>
      <c r="H6" s="278"/>
      <c r="I6" s="281"/>
      <c r="J6" s="282"/>
      <c r="K6" s="286" t="s">
        <v>49</v>
      </c>
      <c r="L6" s="287"/>
      <c r="M6" s="287"/>
      <c r="N6" s="287"/>
      <c r="O6" s="288"/>
    </row>
    <row r="7" spans="2:15" ht="32" customHeight="1" thickBot="1">
      <c r="C7" s="291"/>
      <c r="D7" s="292"/>
      <c r="E7" s="160">
        <v>2016</v>
      </c>
      <c r="F7" s="161">
        <v>2017</v>
      </c>
      <c r="G7" s="161">
        <v>2018</v>
      </c>
      <c r="H7" s="161">
        <v>2019</v>
      </c>
      <c r="I7" s="293" t="s">
        <v>49</v>
      </c>
      <c r="J7" s="294"/>
      <c r="K7" s="209" t="s">
        <v>54</v>
      </c>
      <c r="L7" s="210" t="s">
        <v>55</v>
      </c>
      <c r="M7" s="210" t="s">
        <v>56</v>
      </c>
      <c r="N7" s="210" t="s">
        <v>57</v>
      </c>
      <c r="O7" s="211" t="s">
        <v>58</v>
      </c>
    </row>
    <row r="8" spans="2:15" ht="22" customHeight="1" thickBot="1">
      <c r="B8" s="162">
        <v>1</v>
      </c>
      <c r="C8" s="295" t="s">
        <v>59</v>
      </c>
      <c r="D8" s="296"/>
      <c r="E8" s="163">
        <f>+IF(SUM('2016 - 2019'!G12:G22)&gt;0,AVERAGE('2016 - 2019'!O12:O22)," -")</f>
        <v>0.8666666666666667</v>
      </c>
      <c r="F8" s="163">
        <f>+IF(SUM('2016 - 2019'!H12:H22)&gt;0,AVERAGE('2016 - 2019'!P12:P22)," -")</f>
        <v>0.95</v>
      </c>
      <c r="G8" s="163">
        <f>+IF(SUM('2016 - 2019'!I12:I22)&gt;0,AVERAGE('2016 - 2019'!Q12:Q22)," -")</f>
        <v>0.93125000000000002</v>
      </c>
      <c r="H8" s="163">
        <f>+IF(SUM('2016 - 2019'!J12:J22)&gt;0,AVERAGE('2016 - 2019'!R12:R22)," -")</f>
        <v>1</v>
      </c>
      <c r="I8" s="164">
        <f>+AVERAGE('2016 - 2019'!S12:S22)</f>
        <v>0.95625000000000004</v>
      </c>
      <c r="J8" s="165">
        <f t="shared" ref="J8:J14" si="0">+I8</f>
        <v>0.95625000000000004</v>
      </c>
      <c r="K8" s="166">
        <f>+K9+K12</f>
        <v>103685141</v>
      </c>
      <c r="L8" s="167">
        <f>+L9+L12</f>
        <v>31194229</v>
      </c>
      <c r="M8" s="167">
        <f>+M9+M12</f>
        <v>0</v>
      </c>
      <c r="N8" s="168">
        <f t="shared" ref="N8:N14" si="1">IF(K8=0,"-",+L8/K8)</f>
        <v>0.30085534628341781</v>
      </c>
      <c r="O8" s="169" t="str">
        <f>IF(M8=0," -",IF(L8=0,100%,M8/L8))</f>
        <v xml:space="preserve"> -</v>
      </c>
    </row>
    <row r="9" spans="2:15" ht="20" customHeight="1">
      <c r="B9" s="170" t="s">
        <v>60</v>
      </c>
      <c r="C9" s="297" t="s">
        <v>42</v>
      </c>
      <c r="D9" s="298"/>
      <c r="E9" s="171">
        <f>+IF(SUM('2016 - 2019'!G12:G15)&gt;0,AVERAGE('2016 - 2019'!O12:O15)," -")</f>
        <v>1</v>
      </c>
      <c r="F9" s="171">
        <f>+IF(SUM('2016 - 2019'!H12:H15)&gt;0,AVERAGE('2016 - 2019'!P12:P15)," -")</f>
        <v>1</v>
      </c>
      <c r="G9" s="171">
        <f>+IF(SUM('2016 - 2019'!I12:I15)&gt;0,AVERAGE('2016 - 2019'!Q12:Q15)," -")</f>
        <v>1</v>
      </c>
      <c r="H9" s="171">
        <f>+IF(SUM('2016 - 2019'!J12:J15)&gt;0,AVERAGE('2016 - 2019'!R12:R15)," -")</f>
        <v>1</v>
      </c>
      <c r="I9" s="172">
        <f>+AVERAGE('2016 - 2019'!S12:S15)</f>
        <v>1</v>
      </c>
      <c r="J9" s="173">
        <f t="shared" si="0"/>
        <v>1</v>
      </c>
      <c r="K9" s="174">
        <f>+SUM(K10:K11)</f>
        <v>0</v>
      </c>
      <c r="L9" s="175">
        <f>+SUM(L10:L11)</f>
        <v>0</v>
      </c>
      <c r="M9" s="175">
        <f>+SUM(M10:M11)</f>
        <v>0</v>
      </c>
      <c r="N9" s="176" t="str">
        <f t="shared" si="1"/>
        <v>-</v>
      </c>
      <c r="O9" s="177" t="str">
        <f>IF(M9=0," -",IF(L9=0,100%,M9/L9))</f>
        <v xml:space="preserve"> -</v>
      </c>
    </row>
    <row r="10" spans="2:15" ht="18" customHeight="1">
      <c r="B10" s="178" t="s">
        <v>61</v>
      </c>
      <c r="C10" s="289" t="s">
        <v>62</v>
      </c>
      <c r="D10" s="290"/>
      <c r="E10" s="179">
        <f>+IF(SUM('2016 - 2019'!G12:G14)&gt;0,AVERAGE('2016 - 2019'!O12:O14)," -")</f>
        <v>1</v>
      </c>
      <c r="F10" s="179">
        <f>+IF(SUM('2016 - 2019'!H12:H14)&gt;0,AVERAGE('2016 - 2019'!P12:P14)," -")</f>
        <v>1</v>
      </c>
      <c r="G10" s="179">
        <f>+IF(SUM('2016 - 2019'!I12:I14)&gt;0,AVERAGE('2016 - 2019'!Q12:Q14)," -")</f>
        <v>1</v>
      </c>
      <c r="H10" s="179">
        <f>+IF(SUM('2016 - 2019'!J12:J14)&gt;0,AVERAGE('2016 - 2019'!R12:R14)," -")</f>
        <v>1</v>
      </c>
      <c r="I10" s="180">
        <f>+AVERAGE('2016 - 2019'!S12:S14)</f>
        <v>1</v>
      </c>
      <c r="J10" s="181">
        <f t="shared" si="0"/>
        <v>1</v>
      </c>
      <c r="K10" s="182">
        <f>+SUM('2016 - 2019'!U12:U14)</f>
        <v>0</v>
      </c>
      <c r="L10" s="34">
        <f>+SUM('2016 - 2019'!V12:V14)</f>
        <v>0</v>
      </c>
      <c r="M10" s="34">
        <f>+SUM('2016 - 2019'!W12:W14)</f>
        <v>0</v>
      </c>
      <c r="N10" s="183" t="str">
        <f t="shared" si="1"/>
        <v>-</v>
      </c>
      <c r="O10" s="184" t="str">
        <f>IF(M10=0," -",IF(L10=0,100%,M10/L10))</f>
        <v xml:space="preserve"> -</v>
      </c>
    </row>
    <row r="11" spans="2:15" ht="18" customHeight="1">
      <c r="B11" s="178" t="s">
        <v>63</v>
      </c>
      <c r="C11" s="289" t="s">
        <v>64</v>
      </c>
      <c r="D11" s="290"/>
      <c r="E11" s="179">
        <f>+IF('2016 - 2019'!G15&gt;0,'2016 - 2019'!O15," -")</f>
        <v>1</v>
      </c>
      <c r="F11" s="179">
        <f>+IF('2016 - 2019'!H15&gt;0,'2016 - 2019'!P15," -")</f>
        <v>1</v>
      </c>
      <c r="G11" s="179">
        <f>+IF('2016 - 2019'!I15&gt;0,'2016 - 2019'!Q15," -")</f>
        <v>1</v>
      </c>
      <c r="H11" s="179">
        <f>+IF('2016 - 2019'!J15&gt;0,'2016 - 2019'!R15," -")</f>
        <v>1</v>
      </c>
      <c r="I11" s="180">
        <f>+'2016 - 2019'!S15</f>
        <v>1</v>
      </c>
      <c r="J11" s="181">
        <f t="shared" si="0"/>
        <v>1</v>
      </c>
      <c r="K11" s="182">
        <f>+'2016 - 2019'!U15</f>
        <v>0</v>
      </c>
      <c r="L11" s="34">
        <f>+'2016 - 2019'!V15</f>
        <v>0</v>
      </c>
      <c r="M11" s="34">
        <f>+'2016 - 2019'!W15</f>
        <v>0</v>
      </c>
      <c r="N11" s="183" t="str">
        <f t="shared" si="1"/>
        <v>-</v>
      </c>
      <c r="O11" s="184" t="str">
        <f t="shared" ref="O11:O14" si="2">IF(M11=0," -",IF(L11=0,100%,M11/L11))</f>
        <v xml:space="preserve"> -</v>
      </c>
    </row>
    <row r="12" spans="2:15" ht="20" customHeight="1">
      <c r="B12" s="170" t="s">
        <v>65</v>
      </c>
      <c r="C12" s="301" t="s">
        <v>43</v>
      </c>
      <c r="D12" s="302"/>
      <c r="E12" s="185">
        <f>+IF(SUM('2016 - 2019'!G17:G22)&gt;0,AVERAGE('2016 - 2019'!O17:O22)," -")</f>
        <v>0.76</v>
      </c>
      <c r="F12" s="185">
        <f>+IF(SUM('2016 - 2019'!H17:H22)&gt;0,AVERAGE('2016 - 2019'!P17:P22)," -")</f>
        <v>0.91666666666666663</v>
      </c>
      <c r="G12" s="185">
        <f>+IF(SUM('2016 - 2019'!I17:I22)&gt;0,AVERAGE('2016 - 2019'!Q17:Q22)," -")</f>
        <v>0.86250000000000004</v>
      </c>
      <c r="H12" s="185">
        <f>+IF(SUM('2016 - 2019'!J17:J22)&gt;0,AVERAGE('2016 - 2019'!R17:R22)," -")</f>
        <v>1</v>
      </c>
      <c r="I12" s="186">
        <f>+AVERAGE('2016 - 2019'!S17:S22)</f>
        <v>0.92708333333333337</v>
      </c>
      <c r="J12" s="187">
        <f t="shared" si="0"/>
        <v>0.92708333333333337</v>
      </c>
      <c r="K12" s="188">
        <f>+SUM(K13:K14)</f>
        <v>103685141</v>
      </c>
      <c r="L12" s="189">
        <f>+SUM(L13:L14)</f>
        <v>31194229</v>
      </c>
      <c r="M12" s="189">
        <f>+SUM(M13:M14)</f>
        <v>0</v>
      </c>
      <c r="N12" s="190">
        <f t="shared" si="1"/>
        <v>0.30085534628341781</v>
      </c>
      <c r="O12" s="191" t="str">
        <f t="shared" si="2"/>
        <v xml:space="preserve"> -</v>
      </c>
    </row>
    <row r="13" spans="2:15" ht="18" customHeight="1">
      <c r="B13" s="178" t="s">
        <v>66</v>
      </c>
      <c r="C13" s="289" t="s">
        <v>67</v>
      </c>
      <c r="D13" s="290"/>
      <c r="E13" s="179">
        <f>+IF('2016 - 2019'!G17&gt;0,'2016 - 2019'!O17," -")</f>
        <v>1</v>
      </c>
      <c r="F13" s="179">
        <f>+IF('2016 - 2019'!H17&gt;0,'2016 - 2019'!P17," -")</f>
        <v>1</v>
      </c>
      <c r="G13" s="179">
        <f>+IF('2016 - 2019'!I17&gt;0,'2016 - 2019'!Q17," -")</f>
        <v>1</v>
      </c>
      <c r="H13" s="179">
        <f>+IF('2016 - 2019'!J17&gt;0,'2016 - 2019'!R17," -")</f>
        <v>1</v>
      </c>
      <c r="I13" s="180">
        <f>+'2016 - 2019'!S17</f>
        <v>1</v>
      </c>
      <c r="J13" s="181">
        <f t="shared" si="0"/>
        <v>1</v>
      </c>
      <c r="K13" s="182">
        <f>+'2016 - 2019'!U17</f>
        <v>94113925</v>
      </c>
      <c r="L13" s="34">
        <f>+'2016 - 2019'!V17</f>
        <v>25269462</v>
      </c>
      <c r="M13" s="34">
        <f>+'2016 - 2019'!W17</f>
        <v>0</v>
      </c>
      <c r="N13" s="183">
        <f t="shared" si="1"/>
        <v>0.26849865203262963</v>
      </c>
      <c r="O13" s="184" t="str">
        <f t="shared" si="2"/>
        <v xml:space="preserve"> -</v>
      </c>
    </row>
    <row r="14" spans="2:15" ht="18" customHeight="1" thickBot="1">
      <c r="B14" s="178" t="s">
        <v>68</v>
      </c>
      <c r="C14" s="289" t="s">
        <v>69</v>
      </c>
      <c r="D14" s="290"/>
      <c r="E14" s="179">
        <f>+IF(SUM('2016 - 2019'!G18:G22)&gt;0,AVERAGE('2016 - 2019'!O18:O22)," -")</f>
        <v>0.7</v>
      </c>
      <c r="F14" s="179">
        <f>+IF(SUM('2016 - 2019'!H18:H22)&gt;0,AVERAGE('2016 - 2019'!P18:P22)," -")</f>
        <v>0.9</v>
      </c>
      <c r="G14" s="179">
        <f>+IF(SUM('2016 - 2019'!I18:I22)&gt;0,AVERAGE('2016 - 2019'!Q18:Q22)," -")</f>
        <v>0.81666666666666676</v>
      </c>
      <c r="H14" s="179">
        <f>+IF(SUM('2016 - 2019'!J18:J22)&gt;0,AVERAGE('2016 - 2019'!R18:R22)," -")</f>
        <v>1</v>
      </c>
      <c r="I14" s="180">
        <f>+AVERAGE('2016 - 2019'!S18:S22)</f>
        <v>0.91249999999999998</v>
      </c>
      <c r="J14" s="181">
        <f t="shared" si="0"/>
        <v>0.91249999999999998</v>
      </c>
      <c r="K14" s="182">
        <f>+SUM('2016 - 2019'!U18:U22)</f>
        <v>9571216</v>
      </c>
      <c r="L14" s="34">
        <f>+SUM('2016 - 2019'!V18:V22)</f>
        <v>5924767</v>
      </c>
      <c r="M14" s="34">
        <f>+SUM('2016 - 2019'!W18:W22)</f>
        <v>0</v>
      </c>
      <c r="N14" s="183">
        <f t="shared" si="1"/>
        <v>0.61901925523360879</v>
      </c>
      <c r="O14" s="184" t="str">
        <f t="shared" si="2"/>
        <v xml:space="preserve"> -</v>
      </c>
    </row>
    <row r="15" spans="2:15" ht="22" customHeight="1" thickBot="1">
      <c r="B15" s="162">
        <v>6</v>
      </c>
      <c r="C15" s="303" t="s">
        <v>70</v>
      </c>
      <c r="D15" s="304"/>
      <c r="E15" s="192" t="str">
        <f>+IF('2016 - 2019'!G24&gt;0,'2016 - 2019'!O24," -")</f>
        <v xml:space="preserve"> -</v>
      </c>
      <c r="F15" s="192">
        <f>+IF('2016 - 2019'!H24&gt;0,'2016 - 2019'!P24," -")</f>
        <v>1</v>
      </c>
      <c r="G15" s="192" t="str">
        <f>+IF('2016 - 2019'!I24&gt;0,'2016 - 2019'!Q24," -")</f>
        <v xml:space="preserve"> -</v>
      </c>
      <c r="H15" s="192" t="str">
        <f>+IF('2016 - 2019'!J24&gt;0,'2016 - 2019'!R24," -")</f>
        <v xml:space="preserve"> -</v>
      </c>
      <c r="I15" s="193">
        <f>+'2016 - 2019'!S24</f>
        <v>1</v>
      </c>
      <c r="J15" s="194">
        <f t="shared" ref="J15:J18" si="3">+I15</f>
        <v>1</v>
      </c>
      <c r="K15" s="195">
        <f t="shared" ref="K15:M16" si="4">+K16</f>
        <v>0</v>
      </c>
      <c r="L15" s="196">
        <f t="shared" si="4"/>
        <v>0</v>
      </c>
      <c r="M15" s="196">
        <f t="shared" si="4"/>
        <v>0</v>
      </c>
      <c r="N15" s="197" t="str">
        <f t="shared" ref="N15:N18" si="5">IF(K15=0,"-",+L15/K15)</f>
        <v>-</v>
      </c>
      <c r="O15" s="198" t="str">
        <f t="shared" ref="O15:O18" si="6">IF(M15=0," -",IF(L15=0,100%,M15/L15))</f>
        <v xml:space="preserve"> -</v>
      </c>
    </row>
    <row r="16" spans="2:15" ht="20" customHeight="1">
      <c r="B16" s="170" t="s">
        <v>71</v>
      </c>
      <c r="C16" s="301" t="s">
        <v>46</v>
      </c>
      <c r="D16" s="302"/>
      <c r="E16" s="185" t="str">
        <f>+IF('2016 - 2019'!G24&gt;0,'2016 - 2019'!O24," -")</f>
        <v xml:space="preserve"> -</v>
      </c>
      <c r="F16" s="185">
        <f>+IF('2016 - 2019'!H24&gt;0,'2016 - 2019'!P24," -")</f>
        <v>1</v>
      </c>
      <c r="G16" s="185" t="str">
        <f>+IF('2016 - 2019'!I24&gt;0,'2016 - 2019'!Q24," -")</f>
        <v xml:space="preserve"> -</v>
      </c>
      <c r="H16" s="185" t="str">
        <f>+IF('2016 - 2019'!J24&gt;0,'2016 - 2019'!R24," -")</f>
        <v xml:space="preserve"> -</v>
      </c>
      <c r="I16" s="186">
        <f>+'2016 - 2019'!S24</f>
        <v>1</v>
      </c>
      <c r="J16" s="187">
        <f t="shared" si="3"/>
        <v>1</v>
      </c>
      <c r="K16" s="188">
        <f t="shared" si="4"/>
        <v>0</v>
      </c>
      <c r="L16" s="189">
        <f t="shared" si="4"/>
        <v>0</v>
      </c>
      <c r="M16" s="189">
        <f t="shared" si="4"/>
        <v>0</v>
      </c>
      <c r="N16" s="190" t="str">
        <f t="shared" si="5"/>
        <v>-</v>
      </c>
      <c r="O16" s="191" t="str">
        <f t="shared" si="6"/>
        <v xml:space="preserve"> -</v>
      </c>
    </row>
    <row r="17" spans="2:15" ht="18" customHeight="1" thickBot="1">
      <c r="B17" s="178" t="s">
        <v>72</v>
      </c>
      <c r="C17" s="289" t="s">
        <v>73</v>
      </c>
      <c r="D17" s="290"/>
      <c r="E17" s="179" t="str">
        <f>+IF('2016 - 2019'!G24&gt;0,'2016 - 2019'!O24," -")</f>
        <v xml:space="preserve"> -</v>
      </c>
      <c r="F17" s="179">
        <f>+IF('2016 - 2019'!H24&gt;0,'2016 - 2019'!P24," -")</f>
        <v>1</v>
      </c>
      <c r="G17" s="179" t="str">
        <f>+IF('2016 - 2019'!I24&gt;0,'2016 - 2019'!Q24," -")</f>
        <v xml:space="preserve"> -</v>
      </c>
      <c r="H17" s="179" t="str">
        <f>+IF('2016 - 2019'!J24&gt;0,'2016 - 2019'!R24," -")</f>
        <v xml:space="preserve"> -</v>
      </c>
      <c r="I17" s="180">
        <f>+'2016 - 2019'!S24</f>
        <v>1</v>
      </c>
      <c r="J17" s="181">
        <f t="shared" si="3"/>
        <v>1</v>
      </c>
      <c r="K17" s="212">
        <f>+'2016 - 2019'!U24</f>
        <v>0</v>
      </c>
      <c r="L17" s="41">
        <f>+'2016 - 2019'!V24</f>
        <v>0</v>
      </c>
      <c r="M17" s="41">
        <f>+'2016 - 2019'!W24</f>
        <v>0</v>
      </c>
      <c r="N17" s="213" t="str">
        <f t="shared" si="5"/>
        <v>-</v>
      </c>
      <c r="O17" s="214" t="str">
        <f t="shared" si="6"/>
        <v xml:space="preserve"> -</v>
      </c>
    </row>
    <row r="18" spans="2:15" ht="24" customHeight="1" thickBot="1">
      <c r="C18" s="299" t="s">
        <v>74</v>
      </c>
      <c r="D18" s="300"/>
      <c r="E18" s="199">
        <f>+'2016 - 2019'!O25</f>
        <v>0.8666666666666667</v>
      </c>
      <c r="F18" s="199">
        <f>+'2016 - 2019'!P25</f>
        <v>0.95454545454545459</v>
      </c>
      <c r="G18" s="199">
        <f>+'2016 - 2019'!Q25</f>
        <v>0.93125000000000002</v>
      </c>
      <c r="H18" s="199">
        <f>+'2016 - 2019'!R25</f>
        <v>1</v>
      </c>
      <c r="I18" s="200">
        <f>+'2016 - 2019'!S25</f>
        <v>0.96022727272727271</v>
      </c>
      <c r="J18" s="201">
        <f t="shared" si="3"/>
        <v>0.96022727272727271</v>
      </c>
      <c r="K18" s="202">
        <f>+K8+K15</f>
        <v>103685141</v>
      </c>
      <c r="L18" s="203">
        <f>+L8+L15</f>
        <v>31194229</v>
      </c>
      <c r="M18" s="203">
        <f>+M8+M15</f>
        <v>0</v>
      </c>
      <c r="N18" s="204">
        <f t="shared" si="5"/>
        <v>0.30085534628341781</v>
      </c>
      <c r="O18" s="205" t="str">
        <f t="shared" si="6"/>
        <v xml:space="preserve"> -</v>
      </c>
    </row>
    <row r="20" spans="2:15" ht="17">
      <c r="C20" s="206" t="str">
        <f>+'2016 - 2019'!C7</f>
        <v>FECHA CORTE</v>
      </c>
      <c r="D20" s="207"/>
      <c r="E20" s="208"/>
      <c r="F20" s="208"/>
      <c r="I20" s="216" t="s">
        <v>77</v>
      </c>
    </row>
    <row r="21" spans="2:15" ht="17">
      <c r="C21" s="215">
        <f>+'2016 - 2019'!C8</f>
        <v>43830</v>
      </c>
    </row>
  </sheetData>
  <mergeCells count="18">
    <mergeCell ref="C18:D18"/>
    <mergeCell ref="C16:D16"/>
    <mergeCell ref="C12:D12"/>
    <mergeCell ref="C13:D13"/>
    <mergeCell ref="C14:D14"/>
    <mergeCell ref="C15:D15"/>
    <mergeCell ref="C17:D17"/>
    <mergeCell ref="C11:D11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8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{060626C1-48AD-D147-BF09-4BDE16EC74B7}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0626C1-48AD-D147-BF09-4BDE16EC74B7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E8:H18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2019-12-17T14:38:17Z</dcterms:modified>
</cp:coreProperties>
</file>