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0" yWindow="0" windowWidth="38400" windowHeight="22500" activeTab="3"/>
  </bookViews>
  <sheets>
    <sheet name="2016" sheetId="7" r:id="rId1"/>
    <sheet name="2017" sheetId="8" r:id="rId2"/>
    <sheet name="2018" sheetId="9" r:id="rId3"/>
    <sheet name="2019" sheetId="10" r:id="rId4"/>
    <sheet name="2016 - 2019" sheetId="11" r:id="rId5"/>
    <sheet name="RESUMEN" sheetId="12" r:id="rId6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8" i="11" l="1"/>
  <c r="V12" i="11"/>
  <c r="W12" i="11"/>
  <c r="V13" i="11"/>
  <c r="W13" i="11"/>
  <c r="V14" i="11"/>
  <c r="W14" i="11"/>
  <c r="V15" i="11"/>
  <c r="W15" i="11"/>
  <c r="V16" i="11"/>
  <c r="W16" i="11"/>
  <c r="V17" i="11"/>
  <c r="W17" i="11"/>
  <c r="V18" i="11"/>
  <c r="W18" i="11"/>
  <c r="V19" i="11"/>
  <c r="W19" i="11"/>
  <c r="V20" i="11"/>
  <c r="W20" i="11"/>
  <c r="U20" i="11"/>
  <c r="U19" i="11"/>
  <c r="U18" i="11"/>
  <c r="U17" i="11"/>
  <c r="U16" i="11"/>
  <c r="U15" i="11"/>
  <c r="U14" i="11"/>
  <c r="U13" i="11"/>
  <c r="U12" i="11"/>
  <c r="Q21" i="9"/>
  <c r="R18" i="9"/>
  <c r="P21" i="9"/>
  <c r="R17" i="9"/>
  <c r="L12" i="7"/>
  <c r="N12" i="7"/>
  <c r="O12" i="11"/>
  <c r="L13" i="7"/>
  <c r="N13" i="7"/>
  <c r="O13" i="11"/>
  <c r="L14" i="7"/>
  <c r="N14" i="7"/>
  <c r="O14" i="11"/>
  <c r="L15" i="7"/>
  <c r="N15" i="7"/>
  <c r="O15" i="11"/>
  <c r="L16" i="7"/>
  <c r="N16" i="7"/>
  <c r="O16" i="11"/>
  <c r="L17" i="7"/>
  <c r="N17" i="7"/>
  <c r="O17" i="11"/>
  <c r="L18" i="7"/>
  <c r="N18" i="7"/>
  <c r="O18" i="11"/>
  <c r="L19" i="7"/>
  <c r="N19" i="7"/>
  <c r="O19" i="11"/>
  <c r="L20" i="7"/>
  <c r="N20" i="7"/>
  <c r="O20" i="11"/>
  <c r="O21" i="11"/>
  <c r="L12" i="8"/>
  <c r="N12" i="8"/>
  <c r="P12" i="11"/>
  <c r="L13" i="8"/>
  <c r="N13" i="8"/>
  <c r="P13" i="11"/>
  <c r="L14" i="8"/>
  <c r="N14" i="8"/>
  <c r="P14" i="11"/>
  <c r="L15" i="8"/>
  <c r="N15" i="8"/>
  <c r="P15" i="11"/>
  <c r="L16" i="8"/>
  <c r="N16" i="8"/>
  <c r="P16" i="11"/>
  <c r="L17" i="8"/>
  <c r="N17" i="8"/>
  <c r="P17" i="11"/>
  <c r="L18" i="8"/>
  <c r="N18" i="8"/>
  <c r="P18" i="11"/>
  <c r="L19" i="8"/>
  <c r="N19" i="8"/>
  <c r="P19" i="11"/>
  <c r="L20" i="8"/>
  <c r="N20" i="8"/>
  <c r="P20" i="11"/>
  <c r="P21" i="11"/>
  <c r="L12" i="9"/>
  <c r="N12" i="9"/>
  <c r="Q12" i="11"/>
  <c r="L13" i="9"/>
  <c r="N13" i="9"/>
  <c r="Q13" i="11"/>
  <c r="L14" i="9"/>
  <c r="N14" i="9"/>
  <c r="Q14" i="11"/>
  <c r="L15" i="9"/>
  <c r="N15" i="9"/>
  <c r="Q15" i="11"/>
  <c r="N16" i="9"/>
  <c r="Q16" i="11"/>
  <c r="L17" i="9"/>
  <c r="N17" i="9"/>
  <c r="Q17" i="11"/>
  <c r="L18" i="9"/>
  <c r="N18" i="9"/>
  <c r="Q18" i="11"/>
  <c r="L19" i="9"/>
  <c r="N19" i="9"/>
  <c r="Q19" i="11"/>
  <c r="L20" i="9"/>
  <c r="N20" i="9"/>
  <c r="Q20" i="11"/>
  <c r="Q21" i="11"/>
  <c r="S21" i="11"/>
  <c r="L12" i="10"/>
  <c r="N12" i="10"/>
  <c r="R12" i="11"/>
  <c r="L13" i="10"/>
  <c r="N13" i="10"/>
  <c r="R13" i="11"/>
  <c r="L14" i="10"/>
  <c r="N14" i="10"/>
  <c r="R14" i="11"/>
  <c r="L15" i="10"/>
  <c r="N15" i="10"/>
  <c r="R15" i="11"/>
  <c r="N16" i="10"/>
  <c r="R16" i="11"/>
  <c r="L17" i="10"/>
  <c r="N17" i="10"/>
  <c r="R17" i="11"/>
  <c r="L18" i="10"/>
  <c r="N18" i="10"/>
  <c r="R18" i="11"/>
  <c r="L19" i="10"/>
  <c r="N19" i="10"/>
  <c r="R19" i="11"/>
  <c r="L20" i="10"/>
  <c r="N20" i="10"/>
  <c r="R20" i="11"/>
  <c r="R21" i="11"/>
  <c r="N21" i="9"/>
  <c r="M10" i="12"/>
  <c r="M9" i="12"/>
  <c r="M8" i="12"/>
  <c r="M11" i="12"/>
  <c r="L10" i="12"/>
  <c r="L9" i="12"/>
  <c r="L8" i="12"/>
  <c r="L11" i="12"/>
  <c r="K10" i="12"/>
  <c r="K9" i="12"/>
  <c r="K8" i="12"/>
  <c r="K11" i="12"/>
  <c r="I10" i="12"/>
  <c r="I9" i="12"/>
  <c r="I8" i="12"/>
  <c r="H12" i="11"/>
  <c r="H13" i="11"/>
  <c r="H14" i="11"/>
  <c r="H15" i="11"/>
  <c r="H16" i="11"/>
  <c r="H17" i="11"/>
  <c r="H18" i="11"/>
  <c r="H19" i="11"/>
  <c r="H20" i="11"/>
  <c r="F8" i="12"/>
  <c r="I12" i="11"/>
  <c r="I13" i="11"/>
  <c r="I14" i="11"/>
  <c r="I15" i="11"/>
  <c r="I16" i="11"/>
  <c r="I17" i="11"/>
  <c r="I18" i="11"/>
  <c r="I19" i="11"/>
  <c r="I20" i="11"/>
  <c r="G8" i="12"/>
  <c r="J12" i="11"/>
  <c r="J13" i="11"/>
  <c r="J14" i="11"/>
  <c r="J15" i="11"/>
  <c r="J16" i="11"/>
  <c r="J17" i="11"/>
  <c r="J18" i="11"/>
  <c r="J19" i="11"/>
  <c r="J20" i="11"/>
  <c r="H8" i="12"/>
  <c r="F9" i="12"/>
  <c r="G9" i="12"/>
  <c r="H9" i="12"/>
  <c r="F10" i="12"/>
  <c r="G10" i="12"/>
  <c r="H10" i="12"/>
  <c r="G12" i="11"/>
  <c r="G13" i="11"/>
  <c r="G14" i="11"/>
  <c r="G15" i="11"/>
  <c r="G16" i="11"/>
  <c r="G17" i="11"/>
  <c r="G18" i="11"/>
  <c r="G19" i="11"/>
  <c r="G20" i="11"/>
  <c r="E10" i="12"/>
  <c r="E9" i="12"/>
  <c r="E8" i="12"/>
  <c r="C14" i="12"/>
  <c r="C13" i="12"/>
  <c r="I11" i="12"/>
  <c r="F11" i="12"/>
  <c r="G11" i="12"/>
  <c r="H11" i="12"/>
  <c r="E11" i="12"/>
  <c r="O11" i="12"/>
  <c r="N11" i="12"/>
  <c r="J11" i="12"/>
  <c r="O10" i="12"/>
  <c r="N10" i="12"/>
  <c r="J10" i="12"/>
  <c r="O9" i="12"/>
  <c r="N9" i="12"/>
  <c r="J9" i="12"/>
  <c r="O8" i="12"/>
  <c r="N8" i="12"/>
  <c r="J8" i="12"/>
  <c r="N12" i="11"/>
  <c r="N13" i="11"/>
  <c r="N14" i="11"/>
  <c r="N15" i="11"/>
  <c r="N16" i="11"/>
  <c r="N17" i="11"/>
  <c r="N18" i="11"/>
  <c r="N19" i="11"/>
  <c r="N20" i="11"/>
  <c r="M12" i="11"/>
  <c r="M13" i="11"/>
  <c r="M14" i="11"/>
  <c r="M15" i="11"/>
  <c r="M16" i="11"/>
  <c r="M17" i="11"/>
  <c r="M18" i="11"/>
  <c r="M19" i="11"/>
  <c r="M20" i="11"/>
  <c r="L12" i="11"/>
  <c r="L13" i="11"/>
  <c r="L14" i="11"/>
  <c r="L15" i="11"/>
  <c r="L16" i="11"/>
  <c r="L17" i="11"/>
  <c r="L18" i="11"/>
  <c r="L19" i="11"/>
  <c r="L20" i="11"/>
  <c r="K12" i="11"/>
  <c r="K13" i="11"/>
  <c r="K14" i="11"/>
  <c r="K15" i="11"/>
  <c r="K16" i="11"/>
  <c r="K17" i="11"/>
  <c r="K18" i="11"/>
  <c r="K19" i="11"/>
  <c r="K20" i="11"/>
  <c r="W21" i="11"/>
  <c r="V21" i="11"/>
  <c r="Y21" i="11"/>
  <c r="U21" i="11"/>
  <c r="X21" i="11"/>
  <c r="Y20" i="11"/>
  <c r="X20" i="11"/>
  <c r="I20" i="8"/>
  <c r="I20" i="9"/>
  <c r="Y19" i="11"/>
  <c r="X19" i="11"/>
  <c r="I19" i="8"/>
  <c r="I19" i="9"/>
  <c r="Y18" i="11"/>
  <c r="X18" i="11"/>
  <c r="I18" i="8"/>
  <c r="I18" i="9"/>
  <c r="Y17" i="11"/>
  <c r="X17" i="11"/>
  <c r="I17" i="8"/>
  <c r="I17" i="9"/>
  <c r="Y16" i="11"/>
  <c r="X16" i="11"/>
  <c r="Y15" i="11"/>
  <c r="X15" i="11"/>
  <c r="Y14" i="11"/>
  <c r="X14" i="11"/>
  <c r="Y13" i="11"/>
  <c r="X13" i="11"/>
  <c r="Y12" i="11"/>
  <c r="X12" i="11"/>
  <c r="I12" i="8"/>
  <c r="I12" i="9"/>
  <c r="I16" i="10"/>
  <c r="I15" i="10"/>
  <c r="I14" i="10"/>
  <c r="I13" i="10"/>
  <c r="I17" i="10"/>
  <c r="I18" i="10"/>
  <c r="I19" i="10"/>
  <c r="I20" i="10"/>
  <c r="I12" i="10"/>
  <c r="I16" i="9"/>
  <c r="I15" i="9"/>
  <c r="I14" i="9"/>
  <c r="I13" i="9"/>
  <c r="I16" i="8"/>
  <c r="I15" i="8"/>
  <c r="I14" i="8"/>
  <c r="I13" i="8"/>
  <c r="R21" i="10"/>
  <c r="Q21" i="10"/>
  <c r="T21" i="10"/>
  <c r="P21" i="10"/>
  <c r="S21" i="10"/>
  <c r="N21" i="10"/>
  <c r="M12" i="10"/>
  <c r="M13" i="10"/>
  <c r="M14" i="10"/>
  <c r="M15" i="10"/>
  <c r="M16" i="10"/>
  <c r="M17" i="10"/>
  <c r="M18" i="10"/>
  <c r="M19" i="10"/>
  <c r="M20" i="10"/>
  <c r="M21" i="10"/>
  <c r="T20" i="10"/>
  <c r="S20" i="10"/>
  <c r="T19" i="10"/>
  <c r="S19" i="10"/>
  <c r="T18" i="10"/>
  <c r="S18" i="10"/>
  <c r="T17" i="10"/>
  <c r="S17" i="10"/>
  <c r="T16" i="10"/>
  <c r="S16" i="10"/>
  <c r="L16" i="10"/>
  <c r="T15" i="10"/>
  <c r="S15" i="10"/>
  <c r="T14" i="10"/>
  <c r="S14" i="10"/>
  <c r="T13" i="10"/>
  <c r="S13" i="10"/>
  <c r="T12" i="10"/>
  <c r="S12" i="10"/>
  <c r="R21" i="9"/>
  <c r="T21" i="9"/>
  <c r="S21" i="9"/>
  <c r="M12" i="9"/>
  <c r="M13" i="9"/>
  <c r="M14" i="9"/>
  <c r="M15" i="9"/>
  <c r="M16" i="9"/>
  <c r="M17" i="9"/>
  <c r="M18" i="9"/>
  <c r="M19" i="9"/>
  <c r="M20" i="9"/>
  <c r="M21" i="9"/>
  <c r="T20" i="9"/>
  <c r="S20" i="9"/>
  <c r="T19" i="9"/>
  <c r="S19" i="9"/>
  <c r="T18" i="9"/>
  <c r="S18" i="9"/>
  <c r="T17" i="9"/>
  <c r="S17" i="9"/>
  <c r="T16" i="9"/>
  <c r="S16" i="9"/>
  <c r="L16" i="9"/>
  <c r="T15" i="9"/>
  <c r="S15" i="9"/>
  <c r="T14" i="9"/>
  <c r="S14" i="9"/>
  <c r="T13" i="9"/>
  <c r="S13" i="9"/>
  <c r="T12" i="9"/>
  <c r="S12" i="9"/>
  <c r="R21" i="8"/>
  <c r="T21" i="8"/>
  <c r="P21" i="8"/>
  <c r="Q21" i="8"/>
  <c r="S21" i="8"/>
  <c r="N21" i="8"/>
  <c r="M12" i="8"/>
  <c r="M13" i="8"/>
  <c r="M14" i="8"/>
  <c r="M15" i="8"/>
  <c r="M16" i="8"/>
  <c r="M17" i="8"/>
  <c r="M18" i="8"/>
  <c r="M19" i="8"/>
  <c r="M20" i="8"/>
  <c r="M21" i="8"/>
  <c r="T20" i="8"/>
  <c r="S20" i="8"/>
  <c r="T19" i="8"/>
  <c r="S19" i="8"/>
  <c r="T18" i="8"/>
  <c r="S18" i="8"/>
  <c r="T17" i="8"/>
  <c r="S17" i="8"/>
  <c r="T16" i="8"/>
  <c r="S16" i="8"/>
  <c r="T15" i="8"/>
  <c r="S15" i="8"/>
  <c r="T14" i="8"/>
  <c r="S14" i="8"/>
  <c r="T13" i="8"/>
  <c r="S13" i="8"/>
  <c r="T12" i="8"/>
  <c r="S12" i="8"/>
  <c r="R21" i="7"/>
  <c r="Q21" i="7"/>
  <c r="P21" i="7"/>
  <c r="N21" i="7"/>
  <c r="M12" i="7"/>
  <c r="M13" i="7"/>
  <c r="M14" i="7"/>
  <c r="M15" i="7"/>
  <c r="M16" i="7"/>
  <c r="M17" i="7"/>
  <c r="M18" i="7"/>
  <c r="M19" i="7"/>
  <c r="M20" i="7"/>
  <c r="M21" i="7"/>
  <c r="T21" i="7"/>
  <c r="S21" i="7"/>
  <c r="S13" i="7"/>
  <c r="T13" i="7"/>
  <c r="S14" i="7"/>
  <c r="T14" i="7"/>
  <c r="S15" i="7"/>
  <c r="T15" i="7"/>
  <c r="S16" i="7"/>
  <c r="T16" i="7"/>
  <c r="S17" i="7"/>
  <c r="T17" i="7"/>
  <c r="S18" i="7"/>
  <c r="T18" i="7"/>
  <c r="S19" i="7"/>
  <c r="T19" i="7"/>
  <c r="S20" i="7"/>
  <c r="T20" i="7"/>
  <c r="T12" i="7"/>
  <c r="S12" i="7"/>
</calcChain>
</file>

<file path=xl/sharedStrings.xml><?xml version="1.0" encoding="utf-8"?>
<sst xmlns="http://schemas.openxmlformats.org/spreadsheetml/2006/main" count="265" uniqueCount="63">
  <si>
    <t>PROGRAMA</t>
  </si>
  <si>
    <t>META</t>
  </si>
  <si>
    <t>AÑO</t>
  </si>
  <si>
    <t>PLAN DE ACCIÓN</t>
  </si>
  <si>
    <t>TIEMPO PROGRAMADO
(en el año)</t>
  </si>
  <si>
    <t>INDICADORES</t>
  </si>
  <si>
    <t>AVANCE</t>
  </si>
  <si>
    <t>INDICADOR</t>
  </si>
  <si>
    <t>LOGRO</t>
  </si>
  <si>
    <t>Porcentaje de avance en tiempo</t>
  </si>
  <si>
    <t>Porcentaje de avance en cumplimiento</t>
  </si>
  <si>
    <t>Fecha Inicial</t>
  </si>
  <si>
    <t>Fecha Terminación</t>
  </si>
  <si>
    <t>FECHA CORTE</t>
  </si>
  <si>
    <t>Porcentaje de Ejecución</t>
  </si>
  <si>
    <t>Nivel de Gestión</t>
  </si>
  <si>
    <t>ALCALDÍA DE BUCARAMANGA</t>
  </si>
  <si>
    <t>LÍNEA ESTRATÉGICA</t>
  </si>
  <si>
    <t>COMPONENTE</t>
  </si>
  <si>
    <t>PLAN DE DESARROLLO 2016 - 2019 "EL GOBIERNO DE LAS CIUDADANAS Y LOS CIUDADANOS"</t>
  </si>
  <si>
    <t>Recursos Programados</t>
  </si>
  <si>
    <t>Recursos Ejecutados</t>
  </si>
  <si>
    <t>Recursos Gestionados</t>
  </si>
  <si>
    <t>Rubro Pptal</t>
  </si>
  <si>
    <t>RECURSOS FINANCIEROS (Miles de pesos)</t>
  </si>
  <si>
    <t>META CUATRIENIO</t>
  </si>
  <si>
    <t>META REAL</t>
  </si>
  <si>
    <t>Número de hectáreas clausuradas en el sitio de disposición final.</t>
  </si>
  <si>
    <t>Concentración de DBO de los lixiviados tratados en la Planta de Tratamiento de Lixiviados - PTLX.</t>
  </si>
  <si>
    <t>Concentración de SST de los lixiviados tratados en la Planta de Tratamiento de Lixiviados - PTLX.</t>
  </si>
  <si>
    <t>Concentración de DQO de los lixiviados tratados en la Planta de Tratamiento de Lixiviados - PTLX.</t>
  </si>
  <si>
    <t>Porcentaje de residuos que ingresan a la celda de disposición final mantenidos en la disposición técnica.</t>
  </si>
  <si>
    <t>Número de toneladas de residuos orgánicos tratados en la planta de compostaje.</t>
  </si>
  <si>
    <t>Número de toneladas de abono orgánico generadas en la planta de compostaje.</t>
  </si>
  <si>
    <t>Número de toneladas recicladas mediante la ruta de reciclaje.</t>
  </si>
  <si>
    <t>Número de personas sensibilizadas en el manejo adecuado de residuos sólidos.</t>
  </si>
  <si>
    <t>AMBIENTE PARA LA CIUDADANÍA</t>
  </si>
  <si>
    <t>IMPLEMENTACIÓN DEL PGIRS</t>
  </si>
  <si>
    <t>3 - SOSTENIBILIDAD AMBIENTAL</t>
  </si>
  <si>
    <t>PLAN DE ACCIÓN - EMPRESA METROPOLITANA DE ASEO DE BUCARAMANGA (EMAB)</t>
  </si>
  <si>
    <t>2016 - 2019</t>
  </si>
  <si>
    <t>AVANCE EN CUMPLIMIENTO</t>
  </si>
  <si>
    <t>RECURSOS FINANCIEROS 2016 - 2017 (Miles de pesos)</t>
  </si>
  <si>
    <t>CUMPLIMIENTO POR AÑO</t>
  </si>
  <si>
    <t>RECURSOS DEL PLAN DE DESARROLLO (Cifras en Miles de Pesos)</t>
  </si>
  <si>
    <t>RECURSOS PROGRAMADOS</t>
  </si>
  <si>
    <t>RECURSOS EJECUTADOS</t>
  </si>
  <si>
    <t>RECURSOS GESTIONADOS</t>
  </si>
  <si>
    <t>PORCENTAJE EJECUCIÓN</t>
  </si>
  <si>
    <t>NIVEL DE GESTIÓN</t>
  </si>
  <si>
    <t>LÍNEA ESTRATÉGICA 3: SOSTENIBILIDAD AMBIENTAL</t>
  </si>
  <si>
    <t>3.3</t>
  </si>
  <si>
    <t>3.3.1</t>
  </si>
  <si>
    <t>Implementación del PGIRS</t>
  </si>
  <si>
    <t>PLAN DE DESARROLLO 2016 - 2019</t>
  </si>
  <si>
    <t>RESUMEN CUMPLIMIENTO EMPRESA METROPOLITANA DE ASEO DE BUCARAMANGA (EMAB) 2016 - 2019</t>
  </si>
  <si>
    <t>05410706</t>
  </si>
  <si>
    <t xml:space="preserve"> -</t>
  </si>
  <si>
    <t>05413102
05410701
05410705
05411301</t>
  </si>
  <si>
    <t>05410702</t>
  </si>
  <si>
    <t>05410704</t>
  </si>
  <si>
    <t>054118</t>
  </si>
  <si>
    <t>META A JUNIO 2019: 83%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</si>
</sst>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;@"/>
    <numFmt numFmtId="165" formatCode="#,##0.0"/>
  </numFmts>
  <fonts count="22" x14ac:knownFonts="1">
    <font>
      <sz val="11"/>
      <color theme="1"/>
      <name val="Arial"/>
      <family val="2"/>
    </font>
    <font>
      <b/>
      <sz val="12"/>
      <color indexed="8"/>
      <name val="Arial"/>
      <family val="2"/>
    </font>
    <font>
      <b/>
      <sz val="12"/>
      <name val="Arial"/>
    </font>
    <font>
      <sz val="12"/>
      <name val="Arial"/>
    </font>
    <font>
      <b/>
      <sz val="14"/>
      <color indexed="8"/>
      <name val="Arial"/>
    </font>
    <font>
      <sz val="12"/>
      <color indexed="8"/>
      <name val="Arial"/>
    </font>
    <font>
      <sz val="12"/>
      <color theme="1"/>
      <name val="Arial"/>
    </font>
    <font>
      <b/>
      <sz val="12"/>
      <color theme="1"/>
      <name val="Arial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2"/>
      <color rgb="FFFF0000"/>
      <name val="Arial"/>
    </font>
    <font>
      <b/>
      <sz val="14"/>
      <color theme="1"/>
      <name val="Arial"/>
    </font>
    <font>
      <b/>
      <sz val="14"/>
      <name val="Arial"/>
    </font>
    <font>
      <b/>
      <sz val="16"/>
      <color theme="1"/>
      <name val="Arial"/>
    </font>
    <font>
      <b/>
      <sz val="12"/>
      <color theme="0"/>
      <name val="Arial"/>
      <family val="2"/>
    </font>
    <font>
      <b/>
      <sz val="14"/>
      <color theme="0"/>
      <name val="Arial"/>
    </font>
    <font>
      <b/>
      <sz val="18"/>
      <color theme="0"/>
      <name val="Arial"/>
    </font>
    <font>
      <i/>
      <sz val="12"/>
      <color theme="1"/>
      <name val="Arial"/>
      <family val="2"/>
    </font>
    <font>
      <i/>
      <sz val="14"/>
      <color theme="1"/>
      <name val="Arial"/>
    </font>
    <font>
      <sz val="16"/>
      <color theme="1"/>
      <name val="Arial"/>
    </font>
    <font>
      <sz val="14"/>
      <color theme="1"/>
      <name val="Arial"/>
    </font>
    <font>
      <b/>
      <sz val="18"/>
      <color theme="1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8000"/>
        <bgColor indexed="64"/>
      </patternFill>
    </fill>
  </fills>
  <borders count="6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</borders>
  <cellStyleXfs count="69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223">
    <xf numFmtId="0" fontId="0" fillId="0" borderId="0" xfId="0"/>
    <xf numFmtId="0" fontId="6" fillId="0" borderId="0" xfId="0" applyFont="1"/>
    <xf numFmtId="0" fontId="2" fillId="0" borderId="11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17" xfId="0" applyFont="1" applyFill="1" applyBorder="1" applyAlignment="1" applyProtection="1">
      <alignment horizontal="center" vertical="center" wrapText="1"/>
    </xf>
    <xf numFmtId="164" fontId="3" fillId="0" borderId="18" xfId="0" applyNumberFormat="1" applyFont="1" applyBorder="1" applyAlignment="1" applyProtection="1">
      <alignment horizontal="center" vertical="center" wrapText="1"/>
    </xf>
    <xf numFmtId="0" fontId="5" fillId="0" borderId="5" xfId="0" applyFont="1" applyFill="1" applyBorder="1" applyAlignment="1">
      <alignment horizontal="justify" vertical="center" wrapText="1"/>
    </xf>
    <xf numFmtId="3" fontId="5" fillId="0" borderId="5" xfId="0" applyNumberFormat="1" applyFont="1" applyFill="1" applyBorder="1" applyAlignment="1">
      <alignment horizontal="center" vertical="center" wrapText="1"/>
    </xf>
    <xf numFmtId="9" fontId="5" fillId="0" borderId="5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9" fontId="6" fillId="0" borderId="5" xfId="0" applyNumberFormat="1" applyFont="1" applyBorder="1" applyAlignment="1">
      <alignment horizontal="center" vertical="center"/>
    </xf>
    <xf numFmtId="0" fontId="3" fillId="0" borderId="3" xfId="0" applyFont="1" applyFill="1" applyBorder="1" applyAlignment="1">
      <alignment horizontal="justify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9" fontId="6" fillId="0" borderId="3" xfId="0" applyNumberFormat="1" applyFont="1" applyBorder="1" applyAlignment="1">
      <alignment horizontal="center" vertical="center"/>
    </xf>
    <xf numFmtId="9" fontId="6" fillId="0" borderId="8" xfId="0" applyNumberFormat="1" applyFont="1" applyBorder="1" applyAlignment="1">
      <alignment horizontal="center" vertical="center"/>
    </xf>
    <xf numFmtId="9" fontId="6" fillId="0" borderId="9" xfId="0" applyNumberFormat="1" applyFont="1" applyBorder="1" applyAlignment="1">
      <alignment horizontal="center" vertical="center"/>
    </xf>
    <xf numFmtId="0" fontId="5" fillId="0" borderId="7" xfId="0" applyFont="1" applyFill="1" applyBorder="1" applyAlignment="1">
      <alignment horizontal="justify" vertical="center" wrapText="1"/>
    </xf>
    <xf numFmtId="3" fontId="5" fillId="0" borderId="7" xfId="0" applyNumberFormat="1" applyFont="1" applyFill="1" applyBorder="1" applyAlignment="1">
      <alignment horizontal="center" vertical="center" wrapText="1"/>
    </xf>
    <xf numFmtId="9" fontId="6" fillId="0" borderId="7" xfId="0" applyNumberFormat="1" applyFont="1" applyBorder="1" applyAlignment="1">
      <alignment horizontal="center" vertical="center"/>
    </xf>
    <xf numFmtId="9" fontId="6" fillId="0" borderId="10" xfId="0" applyNumberFormat="1" applyFont="1" applyBorder="1" applyAlignment="1">
      <alignment horizontal="center" vertical="center"/>
    </xf>
    <xf numFmtId="9" fontId="6" fillId="0" borderId="2" xfId="0" applyNumberFormat="1" applyFont="1" applyBorder="1" applyAlignment="1">
      <alignment horizontal="center" vertical="center"/>
    </xf>
    <xf numFmtId="9" fontId="6" fillId="0" borderId="4" xfId="0" applyNumberFormat="1" applyFont="1" applyBorder="1" applyAlignment="1">
      <alignment horizontal="center" vertical="center"/>
    </xf>
    <xf numFmtId="9" fontId="6" fillId="0" borderId="6" xfId="0" applyNumberFormat="1" applyFont="1" applyBorder="1" applyAlignment="1">
      <alignment horizontal="center" vertical="center"/>
    </xf>
    <xf numFmtId="3" fontId="6" fillId="0" borderId="3" xfId="0" applyNumberFormat="1" applyFont="1" applyBorder="1" applyAlignment="1">
      <alignment horizontal="center" vertical="center"/>
    </xf>
    <xf numFmtId="3" fontId="6" fillId="0" borderId="5" xfId="0" applyNumberFormat="1" applyFont="1" applyBorder="1" applyAlignment="1">
      <alignment horizontal="center" vertical="center"/>
    </xf>
    <xf numFmtId="3" fontId="6" fillId="0" borderId="7" xfId="0" applyNumberFormat="1" applyFont="1" applyBorder="1" applyAlignment="1">
      <alignment horizontal="center" vertical="center"/>
    </xf>
    <xf numFmtId="3" fontId="6" fillId="0" borderId="45" xfId="0" applyNumberFormat="1" applyFont="1" applyBorder="1" applyAlignment="1">
      <alignment horizontal="center" vertical="center"/>
    </xf>
    <xf numFmtId="3" fontId="6" fillId="0" borderId="46" xfId="0" applyNumberFormat="1" applyFont="1" applyBorder="1" applyAlignment="1">
      <alignment horizontal="center" vertical="center"/>
    </xf>
    <xf numFmtId="9" fontId="6" fillId="0" borderId="46" xfId="0" applyNumberFormat="1" applyFont="1" applyBorder="1" applyAlignment="1">
      <alignment horizontal="center" vertical="center"/>
    </xf>
    <xf numFmtId="3" fontId="6" fillId="0" borderId="13" xfId="0" applyNumberFormat="1" applyFont="1" applyBorder="1" applyAlignment="1">
      <alignment horizontal="center" vertical="center"/>
    </xf>
    <xf numFmtId="9" fontId="10" fillId="0" borderId="42" xfId="0" applyNumberFormat="1" applyFont="1" applyBorder="1" applyAlignment="1">
      <alignment horizontal="center" vertical="center"/>
    </xf>
    <xf numFmtId="9" fontId="10" fillId="0" borderId="43" xfId="0" applyNumberFormat="1" applyFont="1" applyBorder="1" applyAlignment="1">
      <alignment horizontal="center" vertical="center"/>
    </xf>
    <xf numFmtId="9" fontId="10" fillId="0" borderId="44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164" fontId="6" fillId="0" borderId="7" xfId="0" applyNumberFormat="1" applyFont="1" applyBorder="1" applyAlignment="1">
      <alignment horizontal="center" vertical="center"/>
    </xf>
    <xf numFmtId="9" fontId="11" fillId="2" borderId="47" xfId="0" applyNumberFormat="1" applyFont="1" applyFill="1" applyBorder="1" applyAlignment="1">
      <alignment horizontal="center" vertical="center"/>
    </xf>
    <xf numFmtId="9" fontId="11" fillId="2" borderId="31" xfId="0" applyNumberFormat="1" applyFont="1" applyFill="1" applyBorder="1" applyAlignment="1">
      <alignment horizontal="center" vertical="center"/>
    </xf>
    <xf numFmtId="3" fontId="11" fillId="2" borderId="48" xfId="0" applyNumberFormat="1" applyFont="1" applyFill="1" applyBorder="1" applyAlignment="1">
      <alignment horizontal="center" vertical="center"/>
    </xf>
    <xf numFmtId="3" fontId="11" fillId="2" borderId="32" xfId="0" applyNumberFormat="1" applyFont="1" applyFill="1" applyBorder="1" applyAlignment="1">
      <alignment horizontal="center" vertical="center"/>
    </xf>
    <xf numFmtId="9" fontId="11" fillId="2" borderId="32" xfId="0" applyNumberFormat="1" applyFont="1" applyFill="1" applyBorder="1" applyAlignment="1">
      <alignment horizontal="center" vertical="center"/>
    </xf>
    <xf numFmtId="0" fontId="7" fillId="0" borderId="0" xfId="0" applyFont="1"/>
    <xf numFmtId="3" fontId="6" fillId="0" borderId="49" xfId="0" applyNumberFormat="1" applyFont="1" applyBorder="1" applyAlignment="1">
      <alignment horizontal="center" vertical="center"/>
    </xf>
    <xf numFmtId="3" fontId="6" fillId="0" borderId="8" xfId="0" applyNumberFormat="1" applyFont="1" applyBorder="1" applyAlignment="1">
      <alignment horizontal="center" vertical="center"/>
    </xf>
    <xf numFmtId="3" fontId="6" fillId="0" borderId="9" xfId="0" applyNumberFormat="1" applyFont="1" applyBorder="1" applyAlignment="1">
      <alignment horizontal="center" vertical="center"/>
    </xf>
    <xf numFmtId="3" fontId="6" fillId="0" borderId="32" xfId="0" applyNumberFormat="1" applyFont="1" applyBorder="1" applyAlignment="1">
      <alignment horizontal="center" vertical="center"/>
    </xf>
    <xf numFmtId="3" fontId="6" fillId="0" borderId="10" xfId="0" applyNumberFormat="1" applyFont="1" applyBorder="1" applyAlignment="1">
      <alignment horizontal="center" vertical="center"/>
    </xf>
    <xf numFmtId="9" fontId="6" fillId="0" borderId="49" xfId="0" applyNumberFormat="1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32" xfId="0" applyFont="1" applyBorder="1" applyAlignment="1">
      <alignment horizontal="center" vertical="center" wrapText="1"/>
    </xf>
    <xf numFmtId="9" fontId="6" fillId="3" borderId="2" xfId="0" applyNumberFormat="1" applyFont="1" applyFill="1" applyBorder="1" applyAlignment="1">
      <alignment horizontal="center" vertical="center"/>
    </xf>
    <xf numFmtId="9" fontId="6" fillId="3" borderId="4" xfId="0" applyNumberFormat="1" applyFont="1" applyFill="1" applyBorder="1" applyAlignment="1">
      <alignment horizontal="center" vertical="center"/>
    </xf>
    <xf numFmtId="9" fontId="6" fillId="3" borderId="6" xfId="0" applyNumberFormat="1" applyFont="1" applyFill="1" applyBorder="1" applyAlignment="1">
      <alignment horizontal="center" vertical="center"/>
    </xf>
    <xf numFmtId="0" fontId="2" fillId="0" borderId="39" xfId="0" applyFont="1" applyFill="1" applyBorder="1" applyAlignment="1">
      <alignment horizontal="center" vertical="center"/>
    </xf>
    <xf numFmtId="0" fontId="2" fillId="0" borderId="51" xfId="0" applyFont="1" applyFill="1" applyBorder="1" applyAlignment="1">
      <alignment horizontal="center" vertical="center"/>
    </xf>
    <xf numFmtId="9" fontId="6" fillId="3" borderId="15" xfId="0" applyNumberFormat="1" applyFont="1" applyFill="1" applyBorder="1" applyAlignment="1">
      <alignment horizontal="center" vertical="center"/>
    </xf>
    <xf numFmtId="9" fontId="6" fillId="3" borderId="52" xfId="0" applyNumberFormat="1" applyFont="1" applyFill="1" applyBorder="1" applyAlignment="1">
      <alignment horizontal="center" vertical="center"/>
    </xf>
    <xf numFmtId="9" fontId="6" fillId="3" borderId="53" xfId="0" applyNumberFormat="1" applyFont="1" applyFill="1" applyBorder="1" applyAlignment="1">
      <alignment horizontal="center" vertical="center"/>
    </xf>
    <xf numFmtId="9" fontId="6" fillId="3" borderId="3" xfId="0" applyNumberFormat="1" applyFont="1" applyFill="1" applyBorder="1" applyAlignment="1">
      <alignment horizontal="center" vertical="center"/>
    </xf>
    <xf numFmtId="9" fontId="6" fillId="3" borderId="5" xfId="0" applyNumberFormat="1" applyFont="1" applyFill="1" applyBorder="1" applyAlignment="1">
      <alignment horizontal="center" vertical="center"/>
    </xf>
    <xf numFmtId="9" fontId="6" fillId="3" borderId="7" xfId="0" applyNumberFormat="1" applyFont="1" applyFill="1" applyBorder="1" applyAlignment="1">
      <alignment horizontal="center" vertical="center"/>
    </xf>
    <xf numFmtId="9" fontId="11" fillId="2" borderId="55" xfId="0" applyNumberFormat="1" applyFont="1" applyFill="1" applyBorder="1" applyAlignment="1">
      <alignment horizontal="center" vertical="center"/>
    </xf>
    <xf numFmtId="9" fontId="7" fillId="2" borderId="55" xfId="0" applyNumberFormat="1" applyFont="1" applyFill="1" applyBorder="1" applyAlignment="1">
      <alignment horizontal="center" vertical="center"/>
    </xf>
    <xf numFmtId="9" fontId="7" fillId="2" borderId="56" xfId="0" applyNumberFormat="1" applyFont="1" applyFill="1" applyBorder="1" applyAlignment="1">
      <alignment horizontal="center" vertical="center"/>
    </xf>
    <xf numFmtId="9" fontId="11" fillId="2" borderId="57" xfId="0" applyNumberFormat="1" applyFont="1" applyFill="1" applyBorder="1" applyAlignment="1">
      <alignment horizontal="center" vertical="center"/>
    </xf>
    <xf numFmtId="9" fontId="11" fillId="3" borderId="8" xfId="0" applyNumberFormat="1" applyFont="1" applyFill="1" applyBorder="1" applyAlignment="1">
      <alignment horizontal="center" vertical="center"/>
    </xf>
    <xf numFmtId="9" fontId="11" fillId="3" borderId="9" xfId="0" applyNumberFormat="1" applyFont="1" applyFill="1" applyBorder="1" applyAlignment="1">
      <alignment horizontal="center" vertical="center"/>
    </xf>
    <xf numFmtId="9" fontId="11" fillId="3" borderId="10" xfId="0" applyNumberFormat="1" applyFont="1" applyFill="1" applyBorder="1" applyAlignment="1">
      <alignment horizontal="center" vertical="center"/>
    </xf>
    <xf numFmtId="0" fontId="2" fillId="0" borderId="35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2" fillId="0" borderId="48" xfId="0" applyFont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/>
    </xf>
    <xf numFmtId="3" fontId="6" fillId="0" borderId="26" xfId="0" applyNumberFormat="1" applyFont="1" applyBorder="1" applyAlignment="1">
      <alignment horizontal="center" vertical="center"/>
    </xf>
    <xf numFmtId="3" fontId="6" fillId="0" borderId="27" xfId="0" applyNumberFormat="1" applyFont="1" applyBorder="1" applyAlignment="1">
      <alignment horizontal="center" vertical="center"/>
    </xf>
    <xf numFmtId="9" fontId="6" fillId="0" borderId="27" xfId="0" applyNumberFormat="1" applyFont="1" applyBorder="1" applyAlignment="1">
      <alignment horizontal="center" vertical="center"/>
    </xf>
    <xf numFmtId="3" fontId="6" fillId="0" borderId="28" xfId="0" applyNumberFormat="1" applyFont="1" applyBorder="1" applyAlignment="1">
      <alignment horizontal="center" vertical="center"/>
    </xf>
    <xf numFmtId="165" fontId="6" fillId="0" borderId="45" xfId="0" applyNumberFormat="1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/>
    </xf>
    <xf numFmtId="9" fontId="6" fillId="0" borderId="1" xfId="0" applyNumberFormat="1" applyFont="1" applyBorder="1" applyAlignment="1">
      <alignment horizontal="center" vertical="center"/>
    </xf>
    <xf numFmtId="9" fontId="6" fillId="0" borderId="30" xfId="0" applyNumberFormat="1" applyFont="1" applyBorder="1" applyAlignment="1">
      <alignment horizontal="center" vertical="center"/>
    </xf>
    <xf numFmtId="3" fontId="11" fillId="2" borderId="56" xfId="0" applyNumberFormat="1" applyFont="1" applyFill="1" applyBorder="1" applyAlignment="1">
      <alignment horizontal="center" vertical="center"/>
    </xf>
    <xf numFmtId="3" fontId="11" fillId="2" borderId="55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" fillId="0" borderId="23" xfId="0" applyFont="1" applyBorder="1" applyAlignment="1" applyProtection="1">
      <alignment horizontal="center" vertical="center"/>
      <protection locked="0"/>
    </xf>
    <xf numFmtId="0" fontId="1" fillId="0" borderId="50" xfId="0" applyFont="1" applyBorder="1" applyAlignment="1" applyProtection="1">
      <alignment horizontal="center" vertical="center"/>
      <protection locked="0"/>
    </xf>
    <xf numFmtId="0" fontId="2" fillId="0" borderId="64" xfId="0" applyFont="1" applyFill="1" applyBorder="1" applyAlignment="1" applyProtection="1">
      <alignment horizontal="center" vertical="center" wrapText="1"/>
      <protection locked="0"/>
    </xf>
    <xf numFmtId="0" fontId="2" fillId="0" borderId="20" xfId="0" applyFont="1" applyFill="1" applyBorder="1" applyAlignment="1" applyProtection="1">
      <alignment horizontal="center" vertical="center" wrapText="1"/>
      <protection locked="0"/>
    </xf>
    <xf numFmtId="0" fontId="2" fillId="0" borderId="37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9" fontId="6" fillId="0" borderId="5" xfId="0" applyNumberFormat="1" applyFont="1" applyBorder="1" applyAlignment="1">
      <alignment horizontal="center" vertical="center" wrapText="1"/>
    </xf>
    <xf numFmtId="9" fontId="20" fillId="0" borderId="27" xfId="0" applyNumberFormat="1" applyFont="1" applyBorder="1" applyAlignment="1">
      <alignment horizontal="center" vertical="center" wrapText="1"/>
    </xf>
    <xf numFmtId="9" fontId="19" fillId="0" borderId="52" xfId="0" applyNumberFormat="1" applyFont="1" applyBorder="1" applyAlignment="1">
      <alignment horizontal="center" vertical="center" wrapText="1"/>
    </xf>
    <xf numFmtId="9" fontId="17" fillId="5" borderId="5" xfId="0" applyNumberFormat="1" applyFont="1" applyFill="1" applyBorder="1" applyAlignment="1">
      <alignment horizontal="center" vertical="center" wrapText="1"/>
    </xf>
    <xf numFmtId="9" fontId="18" fillId="5" borderId="27" xfId="0" applyNumberFormat="1" applyFont="1" applyFill="1" applyBorder="1" applyAlignment="1">
      <alignment horizontal="center" vertical="center" wrapText="1"/>
    </xf>
    <xf numFmtId="9" fontId="19" fillId="5" borderId="52" xfId="0" applyNumberFormat="1" applyFont="1" applyFill="1" applyBorder="1" applyAlignment="1">
      <alignment horizontal="center" vertical="center" wrapText="1"/>
    </xf>
    <xf numFmtId="3" fontId="6" fillId="5" borderId="4" xfId="0" applyNumberFormat="1" applyFont="1" applyFill="1" applyBorder="1" applyAlignment="1">
      <alignment horizontal="center" vertical="center"/>
    </xf>
    <xf numFmtId="3" fontId="6" fillId="5" borderId="5" xfId="0" applyNumberFormat="1" applyFont="1" applyFill="1" applyBorder="1" applyAlignment="1">
      <alignment horizontal="center" vertical="center"/>
    </xf>
    <xf numFmtId="9" fontId="5" fillId="5" borderId="46" xfId="0" applyNumberFormat="1" applyFont="1" applyFill="1" applyBorder="1" applyAlignment="1" applyProtection="1">
      <alignment horizontal="center" vertical="center"/>
    </xf>
    <xf numFmtId="9" fontId="5" fillId="5" borderId="9" xfId="0" applyNumberFormat="1" applyFont="1" applyFill="1" applyBorder="1" applyAlignment="1" applyProtection="1">
      <alignment horizontal="center" vertical="center"/>
    </xf>
    <xf numFmtId="9" fontId="14" fillId="6" borderId="55" xfId="0" applyNumberFormat="1" applyFont="1" applyFill="1" applyBorder="1" applyAlignment="1">
      <alignment horizontal="center" vertical="center" wrapText="1"/>
    </xf>
    <xf numFmtId="9" fontId="15" fillId="6" borderId="60" xfId="0" applyNumberFormat="1" applyFont="1" applyFill="1" applyBorder="1" applyAlignment="1">
      <alignment horizontal="center" vertical="center" wrapText="1"/>
    </xf>
    <xf numFmtId="9" fontId="16" fillId="6" borderId="61" xfId="0" applyNumberFormat="1" applyFont="1" applyFill="1" applyBorder="1" applyAlignment="1">
      <alignment horizontal="center" vertical="center" wrapText="1"/>
    </xf>
    <xf numFmtId="3" fontId="14" fillId="6" borderId="56" xfId="0" applyNumberFormat="1" applyFont="1" applyFill="1" applyBorder="1" applyAlignment="1">
      <alignment horizontal="center" vertical="center"/>
    </xf>
    <xf numFmtId="3" fontId="14" fillId="6" borderId="55" xfId="0" applyNumberFormat="1" applyFont="1" applyFill="1" applyBorder="1" applyAlignment="1">
      <alignment horizontal="center" vertical="center"/>
    </xf>
    <xf numFmtId="9" fontId="14" fillId="6" borderId="66" xfId="0" applyNumberFormat="1" applyFont="1" applyFill="1" applyBorder="1" applyAlignment="1" applyProtection="1">
      <alignment horizontal="center" vertical="center"/>
    </xf>
    <xf numFmtId="9" fontId="14" fillId="6" borderId="57" xfId="0" applyNumberFormat="1" applyFont="1" applyFill="1" applyBorder="1" applyAlignment="1" applyProtection="1">
      <alignment horizontal="center" vertical="center"/>
    </xf>
    <xf numFmtId="9" fontId="11" fillId="2" borderId="55" xfId="0" applyNumberFormat="1" applyFont="1" applyFill="1" applyBorder="1" applyAlignment="1">
      <alignment horizontal="center" vertical="center" wrapText="1"/>
    </xf>
    <xf numFmtId="9" fontId="11" fillId="2" borderId="60" xfId="0" applyNumberFormat="1" applyFont="1" applyFill="1" applyBorder="1" applyAlignment="1">
      <alignment horizontal="center" vertical="center" wrapText="1"/>
    </xf>
    <xf numFmtId="9" fontId="21" fillId="2" borderId="61" xfId="0" applyNumberFormat="1" applyFont="1" applyFill="1" applyBorder="1" applyAlignment="1">
      <alignment horizontal="center" vertical="center" wrapText="1"/>
    </xf>
    <xf numFmtId="9" fontId="4" fillId="2" borderId="55" xfId="0" applyNumberFormat="1" applyFont="1" applyFill="1" applyBorder="1" applyAlignment="1" applyProtection="1">
      <alignment horizontal="center" vertical="center"/>
    </xf>
    <xf numFmtId="9" fontId="4" fillId="2" borderId="57" xfId="0" applyNumberFormat="1" applyFont="1" applyFill="1" applyBorder="1" applyAlignment="1" applyProtection="1">
      <alignment horizontal="center" vertical="center"/>
    </xf>
    <xf numFmtId="0" fontId="11" fillId="0" borderId="0" xfId="0" applyFont="1"/>
    <xf numFmtId="0" fontId="20" fillId="0" borderId="0" xfId="0" applyFont="1"/>
    <xf numFmtId="0" fontId="11" fillId="0" borderId="0" xfId="0" applyFont="1" applyAlignment="1">
      <alignment vertical="center"/>
    </xf>
    <xf numFmtId="164" fontId="11" fillId="0" borderId="0" xfId="0" applyNumberFormat="1" applyFont="1" applyAlignment="1">
      <alignment horizontal="left"/>
    </xf>
    <xf numFmtId="3" fontId="6" fillId="0" borderId="6" xfId="0" applyNumberFormat="1" applyFont="1" applyBorder="1" applyAlignment="1">
      <alignment horizontal="center" vertical="center"/>
    </xf>
    <xf numFmtId="9" fontId="5" fillId="0" borderId="13" xfId="0" applyNumberFormat="1" applyFont="1" applyBorder="1" applyAlignment="1" applyProtection="1">
      <alignment horizontal="center" vertical="center"/>
    </xf>
    <xf numFmtId="9" fontId="5" fillId="0" borderId="10" xfId="0" applyNumberFormat="1" applyFont="1" applyBorder="1" applyAlignment="1" applyProtection="1">
      <alignment horizontal="center" vertical="center"/>
    </xf>
    <xf numFmtId="165" fontId="6" fillId="0" borderId="9" xfId="0" applyNumberFormat="1" applyFont="1" applyBorder="1" applyAlignment="1">
      <alignment horizontal="center" vertical="center"/>
    </xf>
    <xf numFmtId="165" fontId="6" fillId="0" borderId="8" xfId="0" applyNumberFormat="1" applyFont="1" applyBorder="1" applyAlignment="1">
      <alignment horizontal="center" vertical="center"/>
    </xf>
    <xf numFmtId="0" fontId="15" fillId="0" borderId="0" xfId="0" applyFont="1"/>
    <xf numFmtId="0" fontId="6" fillId="0" borderId="23" xfId="0" applyFont="1" applyBorder="1" applyAlignment="1">
      <alignment horizontal="justify" vertical="center" wrapText="1"/>
    </xf>
    <xf numFmtId="0" fontId="6" fillId="0" borderId="24" xfId="0" applyFont="1" applyBorder="1" applyAlignment="1">
      <alignment horizontal="justify" vertical="center" wrapText="1"/>
    </xf>
    <xf numFmtId="0" fontId="6" fillId="0" borderId="48" xfId="0" applyFont="1" applyBorder="1" applyAlignment="1">
      <alignment horizontal="justify" vertical="center" wrapText="1"/>
    </xf>
    <xf numFmtId="0" fontId="7" fillId="0" borderId="42" xfId="0" applyFont="1" applyBorder="1" applyAlignment="1">
      <alignment horizontal="center" vertical="center" wrapText="1"/>
    </xf>
    <xf numFmtId="0" fontId="7" fillId="0" borderId="43" xfId="0" applyFont="1" applyBorder="1" applyAlignment="1">
      <alignment horizontal="center" vertical="center" wrapText="1"/>
    </xf>
    <xf numFmtId="0" fontId="7" fillId="0" borderId="44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23" xfId="0" applyFont="1" applyBorder="1" applyAlignment="1" applyProtection="1">
      <alignment horizontal="center" vertical="center" wrapText="1"/>
    </xf>
    <xf numFmtId="0" fontId="2" fillId="0" borderId="19" xfId="0" applyFont="1" applyBorder="1" applyAlignment="1" applyProtection="1">
      <alignment horizontal="center" vertical="center" wrapText="1"/>
    </xf>
    <xf numFmtId="0" fontId="2" fillId="0" borderId="25" xfId="0" applyFont="1" applyBorder="1" applyAlignment="1" applyProtection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3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36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12" fillId="3" borderId="30" xfId="0" applyFont="1" applyFill="1" applyBorder="1" applyAlignment="1">
      <alignment horizontal="center" vertical="center" wrapText="1"/>
    </xf>
    <xf numFmtId="0" fontId="2" fillId="0" borderId="50" xfId="0" applyFont="1" applyBorder="1" applyAlignment="1" applyProtection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3" borderId="26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2" fillId="3" borderId="58" xfId="0" applyFont="1" applyFill="1" applyBorder="1" applyAlignment="1">
      <alignment horizontal="center" vertical="center" wrapText="1"/>
    </xf>
    <xf numFmtId="0" fontId="2" fillId="3" borderId="39" xfId="0" applyFont="1" applyFill="1" applyBorder="1" applyAlignment="1">
      <alignment horizontal="center" vertical="center" wrapText="1"/>
    </xf>
    <xf numFmtId="0" fontId="2" fillId="3" borderId="54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32" xfId="0" applyFont="1" applyFill="1" applyBorder="1" applyAlignment="1">
      <alignment horizontal="center" vertical="center" wrapText="1"/>
    </xf>
    <xf numFmtId="0" fontId="2" fillId="3" borderId="38" xfId="0" applyFont="1" applyFill="1" applyBorder="1" applyAlignment="1">
      <alignment horizontal="center" vertical="center" wrapText="1"/>
    </xf>
    <xf numFmtId="0" fontId="2" fillId="3" borderId="59" xfId="0" applyFont="1" applyFill="1" applyBorder="1" applyAlignment="1">
      <alignment horizontal="center" vertical="center" wrapText="1"/>
    </xf>
    <xf numFmtId="0" fontId="13" fillId="0" borderId="60" xfId="0" applyFont="1" applyBorder="1" applyAlignment="1">
      <alignment horizontal="center" vertical="center"/>
    </xf>
    <xf numFmtId="0" fontId="13" fillId="0" borderId="61" xfId="0" applyFont="1" applyBorder="1" applyAlignment="1">
      <alignment horizontal="center" vertical="center"/>
    </xf>
    <xf numFmtId="0" fontId="13" fillId="0" borderId="62" xfId="0" applyFont="1" applyBorder="1" applyAlignment="1">
      <alignment horizontal="center" vertical="center"/>
    </xf>
    <xf numFmtId="0" fontId="2" fillId="4" borderId="33" xfId="0" applyFont="1" applyFill="1" applyBorder="1" applyAlignment="1" applyProtection="1">
      <alignment horizontal="center" vertical="center" wrapText="1"/>
      <protection locked="0"/>
    </xf>
    <xf numFmtId="0" fontId="2" fillId="4" borderId="21" xfId="0" applyFont="1" applyFill="1" applyBorder="1" applyAlignment="1" applyProtection="1">
      <alignment horizontal="center" vertical="center" wrapText="1"/>
      <protection locked="0"/>
    </xf>
    <xf numFmtId="0" fontId="2" fillId="4" borderId="47" xfId="0" applyFont="1" applyFill="1" applyBorder="1" applyAlignment="1" applyProtection="1">
      <alignment horizontal="center" vertical="center" wrapText="1"/>
      <protection locked="0"/>
    </xf>
    <xf numFmtId="0" fontId="2" fillId="4" borderId="63" xfId="0" applyFont="1" applyFill="1" applyBorder="1" applyAlignment="1" applyProtection="1">
      <alignment horizontal="center" vertical="center" wrapText="1"/>
      <protection locked="0"/>
    </xf>
    <xf numFmtId="0" fontId="1" fillId="4" borderId="33" xfId="0" applyFont="1" applyFill="1" applyBorder="1" applyAlignment="1" applyProtection="1">
      <alignment horizontal="center" vertical="center" wrapText="1"/>
      <protection locked="0"/>
    </xf>
    <xf numFmtId="0" fontId="1" fillId="4" borderId="12" xfId="0" applyFont="1" applyFill="1" applyBorder="1" applyAlignment="1" applyProtection="1">
      <alignment horizontal="center" vertical="center" wrapText="1"/>
      <protection locked="0"/>
    </xf>
    <xf numFmtId="0" fontId="1" fillId="4" borderId="47" xfId="0" applyFont="1" applyFill="1" applyBorder="1" applyAlignment="1" applyProtection="1">
      <alignment horizontal="center" vertical="center" wrapText="1"/>
      <protection locked="0"/>
    </xf>
    <xf numFmtId="0" fontId="1" fillId="4" borderId="18" xfId="0" applyFont="1" applyFill="1" applyBorder="1" applyAlignment="1" applyProtection="1">
      <alignment horizontal="center" vertical="center" wrapText="1"/>
      <protection locked="0"/>
    </xf>
    <xf numFmtId="0" fontId="1" fillId="0" borderId="40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8" xfId="0" applyFont="1" applyBorder="1" applyAlignment="1" applyProtection="1">
      <alignment horizontal="center" vertical="center"/>
      <protection locked="0"/>
    </xf>
    <xf numFmtId="0" fontId="1" fillId="0" borderId="14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 applyProtection="1">
      <alignment horizontal="center" vertical="center"/>
      <protection locked="0"/>
    </xf>
    <xf numFmtId="0" fontId="1" fillId="0" borderId="10" xfId="0" applyFont="1" applyBorder="1" applyAlignment="1" applyProtection="1">
      <alignment horizontal="center" vertical="center"/>
      <protection locked="0"/>
    </xf>
    <xf numFmtId="0" fontId="11" fillId="2" borderId="60" xfId="0" applyFont="1" applyFill="1" applyBorder="1" applyAlignment="1">
      <alignment horizontal="justify" vertical="center"/>
    </xf>
    <xf numFmtId="0" fontId="11" fillId="2" borderId="65" xfId="0" applyFont="1" applyFill="1" applyBorder="1" applyAlignment="1">
      <alignment horizontal="justify" vertical="center"/>
    </xf>
    <xf numFmtId="0" fontId="7" fillId="0" borderId="63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1" fillId="0" borderId="33" xfId="0" applyFont="1" applyBorder="1" applyAlignment="1" applyProtection="1">
      <alignment horizontal="center" vertical="center"/>
      <protection locked="0"/>
    </xf>
    <xf numFmtId="0" fontId="1" fillId="0" borderId="12" xfId="0" applyFont="1" applyBorder="1" applyAlignment="1" applyProtection="1">
      <alignment horizontal="center" vertical="center"/>
      <protection locked="0"/>
    </xf>
    <xf numFmtId="0" fontId="14" fillId="6" borderId="60" xfId="0" applyFont="1" applyFill="1" applyBorder="1" applyAlignment="1">
      <alignment horizontal="justify" vertical="center"/>
    </xf>
    <xf numFmtId="0" fontId="14" fillId="6" borderId="65" xfId="0" applyFont="1" applyFill="1" applyBorder="1" applyAlignment="1">
      <alignment horizontal="justify" vertical="center"/>
    </xf>
    <xf numFmtId="0" fontId="17" fillId="5" borderId="27" xfId="0" applyFont="1" applyFill="1" applyBorder="1" applyAlignment="1">
      <alignment horizontal="justify" vertical="center"/>
    </xf>
    <xf numFmtId="0" fontId="17" fillId="5" borderId="41" xfId="0" applyFont="1" applyFill="1" applyBorder="1" applyAlignment="1">
      <alignment horizontal="justify" vertical="center"/>
    </xf>
    <xf numFmtId="0" fontId="6" fillId="0" borderId="27" xfId="0" applyFont="1" applyBorder="1" applyAlignment="1">
      <alignment horizontal="justify" vertical="center"/>
    </xf>
    <xf numFmtId="0" fontId="6" fillId="0" borderId="41" xfId="0" applyFont="1" applyBorder="1" applyAlignment="1">
      <alignment horizontal="justify" vertical="center"/>
    </xf>
  </cellXfs>
  <cellStyles count="69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0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427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1968500</xdr:colOff>
      <xdr:row>0</xdr:row>
      <xdr:rowOff>165100</xdr:rowOff>
    </xdr:from>
    <xdr:to>
      <xdr:col>17</xdr:col>
      <xdr:colOff>571500</xdr:colOff>
      <xdr:row>5</xdr:row>
      <xdr:rowOff>50800</xdr:rowOff>
    </xdr:to>
    <xdr:pic>
      <xdr:nvPicPr>
        <xdr:cNvPr id="427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6600" y="1651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1968500</xdr:colOff>
      <xdr:row>0</xdr:row>
      <xdr:rowOff>165100</xdr:rowOff>
    </xdr:from>
    <xdr:to>
      <xdr:col>17</xdr:col>
      <xdr:colOff>571500</xdr:colOff>
      <xdr:row>5</xdr:row>
      <xdr:rowOff>50800</xdr:rowOff>
    </xdr:to>
    <xdr:pic>
      <xdr:nvPicPr>
        <xdr:cNvPr id="3" name="Imagen 7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056600" y="165100"/>
          <a:ext cx="279400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1028700</xdr:colOff>
      <xdr:row>1</xdr:row>
      <xdr:rowOff>88900</xdr:rowOff>
    </xdr:from>
    <xdr:to>
      <xdr:col>17</xdr:col>
      <xdr:colOff>1231900</xdr:colOff>
      <xdr:row>5</xdr:row>
      <xdr:rowOff>25400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20218400" y="279400"/>
          <a:ext cx="22987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114300</xdr:rowOff>
    </xdr:from>
    <xdr:to>
      <xdr:col>5</xdr:col>
      <xdr:colOff>508000</xdr:colOff>
      <xdr:row>5</xdr:row>
      <xdr:rowOff>152400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143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774700</xdr:colOff>
      <xdr:row>1</xdr:row>
      <xdr:rowOff>190500</xdr:rowOff>
    </xdr:from>
    <xdr:to>
      <xdr:col>17</xdr:col>
      <xdr:colOff>1219200</xdr:colOff>
      <xdr:row>5</xdr:row>
      <xdr:rowOff>127000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19964400" y="381000"/>
          <a:ext cx="25400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1701800</xdr:colOff>
      <xdr:row>0</xdr:row>
      <xdr:rowOff>152400</xdr:rowOff>
    </xdr:from>
    <xdr:to>
      <xdr:col>4</xdr:col>
      <xdr:colOff>1333500</xdr:colOff>
      <xdr:row>5</xdr:row>
      <xdr:rowOff>190500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11800" y="1524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20</xdr:col>
      <xdr:colOff>1803400</xdr:colOff>
      <xdr:row>1</xdr:row>
      <xdr:rowOff>76200</xdr:rowOff>
    </xdr:from>
    <xdr:to>
      <xdr:col>22</xdr:col>
      <xdr:colOff>50800</xdr:colOff>
      <xdr:row>5</xdr:row>
      <xdr:rowOff>12700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24358600" y="266700"/>
          <a:ext cx="24384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1409700</xdr:colOff>
      <xdr:row>3</xdr:row>
      <xdr:rowOff>25400</xdr:rowOff>
    </xdr:from>
    <xdr:to>
      <xdr:col>2</xdr:col>
      <xdr:colOff>2413000</xdr:colOff>
      <xdr:row>6</xdr:row>
      <xdr:rowOff>266700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00300" y="698500"/>
          <a:ext cx="1003300" cy="927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3136900</xdr:colOff>
      <xdr:row>3</xdr:row>
      <xdr:rowOff>114300</xdr:rowOff>
    </xdr:from>
    <xdr:to>
      <xdr:col>3</xdr:col>
      <xdr:colOff>1231900</xdr:colOff>
      <xdr:row>6</xdr:row>
      <xdr:rowOff>292100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4127500" y="787400"/>
          <a:ext cx="2120900" cy="863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21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47" t="s">
        <v>16</v>
      </c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</row>
    <row r="3" spans="2:20" ht="20" customHeight="1">
      <c r="B3" s="147" t="s">
        <v>19</v>
      </c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</row>
    <row r="4" spans="2:20" ht="20" customHeight="1">
      <c r="B4" s="147" t="s">
        <v>39</v>
      </c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7"/>
      <c r="R4" s="147"/>
      <c r="S4" s="147"/>
      <c r="T4" s="147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2016</v>
      </c>
      <c r="C8" s="8">
        <v>42735</v>
      </c>
      <c r="D8" s="148" t="s">
        <v>3</v>
      </c>
      <c r="E8" s="149"/>
      <c r="F8" s="149"/>
      <c r="G8" s="149"/>
      <c r="H8" s="149"/>
      <c r="I8" s="149"/>
      <c r="J8" s="149"/>
      <c r="K8" s="150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51" t="s">
        <v>17</v>
      </c>
      <c r="C9" s="154" t="s">
        <v>18</v>
      </c>
      <c r="D9" s="156" t="s">
        <v>0</v>
      </c>
      <c r="E9" s="159" t="s">
        <v>4</v>
      </c>
      <c r="F9" s="159"/>
      <c r="G9" s="159" t="s">
        <v>5</v>
      </c>
      <c r="H9" s="159"/>
      <c r="I9" s="159"/>
      <c r="J9" s="159"/>
      <c r="K9" s="161"/>
      <c r="L9" s="5"/>
      <c r="M9" s="156" t="s">
        <v>6</v>
      </c>
      <c r="N9" s="161"/>
      <c r="O9" s="171" t="s">
        <v>24</v>
      </c>
      <c r="P9" s="172"/>
      <c r="Q9" s="172"/>
      <c r="R9" s="172"/>
      <c r="S9" s="172"/>
      <c r="T9" s="173"/>
    </row>
    <row r="10" spans="2:20" ht="17" customHeight="1">
      <c r="B10" s="152"/>
      <c r="C10" s="155"/>
      <c r="D10" s="157"/>
      <c r="E10" s="160"/>
      <c r="F10" s="160"/>
      <c r="G10" s="160" t="s">
        <v>7</v>
      </c>
      <c r="H10" s="164" t="s">
        <v>25</v>
      </c>
      <c r="I10" s="164" t="s">
        <v>26</v>
      </c>
      <c r="J10" s="165" t="s">
        <v>1</v>
      </c>
      <c r="K10" s="162" t="s">
        <v>8</v>
      </c>
      <c r="L10" s="6"/>
      <c r="M10" s="167" t="s">
        <v>9</v>
      </c>
      <c r="N10" s="169" t="s">
        <v>10</v>
      </c>
      <c r="O10" s="174"/>
      <c r="P10" s="175"/>
      <c r="Q10" s="175"/>
      <c r="R10" s="175"/>
      <c r="S10" s="175"/>
      <c r="T10" s="176"/>
    </row>
    <row r="11" spans="2:20" ht="37.5" customHeight="1" thickBot="1">
      <c r="B11" s="153"/>
      <c r="C11" s="155"/>
      <c r="D11" s="158"/>
      <c r="E11" s="12" t="s">
        <v>11</v>
      </c>
      <c r="F11" s="12" t="s">
        <v>12</v>
      </c>
      <c r="G11" s="164"/>
      <c r="H11" s="177"/>
      <c r="I11" s="177"/>
      <c r="J11" s="166"/>
      <c r="K11" s="163"/>
      <c r="L11" s="13"/>
      <c r="M11" s="168"/>
      <c r="N11" s="170"/>
      <c r="O11" s="14" t="s">
        <v>23</v>
      </c>
      <c r="P11" s="15" t="s">
        <v>20</v>
      </c>
      <c r="Q11" s="16" t="s">
        <v>21</v>
      </c>
      <c r="R11" s="17" t="s">
        <v>22</v>
      </c>
      <c r="S11" s="17" t="s">
        <v>14</v>
      </c>
      <c r="T11" s="18" t="s">
        <v>15</v>
      </c>
    </row>
    <row r="12" spans="2:20" ht="30">
      <c r="B12" s="144" t="s">
        <v>38</v>
      </c>
      <c r="C12" s="141" t="s">
        <v>36</v>
      </c>
      <c r="D12" s="138" t="s">
        <v>37</v>
      </c>
      <c r="E12" s="42">
        <v>42370</v>
      </c>
      <c r="F12" s="42">
        <v>42735</v>
      </c>
      <c r="G12" s="20" t="s">
        <v>27</v>
      </c>
      <c r="H12" s="21">
        <v>5</v>
      </c>
      <c r="I12" s="32">
        <v>1</v>
      </c>
      <c r="J12" s="32">
        <v>1</v>
      </c>
      <c r="K12" s="35">
        <v>1</v>
      </c>
      <c r="L12" s="39">
        <f>+K12/J12</f>
        <v>1</v>
      </c>
      <c r="M12" s="29">
        <f>DAYS360(E12,$C$8)/DAYS360(E12,F12)</f>
        <v>1</v>
      </c>
      <c r="N12" s="23">
        <f>IF(J12=0," -",IF(L12&gt;100%,100%,L12))</f>
        <v>1</v>
      </c>
      <c r="O12" s="57" t="s">
        <v>56</v>
      </c>
      <c r="P12" s="32">
        <v>4593380</v>
      </c>
      <c r="Q12" s="32">
        <v>3343346</v>
      </c>
      <c r="R12" s="32">
        <v>0</v>
      </c>
      <c r="S12" s="22">
        <f>IF(P12=0," -",Q12/P12)</f>
        <v>0.72786183594651432</v>
      </c>
      <c r="T12" s="23" t="str">
        <f>IF(R12=0," -",IF(Q12=0,100%,R12/Q12))</f>
        <v xml:space="preserve"> -</v>
      </c>
    </row>
    <row r="13" spans="2:20" ht="45">
      <c r="B13" s="145"/>
      <c r="C13" s="142"/>
      <c r="D13" s="139"/>
      <c r="E13" s="43">
        <v>42370</v>
      </c>
      <c r="F13" s="43">
        <v>42735</v>
      </c>
      <c r="G13" s="9" t="s">
        <v>28</v>
      </c>
      <c r="H13" s="10">
        <v>800</v>
      </c>
      <c r="I13" s="33">
        <v>800</v>
      </c>
      <c r="J13" s="33">
        <v>800</v>
      </c>
      <c r="K13" s="36">
        <v>5</v>
      </c>
      <c r="L13" s="40">
        <f>+J13/K13</f>
        <v>160</v>
      </c>
      <c r="M13" s="30">
        <f t="shared" ref="M13:M20" si="0">DAYS360(E13,$C$8)/DAYS360(E13,F13)</f>
        <v>1</v>
      </c>
      <c r="N13" s="24">
        <f t="shared" ref="N13:N20" si="1">IF(J13=0," -",IF(L13&gt;100%,100%,L13))</f>
        <v>1</v>
      </c>
      <c r="O13" s="58" t="s">
        <v>57</v>
      </c>
      <c r="P13" s="33">
        <v>669138</v>
      </c>
      <c r="Q13" s="33">
        <v>509588</v>
      </c>
      <c r="R13" s="33">
        <v>0</v>
      </c>
      <c r="S13" s="19">
        <f t="shared" ref="S13:S21" si="2">IF(P13=0," -",Q13/P13)</f>
        <v>0.76155890115342428</v>
      </c>
      <c r="T13" s="24" t="str">
        <f t="shared" ref="T13:T21" si="3">IF(R13=0," -",IF(Q13=0,100%,R13/Q13))</f>
        <v xml:space="preserve"> -</v>
      </c>
    </row>
    <row r="14" spans="2:20" ht="45">
      <c r="B14" s="145"/>
      <c r="C14" s="142"/>
      <c r="D14" s="139"/>
      <c r="E14" s="43">
        <v>42370</v>
      </c>
      <c r="F14" s="43">
        <v>42735</v>
      </c>
      <c r="G14" s="9" t="s">
        <v>29</v>
      </c>
      <c r="H14" s="10">
        <v>400</v>
      </c>
      <c r="I14" s="33">
        <v>400</v>
      </c>
      <c r="J14" s="33">
        <v>400</v>
      </c>
      <c r="K14" s="36">
        <v>8</v>
      </c>
      <c r="L14" s="40">
        <f>+J14/K14</f>
        <v>50</v>
      </c>
      <c r="M14" s="30">
        <f t="shared" si="0"/>
        <v>1</v>
      </c>
      <c r="N14" s="24">
        <f t="shared" si="1"/>
        <v>1</v>
      </c>
      <c r="O14" s="58" t="s">
        <v>57</v>
      </c>
      <c r="P14" s="33">
        <v>669138</v>
      </c>
      <c r="Q14" s="33">
        <v>509588</v>
      </c>
      <c r="R14" s="33">
        <v>0</v>
      </c>
      <c r="S14" s="19">
        <f t="shared" si="2"/>
        <v>0.76155890115342428</v>
      </c>
      <c r="T14" s="24" t="str">
        <f t="shared" si="3"/>
        <v xml:space="preserve"> -</v>
      </c>
    </row>
    <row r="15" spans="2:20" ht="45">
      <c r="B15" s="145"/>
      <c r="C15" s="142"/>
      <c r="D15" s="139"/>
      <c r="E15" s="43">
        <v>42370</v>
      </c>
      <c r="F15" s="43">
        <v>42735</v>
      </c>
      <c r="G15" s="9" t="s">
        <v>30</v>
      </c>
      <c r="H15" s="10">
        <v>2000</v>
      </c>
      <c r="I15" s="33">
        <v>2000</v>
      </c>
      <c r="J15" s="33">
        <v>2000</v>
      </c>
      <c r="K15" s="36">
        <v>20</v>
      </c>
      <c r="L15" s="40">
        <f>+J15/K15</f>
        <v>100</v>
      </c>
      <c r="M15" s="30">
        <f t="shared" si="0"/>
        <v>1</v>
      </c>
      <c r="N15" s="24">
        <f t="shared" si="1"/>
        <v>1</v>
      </c>
      <c r="O15" s="58" t="s">
        <v>57</v>
      </c>
      <c r="P15" s="33">
        <v>669138</v>
      </c>
      <c r="Q15" s="33">
        <v>509588</v>
      </c>
      <c r="R15" s="33">
        <v>0</v>
      </c>
      <c r="S15" s="19">
        <f t="shared" si="2"/>
        <v>0.76155890115342428</v>
      </c>
      <c r="T15" s="24" t="str">
        <f t="shared" si="3"/>
        <v xml:space="preserve"> -</v>
      </c>
    </row>
    <row r="16" spans="2:20" ht="60">
      <c r="B16" s="145"/>
      <c r="C16" s="142"/>
      <c r="D16" s="139"/>
      <c r="E16" s="43">
        <v>42370</v>
      </c>
      <c r="F16" s="43">
        <v>42735</v>
      </c>
      <c r="G16" s="9" t="s">
        <v>31</v>
      </c>
      <c r="H16" s="11">
        <v>1</v>
      </c>
      <c r="I16" s="19">
        <v>1</v>
      </c>
      <c r="J16" s="19">
        <v>1</v>
      </c>
      <c r="K16" s="37">
        <v>1</v>
      </c>
      <c r="L16" s="40">
        <f t="shared" ref="L16:L20" si="4">+K16/J16</f>
        <v>1</v>
      </c>
      <c r="M16" s="30">
        <f t="shared" si="0"/>
        <v>1</v>
      </c>
      <c r="N16" s="24">
        <f t="shared" si="1"/>
        <v>1</v>
      </c>
      <c r="O16" s="58" t="s">
        <v>58</v>
      </c>
      <c r="P16" s="33">
        <v>5250000</v>
      </c>
      <c r="Q16" s="33">
        <v>5246000</v>
      </c>
      <c r="R16" s="33">
        <v>0</v>
      </c>
      <c r="S16" s="19">
        <f t="shared" si="2"/>
        <v>0.99923809523809526</v>
      </c>
      <c r="T16" s="24" t="str">
        <f t="shared" si="3"/>
        <v xml:space="preserve"> -</v>
      </c>
    </row>
    <row r="17" spans="2:20" ht="30">
      <c r="B17" s="145"/>
      <c r="C17" s="142"/>
      <c r="D17" s="139"/>
      <c r="E17" s="43">
        <v>42370</v>
      </c>
      <c r="F17" s="43">
        <v>42735</v>
      </c>
      <c r="G17" s="9" t="s">
        <v>32</v>
      </c>
      <c r="H17" s="10">
        <v>1200</v>
      </c>
      <c r="I17" s="33">
        <v>200</v>
      </c>
      <c r="J17" s="33">
        <v>200</v>
      </c>
      <c r="K17" s="36">
        <v>183</v>
      </c>
      <c r="L17" s="40">
        <f t="shared" si="4"/>
        <v>0.91500000000000004</v>
      </c>
      <c r="M17" s="30">
        <f t="shared" si="0"/>
        <v>1</v>
      </c>
      <c r="N17" s="24">
        <f t="shared" si="1"/>
        <v>0.91500000000000004</v>
      </c>
      <c r="O17" s="58" t="s">
        <v>59</v>
      </c>
      <c r="P17" s="33">
        <v>0</v>
      </c>
      <c r="Q17" s="33">
        <v>0</v>
      </c>
      <c r="R17" s="33">
        <v>0</v>
      </c>
      <c r="S17" s="19" t="str">
        <f t="shared" si="2"/>
        <v xml:space="preserve"> -</v>
      </c>
      <c r="T17" s="24" t="str">
        <f t="shared" si="3"/>
        <v xml:space="preserve"> -</v>
      </c>
    </row>
    <row r="18" spans="2:20" ht="30">
      <c r="B18" s="145"/>
      <c r="C18" s="142"/>
      <c r="D18" s="139"/>
      <c r="E18" s="43">
        <v>42370</v>
      </c>
      <c r="F18" s="43">
        <v>42735</v>
      </c>
      <c r="G18" s="9" t="s">
        <v>33</v>
      </c>
      <c r="H18" s="10">
        <v>300</v>
      </c>
      <c r="I18" s="33">
        <v>75</v>
      </c>
      <c r="J18" s="33">
        <v>75</v>
      </c>
      <c r="K18" s="36">
        <v>36</v>
      </c>
      <c r="L18" s="40">
        <f t="shared" si="4"/>
        <v>0.48</v>
      </c>
      <c r="M18" s="30">
        <f t="shared" si="0"/>
        <v>1</v>
      </c>
      <c r="N18" s="24">
        <f t="shared" si="1"/>
        <v>0.48</v>
      </c>
      <c r="O18" s="58" t="s">
        <v>57</v>
      </c>
      <c r="P18" s="33">
        <v>0</v>
      </c>
      <c r="Q18" s="33">
        <v>0</v>
      </c>
      <c r="R18" s="33">
        <v>0</v>
      </c>
      <c r="S18" s="19" t="str">
        <f t="shared" si="2"/>
        <v xml:space="preserve"> -</v>
      </c>
      <c r="T18" s="24" t="str">
        <f t="shared" si="3"/>
        <v xml:space="preserve"> -</v>
      </c>
    </row>
    <row r="19" spans="2:20" ht="30">
      <c r="B19" s="145"/>
      <c r="C19" s="142"/>
      <c r="D19" s="139"/>
      <c r="E19" s="43">
        <v>42370</v>
      </c>
      <c r="F19" s="43">
        <v>42735</v>
      </c>
      <c r="G19" s="9" t="s">
        <v>34</v>
      </c>
      <c r="H19" s="10">
        <v>10000</v>
      </c>
      <c r="I19" s="33">
        <v>2500</v>
      </c>
      <c r="J19" s="33">
        <v>2500</v>
      </c>
      <c r="K19" s="36">
        <v>2794</v>
      </c>
      <c r="L19" s="40">
        <f t="shared" si="4"/>
        <v>1.1175999999999999</v>
      </c>
      <c r="M19" s="30">
        <f t="shared" si="0"/>
        <v>1</v>
      </c>
      <c r="N19" s="24">
        <f t="shared" si="1"/>
        <v>1</v>
      </c>
      <c r="O19" s="58" t="s">
        <v>60</v>
      </c>
      <c r="P19" s="33">
        <v>0</v>
      </c>
      <c r="Q19" s="33">
        <v>0</v>
      </c>
      <c r="R19" s="33">
        <v>0</v>
      </c>
      <c r="S19" s="19" t="str">
        <f t="shared" si="2"/>
        <v xml:space="preserve"> -</v>
      </c>
      <c r="T19" s="24" t="str">
        <f t="shared" si="3"/>
        <v xml:space="preserve"> -</v>
      </c>
    </row>
    <row r="20" spans="2:20" ht="31" thickBot="1">
      <c r="B20" s="146"/>
      <c r="C20" s="143"/>
      <c r="D20" s="140"/>
      <c r="E20" s="44">
        <v>42370</v>
      </c>
      <c r="F20" s="44">
        <v>42735</v>
      </c>
      <c r="G20" s="25" t="s">
        <v>35</v>
      </c>
      <c r="H20" s="26">
        <v>314000</v>
      </c>
      <c r="I20" s="34">
        <v>77000</v>
      </c>
      <c r="J20" s="34">
        <v>77000</v>
      </c>
      <c r="K20" s="38">
        <v>131945</v>
      </c>
      <c r="L20" s="41">
        <f t="shared" si="4"/>
        <v>1.7135714285714285</v>
      </c>
      <c r="M20" s="31">
        <f t="shared" si="0"/>
        <v>1</v>
      </c>
      <c r="N20" s="28">
        <f t="shared" si="1"/>
        <v>1</v>
      </c>
      <c r="O20" s="59" t="s">
        <v>61</v>
      </c>
      <c r="P20" s="34">
        <v>51442</v>
      </c>
      <c r="Q20" s="34">
        <v>46369</v>
      </c>
      <c r="R20" s="34">
        <v>0</v>
      </c>
      <c r="S20" s="27">
        <f t="shared" si="2"/>
        <v>0.90138408304498274</v>
      </c>
      <c r="T20" s="28" t="str">
        <f t="shared" si="3"/>
        <v xml:space="preserve"> -</v>
      </c>
    </row>
    <row r="21" spans="2:20" ht="21" customHeight="1" thickBot="1">
      <c r="M21" s="45">
        <f>+AVERAGE(M12:M20)</f>
        <v>1</v>
      </c>
      <c r="N21" s="46">
        <f>+AVERAGE(N12:N20)</f>
        <v>0.93277777777777771</v>
      </c>
      <c r="P21" s="47">
        <f>+SUM(P12:P20)</f>
        <v>11902236</v>
      </c>
      <c r="Q21" s="48">
        <f>+SUM(Q12:Q20)</f>
        <v>10164479</v>
      </c>
      <c r="R21" s="48">
        <f>+SUM(R12:R20)</f>
        <v>0</v>
      </c>
      <c r="S21" s="49">
        <f t="shared" si="2"/>
        <v>0.85399743375950532</v>
      </c>
      <c r="T21" s="46" t="str">
        <f t="shared" si="3"/>
        <v xml:space="preserve"> -</v>
      </c>
    </row>
  </sheetData>
  <mergeCells count="21">
    <mergeCell ref="M10:M11"/>
    <mergeCell ref="N10:N11"/>
    <mergeCell ref="O9:T10"/>
    <mergeCell ref="H10:H11"/>
    <mergeCell ref="I10:I11"/>
    <mergeCell ref="D12:D20"/>
    <mergeCell ref="C12:C20"/>
    <mergeCell ref="B12:B20"/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K10:K11"/>
    <mergeCell ref="M9:N9"/>
    <mergeCell ref="G10:G11"/>
    <mergeCell ref="J10:J11"/>
  </mergeCells>
  <phoneticPr fontId="0" type="noConversion"/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29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47" t="s">
        <v>16</v>
      </c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</row>
    <row r="3" spans="2:20" ht="20" customHeight="1">
      <c r="B3" s="147" t="s">
        <v>19</v>
      </c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</row>
    <row r="4" spans="2:20" ht="20" customHeight="1">
      <c r="B4" s="147" t="s">
        <v>39</v>
      </c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7"/>
      <c r="R4" s="147"/>
      <c r="S4" s="147"/>
      <c r="T4" s="147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2017</v>
      </c>
      <c r="C8" s="8">
        <v>43100</v>
      </c>
      <c r="D8" s="148" t="s">
        <v>3</v>
      </c>
      <c r="E8" s="149"/>
      <c r="F8" s="149"/>
      <c r="G8" s="149"/>
      <c r="H8" s="149"/>
      <c r="I8" s="149"/>
      <c r="J8" s="149"/>
      <c r="K8" s="150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51" t="s">
        <v>17</v>
      </c>
      <c r="C9" s="154" t="s">
        <v>18</v>
      </c>
      <c r="D9" s="156" t="s">
        <v>0</v>
      </c>
      <c r="E9" s="159" t="s">
        <v>4</v>
      </c>
      <c r="F9" s="159"/>
      <c r="G9" s="159" t="s">
        <v>5</v>
      </c>
      <c r="H9" s="159"/>
      <c r="I9" s="159"/>
      <c r="J9" s="159"/>
      <c r="K9" s="161"/>
      <c r="L9" s="5"/>
      <c r="M9" s="156" t="s">
        <v>6</v>
      </c>
      <c r="N9" s="161"/>
      <c r="O9" s="171" t="s">
        <v>24</v>
      </c>
      <c r="P9" s="172"/>
      <c r="Q9" s="172"/>
      <c r="R9" s="172"/>
      <c r="S9" s="172"/>
      <c r="T9" s="173"/>
    </row>
    <row r="10" spans="2:20" ht="17" customHeight="1">
      <c r="B10" s="152"/>
      <c r="C10" s="155"/>
      <c r="D10" s="157"/>
      <c r="E10" s="160"/>
      <c r="F10" s="160"/>
      <c r="G10" s="160" t="s">
        <v>7</v>
      </c>
      <c r="H10" s="164" t="s">
        <v>25</v>
      </c>
      <c r="I10" s="164" t="s">
        <v>26</v>
      </c>
      <c r="J10" s="165" t="s">
        <v>1</v>
      </c>
      <c r="K10" s="162" t="s">
        <v>8</v>
      </c>
      <c r="L10" s="6"/>
      <c r="M10" s="167" t="s">
        <v>9</v>
      </c>
      <c r="N10" s="169" t="s">
        <v>10</v>
      </c>
      <c r="O10" s="174"/>
      <c r="P10" s="175"/>
      <c r="Q10" s="175"/>
      <c r="R10" s="175"/>
      <c r="S10" s="175"/>
      <c r="T10" s="176"/>
    </row>
    <row r="11" spans="2:20" ht="37.5" customHeight="1" thickBot="1">
      <c r="B11" s="153"/>
      <c r="C11" s="155"/>
      <c r="D11" s="158"/>
      <c r="E11" s="12" t="s">
        <v>11</v>
      </c>
      <c r="F11" s="12" t="s">
        <v>12</v>
      </c>
      <c r="G11" s="164"/>
      <c r="H11" s="177"/>
      <c r="I11" s="177"/>
      <c r="J11" s="166"/>
      <c r="K11" s="163"/>
      <c r="L11" s="13"/>
      <c r="M11" s="168"/>
      <c r="N11" s="170"/>
      <c r="O11" s="14" t="s">
        <v>23</v>
      </c>
      <c r="P11" s="15" t="s">
        <v>20</v>
      </c>
      <c r="Q11" s="16" t="s">
        <v>21</v>
      </c>
      <c r="R11" s="17" t="s">
        <v>22</v>
      </c>
      <c r="S11" s="17" t="s">
        <v>14</v>
      </c>
      <c r="T11" s="18" t="s">
        <v>15</v>
      </c>
    </row>
    <row r="12" spans="2:20" ht="30">
      <c r="B12" s="144" t="s">
        <v>38</v>
      </c>
      <c r="C12" s="141" t="s">
        <v>36</v>
      </c>
      <c r="D12" s="138" t="s">
        <v>37</v>
      </c>
      <c r="E12" s="42">
        <v>42736</v>
      </c>
      <c r="F12" s="42">
        <v>43100</v>
      </c>
      <c r="G12" s="20" t="s">
        <v>27</v>
      </c>
      <c r="H12" s="21">
        <v>5</v>
      </c>
      <c r="I12" s="32">
        <f>+J12+('2016'!I12-'2016'!K12)</f>
        <v>1</v>
      </c>
      <c r="J12" s="32">
        <v>1</v>
      </c>
      <c r="K12" s="52">
        <v>1</v>
      </c>
      <c r="L12" s="39">
        <f>+K12/J12</f>
        <v>1</v>
      </c>
      <c r="M12" s="29">
        <f>DAYS360(E12,$C$8)/DAYS360(E12,F12)</f>
        <v>1</v>
      </c>
      <c r="N12" s="23">
        <f>IF(J12=0," -",IF(L12&gt;100%,100%,L12))</f>
        <v>1</v>
      </c>
      <c r="O12" s="57" t="s">
        <v>56</v>
      </c>
      <c r="P12" s="32">
        <v>3772886</v>
      </c>
      <c r="Q12" s="32">
        <v>1052475</v>
      </c>
      <c r="R12" s="32">
        <v>0</v>
      </c>
      <c r="S12" s="22">
        <f>IF(P12=0," -",Q12/P12)</f>
        <v>0.27895754072611789</v>
      </c>
      <c r="T12" s="23" t="str">
        <f>IF(R12=0," -",IF(Q12=0,100%,R12/Q12))</f>
        <v xml:space="preserve"> -</v>
      </c>
    </row>
    <row r="13" spans="2:20" ht="45">
      <c r="B13" s="145"/>
      <c r="C13" s="142"/>
      <c r="D13" s="139"/>
      <c r="E13" s="43">
        <v>42736</v>
      </c>
      <c r="F13" s="43">
        <v>43100</v>
      </c>
      <c r="G13" s="9" t="s">
        <v>28</v>
      </c>
      <c r="H13" s="10">
        <v>800</v>
      </c>
      <c r="I13" s="51">
        <f>+J13</f>
        <v>800</v>
      </c>
      <c r="J13" s="33">
        <v>800</v>
      </c>
      <c r="K13" s="135">
        <v>5.8</v>
      </c>
      <c r="L13" s="40">
        <f>+J13/K13</f>
        <v>137.93103448275863</v>
      </c>
      <c r="M13" s="30">
        <f t="shared" ref="M13:M20" si="0">DAYS360(E13,$C$8)/DAYS360(E13,F13)</f>
        <v>1</v>
      </c>
      <c r="N13" s="24">
        <f t="shared" ref="N13:N20" si="1">IF(J13=0," -",IF(L13&gt;100%,100%,L13))</f>
        <v>1</v>
      </c>
      <c r="O13" s="58" t="s">
        <v>57</v>
      </c>
      <c r="P13" s="33">
        <v>647520</v>
      </c>
      <c r="Q13" s="33">
        <v>619748</v>
      </c>
      <c r="R13" s="33">
        <v>0</v>
      </c>
      <c r="S13" s="19">
        <f t="shared" ref="S13:S21" si="2">IF(P13=0," -",Q13/P13)</f>
        <v>0.95711020509019029</v>
      </c>
      <c r="T13" s="24" t="str">
        <f t="shared" ref="T13:T21" si="3">IF(R13=0," -",IF(Q13=0,100%,R13/Q13))</f>
        <v xml:space="preserve"> -</v>
      </c>
    </row>
    <row r="14" spans="2:20" ht="45">
      <c r="B14" s="145"/>
      <c r="C14" s="142"/>
      <c r="D14" s="139"/>
      <c r="E14" s="43">
        <v>42736</v>
      </c>
      <c r="F14" s="43">
        <v>43100</v>
      </c>
      <c r="G14" s="9" t="s">
        <v>29</v>
      </c>
      <c r="H14" s="10">
        <v>400</v>
      </c>
      <c r="I14" s="51">
        <f>+J14</f>
        <v>400</v>
      </c>
      <c r="J14" s="33">
        <v>400</v>
      </c>
      <c r="K14" s="53">
        <v>10</v>
      </c>
      <c r="L14" s="40">
        <f t="shared" ref="L14:L15" si="4">+J14/K14</f>
        <v>40</v>
      </c>
      <c r="M14" s="30">
        <f t="shared" si="0"/>
        <v>1</v>
      </c>
      <c r="N14" s="24">
        <f t="shared" si="1"/>
        <v>1</v>
      </c>
      <c r="O14" s="58" t="s">
        <v>57</v>
      </c>
      <c r="P14" s="33">
        <v>647520</v>
      </c>
      <c r="Q14" s="33">
        <v>619748</v>
      </c>
      <c r="R14" s="33">
        <v>0</v>
      </c>
      <c r="S14" s="19">
        <f t="shared" si="2"/>
        <v>0.95711020509019029</v>
      </c>
      <c r="T14" s="24" t="str">
        <f t="shared" si="3"/>
        <v xml:space="preserve"> -</v>
      </c>
    </row>
    <row r="15" spans="2:20" ht="45">
      <c r="B15" s="145"/>
      <c r="C15" s="142"/>
      <c r="D15" s="139"/>
      <c r="E15" s="43">
        <v>42736</v>
      </c>
      <c r="F15" s="43">
        <v>43100</v>
      </c>
      <c r="G15" s="9" t="s">
        <v>30</v>
      </c>
      <c r="H15" s="10">
        <v>2000</v>
      </c>
      <c r="I15" s="51">
        <f>+J15</f>
        <v>2000</v>
      </c>
      <c r="J15" s="33">
        <v>2000</v>
      </c>
      <c r="K15" s="53">
        <v>15</v>
      </c>
      <c r="L15" s="40">
        <f t="shared" si="4"/>
        <v>133.33333333333334</v>
      </c>
      <c r="M15" s="30">
        <f t="shared" si="0"/>
        <v>1</v>
      </c>
      <c r="N15" s="24">
        <f t="shared" si="1"/>
        <v>1</v>
      </c>
      <c r="O15" s="58" t="s">
        <v>57</v>
      </c>
      <c r="P15" s="33">
        <v>647520</v>
      </c>
      <c r="Q15" s="33">
        <v>619748</v>
      </c>
      <c r="R15" s="33">
        <v>0</v>
      </c>
      <c r="S15" s="19">
        <f t="shared" si="2"/>
        <v>0.95711020509019029</v>
      </c>
      <c r="T15" s="24" t="str">
        <f t="shared" si="3"/>
        <v xml:space="preserve"> -</v>
      </c>
    </row>
    <row r="16" spans="2:20" ht="60">
      <c r="B16" s="145"/>
      <c r="C16" s="142"/>
      <c r="D16" s="139"/>
      <c r="E16" s="43">
        <v>42736</v>
      </c>
      <c r="F16" s="43">
        <v>43100</v>
      </c>
      <c r="G16" s="9" t="s">
        <v>31</v>
      </c>
      <c r="H16" s="11">
        <v>1</v>
      </c>
      <c r="I16" s="56">
        <f>+J16</f>
        <v>1</v>
      </c>
      <c r="J16" s="19">
        <v>1</v>
      </c>
      <c r="K16" s="24">
        <v>1</v>
      </c>
      <c r="L16" s="40">
        <f t="shared" ref="L16:L20" si="5">+K16/J16</f>
        <v>1</v>
      </c>
      <c r="M16" s="30">
        <f t="shared" si="0"/>
        <v>1</v>
      </c>
      <c r="N16" s="24">
        <f t="shared" si="1"/>
        <v>1</v>
      </c>
      <c r="O16" s="58" t="s">
        <v>58</v>
      </c>
      <c r="P16" s="33">
        <v>5507693</v>
      </c>
      <c r="Q16" s="33">
        <v>5470710</v>
      </c>
      <c r="R16" s="33">
        <v>0</v>
      </c>
      <c r="S16" s="19">
        <f t="shared" si="2"/>
        <v>0.99328521034124451</v>
      </c>
      <c r="T16" s="24" t="str">
        <f t="shared" si="3"/>
        <v xml:space="preserve"> -</v>
      </c>
    </row>
    <row r="17" spans="2:20" ht="30">
      <c r="B17" s="145"/>
      <c r="C17" s="142"/>
      <c r="D17" s="139"/>
      <c r="E17" s="43">
        <v>42736</v>
      </c>
      <c r="F17" s="43">
        <v>43100</v>
      </c>
      <c r="G17" s="9" t="s">
        <v>32</v>
      </c>
      <c r="H17" s="10">
        <v>1200</v>
      </c>
      <c r="I17" s="51">
        <f>+J17+('2016'!I17-'2016'!K17)</f>
        <v>317</v>
      </c>
      <c r="J17" s="33">
        <v>300</v>
      </c>
      <c r="K17" s="53">
        <v>1289</v>
      </c>
      <c r="L17" s="40">
        <f t="shared" si="5"/>
        <v>4.2966666666666669</v>
      </c>
      <c r="M17" s="30">
        <f t="shared" si="0"/>
        <v>1</v>
      </c>
      <c r="N17" s="24">
        <f t="shared" si="1"/>
        <v>1</v>
      </c>
      <c r="O17" s="58" t="s">
        <v>59</v>
      </c>
      <c r="P17" s="33">
        <v>0</v>
      </c>
      <c r="Q17" s="33">
        <v>0</v>
      </c>
      <c r="R17" s="33">
        <v>0</v>
      </c>
      <c r="S17" s="19" t="str">
        <f t="shared" si="2"/>
        <v xml:space="preserve"> -</v>
      </c>
      <c r="T17" s="24" t="str">
        <f t="shared" si="3"/>
        <v xml:space="preserve"> -</v>
      </c>
    </row>
    <row r="18" spans="2:20" ht="30">
      <c r="B18" s="145"/>
      <c r="C18" s="142"/>
      <c r="D18" s="139"/>
      <c r="E18" s="43">
        <v>42736</v>
      </c>
      <c r="F18" s="43">
        <v>43100</v>
      </c>
      <c r="G18" s="9" t="s">
        <v>33</v>
      </c>
      <c r="H18" s="10">
        <v>300</v>
      </c>
      <c r="I18" s="51">
        <f>+J18+('2016'!I18-'2016'!K18)</f>
        <v>114</v>
      </c>
      <c r="J18" s="33">
        <v>75</v>
      </c>
      <c r="K18" s="53">
        <v>1073</v>
      </c>
      <c r="L18" s="40">
        <f t="shared" si="5"/>
        <v>14.306666666666667</v>
      </c>
      <c r="M18" s="30">
        <f t="shared" si="0"/>
        <v>1</v>
      </c>
      <c r="N18" s="24">
        <f t="shared" si="1"/>
        <v>1</v>
      </c>
      <c r="O18" s="58" t="s">
        <v>57</v>
      </c>
      <c r="P18" s="33">
        <v>0</v>
      </c>
      <c r="Q18" s="33">
        <v>0</v>
      </c>
      <c r="R18" s="33">
        <v>0</v>
      </c>
      <c r="S18" s="19" t="str">
        <f t="shared" si="2"/>
        <v xml:space="preserve"> -</v>
      </c>
      <c r="T18" s="24" t="str">
        <f t="shared" si="3"/>
        <v xml:space="preserve"> -</v>
      </c>
    </row>
    <row r="19" spans="2:20" ht="30">
      <c r="B19" s="145"/>
      <c r="C19" s="142"/>
      <c r="D19" s="139"/>
      <c r="E19" s="43">
        <v>42736</v>
      </c>
      <c r="F19" s="43">
        <v>43100</v>
      </c>
      <c r="G19" s="9" t="s">
        <v>34</v>
      </c>
      <c r="H19" s="10">
        <v>10000</v>
      </c>
      <c r="I19" s="51">
        <f>+J19+('2016'!I19-'2016'!K19)</f>
        <v>2206</v>
      </c>
      <c r="J19" s="33">
        <v>2500</v>
      </c>
      <c r="K19" s="53">
        <v>5714</v>
      </c>
      <c r="L19" s="40">
        <f t="shared" si="5"/>
        <v>2.2856000000000001</v>
      </c>
      <c r="M19" s="30">
        <f t="shared" si="0"/>
        <v>1</v>
      </c>
      <c r="N19" s="24">
        <f t="shared" si="1"/>
        <v>1</v>
      </c>
      <c r="O19" s="58" t="s">
        <v>60</v>
      </c>
      <c r="P19" s="33">
        <v>0</v>
      </c>
      <c r="Q19" s="33">
        <v>0</v>
      </c>
      <c r="R19" s="33">
        <v>0</v>
      </c>
      <c r="S19" s="19" t="str">
        <f t="shared" si="2"/>
        <v xml:space="preserve"> -</v>
      </c>
      <c r="T19" s="24" t="str">
        <f t="shared" si="3"/>
        <v xml:space="preserve"> -</v>
      </c>
    </row>
    <row r="20" spans="2:20" ht="31" thickBot="1">
      <c r="B20" s="146"/>
      <c r="C20" s="143"/>
      <c r="D20" s="140"/>
      <c r="E20" s="44">
        <v>42736</v>
      </c>
      <c r="F20" s="44">
        <v>43100</v>
      </c>
      <c r="G20" s="25" t="s">
        <v>35</v>
      </c>
      <c r="H20" s="26">
        <v>314000</v>
      </c>
      <c r="I20" s="54">
        <f>+J20+('2016'!I20-'2016'!K20)</f>
        <v>23055</v>
      </c>
      <c r="J20" s="34">
        <v>78000</v>
      </c>
      <c r="K20" s="55">
        <v>134777</v>
      </c>
      <c r="L20" s="41">
        <f t="shared" si="5"/>
        <v>1.7279102564102564</v>
      </c>
      <c r="M20" s="31">
        <f t="shared" si="0"/>
        <v>1</v>
      </c>
      <c r="N20" s="28">
        <f t="shared" si="1"/>
        <v>1</v>
      </c>
      <c r="O20" s="59" t="s">
        <v>61</v>
      </c>
      <c r="P20" s="34">
        <v>33278</v>
      </c>
      <c r="Q20" s="34">
        <v>7541</v>
      </c>
      <c r="R20" s="34">
        <v>0</v>
      </c>
      <c r="S20" s="27">
        <f t="shared" si="2"/>
        <v>0.22660616623595167</v>
      </c>
      <c r="T20" s="28" t="str">
        <f t="shared" si="3"/>
        <v xml:space="preserve"> -</v>
      </c>
    </row>
    <row r="21" spans="2:20" ht="21" customHeight="1" thickBot="1">
      <c r="M21" s="45">
        <f>+AVERAGE(M12:M20)</f>
        <v>1</v>
      </c>
      <c r="N21" s="46">
        <f>+AVERAGE(N12:N20)</f>
        <v>1</v>
      </c>
      <c r="P21" s="47">
        <f>+SUM(P12:P20)</f>
        <v>11256417</v>
      </c>
      <c r="Q21" s="48">
        <f>+SUM(Q12:Q20)</f>
        <v>8389970</v>
      </c>
      <c r="R21" s="48">
        <f>+SUM(R12:R20)</f>
        <v>0</v>
      </c>
      <c r="S21" s="49">
        <f t="shared" si="2"/>
        <v>0.74534996349193527</v>
      </c>
      <c r="T21" s="46" t="str">
        <f t="shared" si="3"/>
        <v xml:space="preserve"> -</v>
      </c>
    </row>
    <row r="29" spans="2:20">
      <c r="G29" s="50"/>
    </row>
  </sheetData>
  <mergeCells count="21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B12:B20"/>
    <mergeCell ref="C12:C20"/>
    <mergeCell ref="D12:D20"/>
    <mergeCell ref="O9:T10"/>
    <mergeCell ref="G10:G11"/>
    <mergeCell ref="H10:H11"/>
    <mergeCell ref="I10:I11"/>
    <mergeCell ref="J10:J11"/>
    <mergeCell ref="K10:K11"/>
    <mergeCell ref="M10:M11"/>
    <mergeCell ref="N10:N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21"/>
  <sheetViews>
    <sheetView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47" t="s">
        <v>16</v>
      </c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</row>
    <row r="3" spans="2:20" ht="20" customHeight="1">
      <c r="B3" s="147" t="s">
        <v>19</v>
      </c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</row>
    <row r="4" spans="2:20" ht="20" customHeight="1">
      <c r="B4" s="147" t="s">
        <v>39</v>
      </c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7"/>
      <c r="R4" s="147"/>
      <c r="S4" s="147"/>
      <c r="T4" s="147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2018</v>
      </c>
      <c r="C8" s="8">
        <v>43465</v>
      </c>
      <c r="D8" s="148" t="s">
        <v>3</v>
      </c>
      <c r="E8" s="149"/>
      <c r="F8" s="149"/>
      <c r="G8" s="149"/>
      <c r="H8" s="149"/>
      <c r="I8" s="149"/>
      <c r="J8" s="149"/>
      <c r="K8" s="150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51" t="s">
        <v>17</v>
      </c>
      <c r="C9" s="154" t="s">
        <v>18</v>
      </c>
      <c r="D9" s="156" t="s">
        <v>0</v>
      </c>
      <c r="E9" s="159" t="s">
        <v>4</v>
      </c>
      <c r="F9" s="159"/>
      <c r="G9" s="159" t="s">
        <v>5</v>
      </c>
      <c r="H9" s="159"/>
      <c r="I9" s="159"/>
      <c r="J9" s="159"/>
      <c r="K9" s="161"/>
      <c r="L9" s="5"/>
      <c r="M9" s="156" t="s">
        <v>6</v>
      </c>
      <c r="N9" s="161"/>
      <c r="O9" s="171" t="s">
        <v>24</v>
      </c>
      <c r="P9" s="172"/>
      <c r="Q9" s="172"/>
      <c r="R9" s="172"/>
      <c r="S9" s="172"/>
      <c r="T9" s="173"/>
    </row>
    <row r="10" spans="2:20" ht="17" customHeight="1">
      <c r="B10" s="152"/>
      <c r="C10" s="155"/>
      <c r="D10" s="157"/>
      <c r="E10" s="160"/>
      <c r="F10" s="160"/>
      <c r="G10" s="160" t="s">
        <v>7</v>
      </c>
      <c r="H10" s="164" t="s">
        <v>25</v>
      </c>
      <c r="I10" s="164" t="s">
        <v>26</v>
      </c>
      <c r="J10" s="165" t="s">
        <v>1</v>
      </c>
      <c r="K10" s="162" t="s">
        <v>8</v>
      </c>
      <c r="L10" s="6"/>
      <c r="M10" s="167" t="s">
        <v>9</v>
      </c>
      <c r="N10" s="169" t="s">
        <v>10</v>
      </c>
      <c r="O10" s="174"/>
      <c r="P10" s="175"/>
      <c r="Q10" s="175"/>
      <c r="R10" s="175"/>
      <c r="S10" s="175"/>
      <c r="T10" s="176"/>
    </row>
    <row r="11" spans="2:20" ht="37.5" customHeight="1" thickBot="1">
      <c r="B11" s="153"/>
      <c r="C11" s="155"/>
      <c r="D11" s="158"/>
      <c r="E11" s="12" t="s">
        <v>11</v>
      </c>
      <c r="F11" s="12" t="s">
        <v>12</v>
      </c>
      <c r="G11" s="164"/>
      <c r="H11" s="177"/>
      <c r="I11" s="177"/>
      <c r="J11" s="166"/>
      <c r="K11" s="163"/>
      <c r="L11" s="13"/>
      <c r="M11" s="168"/>
      <c r="N11" s="170"/>
      <c r="O11" s="14" t="s">
        <v>23</v>
      </c>
      <c r="P11" s="15" t="s">
        <v>20</v>
      </c>
      <c r="Q11" s="16" t="s">
        <v>21</v>
      </c>
      <c r="R11" s="17" t="s">
        <v>22</v>
      </c>
      <c r="S11" s="17" t="s">
        <v>14</v>
      </c>
      <c r="T11" s="18" t="s">
        <v>15</v>
      </c>
    </row>
    <row r="12" spans="2:20" ht="30">
      <c r="B12" s="144" t="s">
        <v>38</v>
      </c>
      <c r="C12" s="141" t="s">
        <v>36</v>
      </c>
      <c r="D12" s="138" t="s">
        <v>37</v>
      </c>
      <c r="E12" s="42">
        <v>43101</v>
      </c>
      <c r="F12" s="42">
        <v>43465</v>
      </c>
      <c r="G12" s="20" t="s">
        <v>27</v>
      </c>
      <c r="H12" s="21">
        <v>5</v>
      </c>
      <c r="I12" s="32">
        <f>+J12+('2017'!I12-'2017'!K12)</f>
        <v>1</v>
      </c>
      <c r="J12" s="32">
        <v>1</v>
      </c>
      <c r="K12" s="136">
        <v>0.2</v>
      </c>
      <c r="L12" s="39">
        <f>+K12/J12</f>
        <v>0.2</v>
      </c>
      <c r="M12" s="29">
        <f>DAYS360(E12,$C$8)/DAYS360(E12,F12)</f>
        <v>1</v>
      </c>
      <c r="N12" s="23">
        <f>IF(J12=0," -",IF(L12&gt;100%,100%,L12))</f>
        <v>0.2</v>
      </c>
      <c r="O12" s="57" t="s">
        <v>56</v>
      </c>
      <c r="P12" s="32">
        <v>2425000</v>
      </c>
      <c r="Q12" s="32">
        <v>852663</v>
      </c>
      <c r="R12" s="32">
        <v>0</v>
      </c>
      <c r="S12" s="22">
        <f>IF(P12=0," -",Q12/P12)</f>
        <v>0.35161360824742266</v>
      </c>
      <c r="T12" s="23" t="str">
        <f>IF(R12=0," -",IF(Q12=0,100%,R12/Q12))</f>
        <v xml:space="preserve"> -</v>
      </c>
    </row>
    <row r="13" spans="2:20" ht="45">
      <c r="B13" s="145"/>
      <c r="C13" s="142"/>
      <c r="D13" s="139"/>
      <c r="E13" s="43">
        <v>43101</v>
      </c>
      <c r="F13" s="43">
        <v>43465</v>
      </c>
      <c r="G13" s="9" t="s">
        <v>28</v>
      </c>
      <c r="H13" s="10">
        <v>800</v>
      </c>
      <c r="I13" s="51">
        <f>+J13</f>
        <v>800</v>
      </c>
      <c r="J13" s="33">
        <v>800</v>
      </c>
      <c r="K13" s="53">
        <v>1</v>
      </c>
      <c r="L13" s="40">
        <f>+J13/K13</f>
        <v>800</v>
      </c>
      <c r="M13" s="30">
        <f t="shared" ref="M13:M20" si="0">DAYS360(E13,$C$8)/DAYS360(E13,F13)</f>
        <v>1</v>
      </c>
      <c r="N13" s="24">
        <f t="shared" ref="N13:N20" si="1">IF(J13=0," -",IF(L13&gt;100%,100%,L13))</f>
        <v>1</v>
      </c>
      <c r="O13" s="58" t="s">
        <v>57</v>
      </c>
      <c r="P13" s="33">
        <v>0</v>
      </c>
      <c r="Q13" s="33">
        <v>0</v>
      </c>
      <c r="R13" s="33">
        <v>0</v>
      </c>
      <c r="S13" s="19" t="str">
        <f t="shared" ref="S13:S21" si="2">IF(P13=0," -",Q13/P13)</f>
        <v xml:space="preserve"> -</v>
      </c>
      <c r="T13" s="24" t="str">
        <f t="shared" ref="T13:T21" si="3">IF(R13=0," -",IF(Q13=0,100%,R13/Q13))</f>
        <v xml:space="preserve"> -</v>
      </c>
    </row>
    <row r="14" spans="2:20" ht="45">
      <c r="B14" s="145"/>
      <c r="C14" s="142"/>
      <c r="D14" s="139"/>
      <c r="E14" s="43">
        <v>43101</v>
      </c>
      <c r="F14" s="43">
        <v>43465</v>
      </c>
      <c r="G14" s="9" t="s">
        <v>29</v>
      </c>
      <c r="H14" s="10">
        <v>400</v>
      </c>
      <c r="I14" s="51">
        <f>+J14</f>
        <v>400</v>
      </c>
      <c r="J14" s="33">
        <v>400</v>
      </c>
      <c r="K14" s="53">
        <v>6</v>
      </c>
      <c r="L14" s="40">
        <f t="shared" ref="L14:L15" si="4">+J14/K14</f>
        <v>66.666666666666671</v>
      </c>
      <c r="M14" s="30">
        <f t="shared" si="0"/>
        <v>1</v>
      </c>
      <c r="N14" s="24">
        <f t="shared" si="1"/>
        <v>1</v>
      </c>
      <c r="O14" s="58" t="s">
        <v>57</v>
      </c>
      <c r="P14" s="33">
        <v>0</v>
      </c>
      <c r="Q14" s="33">
        <v>0</v>
      </c>
      <c r="R14" s="33">
        <v>0</v>
      </c>
      <c r="S14" s="19" t="str">
        <f t="shared" si="2"/>
        <v xml:space="preserve"> -</v>
      </c>
      <c r="T14" s="24" t="str">
        <f t="shared" si="3"/>
        <v xml:space="preserve"> -</v>
      </c>
    </row>
    <row r="15" spans="2:20" ht="45">
      <c r="B15" s="145"/>
      <c r="C15" s="142"/>
      <c r="D15" s="139"/>
      <c r="E15" s="43">
        <v>43101</v>
      </c>
      <c r="F15" s="43">
        <v>43465</v>
      </c>
      <c r="G15" s="9" t="s">
        <v>30</v>
      </c>
      <c r="H15" s="10">
        <v>2000</v>
      </c>
      <c r="I15" s="51">
        <f>+J15</f>
        <v>2000</v>
      </c>
      <c r="J15" s="33">
        <v>2000</v>
      </c>
      <c r="K15" s="53">
        <v>20</v>
      </c>
      <c r="L15" s="40">
        <f t="shared" si="4"/>
        <v>100</v>
      </c>
      <c r="M15" s="30">
        <f t="shared" si="0"/>
        <v>1</v>
      </c>
      <c r="N15" s="24">
        <f t="shared" si="1"/>
        <v>1</v>
      </c>
      <c r="O15" s="58" t="s">
        <v>57</v>
      </c>
      <c r="P15" s="33">
        <v>0</v>
      </c>
      <c r="Q15" s="33">
        <v>0</v>
      </c>
      <c r="R15" s="33">
        <v>0</v>
      </c>
      <c r="S15" s="19" t="str">
        <f t="shared" si="2"/>
        <v xml:space="preserve"> -</v>
      </c>
      <c r="T15" s="24" t="str">
        <f t="shared" si="3"/>
        <v xml:space="preserve"> -</v>
      </c>
    </row>
    <row r="16" spans="2:20" ht="60">
      <c r="B16" s="145"/>
      <c r="C16" s="142"/>
      <c r="D16" s="139"/>
      <c r="E16" s="43">
        <v>43101</v>
      </c>
      <c r="F16" s="43">
        <v>43465</v>
      </c>
      <c r="G16" s="9" t="s">
        <v>31</v>
      </c>
      <c r="H16" s="11">
        <v>1</v>
      </c>
      <c r="I16" s="56">
        <f>+J16</f>
        <v>0</v>
      </c>
      <c r="J16" s="19">
        <v>0</v>
      </c>
      <c r="K16" s="24">
        <v>1</v>
      </c>
      <c r="L16" s="40" t="e">
        <f t="shared" ref="L16:L20" si="5">+K16/J16</f>
        <v>#DIV/0!</v>
      </c>
      <c r="M16" s="30">
        <f t="shared" si="0"/>
        <v>1</v>
      </c>
      <c r="N16" s="24" t="str">
        <f t="shared" si="1"/>
        <v xml:space="preserve"> -</v>
      </c>
      <c r="O16" s="58" t="s">
        <v>58</v>
      </c>
      <c r="P16" s="33">
        <v>3059968</v>
      </c>
      <c r="Q16" s="33">
        <v>2822823</v>
      </c>
      <c r="R16" s="33">
        <v>0</v>
      </c>
      <c r="S16" s="19">
        <f t="shared" si="2"/>
        <v>0.92250082353802387</v>
      </c>
      <c r="T16" s="24" t="str">
        <f t="shared" si="3"/>
        <v xml:space="preserve"> -</v>
      </c>
    </row>
    <row r="17" spans="2:20" ht="30">
      <c r="B17" s="145"/>
      <c r="C17" s="142"/>
      <c r="D17" s="139"/>
      <c r="E17" s="43">
        <v>43101</v>
      </c>
      <c r="F17" s="43">
        <v>43465</v>
      </c>
      <c r="G17" s="9" t="s">
        <v>32</v>
      </c>
      <c r="H17" s="10">
        <v>1200</v>
      </c>
      <c r="I17" s="51">
        <f>+J17+('2017'!I17-'2017'!K17)</f>
        <v>-572</v>
      </c>
      <c r="J17" s="33">
        <v>400</v>
      </c>
      <c r="K17" s="53">
        <v>774</v>
      </c>
      <c r="L17" s="40">
        <f t="shared" si="5"/>
        <v>1.9350000000000001</v>
      </c>
      <c r="M17" s="30">
        <f t="shared" si="0"/>
        <v>1</v>
      </c>
      <c r="N17" s="24">
        <f t="shared" si="1"/>
        <v>1</v>
      </c>
      <c r="O17" s="58" t="s">
        <v>59</v>
      </c>
      <c r="P17" s="33">
        <v>100000</v>
      </c>
      <c r="Q17" s="33">
        <v>75052</v>
      </c>
      <c r="R17" s="33">
        <f>5829622-P21</f>
        <v>1</v>
      </c>
      <c r="S17" s="19">
        <f t="shared" si="2"/>
        <v>0.75051999999999996</v>
      </c>
      <c r="T17" s="24">
        <f t="shared" si="3"/>
        <v>1.3324095293929541E-5</v>
      </c>
    </row>
    <row r="18" spans="2:20" ht="30">
      <c r="B18" s="145"/>
      <c r="C18" s="142"/>
      <c r="D18" s="139"/>
      <c r="E18" s="43">
        <v>43101</v>
      </c>
      <c r="F18" s="43">
        <v>43465</v>
      </c>
      <c r="G18" s="9" t="s">
        <v>33</v>
      </c>
      <c r="H18" s="10">
        <v>300</v>
      </c>
      <c r="I18" s="51">
        <f>+J18+('2017'!I18-'2017'!K18)</f>
        <v>-884</v>
      </c>
      <c r="J18" s="33">
        <v>75</v>
      </c>
      <c r="K18" s="53">
        <v>662</v>
      </c>
      <c r="L18" s="40">
        <f t="shared" si="5"/>
        <v>8.8266666666666662</v>
      </c>
      <c r="M18" s="30">
        <f t="shared" si="0"/>
        <v>1</v>
      </c>
      <c r="N18" s="24">
        <f t="shared" si="1"/>
        <v>1</v>
      </c>
      <c r="O18" s="58" t="s">
        <v>57</v>
      </c>
      <c r="P18" s="33">
        <v>0</v>
      </c>
      <c r="Q18" s="33">
        <v>0</v>
      </c>
      <c r="R18" s="33">
        <f>3975028-Q21</f>
        <v>2</v>
      </c>
      <c r="S18" s="19" t="str">
        <f t="shared" si="2"/>
        <v xml:space="preserve"> -</v>
      </c>
      <c r="T18" s="24">
        <f t="shared" si="3"/>
        <v>1</v>
      </c>
    </row>
    <row r="19" spans="2:20" ht="30">
      <c r="B19" s="145"/>
      <c r="C19" s="142"/>
      <c r="D19" s="139"/>
      <c r="E19" s="43">
        <v>43101</v>
      </c>
      <c r="F19" s="43">
        <v>43465</v>
      </c>
      <c r="G19" s="9" t="s">
        <v>34</v>
      </c>
      <c r="H19" s="10">
        <v>10000</v>
      </c>
      <c r="I19" s="51">
        <f>+J19+('2017'!I19-'2017'!K19)</f>
        <v>-1008</v>
      </c>
      <c r="J19" s="33">
        <v>2500</v>
      </c>
      <c r="K19" s="53">
        <v>5038</v>
      </c>
      <c r="L19" s="40">
        <f t="shared" si="5"/>
        <v>2.0152000000000001</v>
      </c>
      <c r="M19" s="30">
        <f t="shared" si="0"/>
        <v>1</v>
      </c>
      <c r="N19" s="24">
        <f t="shared" si="1"/>
        <v>1</v>
      </c>
      <c r="O19" s="58" t="s">
        <v>60</v>
      </c>
      <c r="P19" s="33">
        <v>10000</v>
      </c>
      <c r="Q19" s="33">
        <v>0</v>
      </c>
      <c r="R19" s="33">
        <v>0</v>
      </c>
      <c r="S19" s="19">
        <f t="shared" si="2"/>
        <v>0</v>
      </c>
      <c r="T19" s="24" t="str">
        <f t="shared" si="3"/>
        <v xml:space="preserve"> -</v>
      </c>
    </row>
    <row r="20" spans="2:20" ht="31" thickBot="1">
      <c r="B20" s="146"/>
      <c r="C20" s="143"/>
      <c r="D20" s="140"/>
      <c r="E20" s="44">
        <v>43101</v>
      </c>
      <c r="F20" s="44">
        <v>43465</v>
      </c>
      <c r="G20" s="25" t="s">
        <v>35</v>
      </c>
      <c r="H20" s="26">
        <v>314000</v>
      </c>
      <c r="I20" s="54">
        <f>+J20+('2017'!I20-'2017'!K20)</f>
        <v>-32722</v>
      </c>
      <c r="J20" s="34">
        <v>79000</v>
      </c>
      <c r="K20" s="55">
        <v>80224</v>
      </c>
      <c r="L20" s="41">
        <f t="shared" si="5"/>
        <v>1.015493670886076</v>
      </c>
      <c r="M20" s="31">
        <f t="shared" si="0"/>
        <v>1</v>
      </c>
      <c r="N20" s="28">
        <f t="shared" si="1"/>
        <v>1</v>
      </c>
      <c r="O20" s="59" t="s">
        <v>61</v>
      </c>
      <c r="P20" s="34">
        <v>234653</v>
      </c>
      <c r="Q20" s="34">
        <v>224488</v>
      </c>
      <c r="R20" s="34">
        <v>0</v>
      </c>
      <c r="S20" s="27">
        <f t="shared" si="2"/>
        <v>0.95668071578032243</v>
      </c>
      <c r="T20" s="28" t="str">
        <f t="shared" si="3"/>
        <v xml:space="preserve"> -</v>
      </c>
    </row>
    <row r="21" spans="2:20" ht="21" customHeight="1" thickBot="1">
      <c r="M21" s="45">
        <f>+AVERAGE(M12:M20)</f>
        <v>1</v>
      </c>
      <c r="N21" s="46">
        <f>+AVERAGE(N12:N20)</f>
        <v>0.9</v>
      </c>
      <c r="P21" s="47">
        <f>+SUM(P12:P20)</f>
        <v>5829621</v>
      </c>
      <c r="Q21" s="48">
        <f>+SUM(Q12:Q20)</f>
        <v>3975026</v>
      </c>
      <c r="R21" s="48">
        <f>+SUM(R12:R20)</f>
        <v>3</v>
      </c>
      <c r="S21" s="49">
        <f t="shared" si="2"/>
        <v>0.68186696871031582</v>
      </c>
      <c r="T21" s="46">
        <f t="shared" si="3"/>
        <v>7.5471204465077712E-7</v>
      </c>
    </row>
  </sheetData>
  <mergeCells count="21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B12:B20"/>
    <mergeCell ref="C12:C20"/>
    <mergeCell ref="D12:D20"/>
    <mergeCell ref="O9:T10"/>
    <mergeCell ref="G10:G11"/>
    <mergeCell ref="H10:H11"/>
    <mergeCell ref="I10:I11"/>
    <mergeCell ref="J10:J11"/>
    <mergeCell ref="K10:K11"/>
    <mergeCell ref="M10:M11"/>
    <mergeCell ref="N10:N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21"/>
  <sheetViews>
    <sheetView tabSelected="1" workbookViewId="0">
      <selection activeCell="B8" sqref="B8"/>
    </sheetView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11.28515625" style="1" customWidth="1"/>
    <col min="6" max="6" width="12.28515625" style="1" customWidth="1"/>
    <col min="7" max="7" width="36.28515625" style="1" customWidth="1"/>
    <col min="8" max="8" width="13.7109375" style="1" customWidth="1"/>
    <col min="9" max="9" width="12.7109375" style="1" hidden="1" customWidth="1"/>
    <col min="10" max="11" width="9.5703125" style="1" customWidth="1"/>
    <col min="12" max="12" width="9.7109375" style="1" hidden="1" customWidth="1"/>
    <col min="13" max="13" width="10.7109375" style="1"/>
    <col min="14" max="15" width="13.140625" style="1" customWidth="1"/>
    <col min="16" max="18" width="23.5703125" style="1" customWidth="1"/>
    <col min="19" max="20" width="12.5703125" style="1" customWidth="1"/>
    <col min="21" max="16384" width="10.7109375" style="1"/>
  </cols>
  <sheetData>
    <row r="2" spans="2:20" ht="20" customHeight="1">
      <c r="B2" s="147" t="s">
        <v>16</v>
      </c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</row>
    <row r="3" spans="2:20" ht="20" customHeight="1">
      <c r="B3" s="147" t="s">
        <v>19</v>
      </c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</row>
    <row r="4" spans="2:20" ht="20" customHeight="1">
      <c r="B4" s="147" t="s">
        <v>39</v>
      </c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7"/>
      <c r="R4" s="147"/>
      <c r="S4" s="147"/>
      <c r="T4" s="147"/>
    </row>
    <row r="6" spans="2:20" ht="16" thickBot="1"/>
    <row r="7" spans="2:20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>
      <c r="B8" s="7">
        <v>2019</v>
      </c>
      <c r="C8" s="8">
        <v>43830</v>
      </c>
      <c r="D8" s="148" t="s">
        <v>3</v>
      </c>
      <c r="E8" s="149"/>
      <c r="F8" s="149"/>
      <c r="G8" s="149"/>
      <c r="H8" s="149"/>
      <c r="I8" s="149"/>
      <c r="J8" s="149"/>
      <c r="K8" s="150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>
      <c r="B9" s="151" t="s">
        <v>17</v>
      </c>
      <c r="C9" s="154" t="s">
        <v>18</v>
      </c>
      <c r="D9" s="156" t="s">
        <v>0</v>
      </c>
      <c r="E9" s="159" t="s">
        <v>4</v>
      </c>
      <c r="F9" s="159"/>
      <c r="G9" s="159" t="s">
        <v>5</v>
      </c>
      <c r="H9" s="159"/>
      <c r="I9" s="159"/>
      <c r="J9" s="159"/>
      <c r="K9" s="161"/>
      <c r="L9" s="5"/>
      <c r="M9" s="156" t="s">
        <v>6</v>
      </c>
      <c r="N9" s="161"/>
      <c r="O9" s="171" t="s">
        <v>24</v>
      </c>
      <c r="P9" s="172"/>
      <c r="Q9" s="172"/>
      <c r="R9" s="172"/>
      <c r="S9" s="172"/>
      <c r="T9" s="173"/>
    </row>
    <row r="10" spans="2:20" ht="17" customHeight="1">
      <c r="B10" s="152"/>
      <c r="C10" s="155"/>
      <c r="D10" s="157"/>
      <c r="E10" s="160"/>
      <c r="F10" s="160"/>
      <c r="G10" s="160" t="s">
        <v>7</v>
      </c>
      <c r="H10" s="164" t="s">
        <v>25</v>
      </c>
      <c r="I10" s="164" t="s">
        <v>26</v>
      </c>
      <c r="J10" s="165" t="s">
        <v>1</v>
      </c>
      <c r="K10" s="162" t="s">
        <v>8</v>
      </c>
      <c r="L10" s="6"/>
      <c r="M10" s="167" t="s">
        <v>9</v>
      </c>
      <c r="N10" s="169" t="s">
        <v>10</v>
      </c>
      <c r="O10" s="174"/>
      <c r="P10" s="175"/>
      <c r="Q10" s="175"/>
      <c r="R10" s="175"/>
      <c r="S10" s="175"/>
      <c r="T10" s="176"/>
    </row>
    <row r="11" spans="2:20" ht="37.5" customHeight="1" thickBot="1">
      <c r="B11" s="153"/>
      <c r="C11" s="155"/>
      <c r="D11" s="158"/>
      <c r="E11" s="12" t="s">
        <v>11</v>
      </c>
      <c r="F11" s="12" t="s">
        <v>12</v>
      </c>
      <c r="G11" s="164"/>
      <c r="H11" s="177"/>
      <c r="I11" s="178"/>
      <c r="J11" s="166"/>
      <c r="K11" s="163"/>
      <c r="L11" s="13"/>
      <c r="M11" s="168"/>
      <c r="N11" s="170"/>
      <c r="O11" s="14" t="s">
        <v>23</v>
      </c>
      <c r="P11" s="15" t="s">
        <v>20</v>
      </c>
      <c r="Q11" s="16" t="s">
        <v>21</v>
      </c>
      <c r="R11" s="17" t="s">
        <v>22</v>
      </c>
      <c r="S11" s="17" t="s">
        <v>14</v>
      </c>
      <c r="T11" s="18" t="s">
        <v>15</v>
      </c>
    </row>
    <row r="12" spans="2:20" ht="30">
      <c r="B12" s="144" t="s">
        <v>38</v>
      </c>
      <c r="C12" s="141" t="s">
        <v>36</v>
      </c>
      <c r="D12" s="138" t="s">
        <v>37</v>
      </c>
      <c r="E12" s="42">
        <v>43466</v>
      </c>
      <c r="F12" s="42">
        <v>43830</v>
      </c>
      <c r="G12" s="20" t="s">
        <v>27</v>
      </c>
      <c r="H12" s="21">
        <v>5</v>
      </c>
      <c r="I12" s="51">
        <f>+J12+('2018'!I12-'2018'!K12)</f>
        <v>2.8</v>
      </c>
      <c r="J12" s="32">
        <v>2</v>
      </c>
      <c r="K12" s="91">
        <v>1.4</v>
      </c>
      <c r="L12" s="39">
        <f>+K12/J12</f>
        <v>0.7</v>
      </c>
      <c r="M12" s="29">
        <f>DAYS360(E12,$C$8)/DAYS360(E12,F12)</f>
        <v>1</v>
      </c>
      <c r="N12" s="23">
        <f>IF(J12=0," -",IF(L12&gt;100%,100%,L12))</f>
        <v>0.7</v>
      </c>
      <c r="O12" s="57" t="s">
        <v>56</v>
      </c>
      <c r="P12" s="32">
        <v>1863949</v>
      </c>
      <c r="Q12" s="32">
        <v>1856068</v>
      </c>
      <c r="R12" s="32">
        <v>0</v>
      </c>
      <c r="S12" s="22">
        <f>IF(P12=0," -",Q12/P12)</f>
        <v>0.99577188002461436</v>
      </c>
      <c r="T12" s="23" t="str">
        <f>IF(R12=0," -",IF(Q12=0,100%,R12/Q12))</f>
        <v xml:space="preserve"> -</v>
      </c>
    </row>
    <row r="13" spans="2:20" ht="45">
      <c r="B13" s="145"/>
      <c r="C13" s="142"/>
      <c r="D13" s="139"/>
      <c r="E13" s="43">
        <v>43466</v>
      </c>
      <c r="F13" s="43">
        <v>43830</v>
      </c>
      <c r="G13" s="9" t="s">
        <v>28</v>
      </c>
      <c r="H13" s="10">
        <v>800</v>
      </c>
      <c r="I13" s="51">
        <f>+J13</f>
        <v>800</v>
      </c>
      <c r="J13" s="33">
        <v>800</v>
      </c>
      <c r="K13" s="53">
        <v>14</v>
      </c>
      <c r="L13" s="40">
        <f>+J13/K13</f>
        <v>57.142857142857146</v>
      </c>
      <c r="M13" s="30">
        <f t="shared" ref="M13:M20" si="0">DAYS360(E13,$C$8)/DAYS360(E13,F13)</f>
        <v>1</v>
      </c>
      <c r="N13" s="24">
        <f t="shared" ref="N13:N20" si="1">IF(J13=0," -",IF(L13&gt;100%,100%,L13))</f>
        <v>1</v>
      </c>
      <c r="O13" s="58" t="s">
        <v>57</v>
      </c>
      <c r="P13" s="33">
        <v>0</v>
      </c>
      <c r="Q13" s="33">
        <v>0</v>
      </c>
      <c r="R13" s="33">
        <v>0</v>
      </c>
      <c r="S13" s="19" t="str">
        <f t="shared" ref="S13:S21" si="2">IF(P13=0," -",Q13/P13)</f>
        <v xml:space="preserve"> -</v>
      </c>
      <c r="T13" s="24" t="str">
        <f t="shared" ref="T13:T21" si="3">IF(R13=0," -",IF(Q13=0,100%,R13/Q13))</f>
        <v xml:space="preserve"> -</v>
      </c>
    </row>
    <row r="14" spans="2:20" ht="45">
      <c r="B14" s="145"/>
      <c r="C14" s="142"/>
      <c r="D14" s="139"/>
      <c r="E14" s="43">
        <v>43466</v>
      </c>
      <c r="F14" s="43">
        <v>43830</v>
      </c>
      <c r="G14" s="9" t="s">
        <v>29</v>
      </c>
      <c r="H14" s="10">
        <v>400</v>
      </c>
      <c r="I14" s="51">
        <f>+J14</f>
        <v>400</v>
      </c>
      <c r="J14" s="33">
        <v>400</v>
      </c>
      <c r="K14" s="53">
        <v>8</v>
      </c>
      <c r="L14" s="40">
        <f t="shared" ref="L14:L15" si="4">+J14/K14</f>
        <v>50</v>
      </c>
      <c r="M14" s="30">
        <f t="shared" si="0"/>
        <v>1</v>
      </c>
      <c r="N14" s="24">
        <f t="shared" si="1"/>
        <v>1</v>
      </c>
      <c r="O14" s="58" t="s">
        <v>57</v>
      </c>
      <c r="P14" s="33">
        <v>0</v>
      </c>
      <c r="Q14" s="33">
        <v>0</v>
      </c>
      <c r="R14" s="33">
        <v>0</v>
      </c>
      <c r="S14" s="19" t="str">
        <f t="shared" si="2"/>
        <v xml:space="preserve"> -</v>
      </c>
      <c r="T14" s="24" t="str">
        <f t="shared" si="3"/>
        <v xml:space="preserve"> -</v>
      </c>
    </row>
    <row r="15" spans="2:20" ht="45">
      <c r="B15" s="145"/>
      <c r="C15" s="142"/>
      <c r="D15" s="139"/>
      <c r="E15" s="43">
        <v>43466</v>
      </c>
      <c r="F15" s="43">
        <v>43830</v>
      </c>
      <c r="G15" s="9" t="s">
        <v>30</v>
      </c>
      <c r="H15" s="10">
        <v>2000</v>
      </c>
      <c r="I15" s="51">
        <f>+J15</f>
        <v>2000</v>
      </c>
      <c r="J15" s="33">
        <v>2000</v>
      </c>
      <c r="K15" s="53">
        <v>30</v>
      </c>
      <c r="L15" s="40">
        <f t="shared" si="4"/>
        <v>66.666666666666671</v>
      </c>
      <c r="M15" s="30">
        <f t="shared" si="0"/>
        <v>1</v>
      </c>
      <c r="N15" s="24">
        <f t="shared" si="1"/>
        <v>1</v>
      </c>
      <c r="O15" s="58" t="s">
        <v>57</v>
      </c>
      <c r="P15" s="33">
        <v>0</v>
      </c>
      <c r="Q15" s="33">
        <v>0</v>
      </c>
      <c r="R15" s="33">
        <v>0</v>
      </c>
      <c r="S15" s="19" t="str">
        <f t="shared" si="2"/>
        <v xml:space="preserve"> -</v>
      </c>
      <c r="T15" s="24" t="str">
        <f t="shared" si="3"/>
        <v xml:space="preserve"> -</v>
      </c>
    </row>
    <row r="16" spans="2:20" ht="60">
      <c r="B16" s="145"/>
      <c r="C16" s="142"/>
      <c r="D16" s="139"/>
      <c r="E16" s="43">
        <v>43466</v>
      </c>
      <c r="F16" s="43">
        <v>43830</v>
      </c>
      <c r="G16" s="9" t="s">
        <v>31</v>
      </c>
      <c r="H16" s="11">
        <v>1</v>
      </c>
      <c r="I16" s="56">
        <f>+J16</f>
        <v>0</v>
      </c>
      <c r="J16" s="19">
        <v>0</v>
      </c>
      <c r="K16" s="37">
        <v>1</v>
      </c>
      <c r="L16" s="40" t="e">
        <f t="shared" ref="L16:L20" si="5">+K16/J16</f>
        <v>#DIV/0!</v>
      </c>
      <c r="M16" s="30">
        <f t="shared" si="0"/>
        <v>1</v>
      </c>
      <c r="N16" s="24" t="str">
        <f t="shared" si="1"/>
        <v xml:space="preserve"> -</v>
      </c>
      <c r="O16" s="58" t="s">
        <v>58</v>
      </c>
      <c r="P16" s="33">
        <v>2470465</v>
      </c>
      <c r="Q16" s="33">
        <v>2146793</v>
      </c>
      <c r="R16" s="33">
        <v>0</v>
      </c>
      <c r="S16" s="19">
        <f t="shared" si="2"/>
        <v>0.86898336952759903</v>
      </c>
      <c r="T16" s="24" t="str">
        <f t="shared" si="3"/>
        <v xml:space="preserve"> -</v>
      </c>
    </row>
    <row r="17" spans="2:20" ht="30">
      <c r="B17" s="145"/>
      <c r="C17" s="142"/>
      <c r="D17" s="139"/>
      <c r="E17" s="43">
        <v>43466</v>
      </c>
      <c r="F17" s="43">
        <v>43830</v>
      </c>
      <c r="G17" s="9" t="s">
        <v>32</v>
      </c>
      <c r="H17" s="10">
        <v>1200</v>
      </c>
      <c r="I17" s="51">
        <f>+J17+('2018'!I17-'2018'!K17)</f>
        <v>-1046</v>
      </c>
      <c r="J17" s="33">
        <v>300</v>
      </c>
      <c r="K17" s="36">
        <v>1932</v>
      </c>
      <c r="L17" s="40">
        <f t="shared" si="5"/>
        <v>6.44</v>
      </c>
      <c r="M17" s="30">
        <f t="shared" si="0"/>
        <v>1</v>
      </c>
      <c r="N17" s="24">
        <f t="shared" si="1"/>
        <v>1</v>
      </c>
      <c r="O17" s="58" t="s">
        <v>59</v>
      </c>
      <c r="P17" s="33">
        <v>250000</v>
      </c>
      <c r="Q17" s="33">
        <v>140540</v>
      </c>
      <c r="R17" s="33">
        <v>0</v>
      </c>
      <c r="S17" s="19">
        <f t="shared" si="2"/>
        <v>0.56215999999999999</v>
      </c>
      <c r="T17" s="24" t="str">
        <f t="shared" si="3"/>
        <v xml:space="preserve"> -</v>
      </c>
    </row>
    <row r="18" spans="2:20" ht="30">
      <c r="B18" s="145"/>
      <c r="C18" s="142"/>
      <c r="D18" s="139"/>
      <c r="E18" s="43">
        <v>43466</v>
      </c>
      <c r="F18" s="43">
        <v>43830</v>
      </c>
      <c r="G18" s="9" t="s">
        <v>33</v>
      </c>
      <c r="H18" s="10">
        <v>300</v>
      </c>
      <c r="I18" s="51">
        <f>+J18+('2018'!I18-'2018'!K18)</f>
        <v>-1471</v>
      </c>
      <c r="J18" s="33">
        <v>75</v>
      </c>
      <c r="K18" s="36">
        <v>1546</v>
      </c>
      <c r="L18" s="40">
        <f t="shared" si="5"/>
        <v>20.613333333333333</v>
      </c>
      <c r="M18" s="30">
        <f t="shared" si="0"/>
        <v>1</v>
      </c>
      <c r="N18" s="24">
        <f t="shared" si="1"/>
        <v>1</v>
      </c>
      <c r="O18" s="58" t="s">
        <v>57</v>
      </c>
      <c r="P18" s="33">
        <v>0</v>
      </c>
      <c r="Q18" s="33">
        <v>0</v>
      </c>
      <c r="R18" s="33">
        <v>0</v>
      </c>
      <c r="S18" s="19" t="str">
        <f t="shared" si="2"/>
        <v xml:space="preserve"> -</v>
      </c>
      <c r="T18" s="24" t="str">
        <f t="shared" si="3"/>
        <v xml:space="preserve"> -</v>
      </c>
    </row>
    <row r="19" spans="2:20" ht="30">
      <c r="B19" s="145"/>
      <c r="C19" s="142"/>
      <c r="D19" s="139"/>
      <c r="E19" s="43">
        <v>43466</v>
      </c>
      <c r="F19" s="43">
        <v>43830</v>
      </c>
      <c r="G19" s="9" t="s">
        <v>34</v>
      </c>
      <c r="H19" s="10">
        <v>10000</v>
      </c>
      <c r="I19" s="51">
        <f>+J19+('2018'!I19-'2018'!K19)</f>
        <v>-3546</v>
      </c>
      <c r="J19" s="33">
        <v>2500</v>
      </c>
      <c r="K19" s="36">
        <v>5580</v>
      </c>
      <c r="L19" s="40">
        <f t="shared" si="5"/>
        <v>2.2320000000000002</v>
      </c>
      <c r="M19" s="30">
        <f t="shared" si="0"/>
        <v>1</v>
      </c>
      <c r="N19" s="24">
        <f t="shared" si="1"/>
        <v>1</v>
      </c>
      <c r="O19" s="58" t="s">
        <v>60</v>
      </c>
      <c r="P19" s="33">
        <v>2625869</v>
      </c>
      <c r="Q19" s="33">
        <v>2329080</v>
      </c>
      <c r="R19" s="33">
        <v>1708561</v>
      </c>
      <c r="S19" s="19">
        <f t="shared" si="2"/>
        <v>0.88697494048636849</v>
      </c>
      <c r="T19" s="24">
        <f t="shared" si="3"/>
        <v>0.73357763580469537</v>
      </c>
    </row>
    <row r="20" spans="2:20" ht="31" thickBot="1">
      <c r="B20" s="146"/>
      <c r="C20" s="143"/>
      <c r="D20" s="140"/>
      <c r="E20" s="44">
        <v>43466</v>
      </c>
      <c r="F20" s="44">
        <v>43830</v>
      </c>
      <c r="G20" s="25" t="s">
        <v>35</v>
      </c>
      <c r="H20" s="26">
        <v>314000</v>
      </c>
      <c r="I20" s="34">
        <f>+J20+('2018'!I20-'2018'!K20)</f>
        <v>-32946</v>
      </c>
      <c r="J20" s="34">
        <v>80000</v>
      </c>
      <c r="K20" s="38">
        <v>93000</v>
      </c>
      <c r="L20" s="41">
        <f t="shared" si="5"/>
        <v>1.1625000000000001</v>
      </c>
      <c r="M20" s="31">
        <f t="shared" si="0"/>
        <v>1</v>
      </c>
      <c r="N20" s="28">
        <f t="shared" si="1"/>
        <v>1</v>
      </c>
      <c r="O20" s="59" t="s">
        <v>61</v>
      </c>
      <c r="P20" s="34">
        <v>280000</v>
      </c>
      <c r="Q20" s="34">
        <v>126936</v>
      </c>
      <c r="R20" s="34">
        <v>0</v>
      </c>
      <c r="S20" s="27">
        <f t="shared" si="2"/>
        <v>0.45334285714285716</v>
      </c>
      <c r="T20" s="28" t="str">
        <f t="shared" si="3"/>
        <v xml:space="preserve"> -</v>
      </c>
    </row>
    <row r="21" spans="2:20" ht="21" customHeight="1" thickBot="1">
      <c r="M21" s="45">
        <f>+AVERAGE(M12:M20)</f>
        <v>1</v>
      </c>
      <c r="N21" s="46">
        <f>+AVERAGE(N12:N20)</f>
        <v>0.96250000000000002</v>
      </c>
      <c r="P21" s="47">
        <f>+SUM(P12:P20)</f>
        <v>7490283</v>
      </c>
      <c r="Q21" s="48">
        <f>+SUM(Q12:Q20)</f>
        <v>6599417</v>
      </c>
      <c r="R21" s="48">
        <f>+SUM(R12:R20)</f>
        <v>1708561</v>
      </c>
      <c r="S21" s="49">
        <f t="shared" si="2"/>
        <v>0.88106377289082405</v>
      </c>
      <c r="T21" s="46">
        <f t="shared" si="3"/>
        <v>0.25889574791227771</v>
      </c>
    </row>
  </sheetData>
  <mergeCells count="21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B12:B20"/>
    <mergeCell ref="C12:C20"/>
    <mergeCell ref="D12:D20"/>
    <mergeCell ref="O9:T10"/>
    <mergeCell ref="G10:G11"/>
    <mergeCell ref="H10:H11"/>
    <mergeCell ref="I10:I11"/>
    <mergeCell ref="J10:J11"/>
    <mergeCell ref="K10:K11"/>
    <mergeCell ref="M10:M11"/>
    <mergeCell ref="N10:N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Y21"/>
  <sheetViews>
    <sheetView workbookViewId="0"/>
  </sheetViews>
  <sheetFormatPr baseColWidth="10" defaultRowHeight="15" x14ac:dyDescent="0"/>
  <cols>
    <col min="1" max="1" width="2.42578125" style="1" customWidth="1"/>
    <col min="2" max="2" width="20.7109375" style="1" customWidth="1"/>
    <col min="3" max="4" width="19.7109375" style="1" customWidth="1"/>
    <col min="5" max="5" width="36.28515625" style="1" customWidth="1"/>
    <col min="6" max="6" width="13.7109375" style="1" customWidth="1"/>
    <col min="7" max="18" width="9.5703125" style="1" customWidth="1"/>
    <col min="19" max="20" width="13.140625" style="1" customWidth="1"/>
    <col min="21" max="23" width="23.5703125" style="1" customWidth="1"/>
    <col min="24" max="25" width="12.5703125" style="1" customWidth="1"/>
    <col min="26" max="16384" width="10.7109375" style="1"/>
  </cols>
  <sheetData>
    <row r="2" spans="2:25" ht="20" customHeight="1">
      <c r="B2" s="147" t="s">
        <v>16</v>
      </c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  <c r="W2" s="147"/>
      <c r="X2" s="147"/>
      <c r="Y2" s="147"/>
    </row>
    <row r="3" spans="2:25" ht="20" customHeight="1">
      <c r="B3" s="147" t="s">
        <v>19</v>
      </c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7"/>
      <c r="N3" s="147"/>
      <c r="O3" s="147"/>
      <c r="P3" s="147"/>
      <c r="Q3" s="147"/>
      <c r="R3" s="147"/>
      <c r="S3" s="147"/>
      <c r="T3" s="147"/>
      <c r="U3" s="147"/>
      <c r="V3" s="147"/>
      <c r="W3" s="147"/>
      <c r="X3" s="147"/>
      <c r="Y3" s="147"/>
    </row>
    <row r="4" spans="2:25" ht="20" customHeight="1">
      <c r="B4" s="147" t="s">
        <v>39</v>
      </c>
      <c r="C4" s="147"/>
      <c r="D4" s="147"/>
      <c r="E4" s="147"/>
      <c r="F4" s="147"/>
      <c r="G4" s="147"/>
      <c r="H4" s="147"/>
      <c r="I4" s="147"/>
      <c r="J4" s="147"/>
      <c r="K4" s="147"/>
      <c r="L4" s="147"/>
      <c r="M4" s="147"/>
      <c r="N4" s="147"/>
      <c r="O4" s="147"/>
      <c r="P4" s="147"/>
      <c r="Q4" s="147"/>
      <c r="R4" s="147"/>
      <c r="S4" s="147"/>
      <c r="T4" s="147"/>
      <c r="U4" s="147"/>
      <c r="V4" s="147"/>
      <c r="W4" s="147"/>
      <c r="X4" s="147"/>
      <c r="Y4" s="147"/>
    </row>
    <row r="6" spans="2:25" ht="16" thickBot="1"/>
    <row r="7" spans="2:25" ht="18" customHeight="1" thickBot="1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2:25" ht="18" customHeight="1" thickBot="1">
      <c r="B8" s="7" t="s">
        <v>40</v>
      </c>
      <c r="C8" s="8">
        <f>+'2019'!C8</f>
        <v>43830</v>
      </c>
      <c r="D8" s="148" t="s">
        <v>3</v>
      </c>
      <c r="E8" s="149"/>
      <c r="F8" s="149"/>
      <c r="G8" s="149"/>
      <c r="H8" s="183"/>
      <c r="I8" s="183"/>
      <c r="J8" s="183"/>
      <c r="K8" s="183"/>
      <c r="L8" s="183"/>
      <c r="M8" s="183"/>
      <c r="N8" s="150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2:25" ht="30" customHeight="1">
      <c r="B9" s="151" t="s">
        <v>17</v>
      </c>
      <c r="C9" s="154" t="s">
        <v>18</v>
      </c>
      <c r="D9" s="156" t="s">
        <v>0</v>
      </c>
      <c r="E9" s="159" t="s">
        <v>5</v>
      </c>
      <c r="F9" s="159"/>
      <c r="G9" s="159"/>
      <c r="H9" s="184"/>
      <c r="I9" s="184"/>
      <c r="J9" s="184"/>
      <c r="K9" s="184"/>
      <c r="L9" s="184"/>
      <c r="M9" s="184"/>
      <c r="N9" s="161"/>
      <c r="O9" s="185" t="s">
        <v>41</v>
      </c>
      <c r="P9" s="186"/>
      <c r="Q9" s="186"/>
      <c r="R9" s="186"/>
      <c r="S9" s="187"/>
      <c r="T9" s="171" t="s">
        <v>42</v>
      </c>
      <c r="U9" s="172"/>
      <c r="V9" s="172"/>
      <c r="W9" s="172"/>
      <c r="X9" s="172"/>
      <c r="Y9" s="173"/>
    </row>
    <row r="10" spans="2:25" ht="17" customHeight="1">
      <c r="B10" s="152"/>
      <c r="C10" s="155"/>
      <c r="D10" s="157"/>
      <c r="E10" s="160" t="s">
        <v>7</v>
      </c>
      <c r="F10" s="164" t="s">
        <v>25</v>
      </c>
      <c r="G10" s="61" t="s">
        <v>1</v>
      </c>
      <c r="H10" s="63" t="s">
        <v>1</v>
      </c>
      <c r="I10" s="68" t="s">
        <v>1</v>
      </c>
      <c r="J10" s="68" t="s">
        <v>1</v>
      </c>
      <c r="K10" s="83" t="s">
        <v>8</v>
      </c>
      <c r="L10" s="68" t="s">
        <v>8</v>
      </c>
      <c r="M10" s="68" t="s">
        <v>8</v>
      </c>
      <c r="N10" s="62" t="s">
        <v>8</v>
      </c>
      <c r="O10" s="179">
        <v>2016</v>
      </c>
      <c r="P10" s="188">
        <v>2017</v>
      </c>
      <c r="Q10" s="190">
        <v>2018</v>
      </c>
      <c r="R10" s="192">
        <v>2019</v>
      </c>
      <c r="S10" s="181" t="s">
        <v>40</v>
      </c>
      <c r="T10" s="174"/>
      <c r="U10" s="175"/>
      <c r="V10" s="175"/>
      <c r="W10" s="175"/>
      <c r="X10" s="175"/>
      <c r="Y10" s="176"/>
    </row>
    <row r="11" spans="2:25" ht="37.5" customHeight="1" thickBot="1">
      <c r="B11" s="153"/>
      <c r="C11" s="155"/>
      <c r="D11" s="158"/>
      <c r="E11" s="164"/>
      <c r="F11" s="177"/>
      <c r="G11" s="64">
        <v>2016</v>
      </c>
      <c r="H11" s="84">
        <v>2017</v>
      </c>
      <c r="I11" s="69">
        <v>2018</v>
      </c>
      <c r="J11" s="69">
        <v>2019</v>
      </c>
      <c r="K11" s="85">
        <v>2016</v>
      </c>
      <c r="L11" s="84">
        <v>2017</v>
      </c>
      <c r="M11" s="69">
        <v>2018</v>
      </c>
      <c r="N11" s="86">
        <v>2019</v>
      </c>
      <c r="O11" s="180"/>
      <c r="P11" s="189"/>
      <c r="Q11" s="191"/>
      <c r="R11" s="193"/>
      <c r="S11" s="182"/>
      <c r="T11" s="60" t="s">
        <v>23</v>
      </c>
      <c r="U11" s="15" t="s">
        <v>20</v>
      </c>
      <c r="V11" s="16" t="s">
        <v>21</v>
      </c>
      <c r="W11" s="17" t="s">
        <v>22</v>
      </c>
      <c r="X11" s="17" t="s">
        <v>14</v>
      </c>
      <c r="Y11" s="18" t="s">
        <v>15</v>
      </c>
    </row>
    <row r="12" spans="2:25" ht="30">
      <c r="B12" s="144" t="s">
        <v>38</v>
      </c>
      <c r="C12" s="141" t="s">
        <v>36</v>
      </c>
      <c r="D12" s="138" t="s">
        <v>37</v>
      </c>
      <c r="E12" s="20" t="s">
        <v>27</v>
      </c>
      <c r="F12" s="21">
        <v>5</v>
      </c>
      <c r="G12" s="32">
        <f>'2016'!J12</f>
        <v>1</v>
      </c>
      <c r="H12" s="35">
        <f>'2017'!J12</f>
        <v>1</v>
      </c>
      <c r="I12" s="35">
        <f>'2018'!J12</f>
        <v>1</v>
      </c>
      <c r="J12" s="35">
        <f>'2019'!J12</f>
        <v>2</v>
      </c>
      <c r="K12" s="87">
        <f>'2016'!K12</f>
        <v>1</v>
      </c>
      <c r="L12" s="91">
        <f>'2017'!K12</f>
        <v>1</v>
      </c>
      <c r="M12" s="35">
        <f>'2018'!K12</f>
        <v>0.2</v>
      </c>
      <c r="N12" s="52">
        <f>'2019'!K12</f>
        <v>1.4</v>
      </c>
      <c r="O12" s="65">
        <f>'2016'!N12</f>
        <v>1</v>
      </c>
      <c r="P12" s="70">
        <f>'2017'!N12</f>
        <v>1</v>
      </c>
      <c r="Q12" s="73">
        <f>'2018'!N12</f>
        <v>0.2</v>
      </c>
      <c r="R12" s="70">
        <f>'2019'!N12</f>
        <v>0.7</v>
      </c>
      <c r="S12" s="80">
        <v>0.72</v>
      </c>
      <c r="T12" s="57" t="s">
        <v>56</v>
      </c>
      <c r="U12" s="33">
        <f>+'2016'!P12+'2017'!P12+'2018'!P12+'2019'!P12</f>
        <v>12655215</v>
      </c>
      <c r="V12" s="33">
        <f>+'2016'!Q12+'2017'!Q12+'2018'!Q12+'2019'!Q12</f>
        <v>7104552</v>
      </c>
      <c r="W12" s="33">
        <f>+'2016'!R12+'2017'!R12+'2018'!R12+'2019'!R12</f>
        <v>0</v>
      </c>
      <c r="X12" s="22">
        <f>IF(U12=0," -",V12/U12)</f>
        <v>0.56139322800916458</v>
      </c>
      <c r="Y12" s="23" t="str">
        <f>IF(W12=0," -",IF(V12=0,100%,W12/V12))</f>
        <v xml:space="preserve"> -</v>
      </c>
    </row>
    <row r="13" spans="2:25" ht="45">
      <c r="B13" s="145"/>
      <c r="C13" s="142"/>
      <c r="D13" s="139"/>
      <c r="E13" s="9" t="s">
        <v>28</v>
      </c>
      <c r="F13" s="10">
        <v>800</v>
      </c>
      <c r="G13" s="33">
        <f>'2016'!J13</f>
        <v>800</v>
      </c>
      <c r="H13" s="36">
        <f>'2017'!J13</f>
        <v>800</v>
      </c>
      <c r="I13" s="36">
        <f>'2018'!J13</f>
        <v>800</v>
      </c>
      <c r="J13" s="36">
        <f>'2019'!J13</f>
        <v>800</v>
      </c>
      <c r="K13" s="88">
        <f>'2016'!K13</f>
        <v>5</v>
      </c>
      <c r="L13" s="36">
        <f>'2017'!K13</f>
        <v>5.8</v>
      </c>
      <c r="M13" s="36">
        <f>'2018'!K13</f>
        <v>1</v>
      </c>
      <c r="N13" s="53">
        <f>'2019'!K13</f>
        <v>14</v>
      </c>
      <c r="O13" s="66">
        <f>'2016'!N13</f>
        <v>1</v>
      </c>
      <c r="P13" s="71">
        <f>'2017'!N13</f>
        <v>1</v>
      </c>
      <c r="Q13" s="74">
        <f>'2018'!N13</f>
        <v>1</v>
      </c>
      <c r="R13" s="71">
        <f>'2019'!N13</f>
        <v>1</v>
      </c>
      <c r="S13" s="81">
        <v>0.75</v>
      </c>
      <c r="T13" s="58" t="s">
        <v>57</v>
      </c>
      <c r="U13" s="33">
        <f>+'2016'!P13+'2017'!P13+'2018'!P13+'2019'!P13</f>
        <v>1316658</v>
      </c>
      <c r="V13" s="33">
        <f>+'2016'!Q13+'2017'!Q13+'2018'!Q13+'2019'!Q13</f>
        <v>1129336</v>
      </c>
      <c r="W13" s="33">
        <f>+'2016'!R13+'2017'!R13+'2018'!R13+'2019'!R13</f>
        <v>0</v>
      </c>
      <c r="X13" s="19">
        <f t="shared" ref="X13:X21" si="0">IF(U13=0," -",V13/U13)</f>
        <v>0.85772919011618809</v>
      </c>
      <c r="Y13" s="24" t="str">
        <f t="shared" ref="Y13:Y21" si="1">IF(W13=0," -",IF(V13=0,100%,W13/V13))</f>
        <v xml:space="preserve"> -</v>
      </c>
    </row>
    <row r="14" spans="2:25" ht="45">
      <c r="B14" s="145"/>
      <c r="C14" s="142"/>
      <c r="D14" s="139"/>
      <c r="E14" s="9" t="s">
        <v>29</v>
      </c>
      <c r="F14" s="10">
        <v>400</v>
      </c>
      <c r="G14" s="33">
        <f>'2016'!J14</f>
        <v>400</v>
      </c>
      <c r="H14" s="36">
        <f>'2017'!J14</f>
        <v>400</v>
      </c>
      <c r="I14" s="36">
        <f>'2018'!J14</f>
        <v>400</v>
      </c>
      <c r="J14" s="36">
        <f>'2019'!J14</f>
        <v>400</v>
      </c>
      <c r="K14" s="88">
        <f>'2016'!K14</f>
        <v>8</v>
      </c>
      <c r="L14" s="36">
        <f>'2017'!K14</f>
        <v>10</v>
      </c>
      <c r="M14" s="36">
        <f>'2018'!K14</f>
        <v>6</v>
      </c>
      <c r="N14" s="53">
        <f>'2019'!K14</f>
        <v>8</v>
      </c>
      <c r="O14" s="66">
        <f>'2016'!N14</f>
        <v>1</v>
      </c>
      <c r="P14" s="71">
        <f>'2017'!N14</f>
        <v>1</v>
      </c>
      <c r="Q14" s="74">
        <f>'2018'!N14</f>
        <v>1</v>
      </c>
      <c r="R14" s="71">
        <f>'2019'!N14</f>
        <v>1</v>
      </c>
      <c r="S14" s="81">
        <v>0.75</v>
      </c>
      <c r="T14" s="58" t="s">
        <v>57</v>
      </c>
      <c r="U14" s="33">
        <f>+'2016'!P14+'2017'!P14+'2018'!P14+'2019'!P14</f>
        <v>1316658</v>
      </c>
      <c r="V14" s="33">
        <f>+'2016'!Q14+'2017'!Q14+'2018'!Q14+'2019'!Q14</f>
        <v>1129336</v>
      </c>
      <c r="W14" s="33">
        <f>+'2016'!R14+'2017'!R14+'2018'!R14+'2019'!R14</f>
        <v>0</v>
      </c>
      <c r="X14" s="19">
        <f t="shared" si="0"/>
        <v>0.85772919011618809</v>
      </c>
      <c r="Y14" s="24" t="str">
        <f t="shared" si="1"/>
        <v xml:space="preserve"> -</v>
      </c>
    </row>
    <row r="15" spans="2:25" ht="45">
      <c r="B15" s="145"/>
      <c r="C15" s="142"/>
      <c r="D15" s="139"/>
      <c r="E15" s="9" t="s">
        <v>30</v>
      </c>
      <c r="F15" s="10">
        <v>2000</v>
      </c>
      <c r="G15" s="33">
        <f>'2016'!J15</f>
        <v>2000</v>
      </c>
      <c r="H15" s="36">
        <f>'2017'!J15</f>
        <v>2000</v>
      </c>
      <c r="I15" s="36">
        <f>'2018'!J15</f>
        <v>2000</v>
      </c>
      <c r="J15" s="36">
        <f>'2019'!J15</f>
        <v>2000</v>
      </c>
      <c r="K15" s="88">
        <f>'2016'!K15</f>
        <v>20</v>
      </c>
      <c r="L15" s="36">
        <f>'2017'!K15</f>
        <v>15</v>
      </c>
      <c r="M15" s="36">
        <f>'2018'!K15</f>
        <v>20</v>
      </c>
      <c r="N15" s="53">
        <f>'2019'!K15</f>
        <v>30</v>
      </c>
      <c r="O15" s="66">
        <f>'2016'!N15</f>
        <v>1</v>
      </c>
      <c r="P15" s="71">
        <f>'2017'!N15</f>
        <v>1</v>
      </c>
      <c r="Q15" s="74">
        <f>'2018'!N15</f>
        <v>1</v>
      </c>
      <c r="R15" s="71">
        <f>'2019'!N15</f>
        <v>1</v>
      </c>
      <c r="S15" s="81">
        <v>0.75</v>
      </c>
      <c r="T15" s="58" t="s">
        <v>57</v>
      </c>
      <c r="U15" s="33">
        <f>+'2016'!P15+'2017'!P15+'2018'!P15+'2019'!P15</f>
        <v>1316658</v>
      </c>
      <c r="V15" s="33">
        <f>+'2016'!Q15+'2017'!Q15+'2018'!Q15+'2019'!Q15</f>
        <v>1129336</v>
      </c>
      <c r="W15" s="33">
        <f>+'2016'!R15+'2017'!R15+'2018'!R15+'2019'!R15</f>
        <v>0</v>
      </c>
      <c r="X15" s="19">
        <f t="shared" si="0"/>
        <v>0.85772919011618809</v>
      </c>
      <c r="Y15" s="24" t="str">
        <f t="shared" si="1"/>
        <v xml:space="preserve"> -</v>
      </c>
    </row>
    <row r="16" spans="2:25" ht="60">
      <c r="B16" s="145"/>
      <c r="C16" s="142"/>
      <c r="D16" s="139"/>
      <c r="E16" s="9" t="s">
        <v>31</v>
      </c>
      <c r="F16" s="11">
        <v>1</v>
      </c>
      <c r="G16" s="19">
        <f>'2016'!J16</f>
        <v>1</v>
      </c>
      <c r="H16" s="37">
        <f>'2017'!J16</f>
        <v>1</v>
      </c>
      <c r="I16" s="37">
        <f>'2018'!J16</f>
        <v>0</v>
      </c>
      <c r="J16" s="37">
        <f>'2019'!J16</f>
        <v>0</v>
      </c>
      <c r="K16" s="89">
        <f>'2016'!K16</f>
        <v>1</v>
      </c>
      <c r="L16" s="37">
        <f>'2017'!K16</f>
        <v>1</v>
      </c>
      <c r="M16" s="37">
        <f>'2018'!K16</f>
        <v>1</v>
      </c>
      <c r="N16" s="24">
        <f>'2019'!K16</f>
        <v>1</v>
      </c>
      <c r="O16" s="66">
        <f>'2016'!N16</f>
        <v>1</v>
      </c>
      <c r="P16" s="71">
        <f>'2017'!N16</f>
        <v>1</v>
      </c>
      <c r="Q16" s="74" t="str">
        <f>'2018'!N16</f>
        <v xml:space="preserve"> -</v>
      </c>
      <c r="R16" s="71" t="str">
        <f>'2019'!N16</f>
        <v xml:space="preserve"> -</v>
      </c>
      <c r="S16" s="81">
        <v>1</v>
      </c>
      <c r="T16" s="58" t="s">
        <v>58</v>
      </c>
      <c r="U16" s="33">
        <f>+'2016'!P16+'2017'!P16+'2018'!P16+'2019'!P16</f>
        <v>16288126</v>
      </c>
      <c r="V16" s="33">
        <f>+'2016'!Q16+'2017'!Q16+'2018'!Q16+'2019'!Q16</f>
        <v>15686326</v>
      </c>
      <c r="W16" s="33">
        <f>+'2016'!R16+'2017'!R16+'2018'!R16+'2019'!R16</f>
        <v>0</v>
      </c>
      <c r="X16" s="19">
        <f t="shared" si="0"/>
        <v>0.96305283984173506</v>
      </c>
      <c r="Y16" s="24" t="str">
        <f t="shared" si="1"/>
        <v xml:space="preserve"> -</v>
      </c>
    </row>
    <row r="17" spans="2:25" ht="30">
      <c r="B17" s="145"/>
      <c r="C17" s="142"/>
      <c r="D17" s="139"/>
      <c r="E17" s="9" t="s">
        <v>32</v>
      </c>
      <c r="F17" s="10">
        <v>1200</v>
      </c>
      <c r="G17" s="33">
        <f>'2016'!J17</f>
        <v>200</v>
      </c>
      <c r="H17" s="36">
        <f>'2017'!J17</f>
        <v>300</v>
      </c>
      <c r="I17" s="36">
        <f>'2018'!J17</f>
        <v>400</v>
      </c>
      <c r="J17" s="36">
        <f>'2019'!J17</f>
        <v>300</v>
      </c>
      <c r="K17" s="88">
        <f>'2016'!K17</f>
        <v>183</v>
      </c>
      <c r="L17" s="36">
        <f>'2017'!K17</f>
        <v>1289</v>
      </c>
      <c r="M17" s="36">
        <f>'2018'!K17</f>
        <v>774</v>
      </c>
      <c r="N17" s="53">
        <f>'2019'!K17</f>
        <v>1932</v>
      </c>
      <c r="O17" s="66">
        <f>'2016'!N17</f>
        <v>0.91500000000000004</v>
      </c>
      <c r="P17" s="71">
        <f>'2017'!N17</f>
        <v>1</v>
      </c>
      <c r="Q17" s="74">
        <f>'2018'!N17</f>
        <v>1</v>
      </c>
      <c r="R17" s="71">
        <f>'2019'!N17</f>
        <v>1</v>
      </c>
      <c r="S17" s="81">
        <v>1</v>
      </c>
      <c r="T17" s="58" t="s">
        <v>59</v>
      </c>
      <c r="U17" s="33">
        <f>+'2016'!P17+'2017'!P17+'2018'!P17+'2019'!P17</f>
        <v>350000</v>
      </c>
      <c r="V17" s="33">
        <f>+'2016'!Q17+'2017'!Q17+'2018'!Q17+'2019'!Q17</f>
        <v>215592</v>
      </c>
      <c r="W17" s="33">
        <f>+'2016'!R17+'2017'!R17+'2018'!R17+'2019'!R17</f>
        <v>1</v>
      </c>
      <c r="X17" s="19">
        <f t="shared" si="0"/>
        <v>0.61597714285714289</v>
      </c>
      <c r="Y17" s="24">
        <f t="shared" si="1"/>
        <v>4.6383910349178074E-6</v>
      </c>
    </row>
    <row r="18" spans="2:25" ht="30">
      <c r="B18" s="145"/>
      <c r="C18" s="142"/>
      <c r="D18" s="139"/>
      <c r="E18" s="9" t="s">
        <v>33</v>
      </c>
      <c r="F18" s="10">
        <v>300</v>
      </c>
      <c r="G18" s="33">
        <f>'2016'!J18</f>
        <v>75</v>
      </c>
      <c r="H18" s="36">
        <f>'2017'!J18</f>
        <v>75</v>
      </c>
      <c r="I18" s="36">
        <f>'2018'!J18</f>
        <v>75</v>
      </c>
      <c r="J18" s="36">
        <f>'2019'!J18</f>
        <v>75</v>
      </c>
      <c r="K18" s="88">
        <f>'2016'!K18</f>
        <v>36</v>
      </c>
      <c r="L18" s="36">
        <f>'2017'!K18</f>
        <v>1073</v>
      </c>
      <c r="M18" s="36">
        <f>'2018'!K18</f>
        <v>662</v>
      </c>
      <c r="N18" s="53">
        <f>'2019'!K18</f>
        <v>1546</v>
      </c>
      <c r="O18" s="66">
        <f>'2016'!N18</f>
        <v>0.48</v>
      </c>
      <c r="P18" s="71">
        <f>'2017'!N18</f>
        <v>1</v>
      </c>
      <c r="Q18" s="74">
        <f>'2018'!N18</f>
        <v>1</v>
      </c>
      <c r="R18" s="71">
        <f>'2019'!N18</f>
        <v>1</v>
      </c>
      <c r="S18" s="81">
        <v>1</v>
      </c>
      <c r="T18" s="58" t="s">
        <v>57</v>
      </c>
      <c r="U18" s="33">
        <f>+'2016'!P18+'2017'!P18+'2018'!P18+'2019'!P18</f>
        <v>0</v>
      </c>
      <c r="V18" s="33">
        <f>+'2016'!Q18+'2017'!Q18+'2018'!Q18+'2019'!Q18</f>
        <v>0</v>
      </c>
      <c r="W18" s="33">
        <f>+'2016'!R18+'2017'!R18+'2018'!R18+'2019'!R18</f>
        <v>2</v>
      </c>
      <c r="X18" s="19" t="str">
        <f t="shared" si="0"/>
        <v xml:space="preserve"> -</v>
      </c>
      <c r="Y18" s="24">
        <f t="shared" si="1"/>
        <v>1</v>
      </c>
    </row>
    <row r="19" spans="2:25" ht="30">
      <c r="B19" s="145"/>
      <c r="C19" s="142"/>
      <c r="D19" s="139"/>
      <c r="E19" s="9" t="s">
        <v>34</v>
      </c>
      <c r="F19" s="10">
        <v>10000</v>
      </c>
      <c r="G19" s="33">
        <f>'2016'!J19</f>
        <v>2500</v>
      </c>
      <c r="H19" s="36">
        <f>'2017'!J19</f>
        <v>2500</v>
      </c>
      <c r="I19" s="36">
        <f>'2018'!J19</f>
        <v>2500</v>
      </c>
      <c r="J19" s="36">
        <f>'2019'!J19</f>
        <v>2500</v>
      </c>
      <c r="K19" s="88">
        <f>'2016'!K19</f>
        <v>2794</v>
      </c>
      <c r="L19" s="36">
        <f>'2017'!K19</f>
        <v>5714</v>
      </c>
      <c r="M19" s="36">
        <f>'2018'!K19</f>
        <v>5038</v>
      </c>
      <c r="N19" s="53">
        <f>'2019'!K19</f>
        <v>5580</v>
      </c>
      <c r="O19" s="66">
        <f>'2016'!N19</f>
        <v>1</v>
      </c>
      <c r="P19" s="71">
        <f>'2017'!N19</f>
        <v>1</v>
      </c>
      <c r="Q19" s="74">
        <f>'2018'!N19</f>
        <v>1</v>
      </c>
      <c r="R19" s="71">
        <f>'2019'!N19</f>
        <v>1</v>
      </c>
      <c r="S19" s="81">
        <v>1</v>
      </c>
      <c r="T19" s="58" t="s">
        <v>60</v>
      </c>
      <c r="U19" s="33">
        <f>+'2016'!P19+'2017'!P19+'2018'!P19+'2019'!P19</f>
        <v>2635869</v>
      </c>
      <c r="V19" s="33">
        <f>+'2016'!Q19+'2017'!Q19+'2018'!Q19+'2019'!Q19</f>
        <v>2329080</v>
      </c>
      <c r="W19" s="33">
        <f>+'2016'!R19+'2017'!R19+'2018'!R19+'2019'!R19</f>
        <v>1708561</v>
      </c>
      <c r="X19" s="19">
        <f t="shared" si="0"/>
        <v>0.88360992143388006</v>
      </c>
      <c r="Y19" s="24">
        <f t="shared" si="1"/>
        <v>0.73357763580469537</v>
      </c>
    </row>
    <row r="20" spans="2:25" ht="31" thickBot="1">
      <c r="B20" s="146"/>
      <c r="C20" s="143"/>
      <c r="D20" s="140"/>
      <c r="E20" s="25" t="s">
        <v>35</v>
      </c>
      <c r="F20" s="26">
        <v>314000</v>
      </c>
      <c r="G20" s="34">
        <f>'2016'!J20</f>
        <v>77000</v>
      </c>
      <c r="H20" s="38">
        <f>'2017'!J20</f>
        <v>78000</v>
      </c>
      <c r="I20" s="38">
        <f>'2018'!J20</f>
        <v>79000</v>
      </c>
      <c r="J20" s="38">
        <f>'2019'!J20</f>
        <v>80000</v>
      </c>
      <c r="K20" s="90">
        <f>'2016'!K20</f>
        <v>131945</v>
      </c>
      <c r="L20" s="38">
        <f>'2017'!K20</f>
        <v>134777</v>
      </c>
      <c r="M20" s="38">
        <f>'2018'!K20</f>
        <v>80224</v>
      </c>
      <c r="N20" s="55">
        <f>'2019'!K20</f>
        <v>93000</v>
      </c>
      <c r="O20" s="67">
        <f>'2016'!N20</f>
        <v>1</v>
      </c>
      <c r="P20" s="72">
        <f>'2017'!N20</f>
        <v>1</v>
      </c>
      <c r="Q20" s="75">
        <f>'2018'!N20</f>
        <v>1</v>
      </c>
      <c r="R20" s="72">
        <f>'2019'!N20</f>
        <v>1</v>
      </c>
      <c r="S20" s="82">
        <v>1</v>
      </c>
      <c r="T20" s="59" t="s">
        <v>61</v>
      </c>
      <c r="U20" s="92">
        <f>+'2016'!P20+'2017'!P20+'2018'!P20+'2019'!P20</f>
        <v>599373</v>
      </c>
      <c r="V20" s="92">
        <f>+'2016'!Q20+'2017'!Q20+'2018'!Q20+'2019'!Q20</f>
        <v>405334</v>
      </c>
      <c r="W20" s="92">
        <f>+'2016'!R20+'2017'!R20+'2018'!R20+'2019'!R20</f>
        <v>0</v>
      </c>
      <c r="X20" s="93">
        <f t="shared" si="0"/>
        <v>0.67626336187983105</v>
      </c>
      <c r="Y20" s="94" t="str">
        <f t="shared" si="1"/>
        <v xml:space="preserve"> -</v>
      </c>
    </row>
    <row r="21" spans="2:25" ht="21" customHeight="1" thickBot="1">
      <c r="O21" s="78">
        <f>+AVERAGE(O12:O20)</f>
        <v>0.93277777777777771</v>
      </c>
      <c r="P21" s="77">
        <f t="shared" ref="P21:S21" si="2">+AVERAGE(P12:P20)</f>
        <v>1</v>
      </c>
      <c r="Q21" s="77">
        <f t="shared" si="2"/>
        <v>0.9</v>
      </c>
      <c r="R21" s="77">
        <f t="shared" si="2"/>
        <v>0.96250000000000002</v>
      </c>
      <c r="S21" s="79">
        <f t="shared" si="2"/>
        <v>0.88555555555555554</v>
      </c>
      <c r="U21" s="95">
        <f>+SUM(U12:U20)</f>
        <v>36478557</v>
      </c>
      <c r="V21" s="96">
        <f>+SUM(V12:V20)</f>
        <v>29128892</v>
      </c>
      <c r="W21" s="96">
        <f>+SUM(W12:W20)</f>
        <v>1708564</v>
      </c>
      <c r="X21" s="76">
        <f t="shared" si="0"/>
        <v>0.79852095026675529</v>
      </c>
      <c r="Y21" s="79">
        <f t="shared" si="1"/>
        <v>5.8655303469833317E-2</v>
      </c>
    </row>
  </sheetData>
  <mergeCells count="20">
    <mergeCell ref="B2:Y2"/>
    <mergeCell ref="B3:Y3"/>
    <mergeCell ref="B4:Y4"/>
    <mergeCell ref="D8:N8"/>
    <mergeCell ref="B9:B11"/>
    <mergeCell ref="C9:C11"/>
    <mergeCell ref="D9:D11"/>
    <mergeCell ref="E9:N9"/>
    <mergeCell ref="O9:S9"/>
    <mergeCell ref="P10:P11"/>
    <mergeCell ref="Q10:Q11"/>
    <mergeCell ref="R10:R11"/>
    <mergeCell ref="B12:B20"/>
    <mergeCell ref="C12:C20"/>
    <mergeCell ref="D12:D20"/>
    <mergeCell ref="T9:Y10"/>
    <mergeCell ref="E10:E11"/>
    <mergeCell ref="F10:F11"/>
    <mergeCell ref="O10:O11"/>
    <mergeCell ref="S10:S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4"/>
  <sheetViews>
    <sheetView showGridLines="0" workbookViewId="0"/>
  </sheetViews>
  <sheetFormatPr baseColWidth="10" defaultColWidth="11" defaultRowHeight="15" x14ac:dyDescent="0"/>
  <cols>
    <col min="1" max="1" width="4.28515625" style="1" customWidth="1"/>
    <col min="2" max="2" width="6.85546875" style="1" customWidth="1"/>
    <col min="3" max="3" width="45.28515625" style="1" customWidth="1"/>
    <col min="4" max="4" width="25" style="1" customWidth="1"/>
    <col min="5" max="8" width="12.28515625" style="1" customWidth="1"/>
    <col min="9" max="9" width="9.7109375" style="1" customWidth="1"/>
    <col min="10" max="10" width="7.7109375" style="1" customWidth="1"/>
    <col min="11" max="13" width="16.28515625" style="1" customWidth="1"/>
    <col min="14" max="15" width="14.7109375" style="1" customWidth="1"/>
    <col min="16" max="16384" width="11" style="1"/>
  </cols>
  <sheetData>
    <row r="2" spans="2:15" ht="16" thickBot="1"/>
    <row r="3" spans="2:15" ht="22" customHeight="1" thickBot="1">
      <c r="C3" s="194" t="s">
        <v>55</v>
      </c>
      <c r="D3" s="195"/>
      <c r="E3" s="195"/>
      <c r="F3" s="195"/>
      <c r="G3" s="195"/>
      <c r="H3" s="195"/>
      <c r="I3" s="195"/>
      <c r="J3" s="195"/>
      <c r="K3" s="195"/>
      <c r="L3" s="195"/>
      <c r="M3" s="195"/>
      <c r="N3" s="195"/>
      <c r="O3" s="196"/>
    </row>
    <row r="4" spans="2:15" ht="16" thickBot="1">
      <c r="C4" s="97"/>
      <c r="D4" s="97"/>
      <c r="E4" s="97"/>
      <c r="F4" s="97"/>
      <c r="G4" s="97"/>
      <c r="H4" s="97"/>
      <c r="I4" s="97"/>
    </row>
    <row r="5" spans="2:15" ht="19" customHeight="1">
      <c r="C5" s="97"/>
      <c r="D5" s="97"/>
      <c r="E5" s="197" t="s">
        <v>43</v>
      </c>
      <c r="F5" s="198"/>
      <c r="G5" s="198"/>
      <c r="H5" s="198"/>
      <c r="I5" s="201" t="s">
        <v>41</v>
      </c>
      <c r="J5" s="202"/>
      <c r="K5" s="205" t="s">
        <v>44</v>
      </c>
      <c r="L5" s="206"/>
      <c r="M5" s="206"/>
      <c r="N5" s="206"/>
      <c r="O5" s="207"/>
    </row>
    <row r="6" spans="2:15" ht="19" customHeight="1" thickBot="1">
      <c r="E6" s="199"/>
      <c r="F6" s="200"/>
      <c r="G6" s="200"/>
      <c r="H6" s="200"/>
      <c r="I6" s="203"/>
      <c r="J6" s="204"/>
      <c r="K6" s="208" t="s">
        <v>40</v>
      </c>
      <c r="L6" s="209"/>
      <c r="M6" s="209"/>
      <c r="N6" s="209"/>
      <c r="O6" s="210"/>
    </row>
    <row r="7" spans="2:15" ht="32" customHeight="1" thickBot="1">
      <c r="C7" s="213"/>
      <c r="D7" s="214"/>
      <c r="E7" s="98">
        <v>2016</v>
      </c>
      <c r="F7" s="99">
        <v>2017</v>
      </c>
      <c r="G7" s="99">
        <v>2018</v>
      </c>
      <c r="H7" s="99">
        <v>2019</v>
      </c>
      <c r="I7" s="215" t="s">
        <v>40</v>
      </c>
      <c r="J7" s="216"/>
      <c r="K7" s="100" t="s">
        <v>45</v>
      </c>
      <c r="L7" s="101" t="s">
        <v>46</v>
      </c>
      <c r="M7" s="101" t="s">
        <v>47</v>
      </c>
      <c r="N7" s="101" t="s">
        <v>48</v>
      </c>
      <c r="O7" s="102" t="s">
        <v>49</v>
      </c>
    </row>
    <row r="8" spans="2:15" ht="22" customHeight="1" thickBot="1">
      <c r="B8" s="103">
        <v>3</v>
      </c>
      <c r="C8" s="217" t="s">
        <v>50</v>
      </c>
      <c r="D8" s="218"/>
      <c r="E8" s="116">
        <f>+IF(SUM('2016 - 2019'!G12:G20)&gt;0,AVERAGE('2016 - 2019'!O12:O20)," -")</f>
        <v>0.93277777777777771</v>
      </c>
      <c r="F8" s="116">
        <f>+IF(SUM('2016 - 2019'!H12:H20)&gt;0,AVERAGE('2016 - 2019'!P12:P20)," -")</f>
        <v>1</v>
      </c>
      <c r="G8" s="116">
        <f>+IF(SUM('2016 - 2019'!I12:I20)&gt;0,AVERAGE('2016 - 2019'!Q12:Q20)," -")</f>
        <v>0.9</v>
      </c>
      <c r="H8" s="116">
        <f>+IF(SUM('2016 - 2019'!J12:J20)&gt;0,AVERAGE('2016 - 2019'!R12:R20)," -")</f>
        <v>0.96250000000000002</v>
      </c>
      <c r="I8" s="117">
        <f>+AVERAGE('2016 - 2019'!S12:S20)</f>
        <v>0.88555555555555554</v>
      </c>
      <c r="J8" s="118">
        <f t="shared" ref="J8" si="0">+I8</f>
        <v>0.88555555555555554</v>
      </c>
      <c r="K8" s="119">
        <f t="shared" ref="K8:M9" si="1">+K9</f>
        <v>36478557</v>
      </c>
      <c r="L8" s="120">
        <f t="shared" si="1"/>
        <v>29128892</v>
      </c>
      <c r="M8" s="120">
        <f t="shared" si="1"/>
        <v>1708564</v>
      </c>
      <c r="N8" s="121">
        <f t="shared" ref="N8" si="2">IF(K8=0,"-",+L8/K8)</f>
        <v>0.79852095026675529</v>
      </c>
      <c r="O8" s="122">
        <f t="shared" ref="O8:O10" si="3">IF(M8=0," -",IF(L8=0,100%,M8/L8))</f>
        <v>5.8655303469833317E-2</v>
      </c>
    </row>
    <row r="9" spans="2:15" ht="20" customHeight="1">
      <c r="B9" s="104" t="s">
        <v>51</v>
      </c>
      <c r="C9" s="219" t="s">
        <v>36</v>
      </c>
      <c r="D9" s="220"/>
      <c r="E9" s="109">
        <f>+IF(SUM('2016 - 2019'!G12:G20)&gt;0,AVERAGE('2016 - 2019'!O12:O20)," -")</f>
        <v>0.93277777777777771</v>
      </c>
      <c r="F9" s="109">
        <f>+IF(SUM('2016 - 2019'!H12:H20)&gt;0,AVERAGE('2016 - 2019'!P12:P20)," -")</f>
        <v>1</v>
      </c>
      <c r="G9" s="109">
        <f>+IF(SUM('2016 - 2019'!I12:I20)&gt;0,AVERAGE('2016 - 2019'!Q12:Q20)," -")</f>
        <v>0.9</v>
      </c>
      <c r="H9" s="109">
        <f>+IF(SUM('2016 - 2019'!J12:J20)&gt;0,AVERAGE('2016 - 2019'!R12:R20)," -")</f>
        <v>0.96250000000000002</v>
      </c>
      <c r="I9" s="110">
        <f>+AVERAGE('2016 - 2019'!S12:S20)</f>
        <v>0.88555555555555554</v>
      </c>
      <c r="J9" s="111">
        <f t="shared" ref="J9:J10" si="4">+I9</f>
        <v>0.88555555555555554</v>
      </c>
      <c r="K9" s="112">
        <f t="shared" si="1"/>
        <v>36478557</v>
      </c>
      <c r="L9" s="113">
        <f t="shared" si="1"/>
        <v>29128892</v>
      </c>
      <c r="M9" s="113">
        <f t="shared" si="1"/>
        <v>1708564</v>
      </c>
      <c r="N9" s="114">
        <f t="shared" ref="N9:N10" si="5">IF(K9=0,"-",+L9/K9)</f>
        <v>0.79852095026675529</v>
      </c>
      <c r="O9" s="115">
        <f t="shared" si="3"/>
        <v>5.8655303469833317E-2</v>
      </c>
    </row>
    <row r="10" spans="2:15" ht="18" customHeight="1" thickBot="1">
      <c r="B10" s="105" t="s">
        <v>52</v>
      </c>
      <c r="C10" s="221" t="s">
        <v>53</v>
      </c>
      <c r="D10" s="222"/>
      <c r="E10" s="106">
        <f>+IF(SUM('2016 - 2019'!G12:G20)&gt;0,AVERAGE('2016 - 2019'!O12:O20)," -")</f>
        <v>0.93277777777777771</v>
      </c>
      <c r="F10" s="106">
        <f>+IF(SUM('2016 - 2019'!H12:H20)&gt;0,AVERAGE('2016 - 2019'!P12:P20)," -")</f>
        <v>1</v>
      </c>
      <c r="G10" s="106">
        <f>+IF(SUM('2016 - 2019'!I12:I20)&gt;0,AVERAGE('2016 - 2019'!Q12:Q20)," -")</f>
        <v>0.9</v>
      </c>
      <c r="H10" s="106">
        <f>+IF(SUM('2016 - 2019'!J12:J20)&gt;0,AVERAGE('2016 - 2019'!R12:R20)," -")</f>
        <v>0.96250000000000002</v>
      </c>
      <c r="I10" s="107">
        <f>+AVERAGE('2016 - 2019'!S12:S20)</f>
        <v>0.88555555555555554</v>
      </c>
      <c r="J10" s="108">
        <f t="shared" si="4"/>
        <v>0.88555555555555554</v>
      </c>
      <c r="K10" s="132">
        <f>+SUM('2016 - 2019'!U12:U20)</f>
        <v>36478557</v>
      </c>
      <c r="L10" s="34">
        <f>+SUM('2016 - 2019'!V12:V20)</f>
        <v>29128892</v>
      </c>
      <c r="M10" s="34">
        <f>+SUM('2016 - 2019'!W12:W20)</f>
        <v>1708564</v>
      </c>
      <c r="N10" s="133">
        <f t="shared" si="5"/>
        <v>0.79852095026675529</v>
      </c>
      <c r="O10" s="134">
        <f t="shared" si="3"/>
        <v>5.8655303469833317E-2</v>
      </c>
    </row>
    <row r="11" spans="2:15" ht="24" customHeight="1" thickBot="1">
      <c r="C11" s="211" t="s">
        <v>54</v>
      </c>
      <c r="D11" s="212"/>
      <c r="E11" s="123">
        <f>+'2016 - 2019'!O21</f>
        <v>0.93277777777777771</v>
      </c>
      <c r="F11" s="123">
        <f>+'2016 - 2019'!P21</f>
        <v>1</v>
      </c>
      <c r="G11" s="123">
        <f>+'2016 - 2019'!Q21</f>
        <v>0.9</v>
      </c>
      <c r="H11" s="123">
        <f>+'2016 - 2019'!R21</f>
        <v>0.96250000000000002</v>
      </c>
      <c r="I11" s="124">
        <f>+'2016 - 2019'!S21</f>
        <v>0.88555555555555554</v>
      </c>
      <c r="J11" s="125">
        <f t="shared" ref="J11" si="6">+I11</f>
        <v>0.88555555555555554</v>
      </c>
      <c r="K11" s="95">
        <f>+K8</f>
        <v>36478557</v>
      </c>
      <c r="L11" s="96">
        <f>+L8</f>
        <v>29128892</v>
      </c>
      <c r="M11" s="96">
        <f>+M8</f>
        <v>1708564</v>
      </c>
      <c r="N11" s="126">
        <f t="shared" ref="N11" si="7">IF(K11=0,"-",+L11/K11)</f>
        <v>0.79852095026675529</v>
      </c>
      <c r="O11" s="127">
        <f t="shared" ref="O11" si="8">IF(M11=0," -",IF(L11=0,100%,M11/L11))</f>
        <v>5.8655303469833317E-2</v>
      </c>
    </row>
    <row r="13" spans="2:15" ht="17">
      <c r="C13" s="128" t="str">
        <f>+'2016 - 2019'!C7</f>
        <v>FECHA CORTE</v>
      </c>
      <c r="D13" s="129"/>
      <c r="E13" s="130"/>
      <c r="F13" s="130"/>
      <c r="I13" s="137" t="s">
        <v>62</v>
      </c>
    </row>
    <row r="14" spans="2:15" ht="17">
      <c r="C14" s="131">
        <f>+'2016 - 2019'!C8</f>
        <v>43830</v>
      </c>
    </row>
  </sheetData>
  <mergeCells count="11">
    <mergeCell ref="C11:D11"/>
    <mergeCell ref="C7:D7"/>
    <mergeCell ref="I7:J7"/>
    <mergeCell ref="C8:D8"/>
    <mergeCell ref="C9:D9"/>
    <mergeCell ref="C10:D10"/>
    <mergeCell ref="C3:O3"/>
    <mergeCell ref="E5:H6"/>
    <mergeCell ref="I5:J6"/>
    <mergeCell ref="K5:O5"/>
    <mergeCell ref="K6:O6"/>
  </mergeCells>
  <conditionalFormatting sqref="J1:J1048576">
    <cfRule type="iconSet" priority="2">
      <iconSet iconSet="4Arrows" showValue="0">
        <cfvo type="percent" val="0"/>
        <cfvo type="num" val="0.7"/>
        <cfvo type="num" val="0.75"/>
        <cfvo type="num" val="0.83" gte="0"/>
      </iconSet>
    </cfRule>
  </conditionalFormatting>
  <conditionalFormatting sqref="E8:H11">
    <cfRule type="dataBar" priority="1">
      <dataBar>
        <cfvo type="num" val="0"/>
        <cfvo type="num" val="1"/>
        <color rgb="FF638EC6"/>
      </dataBar>
      <extLst>
        <ext xmlns:x14="http://schemas.microsoft.com/office/spreadsheetml/2009/9/main" uri="{B025F937-C7B1-47D3-B67F-A62EFF666E3E}">
          <x14:id>{16C9CA8C-D4C5-0847-AEC3-4746773A5CFA}</x14:id>
        </ext>
      </extLst>
    </cfRule>
  </conditionalFormatting>
  <pageMargins left="0.75" right="0.75" top="1" bottom="1" header="0.5" footer="0.5"/>
  <pageSetup paperSize="9" orientation="portrait" horizontalDpi="4294967293" verticalDpi="4294967293"/>
  <drawing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6C9CA8C-D4C5-0847-AEC3-4746773A5CFA}">
            <x14:dataBar minLength="0" maxLength="100" border="1" gradient="0" negativeBarBorderColorSameAsPositive="0">
              <x14:cfvo type="num">
                <xm:f>0</xm:f>
              </x14:cfvo>
              <x14:cfvo type="num">
                <xm:f>1</xm:f>
              </x14:cfvo>
              <x14:borderColor rgb="FF638EC6"/>
              <x14:negativeFillColor rgb="FFFF0000"/>
              <x14:negativeBorderColor rgb="FFFF0000"/>
              <x14:axisColor rgb="FF000000"/>
            </x14:dataBar>
          </x14:cfRule>
          <xm:sqref>E8:H11</xm:sqref>
        </x14:conditionalFormatting>
      </x14:conditionalFormattings>
    </ex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2016</vt:lpstr>
      <vt:lpstr>2017</vt:lpstr>
      <vt:lpstr>2018</vt:lpstr>
      <vt:lpstr>2019</vt:lpstr>
      <vt:lpstr>2016 - 2019</vt:lpstr>
      <vt:lpstr>RESUMEN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Andres F Ariza C</cp:lastModifiedBy>
  <cp:lastPrinted>2010-09-21T16:46:22Z</cp:lastPrinted>
  <dcterms:created xsi:type="dcterms:W3CDTF">2008-07-08T21:30:46Z</dcterms:created>
  <dcterms:modified xsi:type="dcterms:W3CDTF">2019-12-17T14:37:52Z</dcterms:modified>
</cp:coreProperties>
</file>