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7" l="1"/>
  <c r="N12" i="7"/>
  <c r="O12" i="11"/>
  <c r="L13" i="7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L19" i="7"/>
  <c r="N19" i="7"/>
  <c r="O19" i="11"/>
  <c r="L20" i="7"/>
  <c r="N20" i="7"/>
  <c r="O20" i="11"/>
  <c r="O21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P21" i="11"/>
  <c r="L12" i="9"/>
  <c r="N12" i="9"/>
  <c r="Q12" i="11"/>
  <c r="L13" i="9"/>
  <c r="N13" i="9"/>
  <c r="Q13" i="11"/>
  <c r="L14" i="9"/>
  <c r="N14" i="9"/>
  <c r="Q14" i="11"/>
  <c r="L15" i="9"/>
  <c r="N15" i="9"/>
  <c r="Q15" i="11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Q21" i="11"/>
  <c r="S21" i="11"/>
  <c r="L12" i="10"/>
  <c r="N12" i="10"/>
  <c r="R12" i="11"/>
  <c r="L13" i="10"/>
  <c r="N13" i="10"/>
  <c r="R13" i="11"/>
  <c r="R21" i="11"/>
  <c r="N21" i="9"/>
  <c r="C8" i="11"/>
  <c r="W12" i="11"/>
  <c r="W13" i="11"/>
  <c r="W14" i="11"/>
  <c r="W15" i="11"/>
  <c r="W16" i="11"/>
  <c r="W17" i="11"/>
  <c r="W18" i="11"/>
  <c r="W19" i="11"/>
  <c r="W20" i="11"/>
  <c r="M10" i="12"/>
  <c r="M9" i="12"/>
  <c r="M8" i="12"/>
  <c r="M11" i="12"/>
  <c r="V12" i="11"/>
  <c r="V13" i="11"/>
  <c r="V14" i="11"/>
  <c r="V15" i="11"/>
  <c r="V16" i="11"/>
  <c r="V17" i="11"/>
  <c r="V18" i="11"/>
  <c r="V19" i="11"/>
  <c r="V20" i="11"/>
  <c r="L10" i="12"/>
  <c r="L9" i="12"/>
  <c r="L8" i="12"/>
  <c r="L11" i="12"/>
  <c r="U12" i="11"/>
  <c r="U13" i="11"/>
  <c r="U14" i="11"/>
  <c r="U15" i="11"/>
  <c r="U16" i="11"/>
  <c r="U17" i="11"/>
  <c r="U18" i="11"/>
  <c r="U19" i="11"/>
  <c r="U20" i="11"/>
  <c r="K10" i="12"/>
  <c r="K9" i="12"/>
  <c r="K8" i="12"/>
  <c r="K11" i="12"/>
  <c r="I10" i="12"/>
  <c r="I9" i="12"/>
  <c r="I8" i="12"/>
  <c r="H12" i="11"/>
  <c r="H13" i="11"/>
  <c r="H14" i="11"/>
  <c r="H15" i="11"/>
  <c r="H16" i="11"/>
  <c r="H17" i="11"/>
  <c r="H18" i="11"/>
  <c r="H19" i="11"/>
  <c r="H20" i="11"/>
  <c r="F8" i="12"/>
  <c r="I12" i="11"/>
  <c r="I13" i="11"/>
  <c r="I14" i="11"/>
  <c r="I15" i="11"/>
  <c r="I16" i="11"/>
  <c r="I17" i="11"/>
  <c r="I18" i="11"/>
  <c r="I19" i="11"/>
  <c r="I20" i="11"/>
  <c r="G8" i="12"/>
  <c r="J12" i="11"/>
  <c r="J13" i="11"/>
  <c r="J14" i="11"/>
  <c r="J15" i="11"/>
  <c r="J16" i="11"/>
  <c r="J17" i="11"/>
  <c r="J18" i="11"/>
  <c r="J19" i="11"/>
  <c r="J20" i="11"/>
  <c r="L14" i="10"/>
  <c r="N14" i="10"/>
  <c r="R14" i="11"/>
  <c r="L15" i="10"/>
  <c r="N15" i="10"/>
  <c r="R15" i="11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H8" i="12"/>
  <c r="F9" i="12"/>
  <c r="G9" i="12"/>
  <c r="H9" i="12"/>
  <c r="F10" i="12"/>
  <c r="G10" i="12"/>
  <c r="H10" i="12"/>
  <c r="G12" i="11"/>
  <c r="G13" i="11"/>
  <c r="G14" i="11"/>
  <c r="G15" i="11"/>
  <c r="G16" i="11"/>
  <c r="G17" i="11"/>
  <c r="G18" i="11"/>
  <c r="G19" i="11"/>
  <c r="G20" i="11"/>
  <c r="E10" i="12"/>
  <c r="E9" i="12"/>
  <c r="E8" i="12"/>
  <c r="C14" i="12"/>
  <c r="C13" i="12"/>
  <c r="I11" i="12"/>
  <c r="F11" i="12"/>
  <c r="G11" i="12"/>
  <c r="H11" i="12"/>
  <c r="E11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7" i="11"/>
  <c r="N18" i="11"/>
  <c r="N19" i="11"/>
  <c r="N20" i="11"/>
  <c r="M12" i="11"/>
  <c r="M13" i="11"/>
  <c r="M14" i="11"/>
  <c r="M15" i="11"/>
  <c r="M16" i="11"/>
  <c r="M17" i="11"/>
  <c r="M18" i="11"/>
  <c r="M19" i="11"/>
  <c r="M20" i="11"/>
  <c r="L12" i="11"/>
  <c r="L13" i="11"/>
  <c r="L14" i="11"/>
  <c r="L15" i="11"/>
  <c r="L16" i="11"/>
  <c r="L17" i="11"/>
  <c r="L18" i="11"/>
  <c r="L19" i="11"/>
  <c r="L20" i="11"/>
  <c r="K12" i="11"/>
  <c r="K13" i="11"/>
  <c r="K14" i="11"/>
  <c r="K15" i="11"/>
  <c r="K16" i="11"/>
  <c r="K17" i="11"/>
  <c r="K18" i="11"/>
  <c r="K19" i="11"/>
  <c r="K20" i="11"/>
  <c r="W21" i="11"/>
  <c r="Y21" i="11"/>
  <c r="U21" i="11"/>
  <c r="V21" i="11"/>
  <c r="X21" i="11"/>
  <c r="Y20" i="11"/>
  <c r="X20" i="11"/>
  <c r="I20" i="8"/>
  <c r="I20" i="9"/>
  <c r="Y19" i="11"/>
  <c r="X19" i="11"/>
  <c r="I19" i="8"/>
  <c r="I19" i="9"/>
  <c r="Y18" i="11"/>
  <c r="X18" i="11"/>
  <c r="I18" i="8"/>
  <c r="I18" i="9"/>
  <c r="Y17" i="11"/>
  <c r="X17" i="11"/>
  <c r="I17" i="8"/>
  <c r="I17" i="9"/>
  <c r="Y16" i="11"/>
  <c r="X16" i="11"/>
  <c r="Y15" i="11"/>
  <c r="X15" i="11"/>
  <c r="Y14" i="11"/>
  <c r="X14" i="11"/>
  <c r="Y13" i="11"/>
  <c r="X13" i="11"/>
  <c r="Y12" i="11"/>
  <c r="X12" i="11"/>
  <c r="I12" i="8"/>
  <c r="I12" i="9"/>
  <c r="I16" i="10"/>
  <c r="I15" i="10"/>
  <c r="I14" i="10"/>
  <c r="I13" i="10"/>
  <c r="I17" i="10"/>
  <c r="I18" i="10"/>
  <c r="I19" i="10"/>
  <c r="I20" i="10"/>
  <c r="I12" i="10"/>
  <c r="I16" i="9"/>
  <c r="I15" i="9"/>
  <c r="I14" i="9"/>
  <c r="I13" i="9"/>
  <c r="I16" i="8"/>
  <c r="I15" i="8"/>
  <c r="I14" i="8"/>
  <c r="I13" i="8"/>
  <c r="R21" i="10"/>
  <c r="T21" i="10"/>
  <c r="P21" i="10"/>
  <c r="S21" i="10"/>
  <c r="Q21" i="10"/>
  <c r="N21" i="10"/>
  <c r="M12" i="10"/>
  <c r="M13" i="10"/>
  <c r="M14" i="10"/>
  <c r="M15" i="10"/>
  <c r="M16" i="10"/>
  <c r="M17" i="10"/>
  <c r="M18" i="10"/>
  <c r="M19" i="10"/>
  <c r="M20" i="10"/>
  <c r="M21" i="10"/>
  <c r="T20" i="10"/>
  <c r="S20" i="10"/>
  <c r="T19" i="10"/>
  <c r="S19" i="10"/>
  <c r="T18" i="10"/>
  <c r="S18" i="10"/>
  <c r="T17" i="10"/>
  <c r="S17" i="10"/>
  <c r="T16" i="10"/>
  <c r="S16" i="10"/>
  <c r="L16" i="10"/>
  <c r="T15" i="10"/>
  <c r="S15" i="10"/>
  <c r="T14" i="10"/>
  <c r="S14" i="10"/>
  <c r="T13" i="10"/>
  <c r="S13" i="10"/>
  <c r="T12" i="10"/>
  <c r="S12" i="10"/>
  <c r="R21" i="9"/>
  <c r="T21" i="9"/>
  <c r="P21" i="9"/>
  <c r="Q21" i="9"/>
  <c r="S21" i="9"/>
  <c r="M12" i="9"/>
  <c r="M13" i="9"/>
  <c r="M14" i="9"/>
  <c r="M15" i="9"/>
  <c r="M16" i="9"/>
  <c r="M17" i="9"/>
  <c r="M18" i="9"/>
  <c r="M19" i="9"/>
  <c r="M20" i="9"/>
  <c r="M21" i="9"/>
  <c r="T20" i="9"/>
  <c r="S20" i="9"/>
  <c r="T19" i="9"/>
  <c r="S19" i="9"/>
  <c r="T18" i="9"/>
  <c r="S18" i="9"/>
  <c r="T17" i="9"/>
  <c r="S17" i="9"/>
  <c r="T16" i="9"/>
  <c r="S16" i="9"/>
  <c r="L16" i="9"/>
  <c r="T15" i="9"/>
  <c r="S15" i="9"/>
  <c r="T14" i="9"/>
  <c r="S14" i="9"/>
  <c r="T13" i="9"/>
  <c r="S13" i="9"/>
  <c r="T12" i="9"/>
  <c r="S12" i="9"/>
  <c r="R21" i="8"/>
  <c r="T21" i="8"/>
  <c r="P21" i="8"/>
  <c r="Q21" i="8"/>
  <c r="S21" i="8"/>
  <c r="N21" i="8"/>
  <c r="M12" i="8"/>
  <c r="M13" i="8"/>
  <c r="M14" i="8"/>
  <c r="M15" i="8"/>
  <c r="M16" i="8"/>
  <c r="M17" i="8"/>
  <c r="M18" i="8"/>
  <c r="M19" i="8"/>
  <c r="M20" i="8"/>
  <c r="M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1" i="7"/>
  <c r="Q21" i="7"/>
  <c r="P21" i="7"/>
  <c r="N21" i="7"/>
  <c r="M12" i="7"/>
  <c r="M13" i="7"/>
  <c r="M14" i="7"/>
  <c r="M15" i="7"/>
  <c r="M16" i="7"/>
  <c r="M17" i="7"/>
  <c r="M18" i="7"/>
  <c r="M19" i="7"/>
  <c r="M20" i="7"/>
  <c r="M21" i="7"/>
  <c r="T21" i="7"/>
  <c r="S21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T12" i="7"/>
  <c r="S12" i="7"/>
</calcChain>
</file>

<file path=xl/sharedStrings.xml><?xml version="1.0" encoding="utf-8"?>
<sst xmlns="http://schemas.openxmlformats.org/spreadsheetml/2006/main" count="265" uniqueCount="63">
  <si>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</si>
  <si>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</si>
  <si>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</si>
  <si>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</si>
  <si>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</si>
  <si>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</si>
  <si>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</si>
  <si>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</si>
  <si>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</si>
  <si>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</si>
  <si>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</si>
  <si>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</si>
  <si>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</si>
  <si>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</si>
  <si>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</si>
  <si>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</si>
  <si>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</si>
  <si>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</si>
  <si>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</si>
  <si>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</si>
  <si>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</si>
  <si>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</si>
  <si>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</si>
  <si>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</si>
  <si>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</si>
  <si>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</si>
  <si>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</si>
  <si>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hectáreas clausuradas en el sitio de disposición final.</t>
  </si>
  <si>
    <t>Concentración de DBO de los lixiviados tratados en la Planta de Tratamiento de Lixiviados - PTLX.</t>
  </si>
  <si>
    <t>Concentración de SST de los lixiviados tratados en la Planta de Tratamiento de Lixiviados - PTLX.</t>
  </si>
  <si>
    <t>Concentración de DQO de los lixiviados tratados en la Planta de Tratamiento de Lixiviados - PTLX.</t>
  </si>
  <si>
    <t>Porcentaje de residuos que ingresan a la celda de disposición final mantenidos en la disposición técnica.</t>
  </si>
  <si>
    <t>Número de toneladas de residuos orgánicos tratados en la planta de compostaje.</t>
  </si>
  <si>
    <t>Número de toneladas de abono orgánico generadas en la planta de compostaje.</t>
  </si>
  <si>
    <t>Número de toneladas recicladas mediante la ruta de reciclaje.</t>
  </si>
  <si>
    <t>Número de personas sensibilizadas en el manejo adecuado de residuos sólidos.</t>
  </si>
  <si>
    <t>AMBIENTE PARA LA CIUDADANÍA</t>
  </si>
  <si>
    <t>IMPLEMENTACIÓN DEL PGIRS</t>
  </si>
  <si>
    <t>3 - SOSTENIBILIDAD AMBIENTAL</t>
  </si>
  <si>
    <t>PLAN DE ACCIÓN - EMPRESA METROPOLITANA DE ASEO DE BUCARAMANGA (EMAB)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</si>
  <si>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</si>
  <si>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</si>
  <si>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</si>
  <si>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</si>
  <si>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</si>
  <si>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</si>
  <si>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</si>
  <si>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</si>
  <si>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</si>
  <si>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</si>
  <si>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3: SOSTENIBILIDAD AMBIENTAL</t>
  </si>
  <si>
    <t>3.3</t>
  </si>
  <si>
    <t>3.3.1</t>
  </si>
  <si>
    <t>Implementación del PGIRS</t>
  </si>
  <si>
    <t>PLAN DE DESARROLLO 2016 - 2019</t>
  </si>
  <si>
    <t>RESUMEN CUMPLIMIENTO EMPRESA METROPOLITANA DE ASEO DE BUCARAMANGA (EMAB) 2016 - 2019</t>
  </si>
  <si>
    <t>05410706</t>
  </si>
  <si>
    <t xml:space="preserve"> -</t>
  </si>
  <si>
    <t>03219114</t>
  </si>
  <si>
    <t>05410702</t>
  </si>
  <si>
    <t>03219108
03219110</t>
  </si>
  <si>
    <t>03219008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</si>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</sst>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b/>
      <sz val="12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2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10" fillId="0" borderId="42" xfId="0" applyNumberFormat="1" applyFont="1" applyBorder="1" applyAlignment="1">
      <alignment horizontal="center" vertical="center"/>
    </xf>
    <xf numFmtId="9" fontId="10" fillId="0" borderId="43" xfId="0" applyNumberFormat="1" applyFont="1" applyBorder="1" applyAlignment="1">
      <alignment horizontal="center" vertical="center"/>
    </xf>
    <xf numFmtId="9" fontId="10" fillId="0" borderId="4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11" fillId="2" borderId="47" xfId="0" applyNumberFormat="1" applyFont="1" applyFill="1" applyBorder="1" applyAlignment="1">
      <alignment horizontal="center" vertical="center"/>
    </xf>
    <xf numFmtId="9" fontId="11" fillId="2" borderId="31" xfId="0" applyNumberFormat="1" applyFont="1" applyFill="1" applyBorder="1" applyAlignment="1">
      <alignment horizontal="center" vertical="center"/>
    </xf>
    <xf numFmtId="3" fontId="11" fillId="2" borderId="48" xfId="0" applyNumberFormat="1" applyFont="1" applyFill="1" applyBorder="1" applyAlignment="1">
      <alignment horizontal="center" vertical="center"/>
    </xf>
    <xf numFmtId="3" fontId="11" fillId="2" borderId="32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0" fontId="7" fillId="0" borderId="0" xfId="0" applyFont="1"/>
    <xf numFmtId="3" fontId="6" fillId="0" borderId="49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52" xfId="0" applyNumberFormat="1" applyFont="1" applyFill="1" applyBorder="1" applyAlignment="1">
      <alignment horizontal="center" vertical="center"/>
    </xf>
    <xf numFmtId="9" fontId="6" fillId="3" borderId="5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9" fontId="7" fillId="2" borderId="56" xfId="0" applyNumberFormat="1" applyFont="1" applyFill="1" applyBorder="1" applyAlignment="1">
      <alignment horizontal="center" vertical="center"/>
    </xf>
    <xf numFmtId="9" fontId="11" fillId="2" borderId="57" xfId="0" applyNumberFormat="1" applyFont="1" applyFill="1" applyBorder="1" applyAlignment="1">
      <alignment horizontal="center" vertical="center"/>
    </xf>
    <xf numFmtId="9" fontId="11" fillId="3" borderId="8" xfId="0" applyNumberFormat="1" applyFont="1" applyFill="1" applyBorder="1" applyAlignment="1">
      <alignment horizontal="center" vertical="center"/>
    </xf>
    <xf numFmtId="9" fontId="11" fillId="3" borderId="9" xfId="0" applyNumberFormat="1" applyFont="1" applyFill="1" applyBorder="1" applyAlignment="1">
      <alignment horizontal="center" vertical="center"/>
    </xf>
    <xf numFmtId="9" fontId="11" fillId="3" borderId="10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165" fontId="6" fillId="0" borderId="45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3" fontId="11" fillId="2" borderId="56" xfId="0" applyNumberFormat="1" applyFont="1" applyFill="1" applyBorder="1" applyAlignment="1">
      <alignment horizontal="center" vertical="center"/>
    </xf>
    <xf numFmtId="3" fontId="11" fillId="2" borderId="5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7" xfId="0" applyNumberFormat="1" applyFont="1" applyBorder="1" applyAlignment="1">
      <alignment horizontal="center" vertical="center" wrapText="1"/>
    </xf>
    <xf numFmtId="9" fontId="19" fillId="0" borderId="52" xfId="0" applyNumberFormat="1" applyFont="1" applyBorder="1" applyAlignment="1">
      <alignment horizontal="center" vertical="center" wrapText="1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7" xfId="0" applyNumberFormat="1" applyFont="1" applyFill="1" applyBorder="1" applyAlignment="1">
      <alignment horizontal="center" vertical="center" wrapText="1"/>
    </xf>
    <xf numFmtId="9" fontId="19" fillId="5" borderId="52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14" fillId="6" borderId="55" xfId="0" applyNumberFormat="1" applyFont="1" applyFill="1" applyBorder="1" applyAlignment="1">
      <alignment horizontal="center" vertical="center" wrapText="1"/>
    </xf>
    <xf numFmtId="9" fontId="15" fillId="6" borderId="60" xfId="0" applyNumberFormat="1" applyFont="1" applyFill="1" applyBorder="1" applyAlignment="1">
      <alignment horizontal="center" vertical="center" wrapText="1"/>
    </xf>
    <xf numFmtId="9" fontId="16" fillId="6" borderId="61" xfId="0" applyNumberFormat="1" applyFont="1" applyFill="1" applyBorder="1" applyAlignment="1">
      <alignment horizontal="center" vertical="center" wrapText="1"/>
    </xf>
    <xf numFmtId="3" fontId="14" fillId="6" borderId="56" xfId="0" applyNumberFormat="1" applyFont="1" applyFill="1" applyBorder="1" applyAlignment="1">
      <alignment horizontal="center" vertical="center"/>
    </xf>
    <xf numFmtId="3" fontId="14" fillId="6" borderId="55" xfId="0" applyNumberFormat="1" applyFont="1" applyFill="1" applyBorder="1" applyAlignment="1">
      <alignment horizontal="center" vertical="center"/>
    </xf>
    <xf numFmtId="9" fontId="14" fillId="6" borderId="66" xfId="0" applyNumberFormat="1" applyFont="1" applyFill="1" applyBorder="1" applyAlignment="1" applyProtection="1">
      <alignment horizontal="center" vertical="center"/>
    </xf>
    <xf numFmtId="9" fontId="14" fillId="6" borderId="57" xfId="0" applyNumberFormat="1" applyFont="1" applyFill="1" applyBorder="1" applyAlignment="1" applyProtection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 wrapText="1"/>
    </xf>
    <xf numFmtId="9" fontId="11" fillId="2" borderId="60" xfId="0" applyNumberFormat="1" applyFont="1" applyFill="1" applyBorder="1" applyAlignment="1">
      <alignment horizontal="center" vertical="center" wrapText="1"/>
    </xf>
    <xf numFmtId="9" fontId="21" fillId="2" borderId="61" xfId="0" applyNumberFormat="1" applyFont="1" applyFill="1" applyBorder="1" applyAlignment="1">
      <alignment horizontal="center" vertical="center" wrapText="1"/>
    </xf>
    <xf numFmtId="9" fontId="4" fillId="2" borderId="55" xfId="0" applyNumberFormat="1" applyFont="1" applyFill="1" applyBorder="1" applyAlignment="1" applyProtection="1">
      <alignment horizontal="center" vertical="center"/>
    </xf>
    <xf numFmtId="9" fontId="4" fillId="2" borderId="57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0" fillId="0" borderId="0" xfId="0" applyFont="1"/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63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1" fillId="2" borderId="60" xfId="0" applyFont="1" applyFill="1" applyBorder="1" applyAlignment="1">
      <alignment horizontal="justify" vertical="center"/>
    </xf>
    <xf numFmtId="0" fontId="11" fillId="2" borderId="65" xfId="0" applyFont="1" applyFill="1" applyBorder="1" applyAlignment="1">
      <alignment horizontal="justify" vertical="center"/>
    </xf>
    <xf numFmtId="0" fontId="7" fillId="0" borderId="6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0" xfId="0" applyFont="1" applyFill="1" applyBorder="1" applyAlignment="1">
      <alignment horizontal="justify" vertical="center"/>
    </xf>
    <xf numFmtId="0" fontId="14" fillId="6" borderId="65" xfId="0" applyFont="1" applyFill="1" applyBorder="1" applyAlignment="1">
      <alignment horizontal="justify" vertical="center"/>
    </xf>
    <xf numFmtId="0" fontId="17" fillId="5" borderId="27" xfId="0" applyFont="1" applyFill="1" applyBorder="1" applyAlignment="1">
      <alignment horizontal="justify" vertical="center"/>
    </xf>
    <xf numFmtId="0" fontId="17" fillId="5" borderId="41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41" xfId="0" applyFont="1" applyBorder="1" applyAlignment="1">
      <alignment horizontal="justify" vertical="center"/>
    </xf>
  </cellXfs>
  <cellStyles count="6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1701800</xdr:colOff>
      <xdr:row>0</xdr:row>
      <xdr:rowOff>152400</xdr:rowOff>
    </xdr:from>
    <xdr:to>
      <xdr:col>4</xdr:col>
      <xdr:colOff>1333500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52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1409700</xdr:colOff>
      <xdr:row>3</xdr:row>
      <xdr:rowOff>25400</xdr:rowOff>
    </xdr:from>
    <xdr:to>
      <xdr:col>2</xdr:col>
      <xdr:colOff>2413000</xdr:colOff>
      <xdr:row>6</xdr:row>
      <xdr:rowOff>266700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985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2844799</xdr:colOff>
      <xdr:row>3</xdr:row>
      <xdr:rowOff>38100</xdr:rowOff>
    </xdr:from>
    <xdr:to>
      <xdr:col>3</xdr:col>
      <xdr:colOff>1168399</xdr:colOff>
      <xdr:row>6</xdr:row>
      <xdr:rowOff>279400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5399" y="7112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0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0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46" t="s">
        <v>3</v>
      </c>
      <c r="E8" s="147"/>
      <c r="F8" s="147"/>
      <c r="G8" s="147"/>
      <c r="H8" s="147"/>
      <c r="I8" s="147"/>
      <c r="J8" s="147"/>
      <c r="K8" s="14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9" t="s">
        <v>17</v>
      </c>
      <c r="C9" s="152" t="s">
        <v>18</v>
      </c>
      <c r="D9" s="154" t="s">
        <v>0</v>
      </c>
      <c r="E9" s="157" t="s">
        <v>4</v>
      </c>
      <c r="F9" s="157"/>
      <c r="G9" s="157" t="s">
        <v>5</v>
      </c>
      <c r="H9" s="157"/>
      <c r="I9" s="157"/>
      <c r="J9" s="157"/>
      <c r="K9" s="159"/>
      <c r="L9" s="5"/>
      <c r="M9" s="154" t="s">
        <v>6</v>
      </c>
      <c r="N9" s="159"/>
      <c r="O9" s="169" t="s">
        <v>24</v>
      </c>
      <c r="P9" s="170"/>
      <c r="Q9" s="170"/>
      <c r="R9" s="170"/>
      <c r="S9" s="170"/>
      <c r="T9" s="171"/>
    </row>
    <row r="10" spans="2:20" ht="17" customHeight="1">
      <c r="B10" s="150"/>
      <c r="C10" s="153"/>
      <c r="D10" s="155"/>
      <c r="E10" s="158"/>
      <c r="F10" s="158"/>
      <c r="G10" s="158" t="s">
        <v>7</v>
      </c>
      <c r="H10" s="162" t="s">
        <v>25</v>
      </c>
      <c r="I10" s="162" t="s">
        <v>26</v>
      </c>
      <c r="J10" s="163" t="s">
        <v>1</v>
      </c>
      <c r="K10" s="160" t="s">
        <v>8</v>
      </c>
      <c r="L10" s="6"/>
      <c r="M10" s="165" t="s">
        <v>9</v>
      </c>
      <c r="N10" s="167" t="s">
        <v>10</v>
      </c>
      <c r="O10" s="172"/>
      <c r="P10" s="173"/>
      <c r="Q10" s="173"/>
      <c r="R10" s="173"/>
      <c r="S10" s="173"/>
      <c r="T10" s="174"/>
    </row>
    <row r="11" spans="2:20" ht="37.5" customHeight="1" thickBot="1">
      <c r="B11" s="151"/>
      <c r="C11" s="153"/>
      <c r="D11" s="156"/>
      <c r="E11" s="12" t="s">
        <v>11</v>
      </c>
      <c r="F11" s="12" t="s">
        <v>12</v>
      </c>
      <c r="G11" s="162"/>
      <c r="H11" s="175"/>
      <c r="I11" s="175"/>
      <c r="J11" s="164"/>
      <c r="K11" s="161"/>
      <c r="L11" s="13"/>
      <c r="M11" s="166"/>
      <c r="N11" s="168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2" t="s">
        <v>38</v>
      </c>
      <c r="C12" s="139" t="s">
        <v>36</v>
      </c>
      <c r="D12" s="136" t="s">
        <v>37</v>
      </c>
      <c r="E12" s="42">
        <v>42370</v>
      </c>
      <c r="F12" s="42">
        <v>42735</v>
      </c>
      <c r="G12" s="20" t="s">
        <v>27</v>
      </c>
      <c r="H12" s="21">
        <v>5</v>
      </c>
      <c r="I12" s="32">
        <v>1</v>
      </c>
      <c r="J12" s="32">
        <v>1</v>
      </c>
      <c r="K12" s="35">
        <v>1</v>
      </c>
      <c r="L12" s="39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57" t="s">
        <v>56</v>
      </c>
      <c r="P12" s="32">
        <v>4593380</v>
      </c>
      <c r="Q12" s="32">
        <v>3343346</v>
      </c>
      <c r="R12" s="32">
        <v>0</v>
      </c>
      <c r="S12" s="22">
        <f>IF(P12=0," -",Q12/P12)</f>
        <v>0.72786183594651432</v>
      </c>
      <c r="T12" s="23" t="str">
        <f>IF(R12=0," -",IF(Q12=0,100%,R12/Q12))</f>
        <v xml:space="preserve"> -</v>
      </c>
    </row>
    <row r="13" spans="2:20" ht="45">
      <c r="B13" s="143"/>
      <c r="C13" s="140"/>
      <c r="D13" s="137"/>
      <c r="E13" s="43">
        <v>42370</v>
      </c>
      <c r="F13" s="43">
        <v>42735</v>
      </c>
      <c r="G13" s="9" t="s">
        <v>28</v>
      </c>
      <c r="H13" s="10">
        <v>800</v>
      </c>
      <c r="I13" s="33">
        <v>800</v>
      </c>
      <c r="J13" s="33">
        <v>800</v>
      </c>
      <c r="K13" s="36">
        <v>5</v>
      </c>
      <c r="L13" s="40">
        <f>+J13/K13</f>
        <v>160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8" t="s">
        <v>57</v>
      </c>
      <c r="P13" s="33">
        <v>669138</v>
      </c>
      <c r="Q13" s="33">
        <v>509588</v>
      </c>
      <c r="R13" s="33">
        <v>0</v>
      </c>
      <c r="S13" s="19">
        <f t="shared" ref="S13:S21" si="2">IF(P13=0," -",Q13/P13)</f>
        <v>0.76155890115342428</v>
      </c>
      <c r="T13" s="24" t="str">
        <f t="shared" ref="T13:T21" si="3">IF(R13=0," -",IF(Q13=0,100%,R13/Q13))</f>
        <v xml:space="preserve"> -</v>
      </c>
    </row>
    <row r="14" spans="2:20" ht="45">
      <c r="B14" s="143"/>
      <c r="C14" s="140"/>
      <c r="D14" s="137"/>
      <c r="E14" s="43">
        <v>42370</v>
      </c>
      <c r="F14" s="43">
        <v>42735</v>
      </c>
      <c r="G14" s="9" t="s">
        <v>29</v>
      </c>
      <c r="H14" s="10">
        <v>400</v>
      </c>
      <c r="I14" s="33">
        <v>400</v>
      </c>
      <c r="J14" s="33">
        <v>400</v>
      </c>
      <c r="K14" s="36">
        <v>8</v>
      </c>
      <c r="L14" s="40">
        <f>+J14/K14</f>
        <v>50</v>
      </c>
      <c r="M14" s="30">
        <f t="shared" si="0"/>
        <v>1</v>
      </c>
      <c r="N14" s="24">
        <f t="shared" si="1"/>
        <v>1</v>
      </c>
      <c r="O14" s="58" t="s">
        <v>57</v>
      </c>
      <c r="P14" s="33">
        <v>669138</v>
      </c>
      <c r="Q14" s="33">
        <v>509588</v>
      </c>
      <c r="R14" s="33">
        <v>0</v>
      </c>
      <c r="S14" s="19">
        <f t="shared" si="2"/>
        <v>0.76155890115342428</v>
      </c>
      <c r="T14" s="24" t="str">
        <f t="shared" si="3"/>
        <v xml:space="preserve"> -</v>
      </c>
    </row>
    <row r="15" spans="2:20" ht="45">
      <c r="B15" s="143"/>
      <c r="C15" s="140"/>
      <c r="D15" s="137"/>
      <c r="E15" s="43">
        <v>42370</v>
      </c>
      <c r="F15" s="43">
        <v>42735</v>
      </c>
      <c r="G15" s="9" t="s">
        <v>30</v>
      </c>
      <c r="H15" s="10">
        <v>2000</v>
      </c>
      <c r="I15" s="33">
        <v>2000</v>
      </c>
      <c r="J15" s="33">
        <v>2000</v>
      </c>
      <c r="K15" s="36">
        <v>20</v>
      </c>
      <c r="L15" s="40">
        <f>+J15/K15</f>
        <v>100</v>
      </c>
      <c r="M15" s="30">
        <f t="shared" si="0"/>
        <v>1</v>
      </c>
      <c r="N15" s="24">
        <f t="shared" si="1"/>
        <v>1</v>
      </c>
      <c r="O15" s="58" t="s">
        <v>57</v>
      </c>
      <c r="P15" s="33">
        <v>669138</v>
      </c>
      <c r="Q15" s="33">
        <v>509588</v>
      </c>
      <c r="R15" s="33">
        <v>0</v>
      </c>
      <c r="S15" s="19">
        <f t="shared" si="2"/>
        <v>0.76155890115342428</v>
      </c>
      <c r="T15" s="24" t="str">
        <f t="shared" si="3"/>
        <v xml:space="preserve"> -</v>
      </c>
    </row>
    <row r="16" spans="2:20" ht="45">
      <c r="B16" s="143"/>
      <c r="C16" s="140"/>
      <c r="D16" s="137"/>
      <c r="E16" s="43">
        <v>42370</v>
      </c>
      <c r="F16" s="43">
        <v>42735</v>
      </c>
      <c r="G16" s="9" t="s">
        <v>31</v>
      </c>
      <c r="H16" s="11">
        <v>1</v>
      </c>
      <c r="I16" s="19">
        <v>1</v>
      </c>
      <c r="J16" s="19">
        <v>1</v>
      </c>
      <c r="K16" s="37">
        <v>1</v>
      </c>
      <c r="L16" s="40">
        <f t="shared" ref="L16:L20" si="4">+K16/J16</f>
        <v>1</v>
      </c>
      <c r="M16" s="30">
        <f t="shared" si="0"/>
        <v>1</v>
      </c>
      <c r="N16" s="24">
        <f t="shared" si="1"/>
        <v>1</v>
      </c>
      <c r="O16" s="58" t="s">
        <v>58</v>
      </c>
      <c r="P16" s="33">
        <v>5250000</v>
      </c>
      <c r="Q16" s="33">
        <v>5246000</v>
      </c>
      <c r="R16" s="33">
        <v>0</v>
      </c>
      <c r="S16" s="19">
        <f t="shared" si="2"/>
        <v>0.99923809523809526</v>
      </c>
      <c r="T16" s="24" t="str">
        <f t="shared" si="3"/>
        <v xml:space="preserve"> -</v>
      </c>
    </row>
    <row r="17" spans="2:20" ht="30">
      <c r="B17" s="143"/>
      <c r="C17" s="140"/>
      <c r="D17" s="137"/>
      <c r="E17" s="43">
        <v>42370</v>
      </c>
      <c r="F17" s="43">
        <v>42735</v>
      </c>
      <c r="G17" s="9" t="s">
        <v>32</v>
      </c>
      <c r="H17" s="10">
        <v>1200</v>
      </c>
      <c r="I17" s="33">
        <v>200</v>
      </c>
      <c r="J17" s="33">
        <v>200</v>
      </c>
      <c r="K17" s="36">
        <v>183</v>
      </c>
      <c r="L17" s="40">
        <f t="shared" si="4"/>
        <v>0.91500000000000004</v>
      </c>
      <c r="M17" s="30">
        <f t="shared" si="0"/>
        <v>1</v>
      </c>
      <c r="N17" s="24">
        <f t="shared" si="1"/>
        <v>0.91500000000000004</v>
      </c>
      <c r="O17" s="58" t="s">
        <v>59</v>
      </c>
      <c r="P17" s="33">
        <v>0</v>
      </c>
      <c r="Q17" s="33">
        <v>0</v>
      </c>
      <c r="R17" s="33">
        <v>0</v>
      </c>
      <c r="S17" s="19" t="str">
        <f t="shared" si="2"/>
        <v xml:space="preserve"> -</v>
      </c>
      <c r="T17" s="24" t="str">
        <f t="shared" si="3"/>
        <v xml:space="preserve"> -</v>
      </c>
    </row>
    <row r="18" spans="2:20" ht="30">
      <c r="B18" s="143"/>
      <c r="C18" s="140"/>
      <c r="D18" s="137"/>
      <c r="E18" s="43">
        <v>42370</v>
      </c>
      <c r="F18" s="43">
        <v>42735</v>
      </c>
      <c r="G18" s="9" t="s">
        <v>33</v>
      </c>
      <c r="H18" s="10">
        <v>300</v>
      </c>
      <c r="I18" s="33">
        <v>75</v>
      </c>
      <c r="J18" s="33">
        <v>75</v>
      </c>
      <c r="K18" s="36">
        <v>36</v>
      </c>
      <c r="L18" s="40">
        <f t="shared" si="4"/>
        <v>0.48</v>
      </c>
      <c r="M18" s="30">
        <f t="shared" si="0"/>
        <v>1</v>
      </c>
      <c r="N18" s="24">
        <f t="shared" si="1"/>
        <v>0.48</v>
      </c>
      <c r="O18" s="58" t="s">
        <v>59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>
      <c r="B19" s="143"/>
      <c r="C19" s="140"/>
      <c r="D19" s="137"/>
      <c r="E19" s="43">
        <v>42370</v>
      </c>
      <c r="F19" s="43">
        <v>42735</v>
      </c>
      <c r="G19" s="9" t="s">
        <v>34</v>
      </c>
      <c r="H19" s="10">
        <v>10000</v>
      </c>
      <c r="I19" s="33">
        <v>2500</v>
      </c>
      <c r="J19" s="33">
        <v>2500</v>
      </c>
      <c r="K19" s="36">
        <v>2794</v>
      </c>
      <c r="L19" s="40">
        <f t="shared" si="4"/>
        <v>1.1175999999999999</v>
      </c>
      <c r="M19" s="30">
        <f t="shared" si="0"/>
        <v>1</v>
      </c>
      <c r="N19" s="24">
        <f t="shared" si="1"/>
        <v>1</v>
      </c>
      <c r="O19" s="58" t="s">
        <v>60</v>
      </c>
      <c r="P19" s="33">
        <v>0</v>
      </c>
      <c r="Q19" s="33">
        <v>0</v>
      </c>
      <c r="R19" s="33">
        <v>0</v>
      </c>
      <c r="S19" s="19" t="str">
        <f t="shared" si="2"/>
        <v xml:space="preserve"> -</v>
      </c>
      <c r="T19" s="24" t="str">
        <f t="shared" si="3"/>
        <v xml:space="preserve"> -</v>
      </c>
    </row>
    <row r="20" spans="2:20" ht="31" thickBot="1">
      <c r="B20" s="144"/>
      <c r="C20" s="141"/>
      <c r="D20" s="138"/>
      <c r="E20" s="44">
        <v>42370</v>
      </c>
      <c r="F20" s="44">
        <v>42735</v>
      </c>
      <c r="G20" s="25" t="s">
        <v>35</v>
      </c>
      <c r="H20" s="26">
        <v>314000</v>
      </c>
      <c r="I20" s="34">
        <v>77000</v>
      </c>
      <c r="J20" s="34">
        <v>77000</v>
      </c>
      <c r="K20" s="38">
        <v>131945</v>
      </c>
      <c r="L20" s="41">
        <f t="shared" si="4"/>
        <v>1.7135714285714285</v>
      </c>
      <c r="M20" s="31">
        <f t="shared" si="0"/>
        <v>1</v>
      </c>
      <c r="N20" s="28">
        <f t="shared" si="1"/>
        <v>1</v>
      </c>
      <c r="O20" s="59" t="s">
        <v>61</v>
      </c>
      <c r="P20" s="34">
        <v>51442</v>
      </c>
      <c r="Q20" s="34">
        <v>46369</v>
      </c>
      <c r="R20" s="34">
        <v>0</v>
      </c>
      <c r="S20" s="27">
        <f t="shared" si="2"/>
        <v>0.90138408304498274</v>
      </c>
      <c r="T20" s="28" t="str">
        <f t="shared" si="3"/>
        <v xml:space="preserve"> -</v>
      </c>
    </row>
    <row r="21" spans="2:20" ht="21" customHeight="1" thickBot="1">
      <c r="M21" s="45">
        <f>+AVERAGE(M12:M20)</f>
        <v>1</v>
      </c>
      <c r="N21" s="46">
        <f>+AVERAGE(N12:N20)</f>
        <v>0.93277777777777771</v>
      </c>
      <c r="P21" s="47">
        <f>+SUM(P12:P20)</f>
        <v>11902236</v>
      </c>
      <c r="Q21" s="48">
        <f>+SUM(Q12:Q20)</f>
        <v>10164479</v>
      </c>
      <c r="R21" s="48">
        <f>+SUM(R12:R20)</f>
        <v>0</v>
      </c>
      <c r="S21" s="49">
        <f t="shared" si="2"/>
        <v>0.85399743375950532</v>
      </c>
      <c r="T21" s="46" t="str">
        <f t="shared" si="3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2:D20"/>
    <mergeCell ref="C12:C20"/>
    <mergeCell ref="B12:B2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0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0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46" t="s">
        <v>3</v>
      </c>
      <c r="E8" s="147"/>
      <c r="F8" s="147"/>
      <c r="G8" s="147"/>
      <c r="H8" s="147"/>
      <c r="I8" s="147"/>
      <c r="J8" s="147"/>
      <c r="K8" s="14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9" t="s">
        <v>17</v>
      </c>
      <c r="C9" s="152" t="s">
        <v>18</v>
      </c>
      <c r="D9" s="154" t="s">
        <v>0</v>
      </c>
      <c r="E9" s="157" t="s">
        <v>4</v>
      </c>
      <c r="F9" s="157"/>
      <c r="G9" s="157" t="s">
        <v>5</v>
      </c>
      <c r="H9" s="157"/>
      <c r="I9" s="157"/>
      <c r="J9" s="157"/>
      <c r="K9" s="159"/>
      <c r="L9" s="5"/>
      <c r="M9" s="154" t="s">
        <v>6</v>
      </c>
      <c r="N9" s="159"/>
      <c r="O9" s="169" t="s">
        <v>24</v>
      </c>
      <c r="P9" s="170"/>
      <c r="Q9" s="170"/>
      <c r="R9" s="170"/>
      <c r="S9" s="170"/>
      <c r="T9" s="171"/>
    </row>
    <row r="10" spans="2:20" ht="17" customHeight="1">
      <c r="B10" s="150"/>
      <c r="C10" s="153"/>
      <c r="D10" s="155"/>
      <c r="E10" s="158"/>
      <c r="F10" s="158"/>
      <c r="G10" s="158" t="s">
        <v>7</v>
      </c>
      <c r="H10" s="162" t="s">
        <v>25</v>
      </c>
      <c r="I10" s="162" t="s">
        <v>26</v>
      </c>
      <c r="J10" s="163" t="s">
        <v>1</v>
      </c>
      <c r="K10" s="160" t="s">
        <v>8</v>
      </c>
      <c r="L10" s="6"/>
      <c r="M10" s="165" t="s">
        <v>9</v>
      </c>
      <c r="N10" s="167" t="s">
        <v>10</v>
      </c>
      <c r="O10" s="172"/>
      <c r="P10" s="173"/>
      <c r="Q10" s="173"/>
      <c r="R10" s="173"/>
      <c r="S10" s="173"/>
      <c r="T10" s="174"/>
    </row>
    <row r="11" spans="2:20" ht="37.5" customHeight="1" thickBot="1">
      <c r="B11" s="151"/>
      <c r="C11" s="153"/>
      <c r="D11" s="156"/>
      <c r="E11" s="12" t="s">
        <v>11</v>
      </c>
      <c r="F11" s="12" t="s">
        <v>12</v>
      </c>
      <c r="G11" s="162"/>
      <c r="H11" s="175"/>
      <c r="I11" s="175"/>
      <c r="J11" s="164"/>
      <c r="K11" s="161"/>
      <c r="L11" s="13"/>
      <c r="M11" s="166"/>
      <c r="N11" s="168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2" t="s">
        <v>38</v>
      </c>
      <c r="C12" s="139" t="s">
        <v>36</v>
      </c>
      <c r="D12" s="136" t="s">
        <v>37</v>
      </c>
      <c r="E12" s="42">
        <v>42736</v>
      </c>
      <c r="F12" s="42">
        <v>43100</v>
      </c>
      <c r="G12" s="20" t="s">
        <v>27</v>
      </c>
      <c r="H12" s="21">
        <v>5</v>
      </c>
      <c r="I12" s="32">
        <f>+J12+('2016'!I12-'2016'!K12)</f>
        <v>1</v>
      </c>
      <c r="J12" s="32">
        <v>1</v>
      </c>
      <c r="K12" s="52">
        <v>1</v>
      </c>
      <c r="L12" s="39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57" t="s">
        <v>56</v>
      </c>
      <c r="P12" s="32">
        <v>3772886</v>
      </c>
      <c r="Q12" s="32">
        <v>1052475</v>
      </c>
      <c r="R12" s="32">
        <v>0</v>
      </c>
      <c r="S12" s="22">
        <f>IF(P12=0," -",Q12/P12)</f>
        <v>0.27895754072611789</v>
      </c>
      <c r="T12" s="23" t="str">
        <f>IF(R12=0," -",IF(Q12=0,100%,R12/Q12))</f>
        <v xml:space="preserve"> -</v>
      </c>
    </row>
    <row r="13" spans="2:20" ht="45">
      <c r="B13" s="143"/>
      <c r="C13" s="140"/>
      <c r="D13" s="137"/>
      <c r="E13" s="43">
        <v>42736</v>
      </c>
      <c r="F13" s="43">
        <v>43100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135">
        <v>5.8</v>
      </c>
      <c r="L13" s="40">
        <f>+J13/K13</f>
        <v>137.93103448275863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8" t="s">
        <v>57</v>
      </c>
      <c r="P13" s="33">
        <v>647520</v>
      </c>
      <c r="Q13" s="33">
        <v>619748</v>
      </c>
      <c r="R13" s="33">
        <v>0</v>
      </c>
      <c r="S13" s="19">
        <f t="shared" ref="S13:S21" si="2">IF(P13=0," -",Q13/P13)</f>
        <v>0.95711020509019029</v>
      </c>
      <c r="T13" s="24" t="str">
        <f t="shared" ref="T13:T21" si="3">IF(R13=0," -",IF(Q13=0,100%,R13/Q13))</f>
        <v xml:space="preserve"> -</v>
      </c>
    </row>
    <row r="14" spans="2:20" ht="45">
      <c r="B14" s="143"/>
      <c r="C14" s="140"/>
      <c r="D14" s="137"/>
      <c r="E14" s="43">
        <v>42736</v>
      </c>
      <c r="F14" s="43">
        <v>43100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>
        <v>10</v>
      </c>
      <c r="L14" s="40">
        <f t="shared" ref="L14:L15" si="4">+J14/K14</f>
        <v>40</v>
      </c>
      <c r="M14" s="30">
        <f t="shared" si="0"/>
        <v>1</v>
      </c>
      <c r="N14" s="24">
        <f t="shared" si="1"/>
        <v>1</v>
      </c>
      <c r="O14" s="58" t="s">
        <v>57</v>
      </c>
      <c r="P14" s="33">
        <v>647520</v>
      </c>
      <c r="Q14" s="33">
        <v>619748</v>
      </c>
      <c r="R14" s="33">
        <v>0</v>
      </c>
      <c r="S14" s="19">
        <f t="shared" si="2"/>
        <v>0.95711020509019029</v>
      </c>
      <c r="T14" s="24" t="str">
        <f t="shared" si="3"/>
        <v xml:space="preserve"> -</v>
      </c>
    </row>
    <row r="15" spans="2:20" ht="45">
      <c r="B15" s="143"/>
      <c r="C15" s="140"/>
      <c r="D15" s="137"/>
      <c r="E15" s="43">
        <v>42736</v>
      </c>
      <c r="F15" s="43">
        <v>43100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>
        <v>15</v>
      </c>
      <c r="L15" s="40">
        <f t="shared" si="4"/>
        <v>133.33333333333334</v>
      </c>
      <c r="M15" s="30">
        <f t="shared" si="0"/>
        <v>1</v>
      </c>
      <c r="N15" s="24">
        <f t="shared" si="1"/>
        <v>1</v>
      </c>
      <c r="O15" s="58" t="s">
        <v>57</v>
      </c>
      <c r="P15" s="33">
        <v>647520</v>
      </c>
      <c r="Q15" s="33">
        <v>619748</v>
      </c>
      <c r="R15" s="33">
        <v>0</v>
      </c>
      <c r="S15" s="19">
        <f t="shared" si="2"/>
        <v>0.95711020509019029</v>
      </c>
      <c r="T15" s="24" t="str">
        <f t="shared" si="3"/>
        <v xml:space="preserve"> -</v>
      </c>
    </row>
    <row r="16" spans="2:20" ht="45">
      <c r="B16" s="143"/>
      <c r="C16" s="140"/>
      <c r="D16" s="137"/>
      <c r="E16" s="43">
        <v>42736</v>
      </c>
      <c r="F16" s="43">
        <v>43100</v>
      </c>
      <c r="G16" s="9" t="s">
        <v>31</v>
      </c>
      <c r="H16" s="11">
        <v>1</v>
      </c>
      <c r="I16" s="56">
        <f>+J16</f>
        <v>1</v>
      </c>
      <c r="J16" s="19">
        <v>1</v>
      </c>
      <c r="K16" s="24">
        <v>1</v>
      </c>
      <c r="L16" s="40">
        <f t="shared" ref="L16:L20" si="5">+K16/J16</f>
        <v>1</v>
      </c>
      <c r="M16" s="30">
        <f t="shared" si="0"/>
        <v>1</v>
      </c>
      <c r="N16" s="24">
        <f t="shared" si="1"/>
        <v>1</v>
      </c>
      <c r="O16" s="58" t="s">
        <v>58</v>
      </c>
      <c r="P16" s="33">
        <v>5507693</v>
      </c>
      <c r="Q16" s="33">
        <v>5470710</v>
      </c>
      <c r="R16" s="33">
        <v>0</v>
      </c>
      <c r="S16" s="19">
        <f t="shared" si="2"/>
        <v>0.99328521034124451</v>
      </c>
      <c r="T16" s="24" t="str">
        <f t="shared" si="3"/>
        <v xml:space="preserve"> -</v>
      </c>
    </row>
    <row r="17" spans="2:20" ht="30">
      <c r="B17" s="143"/>
      <c r="C17" s="140"/>
      <c r="D17" s="137"/>
      <c r="E17" s="43">
        <v>42736</v>
      </c>
      <c r="F17" s="43">
        <v>43100</v>
      </c>
      <c r="G17" s="9" t="s">
        <v>32</v>
      </c>
      <c r="H17" s="10">
        <v>1200</v>
      </c>
      <c r="I17" s="51">
        <f>+J17+('2016'!I17-'2016'!K17)</f>
        <v>317</v>
      </c>
      <c r="J17" s="33">
        <v>300</v>
      </c>
      <c r="K17" s="53">
        <v>1289</v>
      </c>
      <c r="L17" s="40">
        <f t="shared" si="5"/>
        <v>4.2966666666666669</v>
      </c>
      <c r="M17" s="30">
        <f t="shared" si="0"/>
        <v>1</v>
      </c>
      <c r="N17" s="24">
        <f t="shared" si="1"/>
        <v>1</v>
      </c>
      <c r="O17" s="58" t="s">
        <v>59</v>
      </c>
      <c r="P17" s="33">
        <v>0</v>
      </c>
      <c r="Q17" s="33">
        <v>0</v>
      </c>
      <c r="R17" s="33">
        <v>0</v>
      </c>
      <c r="S17" s="19" t="str">
        <f t="shared" si="2"/>
        <v xml:space="preserve"> -</v>
      </c>
      <c r="T17" s="24" t="str">
        <f t="shared" si="3"/>
        <v xml:space="preserve"> -</v>
      </c>
    </row>
    <row r="18" spans="2:20" ht="30">
      <c r="B18" s="143"/>
      <c r="C18" s="140"/>
      <c r="D18" s="137"/>
      <c r="E18" s="43">
        <v>42736</v>
      </c>
      <c r="F18" s="43">
        <v>43100</v>
      </c>
      <c r="G18" s="9" t="s">
        <v>33</v>
      </c>
      <c r="H18" s="10">
        <v>300</v>
      </c>
      <c r="I18" s="51">
        <f>+J18+('2016'!I18-'2016'!K18)</f>
        <v>114</v>
      </c>
      <c r="J18" s="33">
        <v>75</v>
      </c>
      <c r="K18" s="53">
        <v>1073</v>
      </c>
      <c r="L18" s="40">
        <f t="shared" si="5"/>
        <v>14.306666666666667</v>
      </c>
      <c r="M18" s="30">
        <f t="shared" si="0"/>
        <v>1</v>
      </c>
      <c r="N18" s="24">
        <f t="shared" si="1"/>
        <v>1</v>
      </c>
      <c r="O18" s="58" t="s">
        <v>59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>
      <c r="B19" s="143"/>
      <c r="C19" s="140"/>
      <c r="D19" s="137"/>
      <c r="E19" s="43">
        <v>42736</v>
      </c>
      <c r="F19" s="43">
        <v>43100</v>
      </c>
      <c r="G19" s="9" t="s">
        <v>34</v>
      </c>
      <c r="H19" s="10">
        <v>10000</v>
      </c>
      <c r="I19" s="51">
        <f>+J19+('2016'!I19-'2016'!K19)</f>
        <v>2206</v>
      </c>
      <c r="J19" s="33">
        <v>2500</v>
      </c>
      <c r="K19" s="53">
        <v>5714</v>
      </c>
      <c r="L19" s="40">
        <f t="shared" si="5"/>
        <v>2.2856000000000001</v>
      </c>
      <c r="M19" s="30">
        <f t="shared" si="0"/>
        <v>1</v>
      </c>
      <c r="N19" s="24">
        <f t="shared" si="1"/>
        <v>1</v>
      </c>
      <c r="O19" s="58" t="s">
        <v>60</v>
      </c>
      <c r="P19" s="33">
        <v>0</v>
      </c>
      <c r="Q19" s="33">
        <v>0</v>
      </c>
      <c r="R19" s="33">
        <v>0</v>
      </c>
      <c r="S19" s="19" t="str">
        <f t="shared" si="2"/>
        <v xml:space="preserve"> -</v>
      </c>
      <c r="T19" s="24" t="str">
        <f t="shared" si="3"/>
        <v xml:space="preserve"> -</v>
      </c>
    </row>
    <row r="20" spans="2:20" ht="31" thickBot="1">
      <c r="B20" s="144"/>
      <c r="C20" s="141"/>
      <c r="D20" s="138"/>
      <c r="E20" s="44">
        <v>42736</v>
      </c>
      <c r="F20" s="44">
        <v>43100</v>
      </c>
      <c r="G20" s="25" t="s">
        <v>35</v>
      </c>
      <c r="H20" s="26">
        <v>314000</v>
      </c>
      <c r="I20" s="54">
        <f>+J20+('2016'!I20-'2016'!K20)</f>
        <v>23055</v>
      </c>
      <c r="J20" s="34">
        <v>78000</v>
      </c>
      <c r="K20" s="55">
        <v>134777</v>
      </c>
      <c r="L20" s="41">
        <f t="shared" si="5"/>
        <v>1.7279102564102564</v>
      </c>
      <c r="M20" s="31">
        <f t="shared" si="0"/>
        <v>1</v>
      </c>
      <c r="N20" s="28">
        <f t="shared" si="1"/>
        <v>1</v>
      </c>
      <c r="O20" s="59" t="s">
        <v>61</v>
      </c>
      <c r="P20" s="34">
        <v>33278</v>
      </c>
      <c r="Q20" s="34">
        <v>7541</v>
      </c>
      <c r="R20" s="34">
        <v>0</v>
      </c>
      <c r="S20" s="27">
        <f t="shared" si="2"/>
        <v>0.22660616623595167</v>
      </c>
      <c r="T20" s="28" t="str">
        <f t="shared" si="3"/>
        <v xml:space="preserve"> -</v>
      </c>
    </row>
    <row r="21" spans="2:20" ht="21" customHeight="1" thickBot="1">
      <c r="M21" s="45">
        <f>+AVERAGE(M12:M20)</f>
        <v>1</v>
      </c>
      <c r="N21" s="46">
        <f>+AVERAGE(N12:N20)</f>
        <v>1</v>
      </c>
      <c r="P21" s="47">
        <f>+SUM(P12:P20)</f>
        <v>11256417</v>
      </c>
      <c r="Q21" s="48">
        <f>+SUM(Q12:Q20)</f>
        <v>8389970</v>
      </c>
      <c r="R21" s="48">
        <f>+SUM(R12:R20)</f>
        <v>0</v>
      </c>
      <c r="S21" s="49">
        <f t="shared" si="2"/>
        <v>0.74534996349193527</v>
      </c>
      <c r="T21" s="46" t="str">
        <f t="shared" si="3"/>
        <v xml:space="preserve"> -</v>
      </c>
    </row>
    <row r="29" spans="2:20">
      <c r="G29" s="50"/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0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0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43434</v>
      </c>
      <c r="D8" s="146" t="s">
        <v>3</v>
      </c>
      <c r="E8" s="147"/>
      <c r="F8" s="147"/>
      <c r="G8" s="147"/>
      <c r="H8" s="147"/>
      <c r="I8" s="147"/>
      <c r="J8" s="147"/>
      <c r="K8" s="14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9" t="s">
        <v>17</v>
      </c>
      <c r="C9" s="152" t="s">
        <v>18</v>
      </c>
      <c r="D9" s="154" t="s">
        <v>0</v>
      </c>
      <c r="E9" s="157" t="s">
        <v>4</v>
      </c>
      <c r="F9" s="157"/>
      <c r="G9" s="157" t="s">
        <v>5</v>
      </c>
      <c r="H9" s="157"/>
      <c r="I9" s="157"/>
      <c r="J9" s="157"/>
      <c r="K9" s="159"/>
      <c r="L9" s="5"/>
      <c r="M9" s="154" t="s">
        <v>6</v>
      </c>
      <c r="N9" s="159"/>
      <c r="O9" s="169" t="s">
        <v>24</v>
      </c>
      <c r="P9" s="170"/>
      <c r="Q9" s="170"/>
      <c r="R9" s="170"/>
      <c r="S9" s="170"/>
      <c r="T9" s="171"/>
    </row>
    <row r="10" spans="2:20" ht="17" customHeight="1">
      <c r="B10" s="150"/>
      <c r="C10" s="153"/>
      <c r="D10" s="155"/>
      <c r="E10" s="158"/>
      <c r="F10" s="158"/>
      <c r="G10" s="158" t="s">
        <v>7</v>
      </c>
      <c r="H10" s="162" t="s">
        <v>25</v>
      </c>
      <c r="I10" s="162" t="s">
        <v>26</v>
      </c>
      <c r="J10" s="163" t="s">
        <v>1</v>
      </c>
      <c r="K10" s="160" t="s">
        <v>8</v>
      </c>
      <c r="L10" s="6"/>
      <c r="M10" s="165" t="s">
        <v>9</v>
      </c>
      <c r="N10" s="167" t="s">
        <v>10</v>
      </c>
      <c r="O10" s="172"/>
      <c r="P10" s="173"/>
      <c r="Q10" s="173"/>
      <c r="R10" s="173"/>
      <c r="S10" s="173"/>
      <c r="T10" s="174"/>
    </row>
    <row r="11" spans="2:20" ht="37.5" customHeight="1" thickBot="1">
      <c r="B11" s="151"/>
      <c r="C11" s="153"/>
      <c r="D11" s="156"/>
      <c r="E11" s="12" t="s">
        <v>11</v>
      </c>
      <c r="F11" s="12" t="s">
        <v>12</v>
      </c>
      <c r="G11" s="162"/>
      <c r="H11" s="175"/>
      <c r="I11" s="175"/>
      <c r="J11" s="164"/>
      <c r="K11" s="161"/>
      <c r="L11" s="13"/>
      <c r="M11" s="166"/>
      <c r="N11" s="168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2" t="s">
        <v>38</v>
      </c>
      <c r="C12" s="139" t="s">
        <v>36</v>
      </c>
      <c r="D12" s="136" t="s">
        <v>37</v>
      </c>
      <c r="E12" s="42">
        <v>43101</v>
      </c>
      <c r="F12" s="42">
        <v>43465</v>
      </c>
      <c r="G12" s="20" t="s">
        <v>27</v>
      </c>
      <c r="H12" s="21">
        <v>5</v>
      </c>
      <c r="I12" s="32">
        <f>+J12+('2017'!I12-'2017'!K12)</f>
        <v>1</v>
      </c>
      <c r="J12" s="32">
        <v>1</v>
      </c>
      <c r="K12" s="52">
        <v>1.1000000000000001</v>
      </c>
      <c r="L12" s="39">
        <f>+K12/J12</f>
        <v>1.1000000000000001</v>
      </c>
      <c r="M12" s="29">
        <f>DAYS360(E12,$C$8)/DAYS360(E12,F12)</f>
        <v>0.91388888888888886</v>
      </c>
      <c r="N12" s="23">
        <f>IF(J12=0," -",IF(L12&gt;100%,100%,L12))</f>
        <v>1</v>
      </c>
      <c r="O12" s="57" t="s">
        <v>56</v>
      </c>
      <c r="P12" s="32">
        <v>2425000</v>
      </c>
      <c r="Q12" s="32">
        <v>784503</v>
      </c>
      <c r="R12" s="32">
        <v>0</v>
      </c>
      <c r="S12" s="22">
        <f>IF(P12=0," -",Q12/P12)</f>
        <v>0.32350639175257734</v>
      </c>
      <c r="T12" s="23" t="str">
        <f>IF(R12=0," -",IF(Q12=0,100%,R12/Q12))</f>
        <v xml:space="preserve"> -</v>
      </c>
    </row>
    <row r="13" spans="2:20" ht="45">
      <c r="B13" s="143"/>
      <c r="C13" s="140"/>
      <c r="D13" s="137"/>
      <c r="E13" s="43">
        <v>43101</v>
      </c>
      <c r="F13" s="43">
        <v>43465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53">
        <v>16.7</v>
      </c>
      <c r="L13" s="40">
        <f>+J13/K13</f>
        <v>47.904191616766468</v>
      </c>
      <c r="M13" s="30">
        <f t="shared" ref="M13:M20" si="0">DAYS360(E13,$C$8)/DAYS360(E13,F13)</f>
        <v>0.91388888888888886</v>
      </c>
      <c r="N13" s="24">
        <f t="shared" ref="N13:N20" si="1">IF(J13=0," -",IF(L13&gt;100%,100%,L13))</f>
        <v>1</v>
      </c>
      <c r="O13" s="58" t="s">
        <v>57</v>
      </c>
      <c r="P13" s="33">
        <v>713890</v>
      </c>
      <c r="Q13" s="33">
        <v>695668</v>
      </c>
      <c r="R13" s="33">
        <v>0</v>
      </c>
      <c r="S13" s="19">
        <f t="shared" ref="S13:S21" si="2">IF(P13=0," -",Q13/P13)</f>
        <v>0.97447505918278732</v>
      </c>
      <c r="T13" s="24" t="str">
        <f t="shared" ref="T13:T21" si="3">IF(R13=0," -",IF(Q13=0,100%,R13/Q13))</f>
        <v xml:space="preserve"> -</v>
      </c>
    </row>
    <row r="14" spans="2:20" ht="45">
      <c r="B14" s="143"/>
      <c r="C14" s="140"/>
      <c r="D14" s="137"/>
      <c r="E14" s="43">
        <v>43101</v>
      </c>
      <c r="F14" s="43">
        <v>43465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>
        <v>6</v>
      </c>
      <c r="L14" s="40">
        <f t="shared" ref="L14:L15" si="4">+J14/K14</f>
        <v>66.666666666666671</v>
      </c>
      <c r="M14" s="30">
        <f t="shared" si="0"/>
        <v>0.91388888888888886</v>
      </c>
      <c r="N14" s="24">
        <f t="shared" si="1"/>
        <v>1</v>
      </c>
      <c r="O14" s="58" t="s">
        <v>57</v>
      </c>
      <c r="P14" s="33">
        <v>713890</v>
      </c>
      <c r="Q14" s="33">
        <v>695668</v>
      </c>
      <c r="R14" s="33">
        <v>0</v>
      </c>
      <c r="S14" s="19">
        <f t="shared" si="2"/>
        <v>0.97447505918278732</v>
      </c>
      <c r="T14" s="24" t="str">
        <f t="shared" si="3"/>
        <v xml:space="preserve"> -</v>
      </c>
    </row>
    <row r="15" spans="2:20" ht="45">
      <c r="B15" s="143"/>
      <c r="C15" s="140"/>
      <c r="D15" s="137"/>
      <c r="E15" s="43">
        <v>43101</v>
      </c>
      <c r="F15" s="43">
        <v>43465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>
        <v>22.3</v>
      </c>
      <c r="L15" s="40">
        <f t="shared" si="4"/>
        <v>89.686098654708516</v>
      </c>
      <c r="M15" s="30">
        <f t="shared" si="0"/>
        <v>0.91388888888888886</v>
      </c>
      <c r="N15" s="24">
        <f t="shared" si="1"/>
        <v>1</v>
      </c>
      <c r="O15" s="58" t="s">
        <v>57</v>
      </c>
      <c r="P15" s="33">
        <v>713890</v>
      </c>
      <c r="Q15" s="33">
        <v>695668</v>
      </c>
      <c r="R15" s="33">
        <v>0</v>
      </c>
      <c r="S15" s="19">
        <f t="shared" si="2"/>
        <v>0.97447505918278732</v>
      </c>
      <c r="T15" s="24" t="str">
        <f t="shared" si="3"/>
        <v xml:space="preserve"> -</v>
      </c>
    </row>
    <row r="16" spans="2:20" ht="45">
      <c r="B16" s="143"/>
      <c r="C16" s="140"/>
      <c r="D16" s="137"/>
      <c r="E16" s="43">
        <v>43101</v>
      </c>
      <c r="F16" s="43">
        <v>43465</v>
      </c>
      <c r="G16" s="9" t="s">
        <v>31</v>
      </c>
      <c r="H16" s="11">
        <v>1</v>
      </c>
      <c r="I16" s="56">
        <f>+J16</f>
        <v>0</v>
      </c>
      <c r="J16" s="19">
        <v>0</v>
      </c>
      <c r="K16" s="24">
        <v>1</v>
      </c>
      <c r="L16" s="40" t="e">
        <f t="shared" ref="L16:L20" si="5">+K16/J16</f>
        <v>#DIV/0!</v>
      </c>
      <c r="M16" s="30">
        <f t="shared" si="0"/>
        <v>0.91388888888888886</v>
      </c>
      <c r="N16" s="24" t="str">
        <f t="shared" si="1"/>
        <v xml:space="preserve"> -</v>
      </c>
      <c r="O16" s="58" t="s">
        <v>58</v>
      </c>
      <c r="P16" s="33">
        <v>6200000</v>
      </c>
      <c r="Q16" s="33">
        <v>6000000</v>
      </c>
      <c r="R16" s="33">
        <v>0</v>
      </c>
      <c r="S16" s="19">
        <f t="shared" si="2"/>
        <v>0.967741935483871</v>
      </c>
      <c r="T16" s="24" t="str">
        <f t="shared" si="3"/>
        <v xml:space="preserve"> -</v>
      </c>
    </row>
    <row r="17" spans="2:20" ht="30">
      <c r="B17" s="143"/>
      <c r="C17" s="140"/>
      <c r="D17" s="137"/>
      <c r="E17" s="43">
        <v>43101</v>
      </c>
      <c r="F17" s="43">
        <v>43465</v>
      </c>
      <c r="G17" s="9" t="s">
        <v>32</v>
      </c>
      <c r="H17" s="10">
        <v>1200</v>
      </c>
      <c r="I17" s="51">
        <f>+J17+('2017'!I17-'2017'!K17)</f>
        <v>-572</v>
      </c>
      <c r="J17" s="33">
        <v>400</v>
      </c>
      <c r="K17" s="53">
        <v>0</v>
      </c>
      <c r="L17" s="40">
        <f t="shared" si="5"/>
        <v>0</v>
      </c>
      <c r="M17" s="30">
        <f t="shared" si="0"/>
        <v>0.91388888888888886</v>
      </c>
      <c r="N17" s="24">
        <f t="shared" si="1"/>
        <v>0</v>
      </c>
      <c r="O17" s="58" t="s">
        <v>59</v>
      </c>
      <c r="P17" s="33">
        <v>100000</v>
      </c>
      <c r="Q17" s="33">
        <v>0</v>
      </c>
      <c r="R17" s="33">
        <v>0</v>
      </c>
      <c r="S17" s="19">
        <f t="shared" si="2"/>
        <v>0</v>
      </c>
      <c r="T17" s="24" t="str">
        <f t="shared" si="3"/>
        <v xml:space="preserve"> -</v>
      </c>
    </row>
    <row r="18" spans="2:20" ht="30">
      <c r="B18" s="143"/>
      <c r="C18" s="140"/>
      <c r="D18" s="137"/>
      <c r="E18" s="43">
        <v>43101</v>
      </c>
      <c r="F18" s="43">
        <v>43465</v>
      </c>
      <c r="G18" s="9" t="s">
        <v>33</v>
      </c>
      <c r="H18" s="10">
        <v>300</v>
      </c>
      <c r="I18" s="51">
        <f>+J18+('2017'!I18-'2017'!K18)</f>
        <v>-884</v>
      </c>
      <c r="J18" s="33">
        <v>75</v>
      </c>
      <c r="K18" s="53">
        <v>0</v>
      </c>
      <c r="L18" s="40">
        <f t="shared" si="5"/>
        <v>0</v>
      </c>
      <c r="M18" s="30">
        <f t="shared" si="0"/>
        <v>0.91388888888888886</v>
      </c>
      <c r="N18" s="24">
        <f t="shared" si="1"/>
        <v>0</v>
      </c>
      <c r="O18" s="58" t="s">
        <v>59</v>
      </c>
      <c r="P18" s="33">
        <v>100000</v>
      </c>
      <c r="Q18" s="33">
        <v>0</v>
      </c>
      <c r="R18" s="33">
        <v>0</v>
      </c>
      <c r="S18" s="19">
        <f t="shared" si="2"/>
        <v>0</v>
      </c>
      <c r="T18" s="24" t="str">
        <f t="shared" si="3"/>
        <v xml:space="preserve"> -</v>
      </c>
    </row>
    <row r="19" spans="2:20" ht="30">
      <c r="B19" s="143"/>
      <c r="C19" s="140"/>
      <c r="D19" s="137"/>
      <c r="E19" s="43">
        <v>43101</v>
      </c>
      <c r="F19" s="43">
        <v>43465</v>
      </c>
      <c r="G19" s="9" t="s">
        <v>34</v>
      </c>
      <c r="H19" s="10">
        <v>10000</v>
      </c>
      <c r="I19" s="51">
        <f>+J19+('2017'!I19-'2017'!K19)</f>
        <v>-1008</v>
      </c>
      <c r="J19" s="33">
        <v>2500</v>
      </c>
      <c r="K19" s="53">
        <v>487</v>
      </c>
      <c r="L19" s="40">
        <f t="shared" si="5"/>
        <v>0.1948</v>
      </c>
      <c r="M19" s="30">
        <f t="shared" si="0"/>
        <v>0.91388888888888886</v>
      </c>
      <c r="N19" s="24">
        <f t="shared" si="1"/>
        <v>0.1948</v>
      </c>
      <c r="O19" s="58" t="s">
        <v>60</v>
      </c>
      <c r="P19" s="33">
        <v>3043417</v>
      </c>
      <c r="Q19" s="33">
        <v>2284618</v>
      </c>
      <c r="R19" s="33">
        <v>0</v>
      </c>
      <c r="S19" s="19">
        <f t="shared" si="2"/>
        <v>0.75067531002159749</v>
      </c>
      <c r="T19" s="24" t="str">
        <f t="shared" si="3"/>
        <v xml:space="preserve"> -</v>
      </c>
    </row>
    <row r="20" spans="2:20" ht="31" thickBot="1">
      <c r="B20" s="144"/>
      <c r="C20" s="141"/>
      <c r="D20" s="138"/>
      <c r="E20" s="44">
        <v>43101</v>
      </c>
      <c r="F20" s="44">
        <v>43465</v>
      </c>
      <c r="G20" s="25" t="s">
        <v>35</v>
      </c>
      <c r="H20" s="26">
        <v>314000</v>
      </c>
      <c r="I20" s="54">
        <f>+J20+('2017'!I20-'2017'!K20)</f>
        <v>-32722</v>
      </c>
      <c r="J20" s="34">
        <v>79000</v>
      </c>
      <c r="K20" s="55">
        <v>76778</v>
      </c>
      <c r="L20" s="41">
        <f t="shared" si="5"/>
        <v>0.97187341772151903</v>
      </c>
      <c r="M20" s="31">
        <f t="shared" si="0"/>
        <v>0.91388888888888886</v>
      </c>
      <c r="N20" s="28">
        <f t="shared" si="1"/>
        <v>0.97187341772151903</v>
      </c>
      <c r="O20" s="59" t="s">
        <v>61</v>
      </c>
      <c r="P20" s="34">
        <v>122000</v>
      </c>
      <c r="Q20" s="34">
        <v>3492</v>
      </c>
      <c r="R20" s="34">
        <v>0</v>
      </c>
      <c r="S20" s="27">
        <f t="shared" si="2"/>
        <v>2.862295081967213E-2</v>
      </c>
      <c r="T20" s="28" t="str">
        <f t="shared" si="3"/>
        <v xml:space="preserve"> -</v>
      </c>
    </row>
    <row r="21" spans="2:20" ht="21" customHeight="1" thickBot="1">
      <c r="M21" s="45">
        <f>+AVERAGE(M12:M20)</f>
        <v>0.91388888888888886</v>
      </c>
      <c r="N21" s="46">
        <f>+AVERAGE(N12:N20)</f>
        <v>0.64583417721518988</v>
      </c>
      <c r="P21" s="47">
        <f>+SUM(P12:P20)</f>
        <v>14132087</v>
      </c>
      <c r="Q21" s="48">
        <f>+SUM(Q12:Q20)</f>
        <v>11159617</v>
      </c>
      <c r="R21" s="48">
        <f>+SUM(R12:R20)</f>
        <v>0</v>
      </c>
      <c r="S21" s="49">
        <f t="shared" si="2"/>
        <v>0.78966517825711091</v>
      </c>
      <c r="T21" s="46" t="str">
        <f t="shared" si="3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0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0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/>
      <c r="D8" s="146" t="s">
        <v>3</v>
      </c>
      <c r="E8" s="147"/>
      <c r="F8" s="147"/>
      <c r="G8" s="147"/>
      <c r="H8" s="147"/>
      <c r="I8" s="147"/>
      <c r="J8" s="147"/>
      <c r="K8" s="14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49" t="s">
        <v>17</v>
      </c>
      <c r="C9" s="152" t="s">
        <v>18</v>
      </c>
      <c r="D9" s="154" t="s">
        <v>0</v>
      </c>
      <c r="E9" s="157" t="s">
        <v>4</v>
      </c>
      <c r="F9" s="157"/>
      <c r="G9" s="157" t="s">
        <v>5</v>
      </c>
      <c r="H9" s="157"/>
      <c r="I9" s="157"/>
      <c r="J9" s="157"/>
      <c r="K9" s="159"/>
      <c r="L9" s="5"/>
      <c r="M9" s="154" t="s">
        <v>6</v>
      </c>
      <c r="N9" s="159"/>
      <c r="O9" s="169" t="s">
        <v>24</v>
      </c>
      <c r="P9" s="170"/>
      <c r="Q9" s="170"/>
      <c r="R9" s="170"/>
      <c r="S9" s="170"/>
      <c r="T9" s="171"/>
    </row>
    <row r="10" spans="2:20" ht="17" customHeight="1">
      <c r="B10" s="150"/>
      <c r="C10" s="153"/>
      <c r="D10" s="155"/>
      <c r="E10" s="158"/>
      <c r="F10" s="158"/>
      <c r="G10" s="158" t="s">
        <v>7</v>
      </c>
      <c r="H10" s="162" t="s">
        <v>25</v>
      </c>
      <c r="I10" s="162" t="s">
        <v>26</v>
      </c>
      <c r="J10" s="163" t="s">
        <v>1</v>
      </c>
      <c r="K10" s="160" t="s">
        <v>8</v>
      </c>
      <c r="L10" s="6"/>
      <c r="M10" s="165" t="s">
        <v>9</v>
      </c>
      <c r="N10" s="167" t="s">
        <v>10</v>
      </c>
      <c r="O10" s="172"/>
      <c r="P10" s="173"/>
      <c r="Q10" s="173"/>
      <c r="R10" s="173"/>
      <c r="S10" s="173"/>
      <c r="T10" s="174"/>
    </row>
    <row r="11" spans="2:20" ht="37.5" customHeight="1" thickBot="1">
      <c r="B11" s="151"/>
      <c r="C11" s="153"/>
      <c r="D11" s="156"/>
      <c r="E11" s="12" t="s">
        <v>11</v>
      </c>
      <c r="F11" s="12" t="s">
        <v>12</v>
      </c>
      <c r="G11" s="162"/>
      <c r="H11" s="175"/>
      <c r="I11" s="176"/>
      <c r="J11" s="164"/>
      <c r="K11" s="161"/>
      <c r="L11" s="13"/>
      <c r="M11" s="166"/>
      <c r="N11" s="168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2" t="s">
        <v>38</v>
      </c>
      <c r="C12" s="139" t="s">
        <v>36</v>
      </c>
      <c r="D12" s="136" t="s">
        <v>37</v>
      </c>
      <c r="E12" s="42">
        <v>43466</v>
      </c>
      <c r="F12" s="42">
        <v>43830</v>
      </c>
      <c r="G12" s="20" t="s">
        <v>27</v>
      </c>
      <c r="H12" s="21">
        <v>5</v>
      </c>
      <c r="I12" s="51">
        <f>+J12+('2018'!I12-'2018'!K12)</f>
        <v>1.9</v>
      </c>
      <c r="J12" s="32">
        <v>2</v>
      </c>
      <c r="K12" s="35"/>
      <c r="L12" s="39">
        <f>+K12/J12</f>
        <v>0</v>
      </c>
      <c r="M12" s="29">
        <f>DAYS360(E12,$C$8)/DAYS360(E12,F12)</f>
        <v>-119.00277777777778</v>
      </c>
      <c r="N12" s="23">
        <f>IF(J12=0," -",IF(L12&gt;100%,100%,L12))</f>
        <v>0</v>
      </c>
      <c r="O12" s="57" t="s">
        <v>56</v>
      </c>
      <c r="P12" s="32">
        <v>1200000</v>
      </c>
      <c r="Q12" s="32"/>
      <c r="R12" s="32"/>
      <c r="S12" s="22">
        <f>IF(P12=0," -",Q12/P12)</f>
        <v>0</v>
      </c>
      <c r="T12" s="23" t="str">
        <f>IF(R12=0," -",IF(Q12=0,100%,R12/Q12))</f>
        <v xml:space="preserve"> -</v>
      </c>
    </row>
    <row r="13" spans="2:20" ht="45">
      <c r="B13" s="143"/>
      <c r="C13" s="140"/>
      <c r="D13" s="137"/>
      <c r="E13" s="43">
        <v>43466</v>
      </c>
      <c r="F13" s="43">
        <v>43830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53"/>
      <c r="L13" s="40" t="e">
        <f>+J13/K13</f>
        <v>#DIV/0!</v>
      </c>
      <c r="M13" s="30">
        <f t="shared" ref="M13:M20" si="0">DAYS360(E13,$C$8)/DAYS360(E13,F13)</f>
        <v>-119.00277777777778</v>
      </c>
      <c r="N13" s="24" t="e">
        <f t="shared" ref="N13:N20" si="1">IF(J13=0," -",IF(L13&gt;100%,100%,L13))</f>
        <v>#DIV/0!</v>
      </c>
      <c r="O13" s="58" t="s">
        <v>57</v>
      </c>
      <c r="P13" s="33">
        <v>540000</v>
      </c>
      <c r="Q13" s="33"/>
      <c r="R13" s="33"/>
      <c r="S13" s="19">
        <f t="shared" ref="S13:S21" si="2">IF(P13=0," -",Q13/P13)</f>
        <v>0</v>
      </c>
      <c r="T13" s="24" t="str">
        <f t="shared" ref="T13:T21" si="3">IF(R13=0," -",IF(Q13=0,100%,R13/Q13))</f>
        <v xml:space="preserve"> -</v>
      </c>
    </row>
    <row r="14" spans="2:20" ht="45">
      <c r="B14" s="143"/>
      <c r="C14" s="140"/>
      <c r="D14" s="137"/>
      <c r="E14" s="43">
        <v>43466</v>
      </c>
      <c r="F14" s="43">
        <v>43830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/>
      <c r="L14" s="40" t="e">
        <f t="shared" ref="L14:L15" si="4">+J14/K14</f>
        <v>#DIV/0!</v>
      </c>
      <c r="M14" s="30">
        <f t="shared" si="0"/>
        <v>-119.00277777777778</v>
      </c>
      <c r="N14" s="24" t="e">
        <f t="shared" si="1"/>
        <v>#DIV/0!</v>
      </c>
      <c r="O14" s="58" t="s">
        <v>57</v>
      </c>
      <c r="P14" s="33">
        <v>540000</v>
      </c>
      <c r="Q14" s="33"/>
      <c r="R14" s="33"/>
      <c r="S14" s="19">
        <f t="shared" si="2"/>
        <v>0</v>
      </c>
      <c r="T14" s="24" t="str">
        <f t="shared" si="3"/>
        <v xml:space="preserve"> -</v>
      </c>
    </row>
    <row r="15" spans="2:20" ht="45">
      <c r="B15" s="143"/>
      <c r="C15" s="140"/>
      <c r="D15" s="137"/>
      <c r="E15" s="43">
        <v>43466</v>
      </c>
      <c r="F15" s="43">
        <v>43830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/>
      <c r="L15" s="40" t="e">
        <f t="shared" si="4"/>
        <v>#DIV/0!</v>
      </c>
      <c r="M15" s="30">
        <f t="shared" si="0"/>
        <v>-119.00277777777778</v>
      </c>
      <c r="N15" s="24" t="e">
        <f t="shared" si="1"/>
        <v>#DIV/0!</v>
      </c>
      <c r="O15" s="58" t="s">
        <v>57</v>
      </c>
      <c r="P15" s="33">
        <v>540000</v>
      </c>
      <c r="Q15" s="33"/>
      <c r="R15" s="33"/>
      <c r="S15" s="19">
        <f t="shared" si="2"/>
        <v>0</v>
      </c>
      <c r="T15" s="24" t="str">
        <f t="shared" si="3"/>
        <v xml:space="preserve"> -</v>
      </c>
    </row>
    <row r="16" spans="2:20" ht="45">
      <c r="B16" s="143"/>
      <c r="C16" s="140"/>
      <c r="D16" s="137"/>
      <c r="E16" s="43">
        <v>43466</v>
      </c>
      <c r="F16" s="43">
        <v>43830</v>
      </c>
      <c r="G16" s="9" t="s">
        <v>31</v>
      </c>
      <c r="H16" s="11">
        <v>1</v>
      </c>
      <c r="I16" s="56">
        <f>+J16</f>
        <v>0</v>
      </c>
      <c r="J16" s="19">
        <v>0</v>
      </c>
      <c r="K16" s="37"/>
      <c r="L16" s="40" t="e">
        <f t="shared" ref="L16:L20" si="5">+K16/J16</f>
        <v>#DIV/0!</v>
      </c>
      <c r="M16" s="30">
        <f t="shared" si="0"/>
        <v>-119.00277777777778</v>
      </c>
      <c r="N16" s="24" t="str">
        <f t="shared" si="1"/>
        <v xml:space="preserve"> -</v>
      </c>
      <c r="O16" s="58" t="s">
        <v>58</v>
      </c>
      <c r="P16" s="33">
        <v>0</v>
      </c>
      <c r="Q16" s="33"/>
      <c r="R16" s="33"/>
      <c r="S16" s="19" t="str">
        <f t="shared" si="2"/>
        <v xml:space="preserve"> -</v>
      </c>
      <c r="T16" s="24" t="str">
        <f t="shared" si="3"/>
        <v xml:space="preserve"> -</v>
      </c>
    </row>
    <row r="17" spans="2:20" ht="30">
      <c r="B17" s="143"/>
      <c r="C17" s="140"/>
      <c r="D17" s="137"/>
      <c r="E17" s="43">
        <v>43466</v>
      </c>
      <c r="F17" s="43">
        <v>43830</v>
      </c>
      <c r="G17" s="9" t="s">
        <v>32</v>
      </c>
      <c r="H17" s="10">
        <v>1200</v>
      </c>
      <c r="I17" s="51">
        <f>+J17+('2018'!I17-'2018'!K17)</f>
        <v>-272</v>
      </c>
      <c r="J17" s="33">
        <v>300</v>
      </c>
      <c r="K17" s="36"/>
      <c r="L17" s="40">
        <f t="shared" si="5"/>
        <v>0</v>
      </c>
      <c r="M17" s="30">
        <f t="shared" si="0"/>
        <v>-119.00277777777778</v>
      </c>
      <c r="N17" s="24">
        <f t="shared" si="1"/>
        <v>0</v>
      </c>
      <c r="O17" s="58" t="s">
        <v>59</v>
      </c>
      <c r="P17" s="33">
        <v>0</v>
      </c>
      <c r="Q17" s="33"/>
      <c r="R17" s="33"/>
      <c r="S17" s="19" t="str">
        <f t="shared" si="2"/>
        <v xml:space="preserve"> -</v>
      </c>
      <c r="T17" s="24" t="str">
        <f t="shared" si="3"/>
        <v xml:space="preserve"> -</v>
      </c>
    </row>
    <row r="18" spans="2:20" ht="30">
      <c r="B18" s="143"/>
      <c r="C18" s="140"/>
      <c r="D18" s="137"/>
      <c r="E18" s="43">
        <v>43466</v>
      </c>
      <c r="F18" s="43">
        <v>43830</v>
      </c>
      <c r="G18" s="9" t="s">
        <v>33</v>
      </c>
      <c r="H18" s="10">
        <v>300</v>
      </c>
      <c r="I18" s="51">
        <f>+J18+('2018'!I18-'2018'!K18)</f>
        <v>-809</v>
      </c>
      <c r="J18" s="33">
        <v>75</v>
      </c>
      <c r="K18" s="36"/>
      <c r="L18" s="40">
        <f t="shared" si="5"/>
        <v>0</v>
      </c>
      <c r="M18" s="30">
        <f t="shared" si="0"/>
        <v>-119.00277777777778</v>
      </c>
      <c r="N18" s="24">
        <f t="shared" si="1"/>
        <v>0</v>
      </c>
      <c r="O18" s="58" t="s">
        <v>59</v>
      </c>
      <c r="P18" s="33">
        <v>0</v>
      </c>
      <c r="Q18" s="33"/>
      <c r="R18" s="33"/>
      <c r="S18" s="19" t="str">
        <f t="shared" si="2"/>
        <v xml:space="preserve"> -</v>
      </c>
      <c r="T18" s="24" t="str">
        <f t="shared" si="3"/>
        <v xml:space="preserve"> -</v>
      </c>
    </row>
    <row r="19" spans="2:20" ht="30">
      <c r="B19" s="143"/>
      <c r="C19" s="140"/>
      <c r="D19" s="137"/>
      <c r="E19" s="43">
        <v>43466</v>
      </c>
      <c r="F19" s="43">
        <v>43830</v>
      </c>
      <c r="G19" s="9" t="s">
        <v>34</v>
      </c>
      <c r="H19" s="10">
        <v>10000</v>
      </c>
      <c r="I19" s="51">
        <f>+J19+('2018'!I19-'2018'!K19)</f>
        <v>1005</v>
      </c>
      <c r="J19" s="33">
        <v>2500</v>
      </c>
      <c r="K19" s="36"/>
      <c r="L19" s="40">
        <f t="shared" si="5"/>
        <v>0</v>
      </c>
      <c r="M19" s="30">
        <f t="shared" si="0"/>
        <v>-119.00277777777778</v>
      </c>
      <c r="N19" s="24">
        <f t="shared" si="1"/>
        <v>0</v>
      </c>
      <c r="O19" s="58" t="s">
        <v>60</v>
      </c>
      <c r="P19" s="33">
        <v>0</v>
      </c>
      <c r="Q19" s="33"/>
      <c r="R19" s="33"/>
      <c r="S19" s="19" t="str">
        <f t="shared" si="2"/>
        <v xml:space="preserve"> -</v>
      </c>
      <c r="T19" s="24" t="str">
        <f t="shared" si="3"/>
        <v xml:space="preserve"> -</v>
      </c>
    </row>
    <row r="20" spans="2:20" ht="31" thickBot="1">
      <c r="B20" s="144"/>
      <c r="C20" s="141"/>
      <c r="D20" s="138"/>
      <c r="E20" s="44">
        <v>43466</v>
      </c>
      <c r="F20" s="44">
        <v>43830</v>
      </c>
      <c r="G20" s="25" t="s">
        <v>35</v>
      </c>
      <c r="H20" s="26">
        <v>314000</v>
      </c>
      <c r="I20" s="34">
        <f>+J20+('2018'!I20-'2018'!K20)</f>
        <v>-29500</v>
      </c>
      <c r="J20" s="34">
        <v>80000</v>
      </c>
      <c r="K20" s="38"/>
      <c r="L20" s="41">
        <f t="shared" si="5"/>
        <v>0</v>
      </c>
      <c r="M20" s="31">
        <f t="shared" si="0"/>
        <v>-119.00277777777778</v>
      </c>
      <c r="N20" s="28">
        <f t="shared" si="1"/>
        <v>0</v>
      </c>
      <c r="O20" s="59" t="s">
        <v>61</v>
      </c>
      <c r="P20" s="34">
        <v>50000</v>
      </c>
      <c r="Q20" s="34"/>
      <c r="R20" s="34"/>
      <c r="S20" s="27">
        <f t="shared" si="2"/>
        <v>0</v>
      </c>
      <c r="T20" s="28" t="str">
        <f t="shared" si="3"/>
        <v xml:space="preserve"> -</v>
      </c>
    </row>
    <row r="21" spans="2:20" ht="21" customHeight="1" thickBot="1">
      <c r="M21" s="45">
        <f>+AVERAGE(M12:M20)</f>
        <v>-119.00277777777777</v>
      </c>
      <c r="N21" s="46" t="e">
        <f>+AVERAGE(N12:N20)</f>
        <v>#DIV/0!</v>
      </c>
      <c r="P21" s="47">
        <f>+SUM(P12:P20)</f>
        <v>2870000</v>
      </c>
      <c r="Q21" s="48">
        <f>+SUM(Q12:Q20)</f>
        <v>0</v>
      </c>
      <c r="R21" s="48">
        <f>+SUM(R12:R20)</f>
        <v>0</v>
      </c>
      <c r="S21" s="49">
        <f t="shared" si="2"/>
        <v>0</v>
      </c>
      <c r="T21" s="46" t="str">
        <f t="shared" si="3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1"/>
  <sheetViews>
    <sheetView workbookViewId="0">
      <selection activeCell="S14" sqref="S14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45" t="s">
        <v>16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2:25" ht="20" customHeight="1">
      <c r="B3" s="145" t="s">
        <v>19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2:25" ht="20" customHeight="1">
      <c r="B4" s="145" t="s">
        <v>39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40</v>
      </c>
      <c r="C8" s="8">
        <f>+'2018'!C8</f>
        <v>43434</v>
      </c>
      <c r="D8" s="146" t="s">
        <v>3</v>
      </c>
      <c r="E8" s="147"/>
      <c r="F8" s="147"/>
      <c r="G8" s="147"/>
      <c r="H8" s="181"/>
      <c r="I8" s="181"/>
      <c r="J8" s="181"/>
      <c r="K8" s="181"/>
      <c r="L8" s="181"/>
      <c r="M8" s="181"/>
      <c r="N8" s="14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49" t="s">
        <v>17</v>
      </c>
      <c r="C9" s="152" t="s">
        <v>18</v>
      </c>
      <c r="D9" s="154" t="s">
        <v>0</v>
      </c>
      <c r="E9" s="157" t="s">
        <v>5</v>
      </c>
      <c r="F9" s="157"/>
      <c r="G9" s="157"/>
      <c r="H9" s="182"/>
      <c r="I9" s="182"/>
      <c r="J9" s="182"/>
      <c r="K9" s="182"/>
      <c r="L9" s="182"/>
      <c r="M9" s="182"/>
      <c r="N9" s="159"/>
      <c r="O9" s="183" t="s">
        <v>41</v>
      </c>
      <c r="P9" s="184"/>
      <c r="Q9" s="184"/>
      <c r="R9" s="184"/>
      <c r="S9" s="185"/>
      <c r="T9" s="169" t="s">
        <v>42</v>
      </c>
      <c r="U9" s="170"/>
      <c r="V9" s="170"/>
      <c r="W9" s="170"/>
      <c r="X9" s="170"/>
      <c r="Y9" s="171"/>
    </row>
    <row r="10" spans="2:25" ht="17" customHeight="1">
      <c r="B10" s="150"/>
      <c r="C10" s="153"/>
      <c r="D10" s="155"/>
      <c r="E10" s="158" t="s">
        <v>7</v>
      </c>
      <c r="F10" s="162" t="s">
        <v>25</v>
      </c>
      <c r="G10" s="61" t="s">
        <v>1</v>
      </c>
      <c r="H10" s="63" t="s">
        <v>1</v>
      </c>
      <c r="I10" s="68" t="s">
        <v>1</v>
      </c>
      <c r="J10" s="68" t="s">
        <v>1</v>
      </c>
      <c r="K10" s="83" t="s">
        <v>8</v>
      </c>
      <c r="L10" s="68" t="s">
        <v>8</v>
      </c>
      <c r="M10" s="68" t="s">
        <v>8</v>
      </c>
      <c r="N10" s="62" t="s">
        <v>8</v>
      </c>
      <c r="O10" s="177">
        <v>2016</v>
      </c>
      <c r="P10" s="186">
        <v>2017</v>
      </c>
      <c r="Q10" s="188">
        <v>2018</v>
      </c>
      <c r="R10" s="190">
        <v>2019</v>
      </c>
      <c r="S10" s="179" t="s">
        <v>40</v>
      </c>
      <c r="T10" s="172"/>
      <c r="U10" s="173"/>
      <c r="V10" s="173"/>
      <c r="W10" s="173"/>
      <c r="X10" s="173"/>
      <c r="Y10" s="174"/>
    </row>
    <row r="11" spans="2:25" ht="37.5" customHeight="1" thickBot="1">
      <c r="B11" s="151"/>
      <c r="C11" s="153"/>
      <c r="D11" s="156"/>
      <c r="E11" s="162"/>
      <c r="F11" s="175"/>
      <c r="G11" s="64">
        <v>2016</v>
      </c>
      <c r="H11" s="84">
        <v>2017</v>
      </c>
      <c r="I11" s="69">
        <v>2018</v>
      </c>
      <c r="J11" s="69">
        <v>2019</v>
      </c>
      <c r="K11" s="85">
        <v>2016</v>
      </c>
      <c r="L11" s="84">
        <v>2017</v>
      </c>
      <c r="M11" s="69">
        <v>2018</v>
      </c>
      <c r="N11" s="86">
        <v>2019</v>
      </c>
      <c r="O11" s="178"/>
      <c r="P11" s="187"/>
      <c r="Q11" s="189"/>
      <c r="R11" s="191"/>
      <c r="S11" s="180"/>
      <c r="T11" s="60" t="s">
        <v>23</v>
      </c>
      <c r="U11" s="15" t="s">
        <v>20</v>
      </c>
      <c r="V11" s="16" t="s">
        <v>21</v>
      </c>
      <c r="W11" s="17" t="s">
        <v>22</v>
      </c>
      <c r="X11" s="17" t="s">
        <v>14</v>
      </c>
      <c r="Y11" s="18" t="s">
        <v>15</v>
      </c>
    </row>
    <row r="12" spans="2:25" ht="30">
      <c r="B12" s="142" t="s">
        <v>38</v>
      </c>
      <c r="C12" s="139" t="s">
        <v>36</v>
      </c>
      <c r="D12" s="136" t="s">
        <v>37</v>
      </c>
      <c r="E12" s="20" t="s">
        <v>27</v>
      </c>
      <c r="F12" s="21">
        <v>5</v>
      </c>
      <c r="G12" s="32">
        <f>'2016'!J12</f>
        <v>1</v>
      </c>
      <c r="H12" s="35">
        <f>'2017'!J12</f>
        <v>1</v>
      </c>
      <c r="I12" s="35">
        <f>'2018'!J12</f>
        <v>1</v>
      </c>
      <c r="J12" s="35">
        <f>'2019'!J12</f>
        <v>2</v>
      </c>
      <c r="K12" s="87">
        <f>'2016'!K12</f>
        <v>1</v>
      </c>
      <c r="L12" s="91">
        <f>'2017'!K12</f>
        <v>1</v>
      </c>
      <c r="M12" s="35">
        <f>'2018'!K12</f>
        <v>1.1000000000000001</v>
      </c>
      <c r="N12" s="52">
        <f>'2019'!K12</f>
        <v>0</v>
      </c>
      <c r="O12" s="65">
        <f>'2016'!N12</f>
        <v>1</v>
      </c>
      <c r="P12" s="70">
        <f>'2017'!N12</f>
        <v>1</v>
      </c>
      <c r="Q12" s="73">
        <f>'2018'!N12</f>
        <v>1</v>
      </c>
      <c r="R12" s="70">
        <f>'2019'!N12</f>
        <v>0</v>
      </c>
      <c r="S12" s="80">
        <v>0.62</v>
      </c>
      <c r="T12" s="57" t="s">
        <v>56</v>
      </c>
      <c r="U12" s="33">
        <f>+'2016'!P12+'2017'!P12</f>
        <v>8366266</v>
      </c>
      <c r="V12" s="33">
        <f>+'2016'!Q12+'2017'!Q12</f>
        <v>4395821</v>
      </c>
      <c r="W12" s="33">
        <f>+'2016'!R12+'2017'!R12</f>
        <v>0</v>
      </c>
      <c r="X12" s="22">
        <f>IF(U12=0," -",V12/U12)</f>
        <v>0.52542209391860117</v>
      </c>
      <c r="Y12" s="23" t="str">
        <f>IF(W12=0," -",IF(V12=0,100%,W12/V12))</f>
        <v xml:space="preserve"> -</v>
      </c>
    </row>
    <row r="13" spans="2:25" ht="45">
      <c r="B13" s="143"/>
      <c r="C13" s="140"/>
      <c r="D13" s="137"/>
      <c r="E13" s="9" t="s">
        <v>28</v>
      </c>
      <c r="F13" s="10">
        <v>800</v>
      </c>
      <c r="G13" s="33">
        <f>'2016'!J13</f>
        <v>800</v>
      </c>
      <c r="H13" s="36">
        <f>'2017'!J13</f>
        <v>800</v>
      </c>
      <c r="I13" s="36">
        <f>'2018'!J13</f>
        <v>800</v>
      </c>
      <c r="J13" s="36">
        <f>'2019'!J13</f>
        <v>800</v>
      </c>
      <c r="K13" s="88">
        <f>'2016'!K13</f>
        <v>5</v>
      </c>
      <c r="L13" s="36">
        <f>'2017'!K13</f>
        <v>5.8</v>
      </c>
      <c r="M13" s="36">
        <f>'2018'!K13</f>
        <v>16.7</v>
      </c>
      <c r="N13" s="53">
        <f>'2019'!K13</f>
        <v>0</v>
      </c>
      <c r="O13" s="66">
        <f>'2016'!N13</f>
        <v>1</v>
      </c>
      <c r="P13" s="71">
        <f>'2017'!N13</f>
        <v>1</v>
      </c>
      <c r="Q13" s="74">
        <f>'2018'!N13</f>
        <v>1</v>
      </c>
      <c r="R13" s="71" t="e">
        <f>'2019'!N13</f>
        <v>#DIV/0!</v>
      </c>
      <c r="S13" s="81">
        <v>0.5</v>
      </c>
      <c r="T13" s="58" t="s">
        <v>57</v>
      </c>
      <c r="U13" s="33">
        <f>+'2016'!P13+'2017'!P13</f>
        <v>1316658</v>
      </c>
      <c r="V13" s="33">
        <f>+'2016'!Q13+'2017'!Q13</f>
        <v>1129336</v>
      </c>
      <c r="W13" s="33">
        <f>+'2016'!R13+'2017'!R13</f>
        <v>0</v>
      </c>
      <c r="X13" s="19">
        <f t="shared" ref="X13:X21" si="0">IF(U13=0," -",V13/U13)</f>
        <v>0.85772919011618809</v>
      </c>
      <c r="Y13" s="24" t="str">
        <f t="shared" ref="Y13:Y21" si="1">IF(W13=0," -",IF(V13=0,100%,W13/V13))</f>
        <v xml:space="preserve"> -</v>
      </c>
    </row>
    <row r="14" spans="2:25" ht="45">
      <c r="B14" s="143"/>
      <c r="C14" s="140"/>
      <c r="D14" s="137"/>
      <c r="E14" s="9" t="s">
        <v>29</v>
      </c>
      <c r="F14" s="10">
        <v>400</v>
      </c>
      <c r="G14" s="33">
        <f>'2016'!J14</f>
        <v>400</v>
      </c>
      <c r="H14" s="36">
        <f>'2017'!J14</f>
        <v>400</v>
      </c>
      <c r="I14" s="36">
        <f>'2018'!J14</f>
        <v>400</v>
      </c>
      <c r="J14" s="36">
        <f>'2019'!J14</f>
        <v>400</v>
      </c>
      <c r="K14" s="88">
        <f>'2016'!K14</f>
        <v>8</v>
      </c>
      <c r="L14" s="36">
        <f>'2017'!K14</f>
        <v>10</v>
      </c>
      <c r="M14" s="36">
        <f>'2018'!K14</f>
        <v>6</v>
      </c>
      <c r="N14" s="53">
        <f>'2019'!K14</f>
        <v>0</v>
      </c>
      <c r="O14" s="66">
        <f>'2016'!N14</f>
        <v>1</v>
      </c>
      <c r="P14" s="71">
        <f>'2017'!N14</f>
        <v>1</v>
      </c>
      <c r="Q14" s="74">
        <f>'2018'!N14</f>
        <v>1</v>
      </c>
      <c r="R14" s="71" t="e">
        <f>'2019'!N14</f>
        <v>#DIV/0!</v>
      </c>
      <c r="S14" s="81">
        <v>0.5</v>
      </c>
      <c r="T14" s="58" t="s">
        <v>57</v>
      </c>
      <c r="U14" s="33">
        <f>+'2016'!P14+'2017'!P14</f>
        <v>1316658</v>
      </c>
      <c r="V14" s="33">
        <f>+'2016'!Q14+'2017'!Q14</f>
        <v>1129336</v>
      </c>
      <c r="W14" s="33">
        <f>+'2016'!R14+'2017'!R14</f>
        <v>0</v>
      </c>
      <c r="X14" s="19">
        <f t="shared" si="0"/>
        <v>0.85772919011618809</v>
      </c>
      <c r="Y14" s="24" t="str">
        <f t="shared" si="1"/>
        <v xml:space="preserve"> -</v>
      </c>
    </row>
    <row r="15" spans="2:25" ht="45">
      <c r="B15" s="143"/>
      <c r="C15" s="140"/>
      <c r="D15" s="137"/>
      <c r="E15" s="9" t="s">
        <v>30</v>
      </c>
      <c r="F15" s="10">
        <v>2000</v>
      </c>
      <c r="G15" s="33">
        <f>'2016'!J15</f>
        <v>2000</v>
      </c>
      <c r="H15" s="36">
        <f>'2017'!J15</f>
        <v>2000</v>
      </c>
      <c r="I15" s="36">
        <f>'2018'!J15</f>
        <v>2000</v>
      </c>
      <c r="J15" s="36">
        <f>'2019'!J15</f>
        <v>2000</v>
      </c>
      <c r="K15" s="88">
        <f>'2016'!K15</f>
        <v>20</v>
      </c>
      <c r="L15" s="36">
        <f>'2017'!K15</f>
        <v>15</v>
      </c>
      <c r="M15" s="36">
        <f>'2018'!K15</f>
        <v>22.3</v>
      </c>
      <c r="N15" s="53">
        <f>'2019'!K15</f>
        <v>0</v>
      </c>
      <c r="O15" s="66">
        <f>'2016'!N15</f>
        <v>1</v>
      </c>
      <c r="P15" s="71">
        <f>'2017'!N15</f>
        <v>1</v>
      </c>
      <c r="Q15" s="74">
        <f>'2018'!N15</f>
        <v>1</v>
      </c>
      <c r="R15" s="71" t="e">
        <f>'2019'!N15</f>
        <v>#DIV/0!</v>
      </c>
      <c r="S15" s="81">
        <v>0.5</v>
      </c>
      <c r="T15" s="58" t="s">
        <v>57</v>
      </c>
      <c r="U15" s="33">
        <f>+'2016'!P15+'2017'!P15</f>
        <v>1316658</v>
      </c>
      <c r="V15" s="33">
        <f>+'2016'!Q15+'2017'!Q15</f>
        <v>1129336</v>
      </c>
      <c r="W15" s="33">
        <f>+'2016'!R15+'2017'!R15</f>
        <v>0</v>
      </c>
      <c r="X15" s="19">
        <f t="shared" si="0"/>
        <v>0.85772919011618809</v>
      </c>
      <c r="Y15" s="24" t="str">
        <f t="shared" si="1"/>
        <v xml:space="preserve"> -</v>
      </c>
    </row>
    <row r="16" spans="2:25" ht="45">
      <c r="B16" s="143"/>
      <c r="C16" s="140"/>
      <c r="D16" s="137"/>
      <c r="E16" s="9" t="s">
        <v>31</v>
      </c>
      <c r="F16" s="11">
        <v>1</v>
      </c>
      <c r="G16" s="19">
        <f>'2016'!J16</f>
        <v>1</v>
      </c>
      <c r="H16" s="37">
        <f>'2017'!J16</f>
        <v>1</v>
      </c>
      <c r="I16" s="37">
        <f>'2018'!J16</f>
        <v>0</v>
      </c>
      <c r="J16" s="37">
        <f>'2019'!J16</f>
        <v>0</v>
      </c>
      <c r="K16" s="89">
        <f>'2016'!K16</f>
        <v>1</v>
      </c>
      <c r="L16" s="37">
        <f>'2017'!K16</f>
        <v>1</v>
      </c>
      <c r="M16" s="37">
        <f>'2018'!K16</f>
        <v>1</v>
      </c>
      <c r="N16" s="24">
        <f>'2019'!K16</f>
        <v>0</v>
      </c>
      <c r="O16" s="66">
        <f>'2016'!N16</f>
        <v>1</v>
      </c>
      <c r="P16" s="71">
        <f>'2017'!N16</f>
        <v>1</v>
      </c>
      <c r="Q16" s="74" t="str">
        <f>'2018'!N16</f>
        <v xml:space="preserve"> -</v>
      </c>
      <c r="R16" s="71" t="str">
        <f>'2019'!N16</f>
        <v xml:space="preserve"> -</v>
      </c>
      <c r="S16" s="81">
        <v>1</v>
      </c>
      <c r="T16" s="58" t="s">
        <v>58</v>
      </c>
      <c r="U16" s="33">
        <f>+'2016'!P16+'2017'!P16</f>
        <v>10757693</v>
      </c>
      <c r="V16" s="33">
        <f>+'2016'!Q16+'2017'!Q16</f>
        <v>10716710</v>
      </c>
      <c r="W16" s="33">
        <f>+'2016'!R16+'2017'!R16</f>
        <v>0</v>
      </c>
      <c r="X16" s="19">
        <f t="shared" si="0"/>
        <v>0.99619035419582991</v>
      </c>
      <c r="Y16" s="24" t="str">
        <f t="shared" si="1"/>
        <v xml:space="preserve"> -</v>
      </c>
    </row>
    <row r="17" spans="2:25" ht="30">
      <c r="B17" s="143"/>
      <c r="C17" s="140"/>
      <c r="D17" s="137"/>
      <c r="E17" s="9" t="s">
        <v>32</v>
      </c>
      <c r="F17" s="10">
        <v>1200</v>
      </c>
      <c r="G17" s="33">
        <f>'2016'!J17</f>
        <v>200</v>
      </c>
      <c r="H17" s="36">
        <f>'2017'!J17</f>
        <v>300</v>
      </c>
      <c r="I17" s="36">
        <f>'2018'!J17</f>
        <v>400</v>
      </c>
      <c r="J17" s="36">
        <f>'2019'!J17</f>
        <v>300</v>
      </c>
      <c r="K17" s="88">
        <f>'2016'!K17</f>
        <v>183</v>
      </c>
      <c r="L17" s="36">
        <f>'2017'!K17</f>
        <v>1289</v>
      </c>
      <c r="M17" s="36">
        <f>'2018'!K17</f>
        <v>0</v>
      </c>
      <c r="N17" s="53">
        <f>'2019'!K17</f>
        <v>0</v>
      </c>
      <c r="O17" s="66">
        <f>'2016'!N17</f>
        <v>0.91500000000000004</v>
      </c>
      <c r="P17" s="71">
        <f>'2017'!N17</f>
        <v>1</v>
      </c>
      <c r="Q17" s="74">
        <f>'2018'!N17</f>
        <v>0</v>
      </c>
      <c r="R17" s="71">
        <f>'2019'!N17</f>
        <v>0</v>
      </c>
      <c r="S17" s="81">
        <v>1</v>
      </c>
      <c r="T17" s="58" t="s">
        <v>59</v>
      </c>
      <c r="U17" s="33">
        <f>+'2016'!P17+'2017'!P17</f>
        <v>0</v>
      </c>
      <c r="V17" s="33">
        <f>+'2016'!Q17+'2017'!Q17</f>
        <v>0</v>
      </c>
      <c r="W17" s="33">
        <f>+'2016'!R17+'2017'!R17</f>
        <v>0</v>
      </c>
      <c r="X17" s="19" t="str">
        <f t="shared" si="0"/>
        <v xml:space="preserve"> -</v>
      </c>
      <c r="Y17" s="24" t="str">
        <f t="shared" si="1"/>
        <v xml:space="preserve"> -</v>
      </c>
    </row>
    <row r="18" spans="2:25" ht="30">
      <c r="B18" s="143"/>
      <c r="C18" s="140"/>
      <c r="D18" s="137"/>
      <c r="E18" s="9" t="s">
        <v>33</v>
      </c>
      <c r="F18" s="10">
        <v>300</v>
      </c>
      <c r="G18" s="33">
        <f>'2016'!J18</f>
        <v>75</v>
      </c>
      <c r="H18" s="36">
        <f>'2017'!J18</f>
        <v>75</v>
      </c>
      <c r="I18" s="36">
        <f>'2018'!J18</f>
        <v>75</v>
      </c>
      <c r="J18" s="36">
        <f>'2019'!J18</f>
        <v>75</v>
      </c>
      <c r="K18" s="88">
        <f>'2016'!K18</f>
        <v>36</v>
      </c>
      <c r="L18" s="36">
        <f>'2017'!K18</f>
        <v>1073</v>
      </c>
      <c r="M18" s="36">
        <f>'2018'!K18</f>
        <v>0</v>
      </c>
      <c r="N18" s="53">
        <f>'2019'!K18</f>
        <v>0</v>
      </c>
      <c r="O18" s="66">
        <f>'2016'!N18</f>
        <v>0.48</v>
      </c>
      <c r="P18" s="71">
        <f>'2017'!N18</f>
        <v>1</v>
      </c>
      <c r="Q18" s="74">
        <f>'2018'!N18</f>
        <v>0</v>
      </c>
      <c r="R18" s="71">
        <f>'2019'!N18</f>
        <v>0</v>
      </c>
      <c r="S18" s="81">
        <v>1</v>
      </c>
      <c r="T18" s="58" t="s">
        <v>59</v>
      </c>
      <c r="U18" s="33">
        <f>+'2016'!P18+'2017'!P18</f>
        <v>0</v>
      </c>
      <c r="V18" s="33">
        <f>+'2016'!Q18+'2017'!Q18</f>
        <v>0</v>
      </c>
      <c r="W18" s="33">
        <f>+'2016'!R18+'2017'!R18</f>
        <v>0</v>
      </c>
      <c r="X18" s="19" t="str">
        <f t="shared" si="0"/>
        <v xml:space="preserve"> -</v>
      </c>
      <c r="Y18" s="24" t="str">
        <f t="shared" si="1"/>
        <v xml:space="preserve"> -</v>
      </c>
    </row>
    <row r="19" spans="2:25" ht="30">
      <c r="B19" s="143"/>
      <c r="C19" s="140"/>
      <c r="D19" s="137"/>
      <c r="E19" s="9" t="s">
        <v>34</v>
      </c>
      <c r="F19" s="10">
        <v>10000</v>
      </c>
      <c r="G19" s="33">
        <f>'2016'!J19</f>
        <v>2500</v>
      </c>
      <c r="H19" s="36">
        <f>'2017'!J19</f>
        <v>2500</v>
      </c>
      <c r="I19" s="36">
        <f>'2018'!J19</f>
        <v>2500</v>
      </c>
      <c r="J19" s="36">
        <f>'2019'!J19</f>
        <v>2500</v>
      </c>
      <c r="K19" s="88">
        <f>'2016'!K19</f>
        <v>2794</v>
      </c>
      <c r="L19" s="36">
        <f>'2017'!K19</f>
        <v>5714</v>
      </c>
      <c r="M19" s="36">
        <f>'2018'!K19</f>
        <v>487</v>
      </c>
      <c r="N19" s="53">
        <f>'2019'!K19</f>
        <v>0</v>
      </c>
      <c r="O19" s="66">
        <f>'2016'!N19</f>
        <v>1</v>
      </c>
      <c r="P19" s="71">
        <f>'2017'!N19</f>
        <v>1</v>
      </c>
      <c r="Q19" s="74">
        <f>'2018'!N19</f>
        <v>0.1948</v>
      </c>
      <c r="R19" s="71">
        <f>'2019'!N19</f>
        <v>0</v>
      </c>
      <c r="S19" s="81">
        <v>0.89949999999999997</v>
      </c>
      <c r="T19" s="58" t="s">
        <v>60</v>
      </c>
      <c r="U19" s="33">
        <f>+'2016'!P19+'2017'!P19</f>
        <v>0</v>
      </c>
      <c r="V19" s="33">
        <f>+'2016'!Q19+'2017'!Q19</f>
        <v>0</v>
      </c>
      <c r="W19" s="33">
        <f>+'2016'!R19+'2017'!R19</f>
        <v>0</v>
      </c>
      <c r="X19" s="19" t="str">
        <f t="shared" si="0"/>
        <v xml:space="preserve"> -</v>
      </c>
      <c r="Y19" s="24" t="str">
        <f t="shared" si="1"/>
        <v xml:space="preserve"> -</v>
      </c>
    </row>
    <row r="20" spans="2:25" ht="31" thickBot="1">
      <c r="B20" s="144"/>
      <c r="C20" s="141"/>
      <c r="D20" s="138"/>
      <c r="E20" s="25" t="s">
        <v>35</v>
      </c>
      <c r="F20" s="26">
        <v>314000</v>
      </c>
      <c r="G20" s="34">
        <f>'2016'!J20</f>
        <v>77000</v>
      </c>
      <c r="H20" s="38">
        <f>'2017'!J20</f>
        <v>78000</v>
      </c>
      <c r="I20" s="38">
        <f>'2018'!J20</f>
        <v>79000</v>
      </c>
      <c r="J20" s="38">
        <f>'2019'!J20</f>
        <v>80000</v>
      </c>
      <c r="K20" s="90">
        <f>'2016'!K20</f>
        <v>131945</v>
      </c>
      <c r="L20" s="38">
        <f>'2017'!K20</f>
        <v>134777</v>
      </c>
      <c r="M20" s="38">
        <f>'2018'!K20</f>
        <v>76778</v>
      </c>
      <c r="N20" s="55">
        <f>'2019'!K20</f>
        <v>0</v>
      </c>
      <c r="O20" s="67">
        <f>'2016'!N20</f>
        <v>1</v>
      </c>
      <c r="P20" s="72">
        <f>'2017'!N20</f>
        <v>1</v>
      </c>
      <c r="Q20" s="75">
        <f>'2018'!N20</f>
        <v>0.97187341772151903</v>
      </c>
      <c r="R20" s="72">
        <f>'2019'!N20</f>
        <v>0</v>
      </c>
      <c r="S20" s="82">
        <v>1</v>
      </c>
      <c r="T20" s="59" t="s">
        <v>61</v>
      </c>
      <c r="U20" s="92">
        <f>+'2016'!P20+'2017'!P20</f>
        <v>84720</v>
      </c>
      <c r="V20" s="92">
        <f>+'2016'!Q20+'2017'!Q20</f>
        <v>53910</v>
      </c>
      <c r="W20" s="92">
        <f>+'2016'!R20+'2017'!R20</f>
        <v>0</v>
      </c>
      <c r="X20" s="93">
        <f t="shared" si="0"/>
        <v>0.63633144475920678</v>
      </c>
      <c r="Y20" s="94" t="str">
        <f t="shared" si="1"/>
        <v xml:space="preserve"> -</v>
      </c>
    </row>
    <row r="21" spans="2:25" ht="21" customHeight="1" thickBot="1">
      <c r="O21" s="78">
        <f>+AVERAGE(O12:O20)</f>
        <v>0.93277777777777771</v>
      </c>
      <c r="P21" s="77">
        <f t="shared" ref="P21:S21" si="2">+AVERAGE(P12:P20)</f>
        <v>1</v>
      </c>
      <c r="Q21" s="77">
        <f t="shared" si="2"/>
        <v>0.64583417721518988</v>
      </c>
      <c r="R21" s="77" t="e">
        <f t="shared" si="2"/>
        <v>#DIV/0!</v>
      </c>
      <c r="S21" s="79">
        <f t="shared" si="2"/>
        <v>0.77994444444444444</v>
      </c>
      <c r="U21" s="95">
        <f>+SUM(U12:U20)</f>
        <v>23158653</v>
      </c>
      <c r="V21" s="96">
        <f>+SUM(V12:V20)</f>
        <v>18554449</v>
      </c>
      <c r="W21" s="96">
        <f>+SUM(W12:W20)</f>
        <v>0</v>
      </c>
      <c r="X21" s="76">
        <f t="shared" si="0"/>
        <v>0.8011886097174995</v>
      </c>
      <c r="Y21" s="79" t="str">
        <f t="shared" si="1"/>
        <v xml:space="preserve"> -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Q10:Q11"/>
    <mergeCell ref="R10:R11"/>
    <mergeCell ref="B12:B20"/>
    <mergeCell ref="C12:C20"/>
    <mergeCell ref="D12:D20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>
      <selection activeCell="I11" sqref="I11"/>
    </sheetView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92" t="s">
        <v>55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</row>
    <row r="4" spans="2:15" ht="16" thickBot="1">
      <c r="C4" s="97"/>
      <c r="D4" s="97"/>
      <c r="E4" s="97"/>
      <c r="F4" s="97"/>
      <c r="G4" s="97"/>
      <c r="H4" s="97"/>
      <c r="I4" s="97"/>
    </row>
    <row r="5" spans="2:15" ht="19" customHeight="1">
      <c r="C5" s="97"/>
      <c r="D5" s="97"/>
      <c r="E5" s="195" t="s">
        <v>43</v>
      </c>
      <c r="F5" s="196"/>
      <c r="G5" s="196"/>
      <c r="H5" s="196"/>
      <c r="I5" s="199" t="s">
        <v>41</v>
      </c>
      <c r="J5" s="200"/>
      <c r="K5" s="203" t="s">
        <v>44</v>
      </c>
      <c r="L5" s="204"/>
      <c r="M5" s="204"/>
      <c r="N5" s="204"/>
      <c r="O5" s="205"/>
    </row>
    <row r="6" spans="2:15" ht="19" customHeight="1" thickBot="1">
      <c r="E6" s="197"/>
      <c r="F6" s="198"/>
      <c r="G6" s="198"/>
      <c r="H6" s="198"/>
      <c r="I6" s="201"/>
      <c r="J6" s="202"/>
      <c r="K6" s="206" t="s">
        <v>40</v>
      </c>
      <c r="L6" s="207"/>
      <c r="M6" s="207"/>
      <c r="N6" s="207"/>
      <c r="O6" s="208"/>
    </row>
    <row r="7" spans="2:15" ht="32" customHeight="1" thickBot="1">
      <c r="C7" s="211"/>
      <c r="D7" s="212"/>
      <c r="E7" s="98">
        <v>2016</v>
      </c>
      <c r="F7" s="99">
        <v>2017</v>
      </c>
      <c r="G7" s="99">
        <v>2018</v>
      </c>
      <c r="H7" s="99">
        <v>2019</v>
      </c>
      <c r="I7" s="213" t="s">
        <v>40</v>
      </c>
      <c r="J7" s="214"/>
      <c r="K7" s="100" t="s">
        <v>45</v>
      </c>
      <c r="L7" s="101" t="s">
        <v>46</v>
      </c>
      <c r="M7" s="101" t="s">
        <v>47</v>
      </c>
      <c r="N7" s="101" t="s">
        <v>48</v>
      </c>
      <c r="O7" s="102" t="s">
        <v>49</v>
      </c>
    </row>
    <row r="8" spans="2:15" ht="22" customHeight="1" thickBot="1">
      <c r="B8" s="103">
        <v>3</v>
      </c>
      <c r="C8" s="215" t="s">
        <v>50</v>
      </c>
      <c r="D8" s="216"/>
      <c r="E8" s="116">
        <f>+IF(SUM('2016 - 2019'!G12:G20)&gt;0,AVERAGE('2016 - 2019'!O12:O20)," -")</f>
        <v>0.93277777777777771</v>
      </c>
      <c r="F8" s="116">
        <f>+IF(SUM('2016 - 2019'!H12:H20)&gt;0,AVERAGE('2016 - 2019'!P12:P20)," -")</f>
        <v>1</v>
      </c>
      <c r="G8" s="116">
        <f>+IF(SUM('2016 - 2019'!I12:I20)&gt;0,AVERAGE('2016 - 2019'!Q12:Q20)," -")</f>
        <v>0.64583417721518988</v>
      </c>
      <c r="H8" s="116" t="e">
        <f>+IF(SUM('2016 - 2019'!J12:J20)&gt;0,AVERAGE('2016 - 2019'!R12:R20)," -")</f>
        <v>#DIV/0!</v>
      </c>
      <c r="I8" s="117">
        <f>+AVERAGE('2016 - 2019'!S12:S20)</f>
        <v>0.77994444444444444</v>
      </c>
      <c r="J8" s="118">
        <f t="shared" ref="J8" si="0">+I8</f>
        <v>0.77994444444444444</v>
      </c>
      <c r="K8" s="119">
        <f t="shared" ref="K8:M9" si="1">+K9</f>
        <v>23158653</v>
      </c>
      <c r="L8" s="120">
        <f t="shared" si="1"/>
        <v>18554449</v>
      </c>
      <c r="M8" s="120">
        <f t="shared" si="1"/>
        <v>0</v>
      </c>
      <c r="N8" s="121">
        <f t="shared" ref="N8" si="2">IF(K8=0,"-",+L8/K8)</f>
        <v>0.8011886097174995</v>
      </c>
      <c r="O8" s="122" t="str">
        <f t="shared" ref="O8:O10" si="3">IF(M8=0," -",IF(L8=0,100%,M8/L8))</f>
        <v xml:space="preserve"> -</v>
      </c>
    </row>
    <row r="9" spans="2:15" ht="20" customHeight="1">
      <c r="B9" s="104" t="s">
        <v>51</v>
      </c>
      <c r="C9" s="217" t="s">
        <v>36</v>
      </c>
      <c r="D9" s="218"/>
      <c r="E9" s="109">
        <f>+IF(SUM('2016 - 2019'!G12:G20)&gt;0,AVERAGE('2016 - 2019'!O12:O20)," -")</f>
        <v>0.93277777777777771</v>
      </c>
      <c r="F9" s="109">
        <f>+IF(SUM('2016 - 2019'!H12:H20)&gt;0,AVERAGE('2016 - 2019'!P12:P20)," -")</f>
        <v>1</v>
      </c>
      <c r="G9" s="109">
        <f>+IF(SUM('2016 - 2019'!I12:I20)&gt;0,AVERAGE('2016 - 2019'!Q12:Q20)," -")</f>
        <v>0.64583417721518988</v>
      </c>
      <c r="H9" s="109" t="e">
        <f>+IF(SUM('2016 - 2019'!J12:J20)&gt;0,AVERAGE('2016 - 2019'!R12:R20)," -")</f>
        <v>#DIV/0!</v>
      </c>
      <c r="I9" s="110">
        <f>+AVERAGE('2016 - 2019'!S12:S20)</f>
        <v>0.77994444444444444</v>
      </c>
      <c r="J9" s="111">
        <f t="shared" ref="J9:J10" si="4">+I9</f>
        <v>0.77994444444444444</v>
      </c>
      <c r="K9" s="112">
        <f t="shared" si="1"/>
        <v>23158653</v>
      </c>
      <c r="L9" s="113">
        <f t="shared" si="1"/>
        <v>18554449</v>
      </c>
      <c r="M9" s="113">
        <f t="shared" si="1"/>
        <v>0</v>
      </c>
      <c r="N9" s="114">
        <f t="shared" ref="N9:N10" si="5">IF(K9=0,"-",+L9/K9)</f>
        <v>0.8011886097174995</v>
      </c>
      <c r="O9" s="115" t="str">
        <f t="shared" si="3"/>
        <v xml:space="preserve"> -</v>
      </c>
    </row>
    <row r="10" spans="2:15" ht="18" customHeight="1" thickBot="1">
      <c r="B10" s="105" t="s">
        <v>52</v>
      </c>
      <c r="C10" s="219" t="s">
        <v>53</v>
      </c>
      <c r="D10" s="220"/>
      <c r="E10" s="106">
        <f>+IF(SUM('2016 - 2019'!G12:G20)&gt;0,AVERAGE('2016 - 2019'!O12:O20)," -")</f>
        <v>0.93277777777777771</v>
      </c>
      <c r="F10" s="106">
        <f>+IF(SUM('2016 - 2019'!H12:H20)&gt;0,AVERAGE('2016 - 2019'!P12:P20)," -")</f>
        <v>1</v>
      </c>
      <c r="G10" s="106">
        <f>+IF(SUM('2016 - 2019'!I12:I20)&gt;0,AVERAGE('2016 - 2019'!Q12:Q20)," -")</f>
        <v>0.64583417721518988</v>
      </c>
      <c r="H10" s="106" t="e">
        <f>+IF(SUM('2016 - 2019'!J12:J20)&gt;0,AVERAGE('2016 - 2019'!R12:R20)," -")</f>
        <v>#DIV/0!</v>
      </c>
      <c r="I10" s="107">
        <f>+AVERAGE('2016 - 2019'!S12:S20)</f>
        <v>0.77994444444444444</v>
      </c>
      <c r="J10" s="108">
        <f t="shared" si="4"/>
        <v>0.77994444444444444</v>
      </c>
      <c r="K10" s="132">
        <f>+SUM('2016 - 2019'!U12:U20)</f>
        <v>23158653</v>
      </c>
      <c r="L10" s="34">
        <f>+SUM('2016 - 2019'!V12:V20)</f>
        <v>18554449</v>
      </c>
      <c r="M10" s="34">
        <f>+SUM('2016 - 2019'!W12:W20)</f>
        <v>0</v>
      </c>
      <c r="N10" s="133">
        <f t="shared" si="5"/>
        <v>0.8011886097174995</v>
      </c>
      <c r="O10" s="134" t="str">
        <f t="shared" si="3"/>
        <v xml:space="preserve"> -</v>
      </c>
    </row>
    <row r="11" spans="2:15" ht="24" customHeight="1" thickBot="1">
      <c r="C11" s="209" t="s">
        <v>54</v>
      </c>
      <c r="D11" s="210"/>
      <c r="E11" s="123">
        <f>+'2016 - 2019'!O21</f>
        <v>0.93277777777777771</v>
      </c>
      <c r="F11" s="123">
        <f>+'2016 - 2019'!P21</f>
        <v>1</v>
      </c>
      <c r="G11" s="123">
        <f>+'2016 - 2019'!Q21</f>
        <v>0.64583417721518988</v>
      </c>
      <c r="H11" s="123" t="e">
        <f>+'2016 - 2019'!R21</f>
        <v>#DIV/0!</v>
      </c>
      <c r="I11" s="124">
        <f>+'2016 - 2019'!S21</f>
        <v>0.77994444444444444</v>
      </c>
      <c r="J11" s="125">
        <f t="shared" ref="J11" si="6">+I11</f>
        <v>0.77994444444444444</v>
      </c>
      <c r="K11" s="95">
        <f>+K8</f>
        <v>23158653</v>
      </c>
      <c r="L11" s="96">
        <f>+L8</f>
        <v>18554449</v>
      </c>
      <c r="M11" s="96">
        <f>+M8</f>
        <v>0</v>
      </c>
      <c r="N11" s="126">
        <f t="shared" ref="N11" si="7">IF(K11=0,"-",+L11/K11)</f>
        <v>0.8011886097174995</v>
      </c>
      <c r="O11" s="127" t="str">
        <f t="shared" ref="O11" si="8">IF(M11=0," -",IF(L11=0,100%,M11/L11))</f>
        <v xml:space="preserve"> -</v>
      </c>
    </row>
    <row r="13" spans="2:15" ht="17">
      <c r="C13" s="128" t="str">
        <f>+'2016 - 2019'!C7</f>
        <v>FECHA CORTE</v>
      </c>
      <c r="D13" s="129"/>
      <c r="E13" s="130"/>
      <c r="F13" s="130"/>
      <c r="I13" s="128" t="s">
        <v>62</v>
      </c>
    </row>
    <row r="14" spans="2:15" ht="17">
      <c r="C14" s="131">
        <f>+'2016 - 2019'!C8</f>
        <v>43434</v>
      </c>
    </row>
  </sheetData>
  <mergeCells count="11"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{16C9CA8C-D4C5-0847-AEC3-4746773A5CFA}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C9CA8C-D4C5-0847-AEC3-4746773A5CFA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2018-12-13T20:15:29Z</dcterms:modified>
</cp:coreProperties>
</file>