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25" i="12"/>
  <c r="C24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V12" i="11"/>
  <c r="L10" i="12"/>
  <c r="L9" i="12"/>
  <c r="L8" i="12"/>
  <c r="W12" i="11"/>
  <c r="M10" i="12"/>
  <c r="M9" i="12"/>
  <c r="M8" i="12"/>
  <c r="V14" i="11"/>
  <c r="L13" i="12"/>
  <c r="L12" i="12"/>
  <c r="V16" i="11"/>
  <c r="L15" i="12"/>
  <c r="L14" i="12"/>
  <c r="L11" i="12"/>
  <c r="W14" i="11"/>
  <c r="M13" i="12"/>
  <c r="M12" i="12"/>
  <c r="W16" i="11"/>
  <c r="M15" i="12"/>
  <c r="M14" i="12"/>
  <c r="M11" i="12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L18" i="12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L19" i="12"/>
  <c r="V46" i="11"/>
  <c r="V47" i="11"/>
  <c r="V48" i="11"/>
  <c r="V49" i="11"/>
  <c r="L20" i="12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L21" i="12"/>
  <c r="L17" i="12"/>
  <c r="L16" i="12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M18" i="12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M19" i="12"/>
  <c r="W46" i="11"/>
  <c r="W47" i="11"/>
  <c r="W48" i="11"/>
  <c r="W49" i="11"/>
  <c r="M20" i="12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M21" i="12"/>
  <c r="M17" i="12"/>
  <c r="M16" i="12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K21" i="12"/>
  <c r="U46" i="11"/>
  <c r="U47" i="11"/>
  <c r="U48" i="11"/>
  <c r="U49" i="11"/>
  <c r="K20" i="12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K19" i="12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K18" i="12"/>
  <c r="U16" i="11"/>
  <c r="K15" i="12"/>
  <c r="U14" i="11"/>
  <c r="K13" i="12"/>
  <c r="U12" i="11"/>
  <c r="K10" i="12"/>
  <c r="M22" i="12"/>
  <c r="L22" i="12"/>
  <c r="K9" i="12"/>
  <c r="K8" i="12"/>
  <c r="K12" i="12"/>
  <c r="K14" i="12"/>
  <c r="K11" i="12"/>
  <c r="K17" i="12"/>
  <c r="K16" i="12"/>
  <c r="K22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6" i="11"/>
  <c r="L14" i="8"/>
  <c r="N14" i="8"/>
  <c r="P14" i="11"/>
  <c r="L16" i="8"/>
  <c r="N16" i="8"/>
  <c r="P16" i="11"/>
  <c r="F11" i="12"/>
  <c r="I14" i="11"/>
  <c r="I16" i="11"/>
  <c r="L14" i="9"/>
  <c r="N14" i="9"/>
  <c r="Q14" i="11"/>
  <c r="L16" i="9"/>
  <c r="N16" i="9"/>
  <c r="Q16" i="11"/>
  <c r="G11" i="12"/>
  <c r="J14" i="11"/>
  <c r="J16" i="11"/>
  <c r="L14" i="10"/>
  <c r="N14" i="10"/>
  <c r="R14" i="11"/>
  <c r="L16" i="10"/>
  <c r="N16" i="10"/>
  <c r="R16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N34" i="8"/>
  <c r="P34" i="11"/>
  <c r="L35" i="8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L44" i="8"/>
  <c r="N44" i="8"/>
  <c r="P44" i="11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L61" i="8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F16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L63" i="9"/>
  <c r="N63" i="9"/>
  <c r="Q63" i="11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G16" i="12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L59" i="10"/>
  <c r="N59" i="10"/>
  <c r="R59" i="11"/>
  <c r="L60" i="10"/>
  <c r="N60" i="10"/>
  <c r="R60" i="11"/>
  <c r="L61" i="10"/>
  <c r="N61" i="10"/>
  <c r="R61" i="11"/>
  <c r="L62" i="10"/>
  <c r="N62" i="10"/>
  <c r="R62" i="11"/>
  <c r="L63" i="10"/>
  <c r="N63" i="10"/>
  <c r="R63" i="11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L50" i="7"/>
  <c r="N50" i="7"/>
  <c r="O50" i="11"/>
  <c r="N51" i="7"/>
  <c r="O51" i="11"/>
  <c r="L52" i="7"/>
  <c r="N52" i="7"/>
  <c r="O52" i="11"/>
  <c r="L53" i="7"/>
  <c r="N53" i="7"/>
  <c r="O53" i="11"/>
  <c r="L54" i="7"/>
  <c r="N54" i="7"/>
  <c r="O54" i="11"/>
  <c r="L55" i="7"/>
  <c r="N55" i="7"/>
  <c r="O55" i="11"/>
  <c r="N56" i="7"/>
  <c r="O56" i="11"/>
  <c r="L57" i="7"/>
  <c r="N57" i="7"/>
  <c r="O57" i="11"/>
  <c r="N58" i="7"/>
  <c r="O58" i="11"/>
  <c r="N59" i="7"/>
  <c r="O59" i="11"/>
  <c r="L60" i="7"/>
  <c r="N60" i="7"/>
  <c r="O60" i="11"/>
  <c r="L61" i="7"/>
  <c r="N61" i="7"/>
  <c r="O61" i="11"/>
  <c r="L62" i="7"/>
  <c r="N62" i="7"/>
  <c r="O62" i="11"/>
  <c r="N63" i="7"/>
  <c r="O63" i="11"/>
  <c r="N64" i="7"/>
  <c r="O64" i="11"/>
  <c r="L65" i="7"/>
  <c r="N65" i="7"/>
  <c r="O65" i="11"/>
  <c r="L66" i="7"/>
  <c r="N66" i="7"/>
  <c r="O66" i="11"/>
  <c r="L67" i="7"/>
  <c r="N67" i="7"/>
  <c r="O67" i="11"/>
  <c r="N68" i="7"/>
  <c r="O68" i="11"/>
  <c r="E21" i="12"/>
  <c r="G46" i="11"/>
  <c r="G47" i="11"/>
  <c r="G48" i="11"/>
  <c r="G49" i="11"/>
  <c r="L46" i="7"/>
  <c r="N46" i="7"/>
  <c r="O46" i="11"/>
  <c r="N47" i="7"/>
  <c r="O47" i="11"/>
  <c r="L48" i="7"/>
  <c r="N48" i="7"/>
  <c r="O48" i="11"/>
  <c r="N49" i="7"/>
  <c r="O49" i="11"/>
  <c r="E20" i="12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L36" i="7"/>
  <c r="N36" i="7"/>
  <c r="O36" i="11"/>
  <c r="N37" i="7"/>
  <c r="O37" i="11"/>
  <c r="L38" i="7"/>
  <c r="N38" i="7"/>
  <c r="O38" i="11"/>
  <c r="L39" i="7"/>
  <c r="N39" i="7"/>
  <c r="O39" i="11"/>
  <c r="L40" i="7"/>
  <c r="N40" i="7"/>
  <c r="O40" i="11"/>
  <c r="L41" i="7"/>
  <c r="N41" i="7"/>
  <c r="O41" i="11"/>
  <c r="L42" i="7"/>
  <c r="N42" i="7"/>
  <c r="O42" i="11"/>
  <c r="L43" i="7"/>
  <c r="N43" i="7"/>
  <c r="O43" i="11"/>
  <c r="L44" i="7"/>
  <c r="N44" i="7"/>
  <c r="O44" i="11"/>
  <c r="L45" i="7"/>
  <c r="N45" i="7"/>
  <c r="O45" i="11"/>
  <c r="E19" i="12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L18" i="7"/>
  <c r="N18" i="7"/>
  <c r="O18" i="11"/>
  <c r="L19" i="7"/>
  <c r="N19" i="7"/>
  <c r="O19" i="11"/>
  <c r="N20" i="7"/>
  <c r="O20" i="11"/>
  <c r="L21" i="7"/>
  <c r="N21" i="7"/>
  <c r="O21" i="11"/>
  <c r="L22" i="7"/>
  <c r="N22" i="7"/>
  <c r="O22" i="11"/>
  <c r="L23" i="7"/>
  <c r="N23" i="7"/>
  <c r="O23" i="11"/>
  <c r="L24" i="7"/>
  <c r="N24" i="7"/>
  <c r="O24" i="11"/>
  <c r="N25" i="7"/>
  <c r="O25" i="11"/>
  <c r="N26" i="7"/>
  <c r="O26" i="11"/>
  <c r="L27" i="7"/>
  <c r="N27" i="7"/>
  <c r="O27" i="11"/>
  <c r="L28" i="7"/>
  <c r="N28" i="7"/>
  <c r="O28" i="11"/>
  <c r="N29" i="7"/>
  <c r="O29" i="11"/>
  <c r="L30" i="7"/>
  <c r="N30" i="7"/>
  <c r="O30" i="11"/>
  <c r="E18" i="12"/>
  <c r="E17" i="12"/>
  <c r="E16" i="12"/>
  <c r="G16" i="11"/>
  <c r="E15" i="12"/>
  <c r="E14" i="12"/>
  <c r="G14" i="11"/>
  <c r="E13" i="12"/>
  <c r="E12" i="12"/>
  <c r="E11" i="12"/>
  <c r="G12" i="11"/>
  <c r="L12" i="7"/>
  <c r="N12" i="7"/>
  <c r="O12" i="11"/>
  <c r="E10" i="12"/>
  <c r="E9" i="12"/>
  <c r="E8" i="12"/>
  <c r="S69" i="11"/>
  <c r="I22" i="12"/>
  <c r="P69" i="11"/>
  <c r="F22" i="12"/>
  <c r="Q69" i="11"/>
  <c r="G22" i="12"/>
  <c r="R69" i="11"/>
  <c r="H22" i="12"/>
  <c r="N14" i="7"/>
  <c r="O14" i="11"/>
  <c r="N16" i="7"/>
  <c r="O16" i="11"/>
  <c r="O69" i="11"/>
  <c r="E22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M12" i="11"/>
  <c r="M14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L12" i="11"/>
  <c r="L14" i="11"/>
  <c r="L16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K12" i="11"/>
  <c r="K14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W69" i="11"/>
  <c r="V69" i="11"/>
  <c r="Y69" i="11"/>
  <c r="U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Q23" i="7"/>
  <c r="P23" i="7"/>
  <c r="N69" i="10"/>
  <c r="M69" i="10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N69" i="8"/>
  <c r="M12" i="8"/>
  <c r="M14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L14" i="7"/>
  <c r="L20" i="7"/>
  <c r="L29" i="7"/>
  <c r="L37" i="7"/>
  <c r="L47" i="7"/>
  <c r="L51" i="7"/>
  <c r="L59" i="7"/>
  <c r="L63" i="7"/>
  <c r="N69" i="7"/>
  <c r="M12" i="7"/>
  <c r="M14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R69" i="10"/>
  <c r="T69" i="10"/>
  <c r="P69" i="10"/>
  <c r="Q69" i="10"/>
  <c r="S69" i="10"/>
  <c r="R69" i="9"/>
  <c r="Q69" i="9"/>
  <c r="T69" i="9"/>
  <c r="P69" i="9"/>
  <c r="S69" i="9"/>
  <c r="R69" i="8"/>
  <c r="Q69" i="8"/>
  <c r="T69" i="8"/>
  <c r="P69" i="8"/>
  <c r="S69" i="8"/>
  <c r="R69" i="7"/>
  <c r="Q69" i="7"/>
  <c r="P69" i="7"/>
  <c r="I27" i="10"/>
  <c r="I27" i="9"/>
  <c r="I27" i="8"/>
  <c r="I67" i="10"/>
  <c r="I66" i="10"/>
  <c r="I65" i="10"/>
  <c r="I62" i="10"/>
  <c r="I57" i="10"/>
  <c r="I55" i="10"/>
  <c r="I54" i="10"/>
  <c r="I53" i="10"/>
  <c r="I52" i="10"/>
  <c r="I50" i="10"/>
  <c r="I49" i="10"/>
  <c r="I48" i="10"/>
  <c r="I46" i="10"/>
  <c r="I44" i="10"/>
  <c r="I43" i="10"/>
  <c r="I42" i="10"/>
  <c r="I41" i="10"/>
  <c r="I40" i="10"/>
  <c r="I39" i="10"/>
  <c r="I38" i="10"/>
  <c r="I35" i="10"/>
  <c r="I32" i="10"/>
  <c r="I30" i="10"/>
  <c r="I24" i="10"/>
  <c r="I23" i="10"/>
  <c r="I22" i="10"/>
  <c r="I19" i="10"/>
  <c r="I18" i="10"/>
  <c r="I16" i="10"/>
  <c r="I14" i="10"/>
  <c r="I20" i="8"/>
  <c r="I20" i="9"/>
  <c r="I20" i="10"/>
  <c r="I21" i="8"/>
  <c r="I21" i="9"/>
  <c r="I21" i="10"/>
  <c r="I25" i="8"/>
  <c r="I25" i="9"/>
  <c r="I25" i="10"/>
  <c r="I26" i="8"/>
  <c r="I26" i="9"/>
  <c r="I26" i="10"/>
  <c r="I28" i="8"/>
  <c r="I28" i="9"/>
  <c r="I28" i="10"/>
  <c r="I29" i="8"/>
  <c r="I29" i="9"/>
  <c r="I29" i="10"/>
  <c r="I31" i="8"/>
  <c r="I31" i="9"/>
  <c r="I31" i="10"/>
  <c r="I33" i="8"/>
  <c r="I33" i="9"/>
  <c r="I33" i="10"/>
  <c r="I34" i="8"/>
  <c r="I34" i="9"/>
  <c r="I34" i="10"/>
  <c r="I36" i="8"/>
  <c r="I36" i="9"/>
  <c r="I36" i="10"/>
  <c r="I37" i="8"/>
  <c r="I37" i="9"/>
  <c r="I37" i="10"/>
  <c r="I45" i="8"/>
  <c r="I45" i="9"/>
  <c r="I45" i="10"/>
  <c r="I47" i="8"/>
  <c r="I47" i="9"/>
  <c r="I47" i="10"/>
  <c r="I51" i="8"/>
  <c r="I51" i="9"/>
  <c r="I51" i="10"/>
  <c r="I56" i="8"/>
  <c r="I56" i="9"/>
  <c r="I56" i="10"/>
  <c r="I58" i="8"/>
  <c r="I58" i="9"/>
  <c r="I58" i="10"/>
  <c r="I59" i="8"/>
  <c r="I59" i="9"/>
  <c r="I59" i="10"/>
  <c r="I60" i="8"/>
  <c r="I60" i="9"/>
  <c r="I60" i="10"/>
  <c r="I61" i="8"/>
  <c r="I61" i="9"/>
  <c r="I61" i="10"/>
  <c r="I63" i="8"/>
  <c r="I63" i="9"/>
  <c r="I63" i="10"/>
  <c r="I64" i="8"/>
  <c r="I64" i="9"/>
  <c r="I64" i="10"/>
  <c r="I68" i="8"/>
  <c r="I68" i="9"/>
  <c r="I68" i="10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67" i="8"/>
  <c r="I66" i="8"/>
  <c r="I65" i="8"/>
  <c r="I62" i="8"/>
  <c r="I57" i="8"/>
  <c r="I55" i="8"/>
  <c r="I54" i="8"/>
  <c r="I53" i="8"/>
  <c r="I52" i="8"/>
  <c r="I50" i="8"/>
  <c r="I49" i="8"/>
  <c r="I48" i="8"/>
  <c r="I46" i="8"/>
  <c r="I44" i="8"/>
  <c r="I43" i="8"/>
  <c r="I42" i="8"/>
  <c r="I41" i="8"/>
  <c r="I40" i="8"/>
  <c r="I39" i="8"/>
  <c r="I38" i="8"/>
  <c r="I35" i="8"/>
  <c r="I32" i="8"/>
  <c r="I30" i="8"/>
  <c r="I24" i="8"/>
  <c r="I23" i="8"/>
  <c r="I22" i="8"/>
  <c r="I19" i="8"/>
  <c r="I18" i="8"/>
  <c r="I16" i="8"/>
  <c r="I14" i="8"/>
  <c r="I12" i="8"/>
  <c r="I12" i="9"/>
  <c r="I12" i="10"/>
  <c r="L64" i="10"/>
  <c r="M57" i="10"/>
  <c r="M58" i="10"/>
  <c r="M59" i="10"/>
  <c r="M60" i="10"/>
  <c r="M62" i="10"/>
  <c r="M63" i="10"/>
  <c r="M64" i="10"/>
  <c r="M65" i="10"/>
  <c r="M66" i="10"/>
  <c r="M68" i="10"/>
  <c r="T68" i="10"/>
  <c r="S68" i="10"/>
  <c r="T67" i="10"/>
  <c r="S67" i="10"/>
  <c r="M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M61" i="10"/>
  <c r="T60" i="10"/>
  <c r="S60" i="10"/>
  <c r="T59" i="10"/>
  <c r="S59" i="10"/>
  <c r="T58" i="10"/>
  <c r="S58" i="10"/>
  <c r="T57" i="10"/>
  <c r="S57" i="10"/>
  <c r="T56" i="10"/>
  <c r="S56" i="10"/>
  <c r="M56" i="10"/>
  <c r="T55" i="10"/>
  <c r="S55" i="10"/>
  <c r="M55" i="10"/>
  <c r="T54" i="10"/>
  <c r="S54" i="10"/>
  <c r="M54" i="10"/>
  <c r="T53" i="10"/>
  <c r="S53" i="10"/>
  <c r="M53" i="10"/>
  <c r="T52" i="10"/>
  <c r="S52" i="10"/>
  <c r="M52" i="10"/>
  <c r="T51" i="10"/>
  <c r="S51" i="10"/>
  <c r="M51" i="10"/>
  <c r="T50" i="10"/>
  <c r="S50" i="10"/>
  <c r="M50" i="10"/>
  <c r="T49" i="10"/>
  <c r="S49" i="10"/>
  <c r="M49" i="10"/>
  <c r="T48" i="10"/>
  <c r="S48" i="10"/>
  <c r="M48" i="10"/>
  <c r="T47" i="10"/>
  <c r="S47" i="10"/>
  <c r="M47" i="10"/>
  <c r="T46" i="10"/>
  <c r="S46" i="10"/>
  <c r="M46" i="10"/>
  <c r="T45" i="10"/>
  <c r="S45" i="10"/>
  <c r="L45" i="10"/>
  <c r="M45" i="10"/>
  <c r="T44" i="10"/>
  <c r="S44" i="10"/>
  <c r="M44" i="10"/>
  <c r="T43" i="10"/>
  <c r="S43" i="10"/>
  <c r="M43" i="10"/>
  <c r="T42" i="10"/>
  <c r="S42" i="10"/>
  <c r="M42" i="10"/>
  <c r="T41" i="10"/>
  <c r="S41" i="10"/>
  <c r="M41" i="10"/>
  <c r="T40" i="10"/>
  <c r="S40" i="10"/>
  <c r="M40" i="10"/>
  <c r="T39" i="10"/>
  <c r="S39" i="10"/>
  <c r="M39" i="10"/>
  <c r="T38" i="10"/>
  <c r="S38" i="10"/>
  <c r="M38" i="10"/>
  <c r="T37" i="10"/>
  <c r="S37" i="10"/>
  <c r="M37" i="10"/>
  <c r="T36" i="10"/>
  <c r="S36" i="10"/>
  <c r="M36" i="10"/>
  <c r="T35" i="10"/>
  <c r="S35" i="10"/>
  <c r="M35" i="10"/>
  <c r="T34" i="10"/>
  <c r="S34" i="10"/>
  <c r="L34" i="10"/>
  <c r="M34" i="10"/>
  <c r="T33" i="10"/>
  <c r="S33" i="10"/>
  <c r="M33" i="10"/>
  <c r="T32" i="10"/>
  <c r="S32" i="10"/>
  <c r="M32" i="10"/>
  <c r="T31" i="10"/>
  <c r="S31" i="10"/>
  <c r="M31" i="10"/>
  <c r="T30" i="10"/>
  <c r="S30" i="10"/>
  <c r="M30" i="10"/>
  <c r="T29" i="10"/>
  <c r="S29" i="10"/>
  <c r="M29" i="10"/>
  <c r="T28" i="10"/>
  <c r="S28" i="10"/>
  <c r="M28" i="10"/>
  <c r="T27" i="10"/>
  <c r="S27" i="10"/>
  <c r="M27" i="10"/>
  <c r="T26" i="10"/>
  <c r="S26" i="10"/>
  <c r="M26" i="10"/>
  <c r="T25" i="10"/>
  <c r="S25" i="10"/>
  <c r="M25" i="10"/>
  <c r="T24" i="10"/>
  <c r="S24" i="10"/>
  <c r="M24" i="10"/>
  <c r="T23" i="10"/>
  <c r="S23" i="10"/>
  <c r="M23" i="10"/>
  <c r="T22" i="10"/>
  <c r="S22" i="10"/>
  <c r="M22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6" i="10"/>
  <c r="S16" i="10"/>
  <c r="M16" i="10"/>
  <c r="T14" i="10"/>
  <c r="S14" i="10"/>
  <c r="M14" i="10"/>
  <c r="T12" i="10"/>
  <c r="S12" i="10"/>
  <c r="M12" i="10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L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L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4" i="8"/>
  <c r="S14" i="8"/>
  <c r="T12" i="8"/>
  <c r="S12" i="8"/>
  <c r="S14" i="7"/>
  <c r="T14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L16" i="7"/>
  <c r="L25" i="7"/>
  <c r="L26" i="7"/>
  <c r="L49" i="7"/>
  <c r="L56" i="7"/>
  <c r="L58" i="7"/>
  <c r="L64" i="7"/>
  <c r="L68" i="7"/>
  <c r="T12" i="7"/>
  <c r="S12" i="7"/>
  <c r="T69" i="7"/>
  <c r="S69" i="7"/>
</calcChain>
</file>

<file path=xl/sharedStrings.xml><?xml version="1.0" encoding="utf-8"?>
<sst xmlns="http://schemas.openxmlformats.org/spreadsheetml/2006/main" count="580" uniqueCount="135">
  <si>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</si>
  <si>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</si>
  <si>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</si>
  <si>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</si>
  <si>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</si>
  <si>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</si>
  <si>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</si>
  <si>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</si>
  <si>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</si>
  <si>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</si>
  <si>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</si>
  <si>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</si>
  <si>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</si>
  <si>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</si>
  <si>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</si>
  <si>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</si>
  <si>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</si>
  <si>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</si>
  <si>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</si>
  <si>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</si>
  <si>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</si>
  <si>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</si>
  <si>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</si>
  <si>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</si>
  <si>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</si>
  <si>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</si>
  <si>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</si>
  <si>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</si>
  <si>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</si>
  <si>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</si>
  <si>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</si>
  <si>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</si>
  <si>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</si>
  <si>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</si>
  <si>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</si>
  <si>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</si>
  <si>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</si>
  <si>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</si>
  <si>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</si>
  <si>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</si>
  <si>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</si>
  <si>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</si>
  <si>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</si>
  <si>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</si>
  <si>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</si>
  <si>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</si>
  <si>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</si>
  <si>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</si>
  <si>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</si>
  <si>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</si>
  <si>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</si>
  <si>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</si>
  <si>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</si>
  <si>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</si>
  <si>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</si>
  <si>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</si>
  <si>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</si>
  <si>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</si>
  <si>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</si>
  <si>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</si>
  <si>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</si>
  <si>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</si>
  <si>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</si>
  <si>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</si>
  <si>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</si>
  <si>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</si>
  <si>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</si>
  <si>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</si>
  <si>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</si>
  <si>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</si>
  <si>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</si>
  <si>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</si>
  <si>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</si>
  <si>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</si>
  <si>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</si>
  <si>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</si>
  <si>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</si>
  <si>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</si>
  <si>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</si>
  <si>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</si>
  <si>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</si>
  <si>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</si>
  <si>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</si>
  <si>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</si>
  <si>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</si>
  <si>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</si>
  <si>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</si>
  <si>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</si>
  <si>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</si>
  <si>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</si>
  <si>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</si>
  <si>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</si>
  <si>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</si>
  <si>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</si>
  <si>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</si>
  <si>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</si>
  <si>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</si>
  <si>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</si>
  <si>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</si>
  <si>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</si>
  <si>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</si>
  <si>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</si>
  <si>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</si>
  <si>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</si>
  <si>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</si>
  <si>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</si>
  <si>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</si>
  <si>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</si>
  <si>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</si>
  <si>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</si>
  <si>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LÍNEA ESTRATÉGICA 2: INCLUSIÓN SOCIAL</t>
  </si>
  <si>
    <t>2.2</t>
  </si>
  <si>
    <t>2.2.3</t>
  </si>
  <si>
    <t>Creciendo y Construyendo (Adolescencia)</t>
  </si>
  <si>
    <t>2.3</t>
  </si>
  <si>
    <t>2.3.3</t>
  </si>
  <si>
    <t>Comunicación para la Inclusión de las Mujeres al Desarrollo</t>
  </si>
  <si>
    <t>LÍNEA ESTRATÉGICA 4: CALIDAD DE VIDA</t>
  </si>
  <si>
    <t>4.1</t>
  </si>
  <si>
    <t>4.1.1</t>
  </si>
  <si>
    <t>Disponibilidad (Asequibilidad): "Entornos de Aprendizajes Bellos y Agradables"</t>
  </si>
  <si>
    <t>4.1.2</t>
  </si>
  <si>
    <t>Acceso (Accesibilidad): "Educación para una Ciudadanía Inteligente y solidaria"</t>
  </si>
  <si>
    <t>4.1.3</t>
  </si>
  <si>
    <t>Permanencia en el Sistema Educativo (Adaptabilidad)</t>
  </si>
  <si>
    <t>4.1.4</t>
  </si>
  <si>
    <t>Calidad (Aceptabilidad): "Innovadores y Profesionales"</t>
  </si>
  <si>
    <t>PLAN DE DESARROLLO 2016 - 2019</t>
  </si>
  <si>
    <t>RESUMEN CUMPLIMIENTO SECRETARÍA DE EDUCACIÓN 2016 - 2019</t>
  </si>
  <si>
    <t xml:space="preserve"> -</t>
  </si>
  <si>
    <t>2210040  2210042 2210057 2210043 2210044 2210046 2210047  2210048</t>
  </si>
  <si>
    <t>2210015 2210052 2210054 2210954 2210954 2210001 2210003 2210008 2210002</t>
  </si>
  <si>
    <t>2210005
2210645
2210655</t>
  </si>
  <si>
    <t>2210900
2210954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</si>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</sst>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8" fillId="5" borderId="22" xfId="0" applyNumberFormat="1" applyFont="1" applyFill="1" applyBorder="1" applyAlignment="1">
      <alignment horizontal="center" vertical="center"/>
    </xf>
    <xf numFmtId="9" fontId="8" fillId="4" borderId="36" xfId="0" applyNumberFormat="1" applyFont="1" applyFill="1" applyBorder="1" applyAlignment="1">
      <alignment horizontal="center" vertical="center" wrapText="1"/>
    </xf>
    <xf numFmtId="9" fontId="8" fillId="5" borderId="46" xfId="0" applyNumberFormat="1" applyFont="1" applyFill="1" applyBorder="1" applyAlignment="1">
      <alignment horizontal="center" vertical="center"/>
    </xf>
    <xf numFmtId="9" fontId="8" fillId="3" borderId="36" xfId="0" applyNumberFormat="1" applyFont="1" applyFill="1" applyBorder="1" applyAlignment="1">
      <alignment horizontal="center" vertical="center"/>
    </xf>
    <xf numFmtId="9" fontId="8" fillId="5" borderId="43" xfId="0" applyNumberFormat="1" applyFont="1" applyFill="1" applyBorder="1" applyAlignment="1">
      <alignment horizontal="center" vertical="center"/>
    </xf>
    <xf numFmtId="9" fontId="8" fillId="5" borderId="56" xfId="0" applyNumberFormat="1" applyFont="1" applyFill="1" applyBorder="1" applyAlignment="1">
      <alignment horizontal="center" vertical="center"/>
    </xf>
    <xf numFmtId="9" fontId="8" fillId="5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0" xfId="0" applyNumberFormat="1" applyFont="1" applyFill="1" applyBorder="1" applyAlignment="1">
      <alignment horizontal="center" vertical="center"/>
    </xf>
    <xf numFmtId="9" fontId="15" fillId="7" borderId="37" xfId="0" applyNumberFormat="1" applyFont="1" applyFill="1" applyBorder="1" applyAlignment="1">
      <alignment horizontal="center" vertical="center"/>
    </xf>
    <xf numFmtId="9" fontId="16" fillId="7" borderId="36" xfId="0" applyNumberFormat="1" applyFont="1" applyFill="1" applyBorder="1" applyAlignment="1">
      <alignment horizontal="center" vertical="center"/>
    </xf>
    <xf numFmtId="3" fontId="14" fillId="7" borderId="39" xfId="0" applyNumberFormat="1" applyFont="1" applyFill="1" applyBorder="1" applyAlignment="1">
      <alignment horizontal="center" vertical="center"/>
    </xf>
    <xf numFmtId="3" fontId="14" fillId="7" borderId="40" xfId="0" applyNumberFormat="1" applyFont="1" applyFill="1" applyBorder="1" applyAlignment="1">
      <alignment horizontal="center" vertical="center"/>
    </xf>
    <xf numFmtId="9" fontId="17" fillId="7" borderId="58" xfId="0" applyNumberFormat="1" applyFont="1" applyFill="1" applyBorder="1" applyAlignment="1" applyProtection="1">
      <alignment horizontal="center" vertical="center"/>
    </xf>
    <xf numFmtId="9" fontId="17" fillId="7" borderId="38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/>
    </xf>
    <xf numFmtId="9" fontId="19" fillId="8" borderId="67" xfId="0" applyNumberFormat="1" applyFont="1" applyFill="1" applyBorder="1" applyAlignment="1">
      <alignment horizontal="center" vertical="center"/>
    </xf>
    <xf numFmtId="9" fontId="20" fillId="8" borderId="63" xfId="0" applyNumberFormat="1" applyFont="1" applyFill="1" applyBorder="1" applyAlignment="1">
      <alignment horizontal="center" vertical="center"/>
    </xf>
    <xf numFmtId="3" fontId="6" fillId="8" borderId="52" xfId="0" applyNumberFormat="1" applyFont="1" applyFill="1" applyBorder="1" applyAlignment="1">
      <alignment horizontal="center" vertical="center"/>
    </xf>
    <xf numFmtId="3" fontId="6" fillId="8" borderId="35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6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62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40" xfId="0" applyNumberFormat="1" applyFont="1" applyFill="1" applyBorder="1" applyAlignment="1">
      <alignment horizontal="center" vertical="center" wrapText="1"/>
    </xf>
    <xf numFmtId="9" fontId="15" fillId="9" borderId="37" xfId="0" applyNumberFormat="1" applyFont="1" applyFill="1" applyBorder="1" applyAlignment="1">
      <alignment horizontal="center" vertical="center" wrapText="1"/>
    </xf>
    <xf numFmtId="9" fontId="16" fillId="9" borderId="36" xfId="0" applyNumberFormat="1" applyFont="1" applyFill="1" applyBorder="1" applyAlignment="1">
      <alignment horizontal="center" vertical="center" wrapText="1"/>
    </xf>
    <xf numFmtId="3" fontId="14" fillId="9" borderId="39" xfId="0" applyNumberFormat="1" applyFont="1" applyFill="1" applyBorder="1" applyAlignment="1">
      <alignment horizontal="center" vertical="center"/>
    </xf>
    <xf numFmtId="3" fontId="14" fillId="9" borderId="40" xfId="0" applyNumberFormat="1" applyFont="1" applyFill="1" applyBorder="1" applyAlignment="1">
      <alignment horizontal="center" vertical="center"/>
    </xf>
    <xf numFmtId="9" fontId="17" fillId="9" borderId="58" xfId="0" applyNumberFormat="1" applyFont="1" applyFill="1" applyBorder="1" applyAlignment="1" applyProtection="1">
      <alignment horizontal="center" vertical="center"/>
    </xf>
    <xf numFmtId="9" fontId="17" fillId="9" borderId="38" xfId="0" applyNumberFormat="1" applyFont="1" applyFill="1" applyBorder="1" applyAlignment="1" applyProtection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3" xfId="0" applyNumberFormat="1" applyFont="1" applyFill="1" applyBorder="1" applyAlignment="1">
      <alignment horizontal="center" vertical="center" wrapText="1"/>
    </xf>
    <xf numFmtId="9" fontId="14" fillId="10" borderId="40" xfId="0" applyNumberFormat="1" applyFont="1" applyFill="1" applyBorder="1" applyAlignment="1">
      <alignment horizontal="center" vertical="center" wrapText="1"/>
    </xf>
    <xf numFmtId="9" fontId="15" fillId="10" borderId="37" xfId="0" applyNumberFormat="1" applyFont="1" applyFill="1" applyBorder="1" applyAlignment="1">
      <alignment horizontal="center" vertical="center" wrapText="1"/>
    </xf>
    <xf numFmtId="9" fontId="16" fillId="10" borderId="36" xfId="0" applyNumberFormat="1" applyFont="1" applyFill="1" applyBorder="1" applyAlignment="1">
      <alignment horizontal="center" vertical="center" wrapText="1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40" xfId="0" applyNumberFormat="1" applyFont="1" applyFill="1" applyBorder="1" applyAlignment="1">
      <alignment horizontal="center" vertical="center"/>
    </xf>
    <xf numFmtId="9" fontId="14" fillId="11" borderId="58" xfId="0" applyNumberFormat="1" applyFont="1" applyFill="1" applyBorder="1" applyAlignment="1" applyProtection="1">
      <alignment horizontal="center" vertical="center"/>
    </xf>
    <xf numFmtId="9" fontId="14" fillId="11" borderId="38" xfId="0" applyNumberFormat="1" applyFont="1" applyFill="1" applyBorder="1" applyAlignment="1" applyProtection="1">
      <alignment horizontal="center" vertical="center"/>
    </xf>
    <xf numFmtId="9" fontId="8" fillId="2" borderId="40" xfId="0" applyNumberFormat="1" applyFont="1" applyFill="1" applyBorder="1" applyAlignment="1">
      <alignment horizontal="center" vertical="center" wrapText="1"/>
    </xf>
    <xf numFmtId="9" fontId="8" fillId="2" borderId="37" xfId="0" applyNumberFormat="1" applyFont="1" applyFill="1" applyBorder="1" applyAlignment="1">
      <alignment horizontal="center" vertical="center" wrapText="1"/>
    </xf>
    <xf numFmtId="9" fontId="22" fillId="2" borderId="36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4" fontId="6" fillId="0" borderId="9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justify" vertical="center"/>
    </xf>
    <xf numFmtId="0" fontId="8" fillId="2" borderId="72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73" xfId="0" applyFont="1" applyBorder="1" applyAlignment="1">
      <alignment horizontal="justify" vertical="center"/>
    </xf>
    <xf numFmtId="0" fontId="14" fillId="10" borderId="37" xfId="0" applyFont="1" applyFill="1" applyBorder="1" applyAlignment="1">
      <alignment horizontal="justify" vertical="center"/>
    </xf>
    <xf numFmtId="0" fontId="14" fillId="10" borderId="72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69" xfId="0" applyFont="1" applyFill="1" applyBorder="1" applyAlignment="1">
      <alignment horizontal="justify" vertical="center"/>
    </xf>
    <xf numFmtId="0" fontId="14" fillId="9" borderId="37" xfId="0" applyFont="1" applyFill="1" applyBorder="1" applyAlignment="1">
      <alignment horizontal="justify" vertical="center"/>
    </xf>
    <xf numFmtId="0" fontId="14" fillId="9" borderId="72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73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37" xfId="0" applyFont="1" applyFill="1" applyBorder="1" applyAlignment="1">
      <alignment horizontal="justify" vertical="center"/>
    </xf>
    <xf numFmtId="0" fontId="14" fillId="7" borderId="72" xfId="0" applyFont="1" applyFill="1" applyBorder="1" applyAlignment="1">
      <alignment horizontal="justify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6" borderId="33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5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1003300</xdr:colOff>
      <xdr:row>0</xdr:row>
      <xdr:rowOff>152400</xdr:rowOff>
    </xdr:from>
    <xdr:to>
      <xdr:col>4</xdr:col>
      <xdr:colOff>635000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1384300</xdr:colOff>
      <xdr:row>3</xdr:row>
      <xdr:rowOff>38100</xdr:rowOff>
    </xdr:from>
    <xdr:to>
      <xdr:col>2</xdr:col>
      <xdr:colOff>2387600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2819399</xdr:colOff>
      <xdr:row>3</xdr:row>
      <xdr:rowOff>50800</xdr:rowOff>
    </xdr:from>
    <xdr:to>
      <xdr:col>3</xdr:col>
      <xdr:colOff>1142999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79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42370</v>
      </c>
      <c r="F12" s="56">
        <v>42735</v>
      </c>
      <c r="G12" s="57" t="s">
        <v>28</v>
      </c>
      <c r="H12" s="83">
        <v>35</v>
      </c>
      <c r="I12" s="83">
        <v>3</v>
      </c>
      <c r="J12" s="83">
        <v>3</v>
      </c>
      <c r="K12" s="84">
        <v>3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85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42370</v>
      </c>
      <c r="F14" s="56">
        <v>42735</v>
      </c>
      <c r="G14" s="57" t="s">
        <v>29</v>
      </c>
      <c r="H14" s="83">
        <v>1</v>
      </c>
      <c r="I14" s="83">
        <v>0</v>
      </c>
      <c r="J14" s="83">
        <v>0</v>
      </c>
      <c r="K14" s="84">
        <v>1</v>
      </c>
      <c r="L14" s="33" t="e">
        <f t="shared" ref="L14:L68" si="0">+K14/J14</f>
        <v>#DIV/0!</v>
      </c>
      <c r="M14" s="22">
        <f t="shared" ref="M14:M68" si="1">DAYS360(E14,$C$8)/DAYS360(E14,F14)</f>
        <v>1</v>
      </c>
      <c r="N14" s="32" t="str">
        <f t="shared" ref="N14:N68" si="2">IF(J14=0," -",IF(L14&gt;100%,100%,L14))</f>
        <v xml:space="preserve"> -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8" si="3">IF(P14=0," -",Q14/P14)</f>
        <v xml:space="preserve"> -</v>
      </c>
      <c r="T14" s="59" t="str">
        <f t="shared" ref="T14:T68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46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42370</v>
      </c>
      <c r="F16" s="56">
        <v>42735</v>
      </c>
      <c r="G16" s="57" t="s">
        <v>30</v>
      </c>
      <c r="H16" s="83">
        <v>1</v>
      </c>
      <c r="I16" s="83">
        <v>0</v>
      </c>
      <c r="J16" s="97">
        <v>0</v>
      </c>
      <c r="K16" s="84">
        <v>0</v>
      </c>
      <c r="L16" s="21" t="e">
        <f t="shared" si="0"/>
        <v>#DIV/0!</v>
      </c>
      <c r="M16" s="22">
        <f t="shared" si="1"/>
        <v>1</v>
      </c>
      <c r="N16" s="32" t="str">
        <f t="shared" si="2"/>
        <v xml:space="preserve"> -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85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42370</v>
      </c>
      <c r="F18" s="100">
        <v>42735</v>
      </c>
      <c r="G18" s="101" t="s">
        <v>31</v>
      </c>
      <c r="H18" s="87">
        <v>47</v>
      </c>
      <c r="I18" s="87"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2800000</v>
      </c>
      <c r="Q18" s="87">
        <v>2747182</v>
      </c>
      <c r="R18" s="87">
        <v>0</v>
      </c>
      <c r="S18" s="19">
        <f t="shared" si="3"/>
        <v>0.98113642857142858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42370</v>
      </c>
      <c r="F19" s="102">
        <v>42735</v>
      </c>
      <c r="G19" s="10" t="s">
        <v>32</v>
      </c>
      <c r="H19" s="89">
        <v>47</v>
      </c>
      <c r="I19" s="89">
        <v>47</v>
      </c>
      <c r="J19" s="89">
        <v>47</v>
      </c>
      <c r="K19" s="90">
        <v>43</v>
      </c>
      <c r="L19" s="33">
        <f t="shared" si="0"/>
        <v>0.91489361702127658</v>
      </c>
      <c r="M19" s="22">
        <f t="shared" si="1"/>
        <v>1</v>
      </c>
      <c r="N19" s="32">
        <f t="shared" si="2"/>
        <v>0.91489361702127658</v>
      </c>
      <c r="O19" s="111">
        <v>2210645</v>
      </c>
      <c r="P19" s="89">
        <v>650000</v>
      </c>
      <c r="Q19" s="89">
        <v>619173</v>
      </c>
      <c r="R19" s="89">
        <v>582167</v>
      </c>
      <c r="S19" s="27">
        <f t="shared" si="3"/>
        <v>0.9525738461538461</v>
      </c>
      <c r="T19" s="23">
        <f t="shared" si="4"/>
        <v>0.94023318200244521</v>
      </c>
    </row>
    <row r="20" spans="2:20" ht="45">
      <c r="B20" s="275"/>
      <c r="C20" s="272"/>
      <c r="D20" s="267"/>
      <c r="E20" s="53">
        <v>42370</v>
      </c>
      <c r="F20" s="102">
        <v>42735</v>
      </c>
      <c r="G20" s="10" t="s">
        <v>33</v>
      </c>
      <c r="H20" s="89">
        <v>23</v>
      </c>
      <c r="I20" s="89">
        <v>0</v>
      </c>
      <c r="J20" s="89">
        <v>0</v>
      </c>
      <c r="K20" s="90">
        <v>0</v>
      </c>
      <c r="L20" s="33" t="e">
        <f t="shared" si="0"/>
        <v>#DIV/0!</v>
      </c>
      <c r="M20" s="22">
        <f t="shared" si="1"/>
        <v>1</v>
      </c>
      <c r="N20" s="32" t="str">
        <f t="shared" si="2"/>
        <v xml:space="preserve"> -</v>
      </c>
      <c r="O20" s="111">
        <v>2210907</v>
      </c>
      <c r="P20" s="89">
        <v>322604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42370</v>
      </c>
      <c r="F21" s="102">
        <v>42735</v>
      </c>
      <c r="G21" s="10" t="s">
        <v>34</v>
      </c>
      <c r="H21" s="89">
        <v>17400</v>
      </c>
      <c r="I21" s="89">
        <v>2200</v>
      </c>
      <c r="J21" s="89">
        <v>2200</v>
      </c>
      <c r="K21" s="90">
        <v>2247</v>
      </c>
      <c r="L21" s="33">
        <f t="shared" si="0"/>
        <v>1.0213636363636365</v>
      </c>
      <c r="M21" s="22">
        <f t="shared" si="1"/>
        <v>1</v>
      </c>
      <c r="N21" s="32">
        <f t="shared" si="2"/>
        <v>1</v>
      </c>
      <c r="O21" s="111">
        <v>2210645</v>
      </c>
      <c r="P21" s="89">
        <v>0</v>
      </c>
      <c r="Q21" s="89">
        <v>0</v>
      </c>
      <c r="R21" s="89">
        <v>330000</v>
      </c>
      <c r="S21" s="27" t="str">
        <f t="shared" si="3"/>
        <v xml:space="preserve"> -</v>
      </c>
      <c r="T21" s="23">
        <f t="shared" si="4"/>
        <v>1</v>
      </c>
    </row>
    <row r="22" spans="2:20" ht="45">
      <c r="B22" s="275"/>
      <c r="C22" s="272"/>
      <c r="D22" s="267"/>
      <c r="E22" s="53">
        <v>42370</v>
      </c>
      <c r="F22" s="102">
        <v>42735</v>
      </c>
      <c r="G22" s="10" t="s">
        <v>35</v>
      </c>
      <c r="H22" s="89">
        <v>47</v>
      </c>
      <c r="I22" s="89"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1739595</v>
      </c>
      <c r="Q22" s="89">
        <v>1488133</v>
      </c>
      <c r="R22" s="89">
        <v>500000</v>
      </c>
      <c r="S22" s="27">
        <f t="shared" si="3"/>
        <v>0.85544796346275997</v>
      </c>
      <c r="T22" s="23">
        <f t="shared" si="4"/>
        <v>0.33599147388035883</v>
      </c>
    </row>
    <row r="23" spans="2:20" ht="45" customHeight="1">
      <c r="B23" s="275"/>
      <c r="C23" s="272"/>
      <c r="D23" s="267"/>
      <c r="E23" s="53">
        <v>42370</v>
      </c>
      <c r="F23" s="102">
        <v>42735</v>
      </c>
      <c r="G23" s="10" t="s">
        <v>36</v>
      </c>
      <c r="H23" s="89">
        <v>47</v>
      </c>
      <c r="I23" s="89"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130</v>
      </c>
      <c r="P23" s="89">
        <f>131979354+46040951</f>
        <v>178020305</v>
      </c>
      <c r="Q23" s="89">
        <f>131149474+46040951</f>
        <v>177190425</v>
      </c>
      <c r="R23" s="89">
        <v>0</v>
      </c>
      <c r="S23" s="27">
        <f t="shared" si="3"/>
        <v>0.99533828458500839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42370</v>
      </c>
      <c r="F24" s="102">
        <v>42735</v>
      </c>
      <c r="G24" s="10" t="s">
        <v>37</v>
      </c>
      <c r="H24" s="89">
        <v>47</v>
      </c>
      <c r="I24" s="89"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131</v>
      </c>
      <c r="P24" s="89">
        <v>22226796</v>
      </c>
      <c r="Q24" s="89">
        <v>20348330</v>
      </c>
      <c r="R24" s="89">
        <v>0</v>
      </c>
      <c r="S24" s="27">
        <f t="shared" si="3"/>
        <v>0.91548642458409213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42370</v>
      </c>
      <c r="F25" s="102">
        <v>42735</v>
      </c>
      <c r="G25" s="10" t="s">
        <v>38</v>
      </c>
      <c r="H25" s="89">
        <v>12</v>
      </c>
      <c r="I25" s="89">
        <v>0</v>
      </c>
      <c r="J25" s="89">
        <v>0</v>
      </c>
      <c r="K25" s="90">
        <v>0</v>
      </c>
      <c r="L25" s="33" t="e">
        <f t="shared" si="0"/>
        <v>#DIV/0!</v>
      </c>
      <c r="M25" s="22">
        <f t="shared" si="1"/>
        <v>1</v>
      </c>
      <c r="N25" s="32" t="str">
        <f t="shared" si="2"/>
        <v xml:space="preserve"> -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42370</v>
      </c>
      <c r="F26" s="102">
        <v>42735</v>
      </c>
      <c r="G26" s="10" t="s">
        <v>39</v>
      </c>
      <c r="H26" s="89">
        <v>4</v>
      </c>
      <c r="I26" s="89">
        <v>0</v>
      </c>
      <c r="J26" s="89">
        <v>0</v>
      </c>
      <c r="K26" s="90">
        <v>0</v>
      </c>
      <c r="L26" s="33" t="e">
        <f t="shared" si="0"/>
        <v>#DIV/0!</v>
      </c>
      <c r="M26" s="22">
        <f t="shared" si="1"/>
        <v>1</v>
      </c>
      <c r="N26" s="32" t="str">
        <f t="shared" si="2"/>
        <v xml:space="preserve"> -</v>
      </c>
      <c r="O26" s="111">
        <v>2210297</v>
      </c>
      <c r="P26" s="89">
        <v>0</v>
      </c>
      <c r="Q26" s="89">
        <v>0</v>
      </c>
      <c r="R26" s="89">
        <v>0</v>
      </c>
      <c r="S26" s="27" t="str">
        <f t="shared" si="3"/>
        <v xml:space="preserve"> -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42370</v>
      </c>
      <c r="F27" s="102">
        <v>42735</v>
      </c>
      <c r="G27" s="10" t="s">
        <v>40</v>
      </c>
      <c r="H27" s="89">
        <v>1</v>
      </c>
      <c r="I27" s="89">
        <v>1</v>
      </c>
      <c r="J27" s="89">
        <v>1</v>
      </c>
      <c r="K27" s="115">
        <v>0.4</v>
      </c>
      <c r="L27" s="33">
        <f t="shared" si="0"/>
        <v>0.4</v>
      </c>
      <c r="M27" s="22">
        <f t="shared" si="1"/>
        <v>1</v>
      </c>
      <c r="N27" s="32">
        <f t="shared" si="2"/>
        <v>0.4</v>
      </c>
      <c r="O27" s="111" t="s">
        <v>132</v>
      </c>
      <c r="P27" s="89">
        <v>3103737</v>
      </c>
      <c r="Q27" s="89">
        <v>1300000</v>
      </c>
      <c r="R27" s="89">
        <v>1478710</v>
      </c>
      <c r="S27" s="27">
        <f t="shared" si="3"/>
        <v>0.41884992188448955</v>
      </c>
      <c r="T27" s="23">
        <f t="shared" si="4"/>
        <v>1.1374692307692307</v>
      </c>
    </row>
    <row r="28" spans="2:20" ht="60">
      <c r="B28" s="275"/>
      <c r="C28" s="272"/>
      <c r="D28" s="267"/>
      <c r="E28" s="53">
        <v>42370</v>
      </c>
      <c r="F28" s="102">
        <v>42735</v>
      </c>
      <c r="G28" s="10" t="s">
        <v>41</v>
      </c>
      <c r="H28" s="89">
        <v>10</v>
      </c>
      <c r="I28" s="89">
        <v>3</v>
      </c>
      <c r="J28" s="89">
        <v>3</v>
      </c>
      <c r="K28" s="90">
        <v>2</v>
      </c>
      <c r="L28" s="33">
        <f t="shared" si="0"/>
        <v>0.66666666666666663</v>
      </c>
      <c r="M28" s="22">
        <f t="shared" si="1"/>
        <v>1</v>
      </c>
      <c r="N28" s="32">
        <f t="shared" si="2"/>
        <v>0.66666666666666663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42370</v>
      </c>
      <c r="F29" s="102">
        <v>42735</v>
      </c>
      <c r="G29" s="10" t="s">
        <v>42</v>
      </c>
      <c r="H29" s="89">
        <v>13</v>
      </c>
      <c r="I29" s="89">
        <v>0</v>
      </c>
      <c r="J29" s="89">
        <v>0</v>
      </c>
      <c r="K29" s="90">
        <v>0</v>
      </c>
      <c r="L29" s="33" t="e">
        <f t="shared" si="0"/>
        <v>#DIV/0!</v>
      </c>
      <c r="M29" s="22">
        <f t="shared" si="1"/>
        <v>1</v>
      </c>
      <c r="N29" s="32" t="str">
        <f t="shared" si="2"/>
        <v xml:space="preserve"> -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42370</v>
      </c>
      <c r="F30" s="103">
        <v>42735</v>
      </c>
      <c r="G30" s="104" t="s">
        <v>43</v>
      </c>
      <c r="H30" s="68">
        <v>1</v>
      </c>
      <c r="I30" s="68"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42370</v>
      </c>
      <c r="F31" s="100">
        <v>42735</v>
      </c>
      <c r="G31" s="82" t="s">
        <v>44</v>
      </c>
      <c r="H31" s="87">
        <v>581</v>
      </c>
      <c r="I31" s="87">
        <v>146</v>
      </c>
      <c r="J31" s="87">
        <v>146</v>
      </c>
      <c r="K31" s="88">
        <v>157</v>
      </c>
      <c r="L31" s="77">
        <f t="shared" si="0"/>
        <v>1.0753424657534247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42370</v>
      </c>
      <c r="F32" s="102">
        <v>42735</v>
      </c>
      <c r="G32" s="10" t="s">
        <v>45</v>
      </c>
      <c r="H32" s="27">
        <v>1</v>
      </c>
      <c r="I32" s="27"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2819660</v>
      </c>
      <c r="Q32" s="89">
        <v>2752070</v>
      </c>
      <c r="R32" s="89">
        <v>799994</v>
      </c>
      <c r="S32" s="27">
        <f t="shared" si="3"/>
        <v>0.97602902477603681</v>
      </c>
      <c r="T32" s="23">
        <f t="shared" si="4"/>
        <v>0.29068810023000868</v>
      </c>
    </row>
    <row r="33" spans="2:20" ht="60">
      <c r="B33" s="275"/>
      <c r="C33" s="272"/>
      <c r="D33" s="267"/>
      <c r="E33" s="53">
        <v>42370</v>
      </c>
      <c r="F33" s="102">
        <v>42735</v>
      </c>
      <c r="G33" s="10" t="s">
        <v>46</v>
      </c>
      <c r="H33" s="89">
        <v>4570</v>
      </c>
      <c r="I33" s="89">
        <v>1091</v>
      </c>
      <c r="J33" s="89">
        <v>1091</v>
      </c>
      <c r="K33" s="90">
        <v>969</v>
      </c>
      <c r="L33" s="33">
        <f t="shared" si="0"/>
        <v>0.88817598533455544</v>
      </c>
      <c r="M33" s="22">
        <f t="shared" si="1"/>
        <v>1</v>
      </c>
      <c r="N33" s="32">
        <f t="shared" si="2"/>
        <v>0.88817598533455544</v>
      </c>
      <c r="O33" s="111">
        <v>2210146</v>
      </c>
      <c r="P33" s="89">
        <v>719278</v>
      </c>
      <c r="Q33" s="89">
        <v>719278</v>
      </c>
      <c r="R33" s="89">
        <v>454129</v>
      </c>
      <c r="S33" s="27">
        <f t="shared" si="3"/>
        <v>1</v>
      </c>
      <c r="T33" s="23">
        <f t="shared" si="4"/>
        <v>0.63136784386565414</v>
      </c>
    </row>
    <row r="34" spans="2:20" ht="45">
      <c r="B34" s="275"/>
      <c r="C34" s="272"/>
      <c r="D34" s="267"/>
      <c r="E34" s="53">
        <v>42370</v>
      </c>
      <c r="F34" s="102">
        <v>42735</v>
      </c>
      <c r="G34" s="10" t="s">
        <v>47</v>
      </c>
      <c r="H34" s="89">
        <v>800</v>
      </c>
      <c r="I34" s="89">
        <v>800</v>
      </c>
      <c r="J34" s="89">
        <v>800</v>
      </c>
      <c r="K34" s="90">
        <v>1015</v>
      </c>
      <c r="L34" s="33">
        <f t="shared" si="0"/>
        <v>1.26875</v>
      </c>
      <c r="M34" s="22">
        <f t="shared" si="1"/>
        <v>1</v>
      </c>
      <c r="N34" s="32">
        <f t="shared" si="2"/>
        <v>1</v>
      </c>
      <c r="O34" s="111" t="s">
        <v>129</v>
      </c>
      <c r="P34" s="89">
        <v>603200</v>
      </c>
      <c r="Q34" s="89">
        <v>603200</v>
      </c>
      <c r="R34" s="89">
        <v>0</v>
      </c>
      <c r="S34" s="27">
        <f t="shared" si="3"/>
        <v>1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42370</v>
      </c>
      <c r="F35" s="102">
        <v>42735</v>
      </c>
      <c r="G35" s="10" t="s">
        <v>48</v>
      </c>
      <c r="H35" s="27">
        <v>1</v>
      </c>
      <c r="I35" s="27"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1216951</v>
      </c>
      <c r="Q35" s="89">
        <v>1216951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42370</v>
      </c>
      <c r="F36" s="102">
        <v>42735</v>
      </c>
      <c r="G36" s="10" t="s">
        <v>49</v>
      </c>
      <c r="H36" s="89">
        <v>12800</v>
      </c>
      <c r="I36" s="89">
        <v>2548</v>
      </c>
      <c r="J36" s="89">
        <v>2548</v>
      </c>
      <c r="K36" s="90">
        <v>2405</v>
      </c>
      <c r="L36" s="33">
        <f t="shared" si="0"/>
        <v>0.94387755102040816</v>
      </c>
      <c r="M36" s="22">
        <f t="shared" si="1"/>
        <v>1</v>
      </c>
      <c r="N36" s="32">
        <f t="shared" si="2"/>
        <v>0.94387755102040816</v>
      </c>
      <c r="O36" s="111">
        <v>2210913</v>
      </c>
      <c r="P36" s="89">
        <v>165600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60">
      <c r="B37" s="275"/>
      <c r="C37" s="272"/>
      <c r="D37" s="267"/>
      <c r="E37" s="53">
        <v>42370</v>
      </c>
      <c r="F37" s="102">
        <v>42735</v>
      </c>
      <c r="G37" s="10" t="s">
        <v>50</v>
      </c>
      <c r="H37" s="89">
        <v>47</v>
      </c>
      <c r="I37" s="89">
        <v>0</v>
      </c>
      <c r="J37" s="89">
        <v>0</v>
      </c>
      <c r="K37" s="90">
        <v>0</v>
      </c>
      <c r="L37" s="33" t="e">
        <f t="shared" si="0"/>
        <v>#DIV/0!</v>
      </c>
      <c r="M37" s="22">
        <f t="shared" si="1"/>
        <v>1</v>
      </c>
      <c r="N37" s="32" t="str">
        <f t="shared" si="2"/>
        <v xml:space="preserve"> -</v>
      </c>
      <c r="O37" s="111">
        <v>2210005</v>
      </c>
      <c r="P37" s="89">
        <v>90000</v>
      </c>
      <c r="Q37" s="89">
        <v>0</v>
      </c>
      <c r="R37" s="89">
        <v>0</v>
      </c>
      <c r="S37" s="27">
        <f t="shared" si="3"/>
        <v>0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42370</v>
      </c>
      <c r="F38" s="102">
        <v>42735</v>
      </c>
      <c r="G38" s="10" t="s">
        <v>51</v>
      </c>
      <c r="H38" s="27">
        <v>1</v>
      </c>
      <c r="I38" s="27">
        <v>0.8</v>
      </c>
      <c r="J38" s="27">
        <v>0.8</v>
      </c>
      <c r="K38" s="23">
        <v>0.35</v>
      </c>
      <c r="L38" s="33">
        <f t="shared" si="0"/>
        <v>0.43749999999999994</v>
      </c>
      <c r="M38" s="22">
        <f t="shared" si="1"/>
        <v>1</v>
      </c>
      <c r="N38" s="32">
        <f t="shared" si="2"/>
        <v>0.43749999999999994</v>
      </c>
      <c r="O38" s="111">
        <v>2210005</v>
      </c>
      <c r="P38" s="89">
        <v>226156</v>
      </c>
      <c r="Q38" s="89">
        <v>45000</v>
      </c>
      <c r="R38" s="89">
        <v>0</v>
      </c>
      <c r="S38" s="27">
        <f t="shared" si="3"/>
        <v>0.19897769681105079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42370</v>
      </c>
      <c r="F39" s="102">
        <v>42735</v>
      </c>
      <c r="G39" s="10" t="s">
        <v>52</v>
      </c>
      <c r="H39" s="89">
        <v>9599</v>
      </c>
      <c r="I39" s="89">
        <v>9599</v>
      </c>
      <c r="J39" s="89">
        <v>9599</v>
      </c>
      <c r="K39" s="90">
        <v>9497</v>
      </c>
      <c r="L39" s="33">
        <f t="shared" si="0"/>
        <v>0.98937389311386603</v>
      </c>
      <c r="M39" s="22">
        <f t="shared" si="1"/>
        <v>1</v>
      </c>
      <c r="N39" s="32">
        <f t="shared" si="2"/>
        <v>0.98937389311386603</v>
      </c>
      <c r="O39" s="111">
        <v>2210634</v>
      </c>
      <c r="P39" s="89">
        <v>9954819</v>
      </c>
      <c r="Q39" s="89">
        <v>9927062</v>
      </c>
      <c r="R39" s="89">
        <v>0</v>
      </c>
      <c r="S39" s="27">
        <f t="shared" si="3"/>
        <v>0.99721170219167221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42370</v>
      </c>
      <c r="F40" s="102">
        <v>42735</v>
      </c>
      <c r="G40" s="10" t="s">
        <v>53</v>
      </c>
      <c r="H40" s="89">
        <v>28340</v>
      </c>
      <c r="I40" s="89">
        <v>28340</v>
      </c>
      <c r="J40" s="89">
        <v>28340</v>
      </c>
      <c r="K40" s="90">
        <v>25336</v>
      </c>
      <c r="L40" s="33">
        <f t="shared" si="0"/>
        <v>0.89400141143260414</v>
      </c>
      <c r="M40" s="22">
        <f t="shared" si="1"/>
        <v>1</v>
      </c>
      <c r="N40" s="32">
        <f t="shared" si="2"/>
        <v>0.89400141143260414</v>
      </c>
      <c r="O40" s="111">
        <v>2210803</v>
      </c>
      <c r="P40" s="89">
        <v>8736890</v>
      </c>
      <c r="Q40" s="89">
        <v>7630051</v>
      </c>
      <c r="R40" s="89">
        <v>0</v>
      </c>
      <c r="S40" s="27">
        <f t="shared" si="3"/>
        <v>0.87331430291556833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42370</v>
      </c>
      <c r="F41" s="102">
        <v>42735</v>
      </c>
      <c r="G41" s="10" t="s">
        <v>54</v>
      </c>
      <c r="H41" s="27">
        <v>1</v>
      </c>
      <c r="I41" s="27"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42370</v>
      </c>
      <c r="F42" s="102">
        <v>42735</v>
      </c>
      <c r="G42" s="10" t="s">
        <v>55</v>
      </c>
      <c r="H42" s="27">
        <v>1</v>
      </c>
      <c r="I42" s="27"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42370</v>
      </c>
      <c r="F43" s="102">
        <v>42735</v>
      </c>
      <c r="G43" s="10" t="s">
        <v>56</v>
      </c>
      <c r="H43" s="89">
        <v>1</v>
      </c>
      <c r="I43" s="89"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42370</v>
      </c>
      <c r="F44" s="102">
        <v>42735</v>
      </c>
      <c r="G44" s="10" t="s">
        <v>57</v>
      </c>
      <c r="H44" s="27">
        <v>1</v>
      </c>
      <c r="I44" s="27">
        <v>1</v>
      </c>
      <c r="J44" s="27">
        <v>1</v>
      </c>
      <c r="K44" s="23">
        <v>1</v>
      </c>
      <c r="L44" s="33">
        <f t="shared" si="0"/>
        <v>1</v>
      </c>
      <c r="M44" s="22">
        <f t="shared" si="1"/>
        <v>1</v>
      </c>
      <c r="N44" s="32">
        <f t="shared" si="2"/>
        <v>1</v>
      </c>
      <c r="O44" s="111">
        <v>2210803</v>
      </c>
      <c r="P44" s="89">
        <v>195683</v>
      </c>
      <c r="Q44" s="89">
        <v>66082</v>
      </c>
      <c r="R44" s="89">
        <v>0</v>
      </c>
      <c r="S44" s="27">
        <f t="shared" si="3"/>
        <v>0.33769923805338226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42370</v>
      </c>
      <c r="F45" s="105">
        <v>42735</v>
      </c>
      <c r="G45" s="11" t="s">
        <v>58</v>
      </c>
      <c r="H45" s="91">
        <v>2</v>
      </c>
      <c r="I45" s="91">
        <v>1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42370</v>
      </c>
      <c r="F46" s="106">
        <v>42735</v>
      </c>
      <c r="G46" s="107" t="s">
        <v>59</v>
      </c>
      <c r="H46" s="93">
        <v>47</v>
      </c>
      <c r="I46" s="93"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0</v>
      </c>
      <c r="Q46" s="93">
        <v>0</v>
      </c>
      <c r="R46" s="93">
        <v>0</v>
      </c>
      <c r="S46" s="75" t="str">
        <f t="shared" si="3"/>
        <v xml:space="preserve"> -</v>
      </c>
      <c r="T46" s="76" t="str">
        <f t="shared" si="4"/>
        <v xml:space="preserve"> -</v>
      </c>
    </row>
    <row r="47" spans="2:20" ht="30">
      <c r="B47" s="275"/>
      <c r="C47" s="272"/>
      <c r="D47" s="267"/>
      <c r="E47" s="53">
        <v>42370</v>
      </c>
      <c r="F47" s="102">
        <v>42735</v>
      </c>
      <c r="G47" s="10" t="s">
        <v>60</v>
      </c>
      <c r="H47" s="89">
        <v>188</v>
      </c>
      <c r="I47" s="89">
        <v>0</v>
      </c>
      <c r="J47" s="89">
        <v>0</v>
      </c>
      <c r="K47" s="90">
        <v>0</v>
      </c>
      <c r="L47" s="33" t="e">
        <f t="shared" si="0"/>
        <v>#DIV/0!</v>
      </c>
      <c r="M47" s="22">
        <f t="shared" si="1"/>
        <v>1</v>
      </c>
      <c r="N47" s="32" t="str">
        <f t="shared" si="2"/>
        <v xml:space="preserve"> -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42370</v>
      </c>
      <c r="F48" s="102">
        <v>42735</v>
      </c>
      <c r="G48" s="10" t="s">
        <v>61</v>
      </c>
      <c r="H48" s="27">
        <v>1</v>
      </c>
      <c r="I48" s="27"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132496</v>
      </c>
      <c r="Q48" s="89">
        <v>35550</v>
      </c>
      <c r="R48" s="89">
        <v>0</v>
      </c>
      <c r="S48" s="27">
        <f t="shared" si="3"/>
        <v>0.26830998671658013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42370</v>
      </c>
      <c r="F49" s="103">
        <v>42735</v>
      </c>
      <c r="G49" s="104" t="s">
        <v>62</v>
      </c>
      <c r="H49" s="95">
        <v>15</v>
      </c>
      <c r="I49" s="95">
        <v>0</v>
      </c>
      <c r="J49" s="95">
        <v>0</v>
      </c>
      <c r="K49" s="96">
        <v>0</v>
      </c>
      <c r="L49" s="65" t="e">
        <f t="shared" si="0"/>
        <v>#DIV/0!</v>
      </c>
      <c r="M49" s="66">
        <f t="shared" si="1"/>
        <v>1</v>
      </c>
      <c r="N49" s="67" t="str">
        <f t="shared" si="2"/>
        <v xml:space="preserve"> -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42370</v>
      </c>
      <c r="F50" s="100">
        <v>42735</v>
      </c>
      <c r="G50" s="101" t="s">
        <v>63</v>
      </c>
      <c r="H50" s="19">
        <v>1</v>
      </c>
      <c r="I50" s="19"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42370</v>
      </c>
      <c r="F51" s="102">
        <v>42735</v>
      </c>
      <c r="G51" s="10" t="s">
        <v>64</v>
      </c>
      <c r="H51" s="89">
        <v>480</v>
      </c>
      <c r="I51" s="89">
        <v>0</v>
      </c>
      <c r="J51" s="89">
        <v>0</v>
      </c>
      <c r="K51" s="90">
        <v>0</v>
      </c>
      <c r="L51" s="33" t="e">
        <f t="shared" si="0"/>
        <v>#DIV/0!</v>
      </c>
      <c r="M51" s="22">
        <f t="shared" si="1"/>
        <v>1</v>
      </c>
      <c r="N51" s="32" t="str">
        <f t="shared" si="2"/>
        <v xml:space="preserve"> -</v>
      </c>
      <c r="O51" s="111">
        <v>2210900</v>
      </c>
      <c r="P51" s="89">
        <v>70000</v>
      </c>
      <c r="Q51" s="89">
        <v>0</v>
      </c>
      <c r="R51" s="89">
        <v>0</v>
      </c>
      <c r="S51" s="27">
        <f t="shared" si="3"/>
        <v>0</v>
      </c>
      <c r="T51" s="23" t="str">
        <f t="shared" si="4"/>
        <v xml:space="preserve"> -</v>
      </c>
    </row>
    <row r="52" spans="2:20" ht="60">
      <c r="B52" s="275"/>
      <c r="C52" s="272"/>
      <c r="D52" s="267"/>
      <c r="E52" s="53">
        <v>42370</v>
      </c>
      <c r="F52" s="102">
        <v>42735</v>
      </c>
      <c r="G52" s="54" t="s">
        <v>65</v>
      </c>
      <c r="H52" s="89">
        <v>8173</v>
      </c>
      <c r="I52" s="89">
        <v>8173</v>
      </c>
      <c r="J52" s="89">
        <v>8173</v>
      </c>
      <c r="K52" s="90">
        <v>3461</v>
      </c>
      <c r="L52" s="33">
        <f t="shared" si="0"/>
        <v>0.42346751498837637</v>
      </c>
      <c r="M52" s="22">
        <f t="shared" si="1"/>
        <v>1</v>
      </c>
      <c r="N52" s="32">
        <f t="shared" si="2"/>
        <v>0.42346751498837637</v>
      </c>
      <c r="O52" s="111">
        <v>2210900</v>
      </c>
      <c r="P52" s="89">
        <v>0</v>
      </c>
      <c r="Q52" s="89">
        <v>0</v>
      </c>
      <c r="R52" s="89">
        <v>385000</v>
      </c>
      <c r="S52" s="27" t="str">
        <f t="shared" si="3"/>
        <v xml:space="preserve"> -</v>
      </c>
      <c r="T52" s="23">
        <f t="shared" si="4"/>
        <v>1</v>
      </c>
    </row>
    <row r="53" spans="2:20" ht="45">
      <c r="B53" s="275"/>
      <c r="C53" s="272"/>
      <c r="D53" s="267"/>
      <c r="E53" s="53">
        <v>42370</v>
      </c>
      <c r="F53" s="102">
        <v>42735</v>
      </c>
      <c r="G53" s="54" t="s">
        <v>66</v>
      </c>
      <c r="H53" s="89">
        <v>47</v>
      </c>
      <c r="I53" s="89"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75"/>
      <c r="C54" s="272"/>
      <c r="D54" s="267"/>
      <c r="E54" s="53">
        <v>42370</v>
      </c>
      <c r="F54" s="102">
        <v>42735</v>
      </c>
      <c r="G54" s="54" t="s">
        <v>67</v>
      </c>
      <c r="H54" s="27">
        <v>1</v>
      </c>
      <c r="I54" s="27">
        <v>1</v>
      </c>
      <c r="J54" s="27">
        <v>1</v>
      </c>
      <c r="K54" s="23">
        <v>0.1333</v>
      </c>
      <c r="L54" s="33">
        <f t="shared" si="0"/>
        <v>0.1333</v>
      </c>
      <c r="M54" s="22">
        <f t="shared" si="1"/>
        <v>1</v>
      </c>
      <c r="N54" s="32">
        <f t="shared" si="2"/>
        <v>0.1333</v>
      </c>
      <c r="O54" s="111">
        <v>2210900</v>
      </c>
      <c r="P54" s="89">
        <v>0</v>
      </c>
      <c r="Q54" s="89">
        <v>0</v>
      </c>
      <c r="R54" s="89">
        <v>0</v>
      </c>
      <c r="S54" s="27" t="str">
        <f t="shared" si="3"/>
        <v xml:space="preserve"> -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42370</v>
      </c>
      <c r="F55" s="102">
        <v>42735</v>
      </c>
      <c r="G55" s="54" t="s">
        <v>68</v>
      </c>
      <c r="H55" s="27">
        <v>1</v>
      </c>
      <c r="I55" s="27">
        <v>1</v>
      </c>
      <c r="J55" s="27">
        <v>1</v>
      </c>
      <c r="K55" s="23">
        <v>0</v>
      </c>
      <c r="L55" s="33">
        <f t="shared" si="0"/>
        <v>0</v>
      </c>
      <c r="M55" s="22">
        <f t="shared" si="1"/>
        <v>1</v>
      </c>
      <c r="N55" s="32">
        <f t="shared" si="2"/>
        <v>0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42370</v>
      </c>
      <c r="F56" s="102">
        <v>42735</v>
      </c>
      <c r="G56" s="10" t="s">
        <v>69</v>
      </c>
      <c r="H56" s="89">
        <v>12</v>
      </c>
      <c r="I56" s="89">
        <v>0</v>
      </c>
      <c r="J56" s="89">
        <v>0</v>
      </c>
      <c r="K56" s="90">
        <v>0</v>
      </c>
      <c r="L56" s="33" t="e">
        <f t="shared" si="0"/>
        <v>#DIV/0!</v>
      </c>
      <c r="M56" s="22">
        <f t="shared" si="1"/>
        <v>1</v>
      </c>
      <c r="N56" s="32" t="str">
        <f t="shared" si="2"/>
        <v xml:space="preserve"> -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42370</v>
      </c>
      <c r="F57" s="102">
        <v>42735</v>
      </c>
      <c r="G57" s="10" t="s">
        <v>70</v>
      </c>
      <c r="H57" s="89">
        <v>4</v>
      </c>
      <c r="I57" s="89">
        <v>4</v>
      </c>
      <c r="J57" s="89">
        <v>4</v>
      </c>
      <c r="K57" s="90">
        <v>0</v>
      </c>
      <c r="L57" s="33">
        <f t="shared" si="0"/>
        <v>0</v>
      </c>
      <c r="M57" s="22">
        <f t="shared" si="1"/>
        <v>1</v>
      </c>
      <c r="N57" s="32">
        <f t="shared" si="2"/>
        <v>0</v>
      </c>
      <c r="O57" s="111">
        <v>2210900</v>
      </c>
      <c r="P57" s="89">
        <v>70000</v>
      </c>
      <c r="Q57" s="89">
        <v>0</v>
      </c>
      <c r="R57" s="89">
        <v>0</v>
      </c>
      <c r="S57" s="27">
        <f t="shared" si="3"/>
        <v>0</v>
      </c>
      <c r="T57" s="23" t="str">
        <f t="shared" si="4"/>
        <v xml:space="preserve"> -</v>
      </c>
    </row>
    <row r="58" spans="2:20" ht="45">
      <c r="B58" s="275"/>
      <c r="C58" s="272"/>
      <c r="D58" s="267"/>
      <c r="E58" s="53">
        <v>42370</v>
      </c>
      <c r="F58" s="102">
        <v>42735</v>
      </c>
      <c r="G58" s="10" t="s">
        <v>71</v>
      </c>
      <c r="H58" s="89">
        <v>8</v>
      </c>
      <c r="I58" s="89">
        <v>0</v>
      </c>
      <c r="J58" s="89">
        <v>0</v>
      </c>
      <c r="K58" s="90">
        <v>0</v>
      </c>
      <c r="L58" s="33" t="e">
        <f t="shared" si="0"/>
        <v>#DIV/0!</v>
      </c>
      <c r="M58" s="22">
        <f t="shared" si="1"/>
        <v>1</v>
      </c>
      <c r="N58" s="32" t="str">
        <f t="shared" si="2"/>
        <v xml:space="preserve"> -</v>
      </c>
      <c r="O58" s="111" t="s">
        <v>133</v>
      </c>
      <c r="P58" s="89">
        <v>0</v>
      </c>
      <c r="Q58" s="89">
        <v>0</v>
      </c>
      <c r="R58" s="89">
        <v>0</v>
      </c>
      <c r="S58" s="27" t="str">
        <f t="shared" si="3"/>
        <v xml:space="preserve"> -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42370</v>
      </c>
      <c r="F59" s="102">
        <v>42735</v>
      </c>
      <c r="G59" s="10" t="s">
        <v>72</v>
      </c>
      <c r="H59" s="89">
        <v>340</v>
      </c>
      <c r="I59" s="89">
        <v>0</v>
      </c>
      <c r="J59" s="89">
        <v>0</v>
      </c>
      <c r="K59" s="90">
        <v>51</v>
      </c>
      <c r="L59" s="33" t="e">
        <f t="shared" si="0"/>
        <v>#DIV/0!</v>
      </c>
      <c r="M59" s="22">
        <f t="shared" si="1"/>
        <v>1</v>
      </c>
      <c r="N59" s="32" t="str">
        <f t="shared" si="2"/>
        <v xml:space="preserve"> -</v>
      </c>
      <c r="O59" s="111">
        <v>0</v>
      </c>
      <c r="P59" s="89">
        <v>0</v>
      </c>
      <c r="Q59" s="89">
        <v>0</v>
      </c>
      <c r="R59" s="89">
        <v>462000</v>
      </c>
      <c r="S59" s="27" t="str">
        <f t="shared" si="3"/>
        <v xml:space="preserve"> -</v>
      </c>
      <c r="T59" s="23">
        <f t="shared" si="4"/>
        <v>1</v>
      </c>
    </row>
    <row r="60" spans="2:20" ht="75">
      <c r="B60" s="275"/>
      <c r="C60" s="272"/>
      <c r="D60" s="267"/>
      <c r="E60" s="53">
        <v>42370</v>
      </c>
      <c r="F60" s="102">
        <v>42735</v>
      </c>
      <c r="G60" s="10" t="s">
        <v>73</v>
      </c>
      <c r="H60" s="89">
        <v>2500</v>
      </c>
      <c r="I60" s="89">
        <v>725</v>
      </c>
      <c r="J60" s="89">
        <v>725</v>
      </c>
      <c r="K60" s="90">
        <v>767</v>
      </c>
      <c r="L60" s="33">
        <f t="shared" si="0"/>
        <v>1.0579310344827586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160000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42370</v>
      </c>
      <c r="F61" s="102">
        <v>42735</v>
      </c>
      <c r="G61" s="10" t="s">
        <v>74</v>
      </c>
      <c r="H61" s="89">
        <v>4</v>
      </c>
      <c r="I61" s="89">
        <v>1</v>
      </c>
      <c r="J61" s="89">
        <v>1</v>
      </c>
      <c r="K61" s="90">
        <v>0</v>
      </c>
      <c r="L61" s="33">
        <f t="shared" si="0"/>
        <v>0</v>
      </c>
      <c r="M61" s="22">
        <f t="shared" si="1"/>
        <v>1</v>
      </c>
      <c r="N61" s="32">
        <f t="shared" si="2"/>
        <v>0</v>
      </c>
      <c r="O61" s="111">
        <v>2210902</v>
      </c>
      <c r="P61" s="89">
        <v>80000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42370</v>
      </c>
      <c r="F62" s="102">
        <v>42735</v>
      </c>
      <c r="G62" s="10" t="s">
        <v>75</v>
      </c>
      <c r="H62" s="89">
        <v>47</v>
      </c>
      <c r="I62" s="89">
        <v>47</v>
      </c>
      <c r="J62" s="89">
        <v>47</v>
      </c>
      <c r="K62" s="90">
        <v>12</v>
      </c>
      <c r="L62" s="33">
        <f t="shared" si="0"/>
        <v>0.25531914893617019</v>
      </c>
      <c r="M62" s="22">
        <f t="shared" si="1"/>
        <v>1</v>
      </c>
      <c r="N62" s="32">
        <f t="shared" si="2"/>
        <v>0.25531914893617019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42370</v>
      </c>
      <c r="F63" s="102">
        <v>42735</v>
      </c>
      <c r="G63" s="10" t="s">
        <v>76</v>
      </c>
      <c r="H63" s="89">
        <v>20</v>
      </c>
      <c r="I63" s="89">
        <v>0</v>
      </c>
      <c r="J63" s="89">
        <v>0</v>
      </c>
      <c r="K63" s="90">
        <v>0</v>
      </c>
      <c r="L63" s="33" t="e">
        <f t="shared" si="0"/>
        <v>#DIV/0!</v>
      </c>
      <c r="M63" s="22">
        <f t="shared" si="1"/>
        <v>1</v>
      </c>
      <c r="N63" s="32" t="str">
        <f t="shared" si="2"/>
        <v xml:space="preserve"> -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42370</v>
      </c>
      <c r="F64" s="102">
        <v>42735</v>
      </c>
      <c r="G64" s="10" t="s">
        <v>77</v>
      </c>
      <c r="H64" s="89">
        <v>1</v>
      </c>
      <c r="I64" s="89">
        <v>0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42370</v>
      </c>
      <c r="F65" s="102">
        <v>42735</v>
      </c>
      <c r="G65" s="10" t="s">
        <v>78</v>
      </c>
      <c r="H65" s="27">
        <v>1</v>
      </c>
      <c r="I65" s="27">
        <v>1</v>
      </c>
      <c r="J65" s="27">
        <v>1</v>
      </c>
      <c r="K65" s="23">
        <v>0</v>
      </c>
      <c r="L65" s="33">
        <f t="shared" si="0"/>
        <v>0</v>
      </c>
      <c r="M65" s="22">
        <f t="shared" si="1"/>
        <v>1</v>
      </c>
      <c r="N65" s="32">
        <f t="shared" si="2"/>
        <v>0</v>
      </c>
      <c r="O65" s="111">
        <v>2210326</v>
      </c>
      <c r="P65" s="89">
        <v>273292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42370</v>
      </c>
      <c r="F66" s="102">
        <v>42735</v>
      </c>
      <c r="G66" s="10" t="s">
        <v>79</v>
      </c>
      <c r="H66" s="27">
        <v>1</v>
      </c>
      <c r="I66" s="27"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741905</v>
      </c>
      <c r="Q66" s="89">
        <v>693313</v>
      </c>
      <c r="R66" s="89">
        <v>0</v>
      </c>
      <c r="S66" s="27">
        <f t="shared" si="3"/>
        <v>0.93450374374077538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42370</v>
      </c>
      <c r="F67" s="102">
        <v>42735</v>
      </c>
      <c r="G67" s="10" t="s">
        <v>80</v>
      </c>
      <c r="H67" s="89">
        <v>1</v>
      </c>
      <c r="I67" s="89">
        <v>1</v>
      </c>
      <c r="J67" s="89">
        <v>1</v>
      </c>
      <c r="K67" s="115">
        <v>0.7</v>
      </c>
      <c r="L67" s="33">
        <f t="shared" si="0"/>
        <v>0.7</v>
      </c>
      <c r="M67" s="22">
        <f t="shared" si="1"/>
        <v>1</v>
      </c>
      <c r="N67" s="32">
        <f t="shared" si="2"/>
        <v>0.7</v>
      </c>
      <c r="O67" s="111">
        <v>2210013</v>
      </c>
      <c r="P67" s="89">
        <v>42687</v>
      </c>
      <c r="Q67" s="89">
        <v>42687</v>
      </c>
      <c r="R67" s="89">
        <v>0</v>
      </c>
      <c r="S67" s="27">
        <f t="shared" si="3"/>
        <v>1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42370</v>
      </c>
      <c r="F68" s="105">
        <v>42735</v>
      </c>
      <c r="G68" s="11" t="s">
        <v>81</v>
      </c>
      <c r="H68" s="91">
        <v>20</v>
      </c>
      <c r="I68" s="91">
        <v>0</v>
      </c>
      <c r="J68" s="91">
        <v>0</v>
      </c>
      <c r="K68" s="92">
        <v>0</v>
      </c>
      <c r="L68" s="79" t="e">
        <f t="shared" si="0"/>
        <v>#DIV/0!</v>
      </c>
      <c r="M68" s="80">
        <f t="shared" si="1"/>
        <v>1</v>
      </c>
      <c r="N68" s="81" t="str">
        <f t="shared" si="2"/>
        <v xml:space="preserve"> -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0.78017304706615587</v>
      </c>
      <c r="O69" s="48"/>
      <c r="P69" s="49">
        <f>+SUM(P12,P14,P16,P18:P68)</f>
        <v>235161654</v>
      </c>
      <c r="Q69" s="50">
        <f>+SUM(Q12,Q14,Q16,Q18:Q68)</f>
        <v>227424487</v>
      </c>
      <c r="R69" s="50">
        <f>+SUM(R12,R14,R16,R18:R68)</f>
        <v>4992000</v>
      </c>
      <c r="S69" s="51">
        <f t="shared" ref="S69" si="5">IF(P69=0," -",Q69/P69)</f>
        <v>0.96709851768605093</v>
      </c>
      <c r="T69" s="52">
        <f t="shared" ref="T69" si="6">IF(R69=0," -",IF(Q69=0,100%,R69/Q69))</f>
        <v>2.1950142950086109E-2</v>
      </c>
    </row>
  </sheetData>
  <mergeCells count="25">
    <mergeCell ref="D46:D49"/>
    <mergeCell ref="D50:D68"/>
    <mergeCell ref="C18:C68"/>
    <mergeCell ref="B18:B68"/>
    <mergeCell ref="N10:N11"/>
    <mergeCell ref="B14:B16"/>
    <mergeCell ref="D18:D30"/>
    <mergeCell ref="D31:D45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42736</v>
      </c>
      <c r="F12" s="56">
        <v>43100</v>
      </c>
      <c r="G12" s="57" t="s">
        <v>28</v>
      </c>
      <c r="H12" s="83">
        <v>35</v>
      </c>
      <c r="I12" s="91">
        <f>+J12+('2016'!I12-'2016'!K12)</f>
        <v>12</v>
      </c>
      <c r="J12" s="83">
        <v>12</v>
      </c>
      <c r="K12" s="84">
        <v>12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42736</v>
      </c>
      <c r="F14" s="56">
        <v>43100</v>
      </c>
      <c r="G14" s="57" t="s">
        <v>29</v>
      </c>
      <c r="H14" s="83">
        <v>1</v>
      </c>
      <c r="I14" s="91">
        <f>+J14</f>
        <v>1</v>
      </c>
      <c r="J14" s="83">
        <v>1</v>
      </c>
      <c r="K14" s="236">
        <v>0.6</v>
      </c>
      <c r="L14" s="33">
        <f t="shared" ref="L14:L68" si="0">+K14/J14</f>
        <v>0.6</v>
      </c>
      <c r="M14" s="22">
        <f t="shared" ref="M14:M68" si="1">DAYS360(E14,$C$8)/DAYS360(E14,F14)</f>
        <v>1</v>
      </c>
      <c r="N14" s="32">
        <f t="shared" ref="N14:N68" si="2">IF(J14=0," -",IF(L14&gt;100%,100%,L14))</f>
        <v>0.6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42736</v>
      </c>
      <c r="F16" s="56">
        <v>43100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0.4</v>
      </c>
      <c r="L16" s="21">
        <f t="shared" si="0"/>
        <v>0.4</v>
      </c>
      <c r="M16" s="22">
        <f t="shared" si="1"/>
        <v>1</v>
      </c>
      <c r="N16" s="32">
        <f t="shared" si="2"/>
        <v>0.4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42736</v>
      </c>
      <c r="F18" s="100">
        <v>43100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3151829</v>
      </c>
      <c r="Q18" s="87">
        <v>2875356</v>
      </c>
      <c r="R18" s="87">
        <v>0</v>
      </c>
      <c r="S18" s="19">
        <f t="shared" si="3"/>
        <v>0.91228172594388846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42736</v>
      </c>
      <c r="F19" s="102">
        <v>43100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32</v>
      </c>
      <c r="L19" s="33">
        <f t="shared" si="0"/>
        <v>0.68085106382978722</v>
      </c>
      <c r="M19" s="22">
        <f t="shared" si="1"/>
        <v>1</v>
      </c>
      <c r="N19" s="32">
        <f t="shared" si="2"/>
        <v>0.68085106382978722</v>
      </c>
      <c r="O19" s="111">
        <v>2210645</v>
      </c>
      <c r="P19" s="89">
        <v>1082479</v>
      </c>
      <c r="Q19" s="89">
        <v>312288</v>
      </c>
      <c r="R19" s="89">
        <v>622964</v>
      </c>
      <c r="S19" s="27">
        <f t="shared" si="3"/>
        <v>0.28849335645310442</v>
      </c>
      <c r="T19" s="23">
        <f t="shared" si="4"/>
        <v>1.9948380981657956</v>
      </c>
    </row>
    <row r="20" spans="2:20" ht="45">
      <c r="B20" s="275"/>
      <c r="C20" s="272"/>
      <c r="D20" s="267"/>
      <c r="E20" s="53">
        <v>42736</v>
      </c>
      <c r="F20" s="102">
        <v>43100</v>
      </c>
      <c r="G20" s="10" t="s">
        <v>33</v>
      </c>
      <c r="H20" s="89">
        <v>23</v>
      </c>
      <c r="I20" s="89">
        <f>+J20+('2016'!I20-'2016'!K20)</f>
        <v>9</v>
      </c>
      <c r="J20" s="89">
        <v>9</v>
      </c>
      <c r="K20" s="90">
        <v>11</v>
      </c>
      <c r="L20" s="33">
        <f t="shared" si="0"/>
        <v>1.2222222222222223</v>
      </c>
      <c r="M20" s="22">
        <f t="shared" si="1"/>
        <v>1</v>
      </c>
      <c r="N20" s="32">
        <f t="shared" si="2"/>
        <v>1</v>
      </c>
      <c r="O20" s="111">
        <v>2210907</v>
      </c>
      <c r="P20" s="89">
        <v>670000</v>
      </c>
      <c r="Q20" s="89">
        <v>662835</v>
      </c>
      <c r="R20" s="89">
        <v>0</v>
      </c>
      <c r="S20" s="27">
        <f t="shared" si="3"/>
        <v>0.9893059701492537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42736</v>
      </c>
      <c r="F21" s="102">
        <v>43100</v>
      </c>
      <c r="G21" s="10" t="s">
        <v>34</v>
      </c>
      <c r="H21" s="89">
        <v>17400</v>
      </c>
      <c r="I21" s="89">
        <f>+J21+('2016'!I21-'2016'!K21)</f>
        <v>4953</v>
      </c>
      <c r="J21" s="89">
        <v>5000</v>
      </c>
      <c r="K21" s="90">
        <v>691</v>
      </c>
      <c r="L21" s="33">
        <f t="shared" si="0"/>
        <v>0.13819999999999999</v>
      </c>
      <c r="M21" s="22">
        <f t="shared" si="1"/>
        <v>1</v>
      </c>
      <c r="N21" s="32">
        <f t="shared" si="2"/>
        <v>0.13819999999999999</v>
      </c>
      <c r="O21" s="111">
        <v>2210645</v>
      </c>
      <c r="P21" s="89">
        <v>0</v>
      </c>
      <c r="Q21" s="89">
        <v>0</v>
      </c>
      <c r="R21" s="89">
        <v>0</v>
      </c>
      <c r="S21" s="27" t="str">
        <f t="shared" si="3"/>
        <v xml:space="preserve"> -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42736</v>
      </c>
      <c r="F22" s="102">
        <v>43100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2559401</v>
      </c>
      <c r="Q22" s="89">
        <v>1883817</v>
      </c>
      <c r="R22" s="89">
        <v>0</v>
      </c>
      <c r="S22" s="27">
        <f t="shared" si="3"/>
        <v>0.73603823707187732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42736</v>
      </c>
      <c r="F23" s="102">
        <v>43100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130</v>
      </c>
      <c r="P23" s="89">
        <v>150475955</v>
      </c>
      <c r="Q23" s="89">
        <v>147238042</v>
      </c>
      <c r="R23" s="89">
        <v>0</v>
      </c>
      <c r="S23" s="27">
        <f t="shared" si="3"/>
        <v>0.97848219006152848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42736</v>
      </c>
      <c r="F24" s="102">
        <v>43100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131</v>
      </c>
      <c r="P24" s="89">
        <v>31296277</v>
      </c>
      <c r="Q24" s="89">
        <v>27069159</v>
      </c>
      <c r="R24" s="89">
        <v>0</v>
      </c>
      <c r="S24" s="27">
        <f t="shared" si="3"/>
        <v>0.86493224098189059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42736</v>
      </c>
      <c r="F25" s="102">
        <v>43100</v>
      </c>
      <c r="G25" s="10" t="s">
        <v>38</v>
      </c>
      <c r="H25" s="89">
        <v>12</v>
      </c>
      <c r="I25" s="89">
        <f>+J25+('2016'!I25-'2016'!K25)</f>
        <v>4</v>
      </c>
      <c r="J25" s="89">
        <v>4</v>
      </c>
      <c r="K25" s="115">
        <v>0.1</v>
      </c>
      <c r="L25" s="33">
        <f t="shared" si="0"/>
        <v>2.5000000000000001E-2</v>
      </c>
      <c r="M25" s="22">
        <f t="shared" si="1"/>
        <v>1</v>
      </c>
      <c r="N25" s="32">
        <f t="shared" si="2"/>
        <v>2.5000000000000001E-2</v>
      </c>
      <c r="O25" s="111">
        <v>2210645</v>
      </c>
      <c r="P25" s="89">
        <v>1120000</v>
      </c>
      <c r="Q25" s="89">
        <v>40000</v>
      </c>
      <c r="R25" s="89">
        <v>211440</v>
      </c>
      <c r="S25" s="27">
        <f t="shared" si="3"/>
        <v>3.5714285714285712E-2</v>
      </c>
      <c r="T25" s="23">
        <f t="shared" si="4"/>
        <v>5.2859999999999996</v>
      </c>
    </row>
    <row r="26" spans="2:20" ht="30">
      <c r="B26" s="275"/>
      <c r="C26" s="272"/>
      <c r="D26" s="267"/>
      <c r="E26" s="53">
        <v>42736</v>
      </c>
      <c r="F26" s="102">
        <v>43100</v>
      </c>
      <c r="G26" s="10" t="s">
        <v>39</v>
      </c>
      <c r="H26" s="89">
        <v>4</v>
      </c>
      <c r="I26" s="89">
        <f>+J26+('2016'!I26-'2016'!K26)</f>
        <v>1</v>
      </c>
      <c r="J26" s="89">
        <v>1</v>
      </c>
      <c r="K26" s="235">
        <v>0.17</v>
      </c>
      <c r="L26" s="33">
        <f t="shared" si="0"/>
        <v>0.17</v>
      </c>
      <c r="M26" s="22">
        <f t="shared" si="1"/>
        <v>1</v>
      </c>
      <c r="N26" s="32">
        <f t="shared" si="2"/>
        <v>0.17</v>
      </c>
      <c r="O26" s="111">
        <v>2210297</v>
      </c>
      <c r="P26" s="89">
        <v>525221</v>
      </c>
      <c r="Q26" s="89">
        <v>125351</v>
      </c>
      <c r="R26" s="89">
        <v>0</v>
      </c>
      <c r="S26" s="27">
        <f t="shared" si="3"/>
        <v>0.23866334362106617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42736</v>
      </c>
      <c r="F27" s="102">
        <v>43100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132</v>
      </c>
      <c r="P27" s="89">
        <v>3524283</v>
      </c>
      <c r="Q27" s="89">
        <v>3432305</v>
      </c>
      <c r="R27" s="89">
        <v>0</v>
      </c>
      <c r="S27" s="27">
        <f t="shared" si="3"/>
        <v>0.97390164183750283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42736</v>
      </c>
      <c r="F28" s="102">
        <v>43100</v>
      </c>
      <c r="G28" s="10" t="s">
        <v>41</v>
      </c>
      <c r="H28" s="89">
        <v>10</v>
      </c>
      <c r="I28" s="89">
        <f>+J28+('2016'!I28-'2016'!K28)</f>
        <v>4</v>
      </c>
      <c r="J28" s="89">
        <v>3</v>
      </c>
      <c r="K28" s="90">
        <v>4</v>
      </c>
      <c r="L28" s="33">
        <f t="shared" si="0"/>
        <v>1.3333333333333333</v>
      </c>
      <c r="M28" s="22">
        <f t="shared" si="1"/>
        <v>1</v>
      </c>
      <c r="N28" s="32">
        <f t="shared" si="2"/>
        <v>1</v>
      </c>
      <c r="O28" s="111" t="s">
        <v>129</v>
      </c>
      <c r="P28" s="89">
        <v>13710000</v>
      </c>
      <c r="Q28" s="89">
        <v>11318331</v>
      </c>
      <c r="R28" s="89">
        <v>0</v>
      </c>
      <c r="S28" s="27">
        <f t="shared" si="3"/>
        <v>0.82555295404814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42736</v>
      </c>
      <c r="F29" s="102">
        <v>43100</v>
      </c>
      <c r="G29" s="10" t="s">
        <v>42</v>
      </c>
      <c r="H29" s="89">
        <v>13</v>
      </c>
      <c r="I29" s="89">
        <f>+J29+('2016'!I29-'2016'!K29)</f>
        <v>5</v>
      </c>
      <c r="J29" s="89">
        <v>5</v>
      </c>
      <c r="K29" s="90">
        <v>7</v>
      </c>
      <c r="L29" s="33">
        <f t="shared" si="0"/>
        <v>1.4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638069</v>
      </c>
      <c r="Q29" s="89">
        <v>638069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42736</v>
      </c>
      <c r="F30" s="103">
        <v>43100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42736</v>
      </c>
      <c r="F31" s="100">
        <v>43100</v>
      </c>
      <c r="G31" s="82" t="s">
        <v>44</v>
      </c>
      <c r="H31" s="87">
        <v>581</v>
      </c>
      <c r="I31" s="93">
        <f>+J31+('2016'!I31-'2016'!K31)</f>
        <v>134</v>
      </c>
      <c r="J31" s="87">
        <v>145</v>
      </c>
      <c r="K31" s="88">
        <v>290</v>
      </c>
      <c r="L31" s="77">
        <f t="shared" si="0"/>
        <v>2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42736</v>
      </c>
      <c r="F32" s="102">
        <v>43100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1107223</v>
      </c>
      <c r="Q32" s="89">
        <v>1107223</v>
      </c>
      <c r="R32" s="89">
        <v>298623</v>
      </c>
      <c r="S32" s="27">
        <f t="shared" si="3"/>
        <v>1</v>
      </c>
      <c r="T32" s="23">
        <f t="shared" si="4"/>
        <v>0.26970447687593196</v>
      </c>
    </row>
    <row r="33" spans="2:20" ht="60">
      <c r="B33" s="275"/>
      <c r="C33" s="272"/>
      <c r="D33" s="267"/>
      <c r="E33" s="53">
        <v>42736</v>
      </c>
      <c r="F33" s="102">
        <v>43100</v>
      </c>
      <c r="G33" s="10" t="s">
        <v>46</v>
      </c>
      <c r="H33" s="89">
        <v>4570</v>
      </c>
      <c r="I33" s="89">
        <f>+J33+('2016'!I33-'2016'!K33)</f>
        <v>1089</v>
      </c>
      <c r="J33" s="89">
        <v>967</v>
      </c>
      <c r="K33" s="90">
        <v>651</v>
      </c>
      <c r="L33" s="33">
        <f t="shared" si="0"/>
        <v>0.67321613236814892</v>
      </c>
      <c r="M33" s="22">
        <f t="shared" si="1"/>
        <v>1</v>
      </c>
      <c r="N33" s="32">
        <f t="shared" si="2"/>
        <v>0.67321613236814892</v>
      </c>
      <c r="O33" s="111">
        <v>2210146</v>
      </c>
      <c r="P33" s="89">
        <v>521590</v>
      </c>
      <c r="Q33" s="89">
        <v>520193</v>
      </c>
      <c r="R33" s="89">
        <v>140016</v>
      </c>
      <c r="S33" s="27">
        <f t="shared" si="3"/>
        <v>0.99732165110527426</v>
      </c>
      <c r="T33" s="23">
        <f t="shared" si="4"/>
        <v>0.26916163808432642</v>
      </c>
    </row>
    <row r="34" spans="2:20" ht="45">
      <c r="B34" s="275"/>
      <c r="C34" s="272"/>
      <c r="D34" s="267"/>
      <c r="E34" s="53">
        <v>42736</v>
      </c>
      <c r="F34" s="102">
        <v>43100</v>
      </c>
      <c r="G34" s="10" t="s">
        <v>47</v>
      </c>
      <c r="H34" s="89">
        <v>800</v>
      </c>
      <c r="I34" s="89">
        <f>+J34+('2016'!I34-'2016'!K34)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42736</v>
      </c>
      <c r="F35" s="102">
        <v>43100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3365838</v>
      </c>
      <c r="Q35" s="89">
        <v>3180532</v>
      </c>
      <c r="R35" s="89">
        <v>0</v>
      </c>
      <c r="S35" s="27">
        <f t="shared" si="3"/>
        <v>0.94494506271543666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42736</v>
      </c>
      <c r="F36" s="102">
        <v>43100</v>
      </c>
      <c r="G36" s="10" t="s">
        <v>49</v>
      </c>
      <c r="H36" s="89">
        <v>12800</v>
      </c>
      <c r="I36" s="89">
        <f>+J36+('2016'!I36-'2016'!K36)</f>
        <v>3560</v>
      </c>
      <c r="J36" s="89">
        <v>3417</v>
      </c>
      <c r="K36" s="90">
        <v>2584</v>
      </c>
      <c r="L36" s="33">
        <f t="shared" si="0"/>
        <v>0.75621890547263682</v>
      </c>
      <c r="M36" s="22">
        <f t="shared" si="1"/>
        <v>1</v>
      </c>
      <c r="N36" s="32">
        <f t="shared" si="2"/>
        <v>0.75621890547263682</v>
      </c>
      <c r="O36" s="111">
        <v>2210913</v>
      </c>
      <c r="P36" s="89">
        <v>139520</v>
      </c>
      <c r="Q36" s="89">
        <v>139520</v>
      </c>
      <c r="R36" s="89">
        <v>59800</v>
      </c>
      <c r="S36" s="27">
        <f t="shared" si="3"/>
        <v>1</v>
      </c>
      <c r="T36" s="23">
        <f t="shared" si="4"/>
        <v>0.42861238532110091</v>
      </c>
    </row>
    <row r="37" spans="2:20" ht="60">
      <c r="B37" s="275"/>
      <c r="C37" s="272"/>
      <c r="D37" s="267"/>
      <c r="E37" s="53">
        <v>42736</v>
      </c>
      <c r="F37" s="102">
        <v>43100</v>
      </c>
      <c r="G37" s="10" t="s">
        <v>50</v>
      </c>
      <c r="H37" s="89">
        <v>47</v>
      </c>
      <c r="I37" s="89">
        <f>+J37+('2016'!I37-'2016'!K37)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62378</v>
      </c>
      <c r="Q37" s="89">
        <v>62378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42736</v>
      </c>
      <c r="F38" s="102">
        <v>43100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0.83</v>
      </c>
      <c r="L38" s="33">
        <f t="shared" si="0"/>
        <v>0.83</v>
      </c>
      <c r="M38" s="22">
        <f t="shared" si="1"/>
        <v>1</v>
      </c>
      <c r="N38" s="32">
        <f t="shared" si="2"/>
        <v>0.83</v>
      </c>
      <c r="O38" s="111">
        <v>2210005</v>
      </c>
      <c r="P38" s="89">
        <v>588564</v>
      </c>
      <c r="Q38" s="89">
        <v>588564</v>
      </c>
      <c r="R38" s="89">
        <v>0</v>
      </c>
      <c r="S38" s="27">
        <f t="shared" si="3"/>
        <v>1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42736</v>
      </c>
      <c r="F39" s="102">
        <v>43100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9485</v>
      </c>
      <c r="L39" s="33">
        <f t="shared" si="0"/>
        <v>0.98812376289196791</v>
      </c>
      <c r="M39" s="22">
        <f t="shared" si="1"/>
        <v>1</v>
      </c>
      <c r="N39" s="32">
        <f t="shared" si="2"/>
        <v>0.98812376289196791</v>
      </c>
      <c r="O39" s="111">
        <v>2210634</v>
      </c>
      <c r="P39" s="89">
        <v>12044123</v>
      </c>
      <c r="Q39" s="89">
        <v>11970119</v>
      </c>
      <c r="R39" s="89">
        <v>0</v>
      </c>
      <c r="S39" s="27">
        <f t="shared" si="3"/>
        <v>0.99385559247443755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42736</v>
      </c>
      <c r="F40" s="102">
        <v>43100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24708</v>
      </c>
      <c r="L40" s="33">
        <f t="shared" si="0"/>
        <v>0.87184191954834156</v>
      </c>
      <c r="M40" s="22">
        <f t="shared" si="1"/>
        <v>1</v>
      </c>
      <c r="N40" s="32">
        <f t="shared" si="2"/>
        <v>0.87184191954834156</v>
      </c>
      <c r="O40" s="111">
        <v>2210803</v>
      </c>
      <c r="P40" s="89">
        <v>16625982</v>
      </c>
      <c r="Q40" s="89">
        <v>14663558</v>
      </c>
      <c r="R40" s="89">
        <v>0</v>
      </c>
      <c r="S40" s="27">
        <f t="shared" si="3"/>
        <v>0.88196643061444435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42736</v>
      </c>
      <c r="F41" s="102">
        <v>43100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42736</v>
      </c>
      <c r="F42" s="102">
        <v>43100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30000</v>
      </c>
      <c r="Q42" s="89">
        <v>30000</v>
      </c>
      <c r="R42" s="89">
        <v>20000</v>
      </c>
      <c r="S42" s="27">
        <f t="shared" si="3"/>
        <v>1</v>
      </c>
      <c r="T42" s="23">
        <f t="shared" si="4"/>
        <v>0.66666666666666663</v>
      </c>
    </row>
    <row r="43" spans="2:20" ht="60">
      <c r="B43" s="275"/>
      <c r="C43" s="272"/>
      <c r="D43" s="267"/>
      <c r="E43" s="53">
        <v>42736</v>
      </c>
      <c r="F43" s="102">
        <v>43100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42736</v>
      </c>
      <c r="F44" s="102">
        <v>43100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0.85</v>
      </c>
      <c r="L44" s="33">
        <f t="shared" si="0"/>
        <v>0.85</v>
      </c>
      <c r="M44" s="22">
        <f t="shared" si="1"/>
        <v>1</v>
      </c>
      <c r="N44" s="32">
        <f t="shared" si="2"/>
        <v>0.85</v>
      </c>
      <c r="O44" s="111">
        <v>2210803</v>
      </c>
      <c r="P44" s="89">
        <v>2550702</v>
      </c>
      <c r="Q44" s="89">
        <v>2120736</v>
      </c>
      <c r="R44" s="89">
        <v>0</v>
      </c>
      <c r="S44" s="27">
        <f t="shared" si="3"/>
        <v>0.83143228805246561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42736</v>
      </c>
      <c r="F45" s="105">
        <v>43100</v>
      </c>
      <c r="G45" s="11" t="s">
        <v>58</v>
      </c>
      <c r="H45" s="91">
        <v>2</v>
      </c>
      <c r="I45" s="91">
        <f>+J45+('2016'!I45-'2016'!K45)</f>
        <v>0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42736</v>
      </c>
      <c r="F46" s="106">
        <v>43100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124542</v>
      </c>
      <c r="Q46" s="93">
        <v>84542</v>
      </c>
      <c r="R46" s="93">
        <v>70961</v>
      </c>
      <c r="S46" s="75">
        <f t="shared" si="3"/>
        <v>0.67882320823497289</v>
      </c>
      <c r="T46" s="76">
        <f t="shared" si="4"/>
        <v>0.83935795226041499</v>
      </c>
    </row>
    <row r="47" spans="2:20" ht="30">
      <c r="B47" s="275"/>
      <c r="C47" s="272"/>
      <c r="D47" s="267"/>
      <c r="E47" s="53">
        <v>42736</v>
      </c>
      <c r="F47" s="102">
        <v>43100</v>
      </c>
      <c r="G47" s="10" t="s">
        <v>60</v>
      </c>
      <c r="H47" s="89">
        <v>188</v>
      </c>
      <c r="I47" s="89">
        <f>+J47+('2016'!I47-'2016'!K47)</f>
        <v>94</v>
      </c>
      <c r="J47" s="89">
        <v>94</v>
      </c>
      <c r="K47" s="90">
        <v>4</v>
      </c>
      <c r="L47" s="33">
        <f t="shared" si="0"/>
        <v>4.2553191489361701E-2</v>
      </c>
      <c r="M47" s="22">
        <f t="shared" si="1"/>
        <v>1</v>
      </c>
      <c r="N47" s="32">
        <f t="shared" si="2"/>
        <v>4.2553191489361701E-2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42736</v>
      </c>
      <c r="F48" s="102">
        <v>43100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154280</v>
      </c>
      <c r="Q48" s="89">
        <v>149900</v>
      </c>
      <c r="R48" s="89">
        <v>0</v>
      </c>
      <c r="S48" s="27">
        <f t="shared" si="3"/>
        <v>0.97161005963183822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42736</v>
      </c>
      <c r="F49" s="103">
        <v>43100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42736</v>
      </c>
      <c r="F50" s="100">
        <v>43100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42736</v>
      </c>
      <c r="F51" s="102">
        <v>43100</v>
      </c>
      <c r="G51" s="10" t="s">
        <v>64</v>
      </c>
      <c r="H51" s="89">
        <v>480</v>
      </c>
      <c r="I51" s="89">
        <f>+J51+('2016'!I51-'2016'!K51)</f>
        <v>160</v>
      </c>
      <c r="J51" s="89">
        <v>160</v>
      </c>
      <c r="K51" s="90">
        <v>160</v>
      </c>
      <c r="L51" s="33">
        <f t="shared" si="0"/>
        <v>1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265000</v>
      </c>
      <c r="Q51" s="89">
        <v>265000</v>
      </c>
      <c r="R51" s="89">
        <v>206939</v>
      </c>
      <c r="S51" s="27">
        <f t="shared" si="3"/>
        <v>1</v>
      </c>
      <c r="T51" s="23">
        <f t="shared" si="4"/>
        <v>0.78090188679245287</v>
      </c>
    </row>
    <row r="52" spans="2:20" ht="60">
      <c r="B52" s="275"/>
      <c r="C52" s="272"/>
      <c r="D52" s="267"/>
      <c r="E52" s="53">
        <v>42736</v>
      </c>
      <c r="F52" s="102">
        <v>43100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19407</v>
      </c>
      <c r="L52" s="33">
        <f t="shared" si="0"/>
        <v>2.3745258778906155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75000</v>
      </c>
      <c r="Q52" s="89">
        <v>75000</v>
      </c>
      <c r="R52" s="89">
        <v>100000</v>
      </c>
      <c r="S52" s="27">
        <f t="shared" si="3"/>
        <v>1</v>
      </c>
      <c r="T52" s="23">
        <f t="shared" si="4"/>
        <v>1.3333333333333333</v>
      </c>
    </row>
    <row r="53" spans="2:20" ht="45">
      <c r="B53" s="275"/>
      <c r="C53" s="272"/>
      <c r="D53" s="267"/>
      <c r="E53" s="53">
        <v>42736</v>
      </c>
      <c r="F53" s="102">
        <v>43100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30</v>
      </c>
      <c r="L53" s="33">
        <f t="shared" si="0"/>
        <v>0.63829787234042556</v>
      </c>
      <c r="M53" s="22">
        <f t="shared" si="1"/>
        <v>1</v>
      </c>
      <c r="N53" s="32">
        <f t="shared" si="2"/>
        <v>0.63829787234042556</v>
      </c>
      <c r="O53" s="111">
        <v>2210900</v>
      </c>
      <c r="P53" s="89">
        <v>50000</v>
      </c>
      <c r="Q53" s="89">
        <v>50000</v>
      </c>
      <c r="R53" s="89">
        <v>12000</v>
      </c>
      <c r="S53" s="27">
        <f t="shared" si="3"/>
        <v>1</v>
      </c>
      <c r="T53" s="23">
        <f t="shared" si="4"/>
        <v>0.24</v>
      </c>
    </row>
    <row r="54" spans="2:20" ht="45">
      <c r="B54" s="275"/>
      <c r="C54" s="272"/>
      <c r="D54" s="267"/>
      <c r="E54" s="53">
        <v>42736</v>
      </c>
      <c r="F54" s="102">
        <v>43100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49500</v>
      </c>
      <c r="Q54" s="89">
        <v>49500</v>
      </c>
      <c r="R54" s="89">
        <v>0</v>
      </c>
      <c r="S54" s="27">
        <f t="shared" si="3"/>
        <v>1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42736</v>
      </c>
      <c r="F55" s="102">
        <v>43100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0.56999999999999995</v>
      </c>
      <c r="L55" s="33">
        <f t="shared" si="0"/>
        <v>0.56999999999999995</v>
      </c>
      <c r="M55" s="22">
        <f t="shared" si="1"/>
        <v>1</v>
      </c>
      <c r="N55" s="32">
        <f t="shared" si="2"/>
        <v>0.56999999999999995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42736</v>
      </c>
      <c r="F56" s="102">
        <v>43100</v>
      </c>
      <c r="G56" s="10" t="s">
        <v>69</v>
      </c>
      <c r="H56" s="89">
        <v>12</v>
      </c>
      <c r="I56" s="89">
        <f>+J56+('2016'!I56-'2016'!K56)</f>
        <v>4</v>
      </c>
      <c r="J56" s="89">
        <v>4</v>
      </c>
      <c r="K56" s="90">
        <v>16</v>
      </c>
      <c r="L56" s="33">
        <f t="shared" si="0"/>
        <v>4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42736</v>
      </c>
      <c r="F57" s="102">
        <v>43100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120125</v>
      </c>
      <c r="Q57" s="89">
        <v>120125</v>
      </c>
      <c r="R57" s="89">
        <v>51801</v>
      </c>
      <c r="S57" s="27">
        <f t="shared" si="3"/>
        <v>1</v>
      </c>
      <c r="T57" s="23">
        <f t="shared" si="4"/>
        <v>0.4312258064516129</v>
      </c>
    </row>
    <row r="58" spans="2:20" ht="45">
      <c r="B58" s="275"/>
      <c r="C58" s="272"/>
      <c r="D58" s="267"/>
      <c r="E58" s="53">
        <v>42736</v>
      </c>
      <c r="F58" s="102">
        <v>43100</v>
      </c>
      <c r="G58" s="10" t="s">
        <v>71</v>
      </c>
      <c r="H58" s="89">
        <v>8</v>
      </c>
      <c r="I58" s="89">
        <f>+J58+('2016'!I58-'2016'!K58)</f>
        <v>4</v>
      </c>
      <c r="J58" s="89">
        <v>4</v>
      </c>
      <c r="K58" s="90">
        <v>2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133</v>
      </c>
      <c r="P58" s="89">
        <v>42432</v>
      </c>
      <c r="Q58" s="89">
        <v>42432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42736</v>
      </c>
      <c r="F59" s="102">
        <v>43100</v>
      </c>
      <c r="G59" s="10" t="s">
        <v>72</v>
      </c>
      <c r="H59" s="89">
        <v>340</v>
      </c>
      <c r="I59" s="89">
        <f>+J59+('2016'!I59-'2016'!K59)</f>
        <v>59</v>
      </c>
      <c r="J59" s="89">
        <v>110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42736</v>
      </c>
      <c r="F60" s="102">
        <v>43100</v>
      </c>
      <c r="G60" s="10" t="s">
        <v>73</v>
      </c>
      <c r="H60" s="89">
        <v>2500</v>
      </c>
      <c r="I60" s="89">
        <f>+J60+('2016'!I60-'2016'!K60)</f>
        <v>583</v>
      </c>
      <c r="J60" s="89">
        <v>625</v>
      </c>
      <c r="K60" s="90">
        <v>791</v>
      </c>
      <c r="L60" s="33">
        <f t="shared" si="0"/>
        <v>1.2656000000000001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114736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42736</v>
      </c>
      <c r="F61" s="102">
        <v>43100</v>
      </c>
      <c r="G61" s="10" t="s">
        <v>74</v>
      </c>
      <c r="H61" s="89">
        <v>4</v>
      </c>
      <c r="I61" s="89">
        <f>+J61+('2016'!I61-'2016'!K61)</f>
        <v>2</v>
      </c>
      <c r="J61" s="89">
        <v>1</v>
      </c>
      <c r="K61" s="90">
        <v>2</v>
      </c>
      <c r="L61" s="33">
        <f t="shared" si="0"/>
        <v>2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145000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42736</v>
      </c>
      <c r="F62" s="102">
        <v>43100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42</v>
      </c>
      <c r="L62" s="33">
        <f t="shared" si="0"/>
        <v>0.8936170212765957</v>
      </c>
      <c r="M62" s="22">
        <f t="shared" si="1"/>
        <v>1</v>
      </c>
      <c r="N62" s="32">
        <f t="shared" si="2"/>
        <v>0.8936170212765957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42736</v>
      </c>
      <c r="F63" s="102">
        <v>43100</v>
      </c>
      <c r="G63" s="10" t="s">
        <v>76</v>
      </c>
      <c r="H63" s="89">
        <v>20</v>
      </c>
      <c r="I63" s="89">
        <f>+J63+('2016'!I63-'2016'!K63)</f>
        <v>7</v>
      </c>
      <c r="J63" s="89">
        <v>7</v>
      </c>
      <c r="K63" s="90">
        <v>10</v>
      </c>
      <c r="L63" s="33">
        <f t="shared" si="0"/>
        <v>1.4285714285714286</v>
      </c>
      <c r="M63" s="22">
        <f t="shared" si="1"/>
        <v>1</v>
      </c>
      <c r="N63" s="32">
        <f t="shared" si="2"/>
        <v>1</v>
      </c>
      <c r="O63" s="111">
        <v>0</v>
      </c>
      <c r="P63" s="89">
        <v>0</v>
      </c>
      <c r="Q63" s="89">
        <v>0</v>
      </c>
      <c r="R63" s="89">
        <v>20000</v>
      </c>
      <c r="S63" s="27" t="str">
        <f t="shared" si="3"/>
        <v xml:space="preserve"> -</v>
      </c>
      <c r="T63" s="23">
        <f t="shared" si="4"/>
        <v>1</v>
      </c>
    </row>
    <row r="64" spans="2:20" ht="30">
      <c r="B64" s="275"/>
      <c r="C64" s="272"/>
      <c r="D64" s="267"/>
      <c r="E64" s="53">
        <v>42736</v>
      </c>
      <c r="F64" s="102">
        <v>43100</v>
      </c>
      <c r="G64" s="10" t="s">
        <v>77</v>
      </c>
      <c r="H64" s="89">
        <v>1</v>
      </c>
      <c r="I64" s="89">
        <f>+J64+('2016'!I64-'2016'!K64)</f>
        <v>1</v>
      </c>
      <c r="J64" s="89">
        <v>1</v>
      </c>
      <c r="K64" s="90">
        <v>0</v>
      </c>
      <c r="L64" s="33">
        <f t="shared" si="0"/>
        <v>0</v>
      </c>
      <c r="M64" s="22">
        <f t="shared" si="1"/>
        <v>1</v>
      </c>
      <c r="N64" s="32">
        <f t="shared" si="2"/>
        <v>0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42736</v>
      </c>
      <c r="F65" s="102">
        <v>43100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0.8</v>
      </c>
      <c r="L65" s="33">
        <f t="shared" si="0"/>
        <v>0.8</v>
      </c>
      <c r="M65" s="22">
        <f t="shared" si="1"/>
        <v>1</v>
      </c>
      <c r="N65" s="32">
        <f t="shared" si="2"/>
        <v>0.8</v>
      </c>
      <c r="O65" s="111">
        <v>2210326</v>
      </c>
      <c r="P65" s="89">
        <v>348428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42736</v>
      </c>
      <c r="F66" s="102">
        <v>43100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1080833</v>
      </c>
      <c r="Q66" s="89">
        <v>1066033</v>
      </c>
      <c r="R66" s="89">
        <v>0</v>
      </c>
      <c r="S66" s="27">
        <f t="shared" si="3"/>
        <v>0.98630685776618587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42736</v>
      </c>
      <c r="F67" s="102">
        <v>43100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60000</v>
      </c>
      <c r="Q67" s="89">
        <v>60000</v>
      </c>
      <c r="R67" s="89">
        <v>25714</v>
      </c>
      <c r="S67" s="27">
        <f t="shared" si="3"/>
        <v>1</v>
      </c>
      <c r="T67" s="23">
        <f t="shared" si="4"/>
        <v>0.42856666666666665</v>
      </c>
    </row>
    <row r="68" spans="2:20" ht="46" thickBot="1">
      <c r="B68" s="276"/>
      <c r="C68" s="273"/>
      <c r="D68" s="270"/>
      <c r="E68" s="61">
        <v>42736</v>
      </c>
      <c r="F68" s="105">
        <v>43100</v>
      </c>
      <c r="G68" s="11" t="s">
        <v>81</v>
      </c>
      <c r="H68" s="91">
        <v>20</v>
      </c>
      <c r="I68" s="91">
        <f>+J68+('2016'!I68-'2016'!K68)</f>
        <v>7</v>
      </c>
      <c r="J68" s="91">
        <v>7</v>
      </c>
      <c r="K68" s="92">
        <v>21</v>
      </c>
      <c r="L68" s="79">
        <f t="shared" si="0"/>
        <v>3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0.81592153594648587</v>
      </c>
      <c r="O69" s="48"/>
      <c r="P69" s="49">
        <f>+SUM(P12,P14,P16,P18:P68)</f>
        <v>248419310</v>
      </c>
      <c r="Q69" s="50">
        <f>+SUM(Q12,Q14,Q16,Q18:Q68)</f>
        <v>231940908</v>
      </c>
      <c r="R69" s="50">
        <f>+SUM(R12,R14,R16,R18:R68)</f>
        <v>1840258</v>
      </c>
      <c r="S69" s="51">
        <f t="shared" si="3"/>
        <v>0.93366698426140871</v>
      </c>
      <c r="T69" s="52">
        <f t="shared" si="4"/>
        <v>7.934167438889219E-3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43373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>
        <f>+J12+('2017'!I12-'2017'!K12)</f>
        <v>10</v>
      </c>
      <c r="J12" s="83">
        <v>10</v>
      </c>
      <c r="K12" s="84">
        <v>7</v>
      </c>
      <c r="L12" s="33">
        <f>+K12/J12</f>
        <v>0.7</v>
      </c>
      <c r="M12" s="73">
        <f>DAYS360(E12,$C$8)/DAYS360(E12,F12)</f>
        <v>0.74722222222222223</v>
      </c>
      <c r="N12" s="74">
        <f>IF(J12=0," -",IF(L12&gt;100%,100%,L12))</f>
        <v>0.7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0.7</v>
      </c>
      <c r="L14" s="33">
        <f t="shared" ref="L14:L68" si="0">+K14/J14</f>
        <v>0.7</v>
      </c>
      <c r="M14" s="22">
        <f t="shared" ref="M14:M68" si="1">DAYS360(E14,$C$8)/DAYS360(E14,F14)</f>
        <v>0.74722222222222223</v>
      </c>
      <c r="N14" s="32">
        <f t="shared" ref="N14:N68" si="2">IF(J14=0," -",IF(L14&gt;100%,100%,L14))</f>
        <v>0.7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0.75</v>
      </c>
      <c r="L16" s="21">
        <f t="shared" si="0"/>
        <v>0.75</v>
      </c>
      <c r="M16" s="22">
        <f t="shared" si="1"/>
        <v>0.74722222222222223</v>
      </c>
      <c r="N16" s="32">
        <f t="shared" si="2"/>
        <v>0.75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0.74722222222222223</v>
      </c>
      <c r="N18" s="32">
        <f t="shared" si="2"/>
        <v>1</v>
      </c>
      <c r="O18" s="110">
        <v>2210055</v>
      </c>
      <c r="P18" s="87">
        <v>3200000</v>
      </c>
      <c r="Q18" s="87">
        <v>2317280</v>
      </c>
      <c r="R18" s="87">
        <v>0</v>
      </c>
      <c r="S18" s="19">
        <f t="shared" si="3"/>
        <v>0.72414999999999996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15</v>
      </c>
      <c r="L19" s="33">
        <f t="shared" si="0"/>
        <v>0.31914893617021278</v>
      </c>
      <c r="M19" s="22">
        <f t="shared" si="1"/>
        <v>0.74722222222222223</v>
      </c>
      <c r="N19" s="32">
        <f t="shared" si="2"/>
        <v>0.31914893617021278</v>
      </c>
      <c r="O19" s="111">
        <v>2210645</v>
      </c>
      <c r="P19" s="89">
        <v>3827606</v>
      </c>
      <c r="Q19" s="89">
        <v>417676</v>
      </c>
      <c r="R19" s="89">
        <v>0</v>
      </c>
      <c r="S19" s="27">
        <f t="shared" si="3"/>
        <v>0.10912199427004765</v>
      </c>
      <c r="T19" s="23" t="str">
        <f t="shared" si="4"/>
        <v xml:space="preserve"> -</v>
      </c>
    </row>
    <row r="20" spans="2:20" ht="45">
      <c r="B20" s="275"/>
      <c r="C20" s="272"/>
      <c r="D20" s="267"/>
      <c r="E20" s="53">
        <v>43101</v>
      </c>
      <c r="F20" s="102">
        <v>43465</v>
      </c>
      <c r="G20" s="10" t="s">
        <v>33</v>
      </c>
      <c r="H20" s="89">
        <v>23</v>
      </c>
      <c r="I20" s="89">
        <f>+J20+('2017'!I20-'2017'!K20)</f>
        <v>7</v>
      </c>
      <c r="J20" s="89">
        <v>9</v>
      </c>
      <c r="K20" s="90">
        <v>0</v>
      </c>
      <c r="L20" s="33">
        <f t="shared" si="0"/>
        <v>0</v>
      </c>
      <c r="M20" s="22">
        <f t="shared" si="1"/>
        <v>0.74722222222222223</v>
      </c>
      <c r="N20" s="32">
        <f t="shared" si="2"/>
        <v>0</v>
      </c>
      <c r="O20" s="111">
        <v>2210907</v>
      </c>
      <c r="P20" s="89">
        <v>500000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43101</v>
      </c>
      <c r="F21" s="102">
        <v>43465</v>
      </c>
      <c r="G21" s="10" t="s">
        <v>34</v>
      </c>
      <c r="H21" s="89">
        <v>17400</v>
      </c>
      <c r="I21" s="89">
        <f>+J21+('2017'!I21-'2017'!K21)</f>
        <v>9262</v>
      </c>
      <c r="J21" s="89">
        <v>5000</v>
      </c>
      <c r="K21" s="90">
        <v>142</v>
      </c>
      <c r="L21" s="33">
        <f t="shared" si="0"/>
        <v>2.8400000000000002E-2</v>
      </c>
      <c r="M21" s="22">
        <f t="shared" si="1"/>
        <v>0.74722222222222223</v>
      </c>
      <c r="N21" s="32">
        <f t="shared" si="2"/>
        <v>2.8400000000000002E-2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0.74722222222222223</v>
      </c>
      <c r="N22" s="32">
        <f t="shared" si="2"/>
        <v>1</v>
      </c>
      <c r="O22" s="111">
        <v>2210208</v>
      </c>
      <c r="P22" s="89">
        <v>507119</v>
      </c>
      <c r="Q22" s="89">
        <v>456960</v>
      </c>
      <c r="R22" s="89">
        <v>0</v>
      </c>
      <c r="S22" s="27">
        <f t="shared" si="3"/>
        <v>0.9010902766411828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0.74722222222222223</v>
      </c>
      <c r="N23" s="32">
        <f t="shared" si="2"/>
        <v>1</v>
      </c>
      <c r="O23" s="111" t="s">
        <v>130</v>
      </c>
      <c r="P23" s="89">
        <v>142943083</v>
      </c>
      <c r="Q23" s="89">
        <v>111955963</v>
      </c>
      <c r="R23" s="89">
        <v>0</v>
      </c>
      <c r="S23" s="27">
        <f t="shared" si="3"/>
        <v>0.78322057038604664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0.74722222222222223</v>
      </c>
      <c r="N24" s="32">
        <f t="shared" si="2"/>
        <v>1</v>
      </c>
      <c r="O24" s="111" t="s">
        <v>131</v>
      </c>
      <c r="P24" s="89">
        <v>31316231</v>
      </c>
      <c r="Q24" s="89">
        <v>25011227</v>
      </c>
      <c r="R24" s="89">
        <v>0</v>
      </c>
      <c r="S24" s="27">
        <f t="shared" si="3"/>
        <v>0.7986665764472104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43101</v>
      </c>
      <c r="F25" s="102">
        <v>43465</v>
      </c>
      <c r="G25" s="10" t="s">
        <v>38</v>
      </c>
      <c r="H25" s="89">
        <v>12</v>
      </c>
      <c r="I25" s="89">
        <f>+J25+('2017'!I25-'2017'!K25)</f>
        <v>7.9</v>
      </c>
      <c r="J25" s="89">
        <v>4</v>
      </c>
      <c r="K25" s="90">
        <v>13</v>
      </c>
      <c r="L25" s="33">
        <f t="shared" si="0"/>
        <v>3.25</v>
      </c>
      <c r="M25" s="22">
        <f t="shared" si="1"/>
        <v>0.74722222222222223</v>
      </c>
      <c r="N25" s="32">
        <f t="shared" si="2"/>
        <v>1</v>
      </c>
      <c r="O25" s="111">
        <v>2210645</v>
      </c>
      <c r="P25" s="89">
        <v>1824686</v>
      </c>
      <c r="Q25" s="89">
        <v>1824686</v>
      </c>
      <c r="R25" s="89">
        <v>0</v>
      </c>
      <c r="S25" s="27">
        <f t="shared" si="3"/>
        <v>1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43101</v>
      </c>
      <c r="F26" s="102">
        <v>43465</v>
      </c>
      <c r="G26" s="10" t="s">
        <v>39</v>
      </c>
      <c r="H26" s="89">
        <v>4</v>
      </c>
      <c r="I26" s="89">
        <f>+J26+('2017'!I26-'2017'!K26)</f>
        <v>2.83</v>
      </c>
      <c r="J26" s="89">
        <v>2</v>
      </c>
      <c r="K26" s="90">
        <v>2</v>
      </c>
      <c r="L26" s="33">
        <f t="shared" si="0"/>
        <v>1</v>
      </c>
      <c r="M26" s="22">
        <f t="shared" si="1"/>
        <v>0.74722222222222223</v>
      </c>
      <c r="N26" s="32">
        <f t="shared" si="2"/>
        <v>1</v>
      </c>
      <c r="O26" s="111">
        <v>2210297</v>
      </c>
      <c r="P26" s="89">
        <v>2100076</v>
      </c>
      <c r="Q26" s="89">
        <v>1890680</v>
      </c>
      <c r="R26" s="89">
        <v>0</v>
      </c>
      <c r="S26" s="27">
        <f t="shared" si="3"/>
        <v>0.90029122755557422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0.5</v>
      </c>
      <c r="L27" s="33">
        <f t="shared" si="0"/>
        <v>0.5</v>
      </c>
      <c r="M27" s="22">
        <f t="shared" si="1"/>
        <v>0.74722222222222223</v>
      </c>
      <c r="N27" s="32">
        <f t="shared" si="2"/>
        <v>0.5</v>
      </c>
      <c r="O27" s="111" t="s">
        <v>132</v>
      </c>
      <c r="P27" s="89">
        <v>13709311</v>
      </c>
      <c r="Q27" s="89">
        <v>5410755</v>
      </c>
      <c r="R27" s="89">
        <v>0</v>
      </c>
      <c r="S27" s="27">
        <f t="shared" si="3"/>
        <v>0.39467738385977236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43101</v>
      </c>
      <c r="F28" s="102">
        <v>43465</v>
      </c>
      <c r="G28" s="10" t="s">
        <v>41</v>
      </c>
      <c r="H28" s="89">
        <v>10</v>
      </c>
      <c r="I28" s="89">
        <f>+J28+('2017'!I28-'2017'!K28)</f>
        <v>3</v>
      </c>
      <c r="J28" s="89">
        <v>3</v>
      </c>
      <c r="K28" s="90">
        <v>0</v>
      </c>
      <c r="L28" s="33">
        <f t="shared" si="0"/>
        <v>0</v>
      </c>
      <c r="M28" s="22">
        <f t="shared" si="1"/>
        <v>0.74722222222222223</v>
      </c>
      <c r="N28" s="32">
        <f t="shared" si="2"/>
        <v>0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43101</v>
      </c>
      <c r="F29" s="102">
        <v>43465</v>
      </c>
      <c r="G29" s="10" t="s">
        <v>42</v>
      </c>
      <c r="H29" s="89">
        <v>13</v>
      </c>
      <c r="I29" s="89">
        <f>+J29+('2017'!I29-'2017'!K29)</f>
        <v>2</v>
      </c>
      <c r="J29" s="89">
        <v>4</v>
      </c>
      <c r="K29" s="90">
        <v>0</v>
      </c>
      <c r="L29" s="33">
        <f t="shared" si="0"/>
        <v>0</v>
      </c>
      <c r="M29" s="22">
        <f t="shared" si="1"/>
        <v>0.74722222222222223</v>
      </c>
      <c r="N29" s="32">
        <f t="shared" si="2"/>
        <v>0</v>
      </c>
      <c r="O29" s="111">
        <v>2210645</v>
      </c>
      <c r="P29" s="89">
        <v>798246</v>
      </c>
      <c r="Q29" s="89">
        <v>0</v>
      </c>
      <c r="R29" s="89">
        <v>0</v>
      </c>
      <c r="S29" s="27">
        <f t="shared" si="3"/>
        <v>0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0.75</v>
      </c>
      <c r="L30" s="65">
        <f t="shared" si="0"/>
        <v>0.75</v>
      </c>
      <c r="M30" s="66">
        <f t="shared" si="1"/>
        <v>0.74722222222222223</v>
      </c>
      <c r="N30" s="67">
        <f t="shared" si="2"/>
        <v>0.75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>
        <f>+J31+('2017'!I31-'2017'!K31)</f>
        <v>-11</v>
      </c>
      <c r="J31" s="87">
        <v>145</v>
      </c>
      <c r="K31" s="88">
        <v>166</v>
      </c>
      <c r="L31" s="77">
        <f t="shared" si="0"/>
        <v>1.1448275862068966</v>
      </c>
      <c r="M31" s="17">
        <f t="shared" si="1"/>
        <v>0.74722222222222223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0.74722222222222223</v>
      </c>
      <c r="N32" s="32">
        <f t="shared" si="2"/>
        <v>1</v>
      </c>
      <c r="O32" s="111">
        <v>2210146</v>
      </c>
      <c r="P32" s="89">
        <v>236920</v>
      </c>
      <c r="Q32" s="89">
        <v>236920</v>
      </c>
      <c r="R32" s="89">
        <v>66262</v>
      </c>
      <c r="S32" s="27">
        <f t="shared" si="3"/>
        <v>1</v>
      </c>
      <c r="T32" s="23">
        <f t="shared" si="4"/>
        <v>0.27968090494681747</v>
      </c>
    </row>
    <row r="33" spans="2:20" ht="60">
      <c r="B33" s="275"/>
      <c r="C33" s="272"/>
      <c r="D33" s="267"/>
      <c r="E33" s="53">
        <v>43101</v>
      </c>
      <c r="F33" s="102">
        <v>43465</v>
      </c>
      <c r="G33" s="10" t="s">
        <v>46</v>
      </c>
      <c r="H33" s="89">
        <v>4570</v>
      </c>
      <c r="I33" s="89">
        <f>+J33+('2017'!I33-'2017'!K33)</f>
        <v>1557</v>
      </c>
      <c r="J33" s="89">
        <v>1119</v>
      </c>
      <c r="K33" s="90">
        <v>1425</v>
      </c>
      <c r="L33" s="33">
        <f t="shared" si="0"/>
        <v>1.2734584450402144</v>
      </c>
      <c r="M33" s="22">
        <f t="shared" si="1"/>
        <v>0.74722222222222223</v>
      </c>
      <c r="N33" s="32">
        <f t="shared" si="2"/>
        <v>1</v>
      </c>
      <c r="O33" s="111">
        <v>2210146</v>
      </c>
      <c r="P33" s="89">
        <v>3215361</v>
      </c>
      <c r="Q33" s="89">
        <v>2788494</v>
      </c>
      <c r="R33" s="89">
        <v>500000</v>
      </c>
      <c r="S33" s="27">
        <f t="shared" si="3"/>
        <v>0.86724134552854248</v>
      </c>
      <c r="T33" s="23">
        <f t="shared" si="4"/>
        <v>0.17930825743214795</v>
      </c>
    </row>
    <row r="34" spans="2:20" ht="45">
      <c r="B34" s="275"/>
      <c r="C34" s="272"/>
      <c r="D34" s="267"/>
      <c r="E34" s="53">
        <v>43101</v>
      </c>
      <c r="F34" s="102">
        <v>43465</v>
      </c>
      <c r="G34" s="10" t="s">
        <v>47</v>
      </c>
      <c r="H34" s="89">
        <v>800</v>
      </c>
      <c r="I34" s="89">
        <f>+J34+('2017'!I34-'2017'!K34)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0.74722222222222223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0.74722222222222223</v>
      </c>
      <c r="N35" s="32">
        <f t="shared" si="2"/>
        <v>1</v>
      </c>
      <c r="O35" s="111">
        <v>2210940</v>
      </c>
      <c r="P35" s="89">
        <v>3468805</v>
      </c>
      <c r="Q35" s="89">
        <v>3463101</v>
      </c>
      <c r="R35" s="89">
        <v>0</v>
      </c>
      <c r="S35" s="27">
        <f t="shared" si="3"/>
        <v>0.99835562967650238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43101</v>
      </c>
      <c r="F36" s="102">
        <v>43465</v>
      </c>
      <c r="G36" s="10" t="s">
        <v>49</v>
      </c>
      <c r="H36" s="89">
        <v>12800</v>
      </c>
      <c r="I36" s="89">
        <f>+J36+('2017'!I36-'2017'!K36)</f>
        <v>4394</v>
      </c>
      <c r="J36" s="89">
        <v>3418</v>
      </c>
      <c r="K36" s="90">
        <v>2922</v>
      </c>
      <c r="L36" s="33">
        <f t="shared" si="0"/>
        <v>0.85488589818607374</v>
      </c>
      <c r="M36" s="22">
        <f t="shared" si="1"/>
        <v>0.74722222222222223</v>
      </c>
      <c r="N36" s="32">
        <f t="shared" si="2"/>
        <v>0.85488589818607374</v>
      </c>
      <c r="O36" s="111">
        <v>2210913</v>
      </c>
      <c r="P36" s="89">
        <v>155618</v>
      </c>
      <c r="Q36" s="89">
        <v>147982</v>
      </c>
      <c r="R36" s="89">
        <v>64000</v>
      </c>
      <c r="S36" s="27">
        <f t="shared" si="3"/>
        <v>0.95093112621933196</v>
      </c>
      <c r="T36" s="23">
        <f t="shared" si="4"/>
        <v>0.43248503196334687</v>
      </c>
    </row>
    <row r="37" spans="2:20" ht="60">
      <c r="B37" s="275"/>
      <c r="C37" s="272"/>
      <c r="D37" s="267"/>
      <c r="E37" s="53">
        <v>43101</v>
      </c>
      <c r="F37" s="102">
        <v>43465</v>
      </c>
      <c r="G37" s="10" t="s">
        <v>50</v>
      </c>
      <c r="H37" s="89">
        <v>47</v>
      </c>
      <c r="I37" s="89">
        <f>+J37+('2017'!I37-'2017'!K37)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0.74722222222222223</v>
      </c>
      <c r="N37" s="32">
        <f t="shared" si="2"/>
        <v>1</v>
      </c>
      <c r="O37" s="111">
        <v>2210005</v>
      </c>
      <c r="P37" s="89">
        <v>45214</v>
      </c>
      <c r="Q37" s="89">
        <v>45214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0.87</v>
      </c>
      <c r="L38" s="33">
        <f t="shared" si="0"/>
        <v>0.87</v>
      </c>
      <c r="M38" s="22">
        <f t="shared" si="1"/>
        <v>0.74722222222222223</v>
      </c>
      <c r="N38" s="32">
        <f t="shared" si="2"/>
        <v>0.87</v>
      </c>
      <c r="O38" s="111">
        <v>2210005</v>
      </c>
      <c r="P38" s="89">
        <v>1219245</v>
      </c>
      <c r="Q38" s="89">
        <v>731352</v>
      </c>
      <c r="R38" s="89">
        <v>0</v>
      </c>
      <c r="S38" s="27">
        <f t="shared" si="3"/>
        <v>0.59984006495823239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9632</v>
      </c>
      <c r="L39" s="33">
        <f t="shared" si="0"/>
        <v>1.0034378581102199</v>
      </c>
      <c r="M39" s="22">
        <f t="shared" si="1"/>
        <v>0.74722222222222223</v>
      </c>
      <c r="N39" s="32">
        <f t="shared" si="2"/>
        <v>1</v>
      </c>
      <c r="O39" s="111">
        <v>2210634</v>
      </c>
      <c r="P39" s="89">
        <v>13148055</v>
      </c>
      <c r="Q39" s="89">
        <v>12732552</v>
      </c>
      <c r="R39" s="89">
        <v>0</v>
      </c>
      <c r="S39" s="27">
        <f t="shared" si="3"/>
        <v>0.96839813949667841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25635</v>
      </c>
      <c r="L40" s="33">
        <f t="shared" si="0"/>
        <v>0.90455187014820038</v>
      </c>
      <c r="M40" s="22">
        <f t="shared" si="1"/>
        <v>0.74722222222222223</v>
      </c>
      <c r="N40" s="32">
        <f t="shared" si="2"/>
        <v>0.90455187014820038</v>
      </c>
      <c r="O40" s="111">
        <v>2210803</v>
      </c>
      <c r="P40" s="89">
        <v>19744099</v>
      </c>
      <c r="Q40" s="89">
        <v>19398591</v>
      </c>
      <c r="R40" s="89">
        <v>0</v>
      </c>
      <c r="S40" s="27">
        <f t="shared" si="3"/>
        <v>0.98250069552426778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0.74722222222222223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0.74722222222222223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0.74722222222222223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</v>
      </c>
      <c r="L44" s="33">
        <f t="shared" si="0"/>
        <v>0.9</v>
      </c>
      <c r="M44" s="22">
        <f t="shared" si="1"/>
        <v>0.74722222222222223</v>
      </c>
      <c r="N44" s="32">
        <f t="shared" si="2"/>
        <v>0.9</v>
      </c>
      <c r="O44" s="111">
        <v>2210803</v>
      </c>
      <c r="P44" s="89">
        <v>1287526</v>
      </c>
      <c r="Q44" s="89">
        <v>0</v>
      </c>
      <c r="R44" s="89">
        <v>0</v>
      </c>
      <c r="S44" s="27">
        <f t="shared" si="3"/>
        <v>0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43101</v>
      </c>
      <c r="F45" s="105">
        <v>43465</v>
      </c>
      <c r="G45" s="11" t="s">
        <v>58</v>
      </c>
      <c r="H45" s="91">
        <v>2</v>
      </c>
      <c r="I45" s="91">
        <f>+J45+('2017'!I45-'2017'!K45)</f>
        <v>0</v>
      </c>
      <c r="J45" s="91">
        <v>1</v>
      </c>
      <c r="K45" s="92">
        <v>1</v>
      </c>
      <c r="L45" s="79">
        <f t="shared" si="0"/>
        <v>1</v>
      </c>
      <c r="M45" s="80">
        <f t="shared" si="1"/>
        <v>0.74722222222222223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0.74722222222222223</v>
      </c>
      <c r="N46" s="74">
        <f t="shared" si="2"/>
        <v>1</v>
      </c>
      <c r="O46" s="114">
        <v>2210258</v>
      </c>
      <c r="P46" s="93">
        <v>200000</v>
      </c>
      <c r="Q46" s="93">
        <v>200000</v>
      </c>
      <c r="R46" s="93">
        <v>80300</v>
      </c>
      <c r="S46" s="75">
        <f t="shared" si="3"/>
        <v>1</v>
      </c>
      <c r="T46" s="76">
        <f t="shared" si="4"/>
        <v>0.40150000000000002</v>
      </c>
    </row>
    <row r="47" spans="2:20" ht="30">
      <c r="B47" s="275"/>
      <c r="C47" s="272"/>
      <c r="D47" s="267"/>
      <c r="E47" s="53">
        <v>43101</v>
      </c>
      <c r="F47" s="102">
        <v>43465</v>
      </c>
      <c r="G47" s="10" t="s">
        <v>60</v>
      </c>
      <c r="H47" s="89">
        <v>188</v>
      </c>
      <c r="I47" s="89">
        <f>+J47+('2017'!I47-'2017'!K47)</f>
        <v>137</v>
      </c>
      <c r="J47" s="89">
        <v>47</v>
      </c>
      <c r="K47" s="90">
        <v>0</v>
      </c>
      <c r="L47" s="33">
        <f t="shared" si="0"/>
        <v>0</v>
      </c>
      <c r="M47" s="22">
        <f t="shared" si="1"/>
        <v>0.74722222222222223</v>
      </c>
      <c r="N47" s="32">
        <f t="shared" si="2"/>
        <v>0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0.74722222222222223</v>
      </c>
      <c r="N48" s="32">
        <f t="shared" si="2"/>
        <v>1</v>
      </c>
      <c r="O48" s="111">
        <v>2210257</v>
      </c>
      <c r="P48" s="89">
        <v>138410</v>
      </c>
      <c r="Q48" s="89">
        <v>91735</v>
      </c>
      <c r="R48" s="89">
        <v>0</v>
      </c>
      <c r="S48" s="27">
        <f t="shared" si="3"/>
        <v>0.66277725597861425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0.74722222222222223</v>
      </c>
      <c r="N49" s="67">
        <f t="shared" si="2"/>
        <v>1</v>
      </c>
      <c r="O49" s="112">
        <v>2210900</v>
      </c>
      <c r="P49" s="95">
        <v>170000</v>
      </c>
      <c r="Q49" s="95">
        <v>170000</v>
      </c>
      <c r="R49" s="95">
        <v>13500</v>
      </c>
      <c r="S49" s="68">
        <f t="shared" si="3"/>
        <v>1</v>
      </c>
      <c r="T49" s="69">
        <f t="shared" si="4"/>
        <v>7.9411764705882348E-2</v>
      </c>
    </row>
    <row r="50" spans="2:20" ht="45">
      <c r="B50" s="275"/>
      <c r="C50" s="272"/>
      <c r="D50" s="269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0.75</v>
      </c>
      <c r="L50" s="77">
        <f t="shared" si="0"/>
        <v>0.75</v>
      </c>
      <c r="M50" s="17">
        <f t="shared" si="1"/>
        <v>0.74722222222222223</v>
      </c>
      <c r="N50" s="78">
        <f t="shared" si="2"/>
        <v>0.75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43101</v>
      </c>
      <c r="F51" s="102">
        <v>43465</v>
      </c>
      <c r="G51" s="10" t="s">
        <v>64</v>
      </c>
      <c r="H51" s="89">
        <v>480</v>
      </c>
      <c r="I51" s="89">
        <f>+J51+('2017'!I51-'2017'!K51)</f>
        <v>160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0.74722222222222223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60">
      <c r="B52" s="275"/>
      <c r="C52" s="272"/>
      <c r="D52" s="267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25741</v>
      </c>
      <c r="L52" s="33">
        <f t="shared" si="0"/>
        <v>3.1495167013336598</v>
      </c>
      <c r="M52" s="22">
        <f t="shared" si="1"/>
        <v>0.74722222222222223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>
      <c r="B53" s="275"/>
      <c r="C53" s="272"/>
      <c r="D53" s="267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0.74722222222222223</v>
      </c>
      <c r="N53" s="32">
        <f t="shared" si="2"/>
        <v>1</v>
      </c>
      <c r="O53" s="111">
        <v>2210900</v>
      </c>
      <c r="P53" s="89">
        <v>160000</v>
      </c>
      <c r="Q53" s="89">
        <v>160000</v>
      </c>
      <c r="R53" s="89">
        <v>35100</v>
      </c>
      <c r="S53" s="27">
        <f t="shared" si="3"/>
        <v>1</v>
      </c>
      <c r="T53" s="23">
        <f t="shared" si="4"/>
        <v>0.21937499999999999</v>
      </c>
    </row>
    <row r="54" spans="2:20" ht="45">
      <c r="B54" s="275"/>
      <c r="C54" s="272"/>
      <c r="D54" s="267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0.74722222222222223</v>
      </c>
      <c r="N54" s="32">
        <f t="shared" si="2"/>
        <v>1</v>
      </c>
      <c r="O54" s="111">
        <v>2210900</v>
      </c>
      <c r="P54" s="89">
        <v>100000</v>
      </c>
      <c r="Q54" s="89">
        <v>99710</v>
      </c>
      <c r="R54" s="89">
        <v>43232</v>
      </c>
      <c r="S54" s="27">
        <f t="shared" si="3"/>
        <v>0.99709999999999999</v>
      </c>
      <c r="T54" s="23">
        <f t="shared" si="4"/>
        <v>0.43357737438571858</v>
      </c>
    </row>
    <row r="55" spans="2:20" ht="45">
      <c r="B55" s="275"/>
      <c r="C55" s="272"/>
      <c r="D55" s="267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0.74722222222222223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43101</v>
      </c>
      <c r="F56" s="102">
        <v>43465</v>
      </c>
      <c r="G56" s="10" t="s">
        <v>69</v>
      </c>
      <c r="H56" s="89">
        <v>12</v>
      </c>
      <c r="I56" s="89">
        <f>+J56+('2017'!I56-'2017'!K56)</f>
        <v>-8</v>
      </c>
      <c r="J56" s="89">
        <v>4</v>
      </c>
      <c r="K56" s="90">
        <v>0</v>
      </c>
      <c r="L56" s="33">
        <f t="shared" si="0"/>
        <v>0</v>
      </c>
      <c r="M56" s="22">
        <f t="shared" si="1"/>
        <v>0.74722222222222223</v>
      </c>
      <c r="N56" s="32">
        <f t="shared" si="2"/>
        <v>0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0.74722222222222223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45">
      <c r="B58" s="275"/>
      <c r="C58" s="272"/>
      <c r="D58" s="267"/>
      <c r="E58" s="53">
        <v>43101</v>
      </c>
      <c r="F58" s="102">
        <v>43465</v>
      </c>
      <c r="G58" s="10" t="s">
        <v>71</v>
      </c>
      <c r="H58" s="89">
        <v>8</v>
      </c>
      <c r="I58" s="89">
        <f>+J58+('2017'!I58-'2017'!K58)</f>
        <v>4</v>
      </c>
      <c r="J58" s="89">
        <v>2</v>
      </c>
      <c r="K58" s="90">
        <v>1</v>
      </c>
      <c r="L58" s="33">
        <f t="shared" si="0"/>
        <v>0.5</v>
      </c>
      <c r="M58" s="22">
        <f t="shared" si="1"/>
        <v>0.74722222222222223</v>
      </c>
      <c r="N58" s="32">
        <f t="shared" si="2"/>
        <v>0.5</v>
      </c>
      <c r="O58" s="111" t="s">
        <v>133</v>
      </c>
      <c r="P58" s="89">
        <v>80143</v>
      </c>
      <c r="Q58" s="89">
        <v>16474</v>
      </c>
      <c r="R58" s="89">
        <v>0</v>
      </c>
      <c r="S58" s="27">
        <f t="shared" si="3"/>
        <v>0.20555756585104126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43101</v>
      </c>
      <c r="F59" s="102">
        <v>43465</v>
      </c>
      <c r="G59" s="10" t="s">
        <v>72</v>
      </c>
      <c r="H59" s="89">
        <v>340</v>
      </c>
      <c r="I59" s="89">
        <f>+J59+('2017'!I59-'2017'!K59)</f>
        <v>174</v>
      </c>
      <c r="J59" s="89">
        <v>115</v>
      </c>
      <c r="K59" s="90">
        <v>0</v>
      </c>
      <c r="L59" s="33">
        <f t="shared" si="0"/>
        <v>0</v>
      </c>
      <c r="M59" s="22">
        <f t="shared" si="1"/>
        <v>0.74722222222222223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43101</v>
      </c>
      <c r="F60" s="102">
        <v>43465</v>
      </c>
      <c r="G60" s="10" t="s">
        <v>73</v>
      </c>
      <c r="H60" s="89">
        <v>2500</v>
      </c>
      <c r="I60" s="89">
        <f>+J60+('2017'!I60-'2017'!K60)</f>
        <v>417</v>
      </c>
      <c r="J60" s="89">
        <v>625</v>
      </c>
      <c r="K60" s="90">
        <v>1245</v>
      </c>
      <c r="L60" s="33">
        <f t="shared" si="0"/>
        <v>1.992</v>
      </c>
      <c r="M60" s="22">
        <f t="shared" si="1"/>
        <v>0.74722222222222223</v>
      </c>
      <c r="N60" s="32">
        <f t="shared" si="2"/>
        <v>1</v>
      </c>
      <c r="O60" s="111">
        <v>2210900</v>
      </c>
      <c r="P60" s="89">
        <v>192597</v>
      </c>
      <c r="Q60" s="89">
        <v>130000</v>
      </c>
      <c r="R60" s="89">
        <v>38300</v>
      </c>
      <c r="S60" s="27">
        <f t="shared" si="3"/>
        <v>0.67498455323810858</v>
      </c>
      <c r="T60" s="23">
        <f t="shared" si="4"/>
        <v>0.29461538461538461</v>
      </c>
    </row>
    <row r="61" spans="2:20" ht="45">
      <c r="B61" s="275"/>
      <c r="C61" s="272"/>
      <c r="D61" s="267"/>
      <c r="E61" s="53">
        <v>43101</v>
      </c>
      <c r="F61" s="102">
        <v>43465</v>
      </c>
      <c r="G61" s="10" t="s">
        <v>74</v>
      </c>
      <c r="H61" s="89">
        <v>4</v>
      </c>
      <c r="I61" s="89">
        <f>+J61+('2017'!I61-'2017'!K61)</f>
        <v>1</v>
      </c>
      <c r="J61" s="89">
        <v>1</v>
      </c>
      <c r="K61" s="90">
        <v>2</v>
      </c>
      <c r="L61" s="33">
        <f t="shared" si="0"/>
        <v>2</v>
      </c>
      <c r="M61" s="22">
        <f t="shared" si="1"/>
        <v>0.74722222222222223</v>
      </c>
      <c r="N61" s="32">
        <f t="shared" si="2"/>
        <v>1</v>
      </c>
      <c r="O61" s="111">
        <v>2210902</v>
      </c>
      <c r="P61" s="89">
        <v>250000</v>
      </c>
      <c r="Q61" s="89">
        <v>168985</v>
      </c>
      <c r="R61" s="89">
        <v>73265</v>
      </c>
      <c r="S61" s="27">
        <f t="shared" si="3"/>
        <v>0.67593999999999999</v>
      </c>
      <c r="T61" s="23">
        <f t="shared" si="4"/>
        <v>0.43355919164422879</v>
      </c>
    </row>
    <row r="62" spans="2:20" ht="45">
      <c r="B62" s="275"/>
      <c r="C62" s="272"/>
      <c r="D62" s="267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47</v>
      </c>
      <c r="L62" s="33">
        <f t="shared" si="0"/>
        <v>1</v>
      </c>
      <c r="M62" s="22">
        <f t="shared" si="1"/>
        <v>0.74722222222222223</v>
      </c>
      <c r="N62" s="32">
        <f t="shared" si="2"/>
        <v>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43101</v>
      </c>
      <c r="F63" s="102">
        <v>43465</v>
      </c>
      <c r="G63" s="10" t="s">
        <v>76</v>
      </c>
      <c r="H63" s="89">
        <v>20</v>
      </c>
      <c r="I63" s="89">
        <f>+J63+('2017'!I63-'2017'!K63)</f>
        <v>4</v>
      </c>
      <c r="J63" s="89">
        <v>7</v>
      </c>
      <c r="K63" s="90">
        <v>0</v>
      </c>
      <c r="L63" s="33">
        <f t="shared" si="0"/>
        <v>0</v>
      </c>
      <c r="M63" s="22">
        <f t="shared" si="1"/>
        <v>0.74722222222222223</v>
      </c>
      <c r="N63" s="32">
        <f t="shared" si="2"/>
        <v>0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43101</v>
      </c>
      <c r="F64" s="102">
        <v>43465</v>
      </c>
      <c r="G64" s="10" t="s">
        <v>77</v>
      </c>
      <c r="H64" s="89">
        <v>1</v>
      </c>
      <c r="I64" s="89">
        <f>+J64+('2017'!I64-'2017'!K64)</f>
        <v>1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0.74722222222222223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0.7</v>
      </c>
      <c r="L65" s="33">
        <f t="shared" si="0"/>
        <v>0.7</v>
      </c>
      <c r="M65" s="22">
        <f t="shared" si="1"/>
        <v>0.74722222222222223</v>
      </c>
      <c r="N65" s="32">
        <f t="shared" si="2"/>
        <v>0.7</v>
      </c>
      <c r="O65" s="111">
        <v>2210326</v>
      </c>
      <c r="P65" s="89">
        <v>525879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0.74722222222222223</v>
      </c>
      <c r="N66" s="32">
        <f t="shared" si="2"/>
        <v>1</v>
      </c>
      <c r="O66" s="111">
        <v>2210899</v>
      </c>
      <c r="P66" s="89">
        <v>1381789</v>
      </c>
      <c r="Q66" s="89">
        <v>867017</v>
      </c>
      <c r="R66" s="89">
        <v>0</v>
      </c>
      <c r="S66" s="27">
        <f t="shared" si="3"/>
        <v>0.62745976411738691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115">
        <v>0.2</v>
      </c>
      <c r="L67" s="33">
        <f t="shared" si="0"/>
        <v>0.2</v>
      </c>
      <c r="M67" s="22">
        <f t="shared" si="1"/>
        <v>0.74722222222222223</v>
      </c>
      <c r="N67" s="32">
        <f t="shared" si="2"/>
        <v>0.2</v>
      </c>
      <c r="O67" s="111">
        <v>2210013</v>
      </c>
      <c r="P67" s="89">
        <v>100000</v>
      </c>
      <c r="Q67" s="89">
        <v>0</v>
      </c>
      <c r="R67" s="89">
        <v>0</v>
      </c>
      <c r="S67" s="27">
        <f t="shared" si="3"/>
        <v>0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43101</v>
      </c>
      <c r="F68" s="105">
        <v>43465</v>
      </c>
      <c r="G68" s="11" t="s">
        <v>81</v>
      </c>
      <c r="H68" s="91">
        <v>20</v>
      </c>
      <c r="I68" s="91">
        <f>+J68+('2017'!I68-'2017'!K68)</f>
        <v>-7</v>
      </c>
      <c r="J68" s="91">
        <v>7</v>
      </c>
      <c r="K68" s="92">
        <v>9</v>
      </c>
      <c r="L68" s="79">
        <f t="shared" si="0"/>
        <v>1.2857142857142858</v>
      </c>
      <c r="M68" s="80">
        <f t="shared" si="1"/>
        <v>0.74722222222222223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0.74722222222222212</v>
      </c>
      <c r="N69" s="52">
        <f>+AVERAGE(N12,N14,N16,N18:N68)</f>
        <v>0.75128820585585554</v>
      </c>
      <c r="O69" s="48"/>
      <c r="P69" s="49">
        <f>+SUM(P12,P14,P16,P18:P68)</f>
        <v>247437432</v>
      </c>
      <c r="Q69" s="50">
        <f>+SUM(Q12,Q14,Q16,Q18:Q68)</f>
        <v>191624767</v>
      </c>
      <c r="R69" s="50">
        <f>+SUM(R12,R14,R16,R18:R68)</f>
        <v>1421278</v>
      </c>
      <c r="S69" s="51">
        <f t="shared" si="3"/>
        <v>0.7744372605677543</v>
      </c>
      <c r="T69" s="52">
        <f t="shared" si="4"/>
        <v>7.4169848827526563E-3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43466</v>
      </c>
      <c r="F12" s="56">
        <v>43830</v>
      </c>
      <c r="G12" s="57" t="s">
        <v>28</v>
      </c>
      <c r="H12" s="83">
        <v>35</v>
      </c>
      <c r="I12" s="91">
        <f>+J12+('2018'!I12-'2018'!K12)</f>
        <v>13</v>
      </c>
      <c r="J12" s="83">
        <v>10</v>
      </c>
      <c r="K12" s="84"/>
      <c r="L12" s="33">
        <f>+K12/J12</f>
        <v>0</v>
      </c>
      <c r="M12" s="73">
        <f>DAYS360(E12,$C$8)/DAYS360(E12,F12)</f>
        <v>-119.00277777777778</v>
      </c>
      <c r="N12" s="74">
        <f>IF(J12=0," -",IF(L12&gt;100%,100%,L12))</f>
        <v>0</v>
      </c>
      <c r="O12" s="108">
        <v>0</v>
      </c>
      <c r="P12" s="83">
        <v>20000</v>
      </c>
      <c r="Q12" s="83"/>
      <c r="R12" s="83"/>
      <c r="S12" s="58">
        <f>IF(P12=0," -",Q12/P12)</f>
        <v>0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43466</v>
      </c>
      <c r="F14" s="56">
        <v>43830</v>
      </c>
      <c r="G14" s="57" t="s">
        <v>29</v>
      </c>
      <c r="H14" s="83">
        <v>1</v>
      </c>
      <c r="I14" s="91">
        <f>+J14</f>
        <v>1</v>
      </c>
      <c r="J14" s="83">
        <v>1</v>
      </c>
      <c r="K14" s="84"/>
      <c r="L14" s="33">
        <f t="shared" ref="L14:L68" si="0">+K14/J14</f>
        <v>0</v>
      </c>
      <c r="M14" s="22">
        <f t="shared" ref="M14:M68" si="1">DAYS360(E14,$C$8)/DAYS360(E14,F14)</f>
        <v>-119.00277777777778</v>
      </c>
      <c r="N14" s="32">
        <f t="shared" ref="N14:N68" si="2">IF(J14=0," -",IF(L14&gt;100%,100%,L14))</f>
        <v>0</v>
      </c>
      <c r="O14" s="108" t="s">
        <v>129</v>
      </c>
      <c r="P14" s="83">
        <v>0</v>
      </c>
      <c r="Q14" s="83"/>
      <c r="R14" s="83"/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43466</v>
      </c>
      <c r="F16" s="56">
        <v>43830</v>
      </c>
      <c r="G16" s="57" t="s">
        <v>30</v>
      </c>
      <c r="H16" s="83">
        <v>1</v>
      </c>
      <c r="I16" s="91">
        <f>+J16</f>
        <v>1</v>
      </c>
      <c r="J16" s="97">
        <v>1</v>
      </c>
      <c r="K16" s="84"/>
      <c r="L16" s="21">
        <f t="shared" si="0"/>
        <v>0</v>
      </c>
      <c r="M16" s="22">
        <f t="shared" si="1"/>
        <v>-119.00277777777778</v>
      </c>
      <c r="N16" s="32">
        <f t="shared" si="2"/>
        <v>0</v>
      </c>
      <c r="O16" s="108" t="s">
        <v>129</v>
      </c>
      <c r="P16" s="83">
        <v>0</v>
      </c>
      <c r="Q16" s="83"/>
      <c r="R16" s="83"/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43466</v>
      </c>
      <c r="F18" s="100">
        <v>43830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/>
      <c r="L18" s="33">
        <f t="shared" si="0"/>
        <v>0</v>
      </c>
      <c r="M18" s="22">
        <f t="shared" si="1"/>
        <v>-119.00277777777778</v>
      </c>
      <c r="N18" s="32">
        <f t="shared" si="2"/>
        <v>0</v>
      </c>
      <c r="O18" s="110">
        <v>2210055</v>
      </c>
      <c r="P18" s="87">
        <v>3300000</v>
      </c>
      <c r="Q18" s="87"/>
      <c r="R18" s="87"/>
      <c r="S18" s="19">
        <f t="shared" si="3"/>
        <v>0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43466</v>
      </c>
      <c r="F19" s="102">
        <v>43830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/>
      <c r="L19" s="33">
        <f t="shared" si="0"/>
        <v>0</v>
      </c>
      <c r="M19" s="22">
        <f t="shared" si="1"/>
        <v>-119.00277777777778</v>
      </c>
      <c r="N19" s="32">
        <f t="shared" si="2"/>
        <v>0</v>
      </c>
      <c r="O19" s="111">
        <v>2210645</v>
      </c>
      <c r="P19" s="89">
        <v>252936</v>
      </c>
      <c r="Q19" s="89"/>
      <c r="R19" s="89"/>
      <c r="S19" s="27">
        <f t="shared" si="3"/>
        <v>0</v>
      </c>
      <c r="T19" s="23" t="str">
        <f t="shared" si="4"/>
        <v xml:space="preserve"> -</v>
      </c>
    </row>
    <row r="20" spans="2:20" ht="45">
      <c r="B20" s="275"/>
      <c r="C20" s="272"/>
      <c r="D20" s="267"/>
      <c r="E20" s="53">
        <v>43466</v>
      </c>
      <c r="F20" s="102">
        <v>43830</v>
      </c>
      <c r="G20" s="10" t="s">
        <v>33</v>
      </c>
      <c r="H20" s="89">
        <v>23</v>
      </c>
      <c r="I20" s="89">
        <f>+J20+('2018'!I20-'2018'!K20)</f>
        <v>12</v>
      </c>
      <c r="J20" s="89">
        <v>5</v>
      </c>
      <c r="K20" s="90"/>
      <c r="L20" s="33">
        <f t="shared" si="0"/>
        <v>0</v>
      </c>
      <c r="M20" s="22">
        <f t="shared" si="1"/>
        <v>-119.00277777777778</v>
      </c>
      <c r="N20" s="32">
        <f t="shared" si="2"/>
        <v>0</v>
      </c>
      <c r="O20" s="111">
        <v>2210907</v>
      </c>
      <c r="P20" s="89">
        <v>632341</v>
      </c>
      <c r="Q20" s="89"/>
      <c r="R20" s="89"/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43466</v>
      </c>
      <c r="F21" s="102">
        <v>43830</v>
      </c>
      <c r="G21" s="10" t="s">
        <v>34</v>
      </c>
      <c r="H21" s="89">
        <v>17400</v>
      </c>
      <c r="I21" s="89">
        <f>+J21+('2018'!I21-'2018'!K21)</f>
        <v>14320</v>
      </c>
      <c r="J21" s="89">
        <v>5200</v>
      </c>
      <c r="K21" s="90"/>
      <c r="L21" s="33">
        <f t="shared" si="0"/>
        <v>0</v>
      </c>
      <c r="M21" s="22">
        <f t="shared" si="1"/>
        <v>-119.00277777777778</v>
      </c>
      <c r="N21" s="32">
        <f t="shared" si="2"/>
        <v>0</v>
      </c>
      <c r="O21" s="111">
        <v>2210645</v>
      </c>
      <c r="P21" s="89">
        <v>6000000</v>
      </c>
      <c r="Q21" s="89"/>
      <c r="R21" s="89"/>
      <c r="S21" s="27">
        <f t="shared" si="3"/>
        <v>0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43466</v>
      </c>
      <c r="F22" s="102">
        <v>43830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/>
      <c r="L22" s="33">
        <f t="shared" si="0"/>
        <v>0</v>
      </c>
      <c r="M22" s="22">
        <f t="shared" si="1"/>
        <v>-119.00277777777778</v>
      </c>
      <c r="N22" s="32">
        <f t="shared" si="2"/>
        <v>0</v>
      </c>
      <c r="O22" s="111">
        <v>2210208</v>
      </c>
      <c r="P22" s="89">
        <v>2271543</v>
      </c>
      <c r="Q22" s="89"/>
      <c r="R22" s="89"/>
      <c r="S22" s="27">
        <f t="shared" si="3"/>
        <v>0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43466</v>
      </c>
      <c r="F23" s="102">
        <v>43830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/>
      <c r="L23" s="33">
        <f t="shared" si="0"/>
        <v>0</v>
      </c>
      <c r="M23" s="22">
        <f t="shared" si="1"/>
        <v>-119.00277777777778</v>
      </c>
      <c r="N23" s="32">
        <f t="shared" si="2"/>
        <v>0</v>
      </c>
      <c r="O23" s="111" t="s">
        <v>130</v>
      </c>
      <c r="P23" s="89">
        <v>148581673</v>
      </c>
      <c r="Q23" s="89"/>
      <c r="R23" s="89"/>
      <c r="S23" s="27">
        <f t="shared" si="3"/>
        <v>0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43466</v>
      </c>
      <c r="F24" s="102">
        <v>43830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/>
      <c r="L24" s="33">
        <f t="shared" si="0"/>
        <v>0</v>
      </c>
      <c r="M24" s="22">
        <f t="shared" si="1"/>
        <v>-119.00277777777778</v>
      </c>
      <c r="N24" s="32">
        <f t="shared" si="2"/>
        <v>0</v>
      </c>
      <c r="O24" s="111" t="s">
        <v>131</v>
      </c>
      <c r="P24" s="89">
        <v>28148661</v>
      </c>
      <c r="Q24" s="89"/>
      <c r="R24" s="89"/>
      <c r="S24" s="27">
        <f t="shared" si="3"/>
        <v>0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43466</v>
      </c>
      <c r="F25" s="102">
        <v>43830</v>
      </c>
      <c r="G25" s="10" t="s">
        <v>38</v>
      </c>
      <c r="H25" s="89">
        <v>12</v>
      </c>
      <c r="I25" s="89">
        <f>+J25+('2018'!I25-'2018'!K25)</f>
        <v>-1.0999999999999996</v>
      </c>
      <c r="J25" s="89">
        <v>4</v>
      </c>
      <c r="K25" s="90"/>
      <c r="L25" s="33">
        <f t="shared" si="0"/>
        <v>0</v>
      </c>
      <c r="M25" s="22">
        <f t="shared" si="1"/>
        <v>-119.00277777777778</v>
      </c>
      <c r="N25" s="32">
        <f t="shared" si="2"/>
        <v>0</v>
      </c>
      <c r="O25" s="111">
        <v>2210645</v>
      </c>
      <c r="P25" s="89">
        <v>300000</v>
      </c>
      <c r="Q25" s="89"/>
      <c r="R25" s="89"/>
      <c r="S25" s="27">
        <f t="shared" si="3"/>
        <v>0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43466</v>
      </c>
      <c r="F26" s="102">
        <v>43830</v>
      </c>
      <c r="G26" s="10" t="s">
        <v>39</v>
      </c>
      <c r="H26" s="89">
        <v>4</v>
      </c>
      <c r="I26" s="89">
        <f>+J26+('2018'!I26-'2018'!K26)</f>
        <v>1.83</v>
      </c>
      <c r="J26" s="89">
        <v>1</v>
      </c>
      <c r="K26" s="90"/>
      <c r="L26" s="33">
        <f t="shared" si="0"/>
        <v>0</v>
      </c>
      <c r="M26" s="22">
        <f t="shared" si="1"/>
        <v>-119.00277777777778</v>
      </c>
      <c r="N26" s="32">
        <f t="shared" si="2"/>
        <v>0</v>
      </c>
      <c r="O26" s="111">
        <v>2210297</v>
      </c>
      <c r="P26" s="89">
        <v>3400000</v>
      </c>
      <c r="Q26" s="89"/>
      <c r="R26" s="89"/>
      <c r="S26" s="27">
        <f t="shared" si="3"/>
        <v>0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43466</v>
      </c>
      <c r="F27" s="102">
        <v>43830</v>
      </c>
      <c r="G27" s="10" t="s">
        <v>40</v>
      </c>
      <c r="H27" s="89">
        <v>1</v>
      </c>
      <c r="I27" s="89">
        <f>+J27</f>
        <v>1</v>
      </c>
      <c r="J27" s="89">
        <v>1</v>
      </c>
      <c r="K27" s="90"/>
      <c r="L27" s="33">
        <f t="shared" si="0"/>
        <v>0</v>
      </c>
      <c r="M27" s="22">
        <f t="shared" si="1"/>
        <v>-119.00277777777778</v>
      </c>
      <c r="N27" s="32">
        <f t="shared" si="2"/>
        <v>0</v>
      </c>
      <c r="O27" s="111" t="s">
        <v>132</v>
      </c>
      <c r="P27" s="89">
        <v>6750000</v>
      </c>
      <c r="Q27" s="89"/>
      <c r="R27" s="89"/>
      <c r="S27" s="27">
        <f t="shared" si="3"/>
        <v>0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43466</v>
      </c>
      <c r="F28" s="102">
        <v>43830</v>
      </c>
      <c r="G28" s="10" t="s">
        <v>41</v>
      </c>
      <c r="H28" s="89">
        <v>10</v>
      </c>
      <c r="I28" s="89">
        <f>+J28+('2018'!I28-'2018'!K28)</f>
        <v>4</v>
      </c>
      <c r="J28" s="89">
        <v>1</v>
      </c>
      <c r="K28" s="90"/>
      <c r="L28" s="33">
        <f t="shared" si="0"/>
        <v>0</v>
      </c>
      <c r="M28" s="22">
        <f t="shared" si="1"/>
        <v>-119.00277777777778</v>
      </c>
      <c r="N28" s="32">
        <f t="shared" si="2"/>
        <v>0</v>
      </c>
      <c r="O28" s="111" t="s">
        <v>129</v>
      </c>
      <c r="P28" s="89">
        <v>0</v>
      </c>
      <c r="Q28" s="89"/>
      <c r="R28" s="89"/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43466</v>
      </c>
      <c r="F29" s="102">
        <v>43830</v>
      </c>
      <c r="G29" s="10" t="s">
        <v>42</v>
      </c>
      <c r="H29" s="89">
        <v>13</v>
      </c>
      <c r="I29" s="89">
        <f>+J29+('2018'!I29-'2018'!K29)</f>
        <v>6</v>
      </c>
      <c r="J29" s="89">
        <v>4</v>
      </c>
      <c r="K29" s="90"/>
      <c r="L29" s="33">
        <f t="shared" si="0"/>
        <v>0</v>
      </c>
      <c r="M29" s="22">
        <f t="shared" si="1"/>
        <v>-119.00277777777778</v>
      </c>
      <c r="N29" s="32">
        <f t="shared" si="2"/>
        <v>0</v>
      </c>
      <c r="O29" s="111">
        <v>2210645</v>
      </c>
      <c r="P29" s="89">
        <v>2000000</v>
      </c>
      <c r="Q29" s="89"/>
      <c r="R29" s="89"/>
      <c r="S29" s="27">
        <f t="shared" si="3"/>
        <v>0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43466</v>
      </c>
      <c r="F30" s="103">
        <v>43830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/>
      <c r="L30" s="65">
        <f t="shared" si="0"/>
        <v>0</v>
      </c>
      <c r="M30" s="66">
        <f t="shared" si="1"/>
        <v>-119.00277777777778</v>
      </c>
      <c r="N30" s="67">
        <f t="shared" si="2"/>
        <v>0</v>
      </c>
      <c r="O30" s="112">
        <v>0</v>
      </c>
      <c r="P30" s="95">
        <v>885227</v>
      </c>
      <c r="Q30" s="95"/>
      <c r="R30" s="95"/>
      <c r="S30" s="68">
        <f t="shared" si="3"/>
        <v>0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43466</v>
      </c>
      <c r="F31" s="100">
        <v>43830</v>
      </c>
      <c r="G31" s="82" t="s">
        <v>44</v>
      </c>
      <c r="H31" s="87">
        <v>581</v>
      </c>
      <c r="I31" s="93">
        <f>+J31+('2018'!I31-'2018'!K31)</f>
        <v>-32</v>
      </c>
      <c r="J31" s="87">
        <v>145</v>
      </c>
      <c r="K31" s="88"/>
      <c r="L31" s="77">
        <f t="shared" si="0"/>
        <v>0</v>
      </c>
      <c r="M31" s="17">
        <f t="shared" si="1"/>
        <v>-119.00277777777778</v>
      </c>
      <c r="N31" s="78">
        <f t="shared" si="2"/>
        <v>0</v>
      </c>
      <c r="O31" s="110" t="s">
        <v>129</v>
      </c>
      <c r="P31" s="87">
        <v>0</v>
      </c>
      <c r="Q31" s="87"/>
      <c r="R31" s="87"/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43466</v>
      </c>
      <c r="F32" s="102">
        <v>43830</v>
      </c>
      <c r="G32" s="10" t="s">
        <v>45</v>
      </c>
      <c r="H32" s="27">
        <v>1</v>
      </c>
      <c r="I32" s="27">
        <f>+J32</f>
        <v>1</v>
      </c>
      <c r="J32" s="27">
        <v>1</v>
      </c>
      <c r="K32" s="23"/>
      <c r="L32" s="33">
        <f t="shared" si="0"/>
        <v>0</v>
      </c>
      <c r="M32" s="22">
        <f t="shared" si="1"/>
        <v>-119.00277777777778</v>
      </c>
      <c r="N32" s="32">
        <f t="shared" si="2"/>
        <v>0</v>
      </c>
      <c r="O32" s="111">
        <v>2210146</v>
      </c>
      <c r="P32" s="89">
        <v>211673</v>
      </c>
      <c r="Q32" s="89"/>
      <c r="R32" s="89"/>
      <c r="S32" s="27">
        <f t="shared" si="3"/>
        <v>0</v>
      </c>
      <c r="T32" s="23" t="str">
        <f t="shared" si="4"/>
        <v xml:space="preserve"> -</v>
      </c>
    </row>
    <row r="33" spans="2:20" ht="60">
      <c r="B33" s="275"/>
      <c r="C33" s="272"/>
      <c r="D33" s="267"/>
      <c r="E33" s="53">
        <v>43466</v>
      </c>
      <c r="F33" s="102">
        <v>43830</v>
      </c>
      <c r="G33" s="10" t="s">
        <v>46</v>
      </c>
      <c r="H33" s="89">
        <v>4570</v>
      </c>
      <c r="I33" s="89">
        <f>+J33+('2018'!I33-'2018'!K33)</f>
        <v>1525</v>
      </c>
      <c r="J33" s="89">
        <v>1393</v>
      </c>
      <c r="K33" s="90"/>
      <c r="L33" s="33">
        <f t="shared" si="0"/>
        <v>0</v>
      </c>
      <c r="M33" s="22">
        <f t="shared" si="1"/>
        <v>-119.00277777777778</v>
      </c>
      <c r="N33" s="32">
        <f t="shared" si="2"/>
        <v>0</v>
      </c>
      <c r="O33" s="111">
        <v>2210146</v>
      </c>
      <c r="P33" s="89">
        <v>1306869</v>
      </c>
      <c r="Q33" s="89"/>
      <c r="R33" s="89"/>
      <c r="S33" s="27">
        <f t="shared" si="3"/>
        <v>0</v>
      </c>
      <c r="T33" s="23" t="str">
        <f t="shared" si="4"/>
        <v xml:space="preserve"> -</v>
      </c>
    </row>
    <row r="34" spans="2:20" ht="45">
      <c r="B34" s="275"/>
      <c r="C34" s="272"/>
      <c r="D34" s="267"/>
      <c r="E34" s="53">
        <v>43466</v>
      </c>
      <c r="F34" s="102">
        <v>43830</v>
      </c>
      <c r="G34" s="10" t="s">
        <v>47</v>
      </c>
      <c r="H34" s="89">
        <v>800</v>
      </c>
      <c r="I34" s="89">
        <f>+J34+('2018'!I34-'2018'!K34)</f>
        <v>-215</v>
      </c>
      <c r="J34" s="89">
        <v>0</v>
      </c>
      <c r="K34" s="90"/>
      <c r="L34" s="33" t="e">
        <f t="shared" si="0"/>
        <v>#DIV/0!</v>
      </c>
      <c r="M34" s="22">
        <f t="shared" si="1"/>
        <v>-119.00277777777778</v>
      </c>
      <c r="N34" s="32" t="str">
        <f t="shared" si="2"/>
        <v xml:space="preserve"> -</v>
      </c>
      <c r="O34" s="111" t="s">
        <v>129</v>
      </c>
      <c r="P34" s="89">
        <v>0</v>
      </c>
      <c r="Q34" s="89"/>
      <c r="R34" s="89"/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43466</v>
      </c>
      <c r="F35" s="102">
        <v>43830</v>
      </c>
      <c r="G35" s="10" t="s">
        <v>48</v>
      </c>
      <c r="H35" s="27">
        <v>1</v>
      </c>
      <c r="I35" s="27">
        <f>+J35</f>
        <v>1</v>
      </c>
      <c r="J35" s="27">
        <v>1</v>
      </c>
      <c r="K35" s="23"/>
      <c r="L35" s="33">
        <f t="shared" si="0"/>
        <v>0</v>
      </c>
      <c r="M35" s="22">
        <f t="shared" si="1"/>
        <v>-119.00277777777778</v>
      </c>
      <c r="N35" s="32">
        <f t="shared" si="2"/>
        <v>0</v>
      </c>
      <c r="O35" s="111">
        <v>2210940</v>
      </c>
      <c r="P35" s="89">
        <v>1540574</v>
      </c>
      <c r="Q35" s="89"/>
      <c r="R35" s="89"/>
      <c r="S35" s="27">
        <f t="shared" si="3"/>
        <v>0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43466</v>
      </c>
      <c r="F36" s="102">
        <v>43830</v>
      </c>
      <c r="G36" s="10" t="s">
        <v>49</v>
      </c>
      <c r="H36" s="89">
        <v>12800</v>
      </c>
      <c r="I36" s="89">
        <f>+J36+('2018'!I36-'2018'!K36)</f>
        <v>4889</v>
      </c>
      <c r="J36" s="89">
        <v>3417</v>
      </c>
      <c r="K36" s="90"/>
      <c r="L36" s="33">
        <f t="shared" si="0"/>
        <v>0</v>
      </c>
      <c r="M36" s="22">
        <f t="shared" si="1"/>
        <v>-119.00277777777778</v>
      </c>
      <c r="N36" s="32">
        <f t="shared" si="2"/>
        <v>0</v>
      </c>
      <c r="O36" s="111">
        <v>2210913</v>
      </c>
      <c r="P36" s="89">
        <v>277900</v>
      </c>
      <c r="Q36" s="89"/>
      <c r="R36" s="89"/>
      <c r="S36" s="27">
        <f t="shared" si="3"/>
        <v>0</v>
      </c>
      <c r="T36" s="23" t="str">
        <f t="shared" si="4"/>
        <v xml:space="preserve"> -</v>
      </c>
    </row>
    <row r="37" spans="2:20" ht="60">
      <c r="B37" s="275"/>
      <c r="C37" s="272"/>
      <c r="D37" s="267"/>
      <c r="E37" s="53">
        <v>43466</v>
      </c>
      <c r="F37" s="102">
        <v>43830</v>
      </c>
      <c r="G37" s="10" t="s">
        <v>50</v>
      </c>
      <c r="H37" s="89">
        <v>47</v>
      </c>
      <c r="I37" s="89">
        <f>+J37+('2018'!I37-'2018'!K37)</f>
        <v>15</v>
      </c>
      <c r="J37" s="89">
        <v>15</v>
      </c>
      <c r="K37" s="90"/>
      <c r="L37" s="33">
        <f t="shared" si="0"/>
        <v>0</v>
      </c>
      <c r="M37" s="22">
        <f t="shared" si="1"/>
        <v>-119.00277777777778</v>
      </c>
      <c r="N37" s="32">
        <f t="shared" si="2"/>
        <v>0</v>
      </c>
      <c r="O37" s="111">
        <v>2210005</v>
      </c>
      <c r="P37" s="89">
        <v>113821</v>
      </c>
      <c r="Q37" s="89"/>
      <c r="R37" s="89"/>
      <c r="S37" s="27">
        <f t="shared" si="3"/>
        <v>0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43466</v>
      </c>
      <c r="F38" s="102">
        <v>43830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/>
      <c r="L38" s="33">
        <f t="shared" si="0"/>
        <v>0</v>
      </c>
      <c r="M38" s="22">
        <f t="shared" si="1"/>
        <v>-119.00277777777778</v>
      </c>
      <c r="N38" s="32">
        <f t="shared" si="2"/>
        <v>0</v>
      </c>
      <c r="O38" s="111">
        <v>2210005</v>
      </c>
      <c r="P38" s="89">
        <v>599854</v>
      </c>
      <c r="Q38" s="89"/>
      <c r="R38" s="89"/>
      <c r="S38" s="27">
        <f t="shared" si="3"/>
        <v>0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43466</v>
      </c>
      <c r="F39" s="102">
        <v>43830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/>
      <c r="L39" s="33">
        <f t="shared" si="0"/>
        <v>0</v>
      </c>
      <c r="M39" s="22">
        <f t="shared" si="1"/>
        <v>-119.00277777777778</v>
      </c>
      <c r="N39" s="32">
        <f t="shared" si="2"/>
        <v>0</v>
      </c>
      <c r="O39" s="111">
        <v>2210634</v>
      </c>
      <c r="P39" s="89">
        <v>12039988</v>
      </c>
      <c r="Q39" s="89"/>
      <c r="R39" s="89"/>
      <c r="S39" s="27">
        <f t="shared" si="3"/>
        <v>0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43466</v>
      </c>
      <c r="F40" s="102">
        <v>43830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/>
      <c r="L40" s="33">
        <f t="shared" si="0"/>
        <v>0</v>
      </c>
      <c r="M40" s="22">
        <f t="shared" si="1"/>
        <v>-119.00277777777778</v>
      </c>
      <c r="N40" s="32">
        <f t="shared" si="2"/>
        <v>0</v>
      </c>
      <c r="O40" s="111">
        <v>2210803</v>
      </c>
      <c r="P40" s="89">
        <v>10017868</v>
      </c>
      <c r="Q40" s="89"/>
      <c r="R40" s="89"/>
      <c r="S40" s="27">
        <f t="shared" si="3"/>
        <v>0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43466</v>
      </c>
      <c r="F41" s="102">
        <v>43830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/>
      <c r="L41" s="33">
        <f t="shared" si="0"/>
        <v>0</v>
      </c>
      <c r="M41" s="22">
        <f t="shared" si="1"/>
        <v>-119.00277777777778</v>
      </c>
      <c r="N41" s="32">
        <f t="shared" si="2"/>
        <v>0</v>
      </c>
      <c r="O41" s="111">
        <v>0</v>
      </c>
      <c r="P41" s="89">
        <v>12647</v>
      </c>
      <c r="Q41" s="89"/>
      <c r="R41" s="89"/>
      <c r="S41" s="27">
        <f t="shared" si="3"/>
        <v>0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43466</v>
      </c>
      <c r="F42" s="102">
        <v>43830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/>
      <c r="L42" s="33">
        <f t="shared" si="0"/>
        <v>0</v>
      </c>
      <c r="M42" s="22">
        <f t="shared" si="1"/>
        <v>-119.00277777777778</v>
      </c>
      <c r="N42" s="32">
        <f t="shared" si="2"/>
        <v>0</v>
      </c>
      <c r="O42" s="111">
        <v>0</v>
      </c>
      <c r="P42" s="89">
        <v>311310</v>
      </c>
      <c r="Q42" s="89"/>
      <c r="R42" s="89"/>
      <c r="S42" s="27">
        <f t="shared" si="3"/>
        <v>0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43466</v>
      </c>
      <c r="F43" s="102">
        <v>43830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/>
      <c r="L43" s="33">
        <f t="shared" si="0"/>
        <v>0</v>
      </c>
      <c r="M43" s="22">
        <f t="shared" si="1"/>
        <v>-119.00277777777778</v>
      </c>
      <c r="N43" s="32">
        <f t="shared" si="2"/>
        <v>0</v>
      </c>
      <c r="O43" s="111">
        <v>0</v>
      </c>
      <c r="P43" s="89">
        <v>75880</v>
      </c>
      <c r="Q43" s="89"/>
      <c r="R43" s="89"/>
      <c r="S43" s="27">
        <f t="shared" si="3"/>
        <v>0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43466</v>
      </c>
      <c r="F44" s="102">
        <v>43830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/>
      <c r="L44" s="33">
        <f t="shared" si="0"/>
        <v>0</v>
      </c>
      <c r="M44" s="22">
        <f t="shared" si="1"/>
        <v>-119.00277777777778</v>
      </c>
      <c r="N44" s="32">
        <f t="shared" si="2"/>
        <v>0</v>
      </c>
      <c r="O44" s="111">
        <v>2210803</v>
      </c>
      <c r="P44" s="89">
        <v>12879000</v>
      </c>
      <c r="Q44" s="89"/>
      <c r="R44" s="89"/>
      <c r="S44" s="27">
        <f t="shared" si="3"/>
        <v>0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43466</v>
      </c>
      <c r="F45" s="105">
        <v>43830</v>
      </c>
      <c r="G45" s="11" t="s">
        <v>58</v>
      </c>
      <c r="H45" s="91">
        <v>2</v>
      </c>
      <c r="I45" s="91">
        <f>+J45+('2018'!I45-'2018'!K45)</f>
        <v>-1</v>
      </c>
      <c r="J45" s="91">
        <v>0</v>
      </c>
      <c r="K45" s="92"/>
      <c r="L45" s="79" t="e">
        <f t="shared" si="0"/>
        <v>#DIV/0!</v>
      </c>
      <c r="M45" s="80">
        <f t="shared" si="1"/>
        <v>-119.00277777777778</v>
      </c>
      <c r="N45" s="81" t="str">
        <f t="shared" si="2"/>
        <v xml:space="preserve"> -</v>
      </c>
      <c r="O45" s="113">
        <v>0</v>
      </c>
      <c r="P45" s="91">
        <v>0</v>
      </c>
      <c r="Q45" s="91"/>
      <c r="R45" s="91"/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43466</v>
      </c>
      <c r="F46" s="106">
        <v>43830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/>
      <c r="L46" s="72">
        <f t="shared" si="0"/>
        <v>0</v>
      </c>
      <c r="M46" s="73">
        <f t="shared" si="1"/>
        <v>-119.00277777777778</v>
      </c>
      <c r="N46" s="74">
        <f t="shared" si="2"/>
        <v>0</v>
      </c>
      <c r="O46" s="114">
        <v>2210258</v>
      </c>
      <c r="P46" s="93">
        <v>330938</v>
      </c>
      <c r="Q46" s="93"/>
      <c r="R46" s="93"/>
      <c r="S46" s="75">
        <f t="shared" si="3"/>
        <v>0</v>
      </c>
      <c r="T46" s="76" t="str">
        <f t="shared" si="4"/>
        <v xml:space="preserve"> -</v>
      </c>
    </row>
    <row r="47" spans="2:20" ht="30">
      <c r="B47" s="275"/>
      <c r="C47" s="272"/>
      <c r="D47" s="267"/>
      <c r="E47" s="53">
        <v>43466</v>
      </c>
      <c r="F47" s="102">
        <v>43830</v>
      </c>
      <c r="G47" s="10" t="s">
        <v>60</v>
      </c>
      <c r="H47" s="89">
        <v>188</v>
      </c>
      <c r="I47" s="89">
        <f>+J47+('2018'!I47-'2018'!K47)</f>
        <v>184</v>
      </c>
      <c r="J47" s="89">
        <v>47</v>
      </c>
      <c r="K47" s="90"/>
      <c r="L47" s="33">
        <f t="shared" si="0"/>
        <v>0</v>
      </c>
      <c r="M47" s="22">
        <f t="shared" si="1"/>
        <v>-119.00277777777778</v>
      </c>
      <c r="N47" s="32">
        <f t="shared" si="2"/>
        <v>0</v>
      </c>
      <c r="O47" s="111" t="s">
        <v>129</v>
      </c>
      <c r="P47" s="89">
        <v>0</v>
      </c>
      <c r="Q47" s="89"/>
      <c r="R47" s="89"/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43466</v>
      </c>
      <c r="F48" s="102">
        <v>43830</v>
      </c>
      <c r="G48" s="10" t="s">
        <v>61</v>
      </c>
      <c r="H48" s="27">
        <v>1</v>
      </c>
      <c r="I48" s="27">
        <f>+J48</f>
        <v>1</v>
      </c>
      <c r="J48" s="27">
        <v>1</v>
      </c>
      <c r="K48" s="23"/>
      <c r="L48" s="33">
        <f t="shared" si="0"/>
        <v>0</v>
      </c>
      <c r="M48" s="22">
        <f t="shared" si="1"/>
        <v>-119.00277777777778</v>
      </c>
      <c r="N48" s="32">
        <f t="shared" si="2"/>
        <v>0</v>
      </c>
      <c r="O48" s="111">
        <v>2210257</v>
      </c>
      <c r="P48" s="89">
        <v>189280</v>
      </c>
      <c r="Q48" s="89"/>
      <c r="R48" s="89"/>
      <c r="S48" s="27">
        <f t="shared" si="3"/>
        <v>0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43466</v>
      </c>
      <c r="F49" s="103">
        <v>43830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/>
      <c r="L49" s="65">
        <f t="shared" si="0"/>
        <v>0</v>
      </c>
      <c r="M49" s="66">
        <f t="shared" si="1"/>
        <v>-119.00277777777778</v>
      </c>
      <c r="N49" s="67">
        <f t="shared" si="2"/>
        <v>0</v>
      </c>
      <c r="O49" s="112">
        <v>2210900</v>
      </c>
      <c r="P49" s="95">
        <v>168718</v>
      </c>
      <c r="Q49" s="95"/>
      <c r="R49" s="95"/>
      <c r="S49" s="68">
        <f t="shared" si="3"/>
        <v>0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43466</v>
      </c>
      <c r="F50" s="100">
        <v>43830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/>
      <c r="L50" s="77">
        <f t="shared" si="0"/>
        <v>0</v>
      </c>
      <c r="M50" s="17">
        <f t="shared" si="1"/>
        <v>-119.00277777777778</v>
      </c>
      <c r="N50" s="78">
        <f t="shared" si="2"/>
        <v>0</v>
      </c>
      <c r="O50" s="110" t="s">
        <v>129</v>
      </c>
      <c r="P50" s="87">
        <v>0</v>
      </c>
      <c r="Q50" s="87"/>
      <c r="R50" s="87"/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43466</v>
      </c>
      <c r="F51" s="102">
        <v>43830</v>
      </c>
      <c r="G51" s="10" t="s">
        <v>64</v>
      </c>
      <c r="H51" s="89">
        <v>480</v>
      </c>
      <c r="I51" s="89">
        <f>+J51+('2018'!I51-'2018'!K51)</f>
        <v>73</v>
      </c>
      <c r="J51" s="89">
        <v>160</v>
      </c>
      <c r="K51" s="90"/>
      <c r="L51" s="33">
        <f t="shared" si="0"/>
        <v>0</v>
      </c>
      <c r="M51" s="22">
        <f t="shared" si="1"/>
        <v>-119.00277777777778</v>
      </c>
      <c r="N51" s="32">
        <f t="shared" si="2"/>
        <v>0</v>
      </c>
      <c r="O51" s="111">
        <v>2210900</v>
      </c>
      <c r="P51" s="89">
        <v>114117</v>
      </c>
      <c r="Q51" s="89"/>
      <c r="R51" s="89"/>
      <c r="S51" s="27">
        <f t="shared" si="3"/>
        <v>0</v>
      </c>
      <c r="T51" s="23" t="str">
        <f t="shared" si="4"/>
        <v xml:space="preserve"> -</v>
      </c>
    </row>
    <row r="52" spans="2:20" ht="60">
      <c r="B52" s="275"/>
      <c r="C52" s="272"/>
      <c r="D52" s="267"/>
      <c r="E52" s="53">
        <v>43466</v>
      </c>
      <c r="F52" s="102">
        <v>43830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/>
      <c r="L52" s="33">
        <f t="shared" si="0"/>
        <v>0</v>
      </c>
      <c r="M52" s="22">
        <f t="shared" si="1"/>
        <v>-119.00277777777778</v>
      </c>
      <c r="N52" s="32">
        <f t="shared" si="2"/>
        <v>0</v>
      </c>
      <c r="O52" s="111">
        <v>2210900</v>
      </c>
      <c r="P52" s="89">
        <v>136940</v>
      </c>
      <c r="Q52" s="89"/>
      <c r="R52" s="89"/>
      <c r="S52" s="27">
        <f t="shared" si="3"/>
        <v>0</v>
      </c>
      <c r="T52" s="23" t="str">
        <f t="shared" si="4"/>
        <v xml:space="preserve"> -</v>
      </c>
    </row>
    <row r="53" spans="2:20" ht="45">
      <c r="B53" s="275"/>
      <c r="C53" s="272"/>
      <c r="D53" s="267"/>
      <c r="E53" s="53">
        <v>43466</v>
      </c>
      <c r="F53" s="102">
        <v>43830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/>
      <c r="L53" s="33">
        <f t="shared" si="0"/>
        <v>0</v>
      </c>
      <c r="M53" s="22">
        <f t="shared" si="1"/>
        <v>-119.00277777777778</v>
      </c>
      <c r="N53" s="32">
        <f t="shared" si="2"/>
        <v>0</v>
      </c>
      <c r="O53" s="111">
        <v>2210900</v>
      </c>
      <c r="P53" s="89">
        <v>114117</v>
      </c>
      <c r="Q53" s="89"/>
      <c r="R53" s="89"/>
      <c r="S53" s="27">
        <f t="shared" si="3"/>
        <v>0</v>
      </c>
      <c r="T53" s="23" t="str">
        <f t="shared" si="4"/>
        <v xml:space="preserve"> -</v>
      </c>
    </row>
    <row r="54" spans="2:20" ht="45">
      <c r="B54" s="275"/>
      <c r="C54" s="272"/>
      <c r="D54" s="267"/>
      <c r="E54" s="53">
        <v>43466</v>
      </c>
      <c r="F54" s="102">
        <v>43830</v>
      </c>
      <c r="G54" s="54" t="s">
        <v>67</v>
      </c>
      <c r="H54" s="27">
        <v>1</v>
      </c>
      <c r="I54" s="27">
        <f>+J54</f>
        <v>1</v>
      </c>
      <c r="J54" s="27">
        <v>1</v>
      </c>
      <c r="K54" s="23"/>
      <c r="L54" s="33">
        <f t="shared" si="0"/>
        <v>0</v>
      </c>
      <c r="M54" s="22">
        <f t="shared" si="1"/>
        <v>-119.00277777777778</v>
      </c>
      <c r="N54" s="32">
        <f t="shared" si="2"/>
        <v>0</v>
      </c>
      <c r="O54" s="111">
        <v>2210900</v>
      </c>
      <c r="P54" s="89">
        <v>285292</v>
      </c>
      <c r="Q54" s="89"/>
      <c r="R54" s="89"/>
      <c r="S54" s="27">
        <f t="shared" si="3"/>
        <v>0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43466</v>
      </c>
      <c r="F55" s="102">
        <v>43830</v>
      </c>
      <c r="G55" s="54" t="s">
        <v>68</v>
      </c>
      <c r="H55" s="27">
        <v>1</v>
      </c>
      <c r="I55" s="27">
        <f>+J55</f>
        <v>1</v>
      </c>
      <c r="J55" s="27">
        <v>1</v>
      </c>
      <c r="K55" s="23"/>
      <c r="L55" s="33">
        <f t="shared" si="0"/>
        <v>0</v>
      </c>
      <c r="M55" s="22">
        <f t="shared" si="1"/>
        <v>-119.00277777777778</v>
      </c>
      <c r="N55" s="32">
        <f t="shared" si="2"/>
        <v>0</v>
      </c>
      <c r="O55" s="111">
        <v>0</v>
      </c>
      <c r="P55" s="89">
        <v>136940</v>
      </c>
      <c r="Q55" s="89"/>
      <c r="R55" s="89"/>
      <c r="S55" s="27">
        <f t="shared" si="3"/>
        <v>0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43466</v>
      </c>
      <c r="F56" s="102">
        <v>43830</v>
      </c>
      <c r="G56" s="10" t="s">
        <v>69</v>
      </c>
      <c r="H56" s="89">
        <v>12</v>
      </c>
      <c r="I56" s="89">
        <f>+J56+('2018'!I56-'2018'!K56)</f>
        <v>-4</v>
      </c>
      <c r="J56" s="89">
        <v>4</v>
      </c>
      <c r="K56" s="90"/>
      <c r="L56" s="33">
        <f t="shared" si="0"/>
        <v>0</v>
      </c>
      <c r="M56" s="22">
        <f t="shared" si="1"/>
        <v>-119.00277777777778</v>
      </c>
      <c r="N56" s="32">
        <f t="shared" si="2"/>
        <v>0</v>
      </c>
      <c r="O56" s="111">
        <v>0</v>
      </c>
      <c r="P56" s="89">
        <v>650465</v>
      </c>
      <c r="Q56" s="89"/>
      <c r="R56" s="89"/>
      <c r="S56" s="27">
        <f t="shared" si="3"/>
        <v>0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43466</v>
      </c>
      <c r="F57" s="102">
        <v>43830</v>
      </c>
      <c r="G57" s="10" t="s">
        <v>70</v>
      </c>
      <c r="H57" s="89">
        <v>4</v>
      </c>
      <c r="I57" s="89">
        <f>+J57</f>
        <v>4</v>
      </c>
      <c r="J57" s="89">
        <v>4</v>
      </c>
      <c r="K57" s="90"/>
      <c r="L57" s="33">
        <f t="shared" si="0"/>
        <v>0</v>
      </c>
      <c r="M57" s="22">
        <f t="shared" si="1"/>
        <v>-119.00277777777778</v>
      </c>
      <c r="N57" s="32">
        <f t="shared" si="2"/>
        <v>0</v>
      </c>
      <c r="O57" s="111">
        <v>2210900</v>
      </c>
      <c r="P57" s="89">
        <v>88528</v>
      </c>
      <c r="Q57" s="89"/>
      <c r="R57" s="89"/>
      <c r="S57" s="27">
        <f t="shared" si="3"/>
        <v>0</v>
      </c>
      <c r="T57" s="23" t="str">
        <f t="shared" si="4"/>
        <v xml:space="preserve"> -</v>
      </c>
    </row>
    <row r="58" spans="2:20" ht="45">
      <c r="B58" s="275"/>
      <c r="C58" s="272"/>
      <c r="D58" s="267"/>
      <c r="E58" s="53">
        <v>43466</v>
      </c>
      <c r="F58" s="102">
        <v>43830</v>
      </c>
      <c r="G58" s="10" t="s">
        <v>71</v>
      </c>
      <c r="H58" s="89">
        <v>8</v>
      </c>
      <c r="I58" s="89">
        <f>+J58+('2018'!I58-'2018'!K58)</f>
        <v>5</v>
      </c>
      <c r="J58" s="89">
        <v>2</v>
      </c>
      <c r="K58" s="90"/>
      <c r="L58" s="33">
        <f t="shared" si="0"/>
        <v>0</v>
      </c>
      <c r="M58" s="22">
        <f t="shared" si="1"/>
        <v>-119.00277777777778</v>
      </c>
      <c r="N58" s="32">
        <f t="shared" si="2"/>
        <v>0</v>
      </c>
      <c r="O58" s="111" t="s">
        <v>133</v>
      </c>
      <c r="P58" s="89">
        <v>53509</v>
      </c>
      <c r="Q58" s="89"/>
      <c r="R58" s="89"/>
      <c r="S58" s="27">
        <f t="shared" si="3"/>
        <v>0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43466</v>
      </c>
      <c r="F59" s="102">
        <v>43830</v>
      </c>
      <c r="G59" s="10" t="s">
        <v>72</v>
      </c>
      <c r="H59" s="89">
        <v>340</v>
      </c>
      <c r="I59" s="89">
        <f>+J59+('2018'!I59-'2018'!K59)</f>
        <v>289</v>
      </c>
      <c r="J59" s="89">
        <v>115</v>
      </c>
      <c r="K59" s="90"/>
      <c r="L59" s="33">
        <f t="shared" si="0"/>
        <v>0</v>
      </c>
      <c r="M59" s="22">
        <f t="shared" si="1"/>
        <v>-119.00277777777778</v>
      </c>
      <c r="N59" s="32">
        <f t="shared" si="2"/>
        <v>0</v>
      </c>
      <c r="O59" s="111">
        <v>0</v>
      </c>
      <c r="P59" s="89">
        <v>2125000</v>
      </c>
      <c r="Q59" s="89"/>
      <c r="R59" s="89"/>
      <c r="S59" s="27">
        <f t="shared" si="3"/>
        <v>0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43466</v>
      </c>
      <c r="F60" s="102">
        <v>43830</v>
      </c>
      <c r="G60" s="10" t="s">
        <v>73</v>
      </c>
      <c r="H60" s="89">
        <v>2500</v>
      </c>
      <c r="I60" s="89">
        <f>+J60+('2018'!I60-'2018'!K60)</f>
        <v>-303</v>
      </c>
      <c r="J60" s="89">
        <v>525</v>
      </c>
      <c r="K60" s="90"/>
      <c r="L60" s="33">
        <f t="shared" si="0"/>
        <v>0</v>
      </c>
      <c r="M60" s="22">
        <f t="shared" si="1"/>
        <v>-119.00277777777778</v>
      </c>
      <c r="N60" s="32">
        <f t="shared" si="2"/>
        <v>0</v>
      </c>
      <c r="O60" s="111">
        <v>2210900</v>
      </c>
      <c r="P60" s="89">
        <v>189702</v>
      </c>
      <c r="Q60" s="89"/>
      <c r="R60" s="89"/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43466</v>
      </c>
      <c r="F61" s="102">
        <v>43830</v>
      </c>
      <c r="G61" s="10" t="s">
        <v>74</v>
      </c>
      <c r="H61" s="89">
        <v>4</v>
      </c>
      <c r="I61" s="89">
        <f>+J61+('2018'!I61-'2018'!K61)</f>
        <v>0</v>
      </c>
      <c r="J61" s="89">
        <v>1</v>
      </c>
      <c r="K61" s="90"/>
      <c r="L61" s="33">
        <f t="shared" si="0"/>
        <v>0</v>
      </c>
      <c r="M61" s="22">
        <f t="shared" si="1"/>
        <v>-119.00277777777778</v>
      </c>
      <c r="N61" s="32">
        <f t="shared" si="2"/>
        <v>0</v>
      </c>
      <c r="O61" s="111">
        <v>2210902</v>
      </c>
      <c r="P61" s="89">
        <v>75881</v>
      </c>
      <c r="Q61" s="89"/>
      <c r="R61" s="89"/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43466</v>
      </c>
      <c r="F62" s="102">
        <v>43830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/>
      <c r="L62" s="33">
        <f t="shared" si="0"/>
        <v>0</v>
      </c>
      <c r="M62" s="22">
        <f t="shared" si="1"/>
        <v>-119.00277777777778</v>
      </c>
      <c r="N62" s="32">
        <f t="shared" si="2"/>
        <v>0</v>
      </c>
      <c r="O62" s="111">
        <v>0</v>
      </c>
      <c r="P62" s="89">
        <v>570583</v>
      </c>
      <c r="Q62" s="89"/>
      <c r="R62" s="89"/>
      <c r="S62" s="27">
        <f t="shared" si="3"/>
        <v>0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43466</v>
      </c>
      <c r="F63" s="102">
        <v>43830</v>
      </c>
      <c r="G63" s="10" t="s">
        <v>76</v>
      </c>
      <c r="H63" s="89">
        <v>20</v>
      </c>
      <c r="I63" s="89">
        <f>+J63+('2018'!I63-'2018'!K63)</f>
        <v>10</v>
      </c>
      <c r="J63" s="89">
        <v>6</v>
      </c>
      <c r="K63" s="90"/>
      <c r="L63" s="33">
        <f t="shared" si="0"/>
        <v>0</v>
      </c>
      <c r="M63" s="22">
        <f t="shared" si="1"/>
        <v>-119.00277777777778</v>
      </c>
      <c r="N63" s="32">
        <f t="shared" si="2"/>
        <v>0</v>
      </c>
      <c r="O63" s="111">
        <v>0</v>
      </c>
      <c r="P63" s="89">
        <v>102705</v>
      </c>
      <c r="Q63" s="89"/>
      <c r="R63" s="89"/>
      <c r="S63" s="27">
        <f t="shared" si="3"/>
        <v>0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43466</v>
      </c>
      <c r="F64" s="102">
        <v>43830</v>
      </c>
      <c r="G64" s="10" t="s">
        <v>77</v>
      </c>
      <c r="H64" s="89">
        <v>1</v>
      </c>
      <c r="I64" s="89">
        <f>+J64+('2018'!I64-'2018'!K64)</f>
        <v>1</v>
      </c>
      <c r="J64" s="89">
        <v>0</v>
      </c>
      <c r="K64" s="90"/>
      <c r="L64" s="33" t="e">
        <f t="shared" si="0"/>
        <v>#DIV/0!</v>
      </c>
      <c r="M64" s="22">
        <f t="shared" si="1"/>
        <v>-119.00277777777778</v>
      </c>
      <c r="N64" s="32" t="str">
        <f t="shared" si="2"/>
        <v xml:space="preserve"> -</v>
      </c>
      <c r="O64" s="111" t="s">
        <v>129</v>
      </c>
      <c r="P64" s="89">
        <v>0</v>
      </c>
      <c r="Q64" s="89"/>
      <c r="R64" s="89"/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43466</v>
      </c>
      <c r="F65" s="102">
        <v>43830</v>
      </c>
      <c r="G65" s="10" t="s">
        <v>78</v>
      </c>
      <c r="H65" s="27">
        <v>1</v>
      </c>
      <c r="I65" s="27">
        <f>+J65</f>
        <v>1</v>
      </c>
      <c r="J65" s="27">
        <v>1</v>
      </c>
      <c r="K65" s="23"/>
      <c r="L65" s="33">
        <f t="shared" si="0"/>
        <v>0</v>
      </c>
      <c r="M65" s="22">
        <f t="shared" si="1"/>
        <v>-119.00277777777778</v>
      </c>
      <c r="N65" s="32">
        <f t="shared" si="2"/>
        <v>0</v>
      </c>
      <c r="O65" s="111">
        <v>2210326</v>
      </c>
      <c r="P65" s="89">
        <v>11412</v>
      </c>
      <c r="Q65" s="89"/>
      <c r="R65" s="89"/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43466</v>
      </c>
      <c r="F66" s="102">
        <v>43830</v>
      </c>
      <c r="G66" s="10" t="s">
        <v>79</v>
      </c>
      <c r="H66" s="27">
        <v>1</v>
      </c>
      <c r="I66" s="27">
        <f>+J66</f>
        <v>1</v>
      </c>
      <c r="J66" s="27">
        <v>1</v>
      </c>
      <c r="K66" s="23"/>
      <c r="L66" s="33">
        <f t="shared" si="0"/>
        <v>0</v>
      </c>
      <c r="M66" s="22">
        <f t="shared" si="1"/>
        <v>-119.00277777777778</v>
      </c>
      <c r="N66" s="32">
        <f t="shared" si="2"/>
        <v>0</v>
      </c>
      <c r="O66" s="111">
        <v>2210899</v>
      </c>
      <c r="P66" s="89">
        <v>0</v>
      </c>
      <c r="Q66" s="89"/>
      <c r="R66" s="89"/>
      <c r="S66" s="27" t="str">
        <f t="shared" si="3"/>
        <v xml:space="preserve"> -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43466</v>
      </c>
      <c r="F67" s="102">
        <v>43830</v>
      </c>
      <c r="G67" s="10" t="s">
        <v>80</v>
      </c>
      <c r="H67" s="89">
        <v>1</v>
      </c>
      <c r="I67" s="89">
        <f>+J67</f>
        <v>1</v>
      </c>
      <c r="J67" s="89">
        <v>1</v>
      </c>
      <c r="K67" s="90"/>
      <c r="L67" s="33">
        <f t="shared" si="0"/>
        <v>0</v>
      </c>
      <c r="M67" s="22">
        <f t="shared" si="1"/>
        <v>-119.00277777777778</v>
      </c>
      <c r="N67" s="32">
        <f t="shared" si="2"/>
        <v>0</v>
      </c>
      <c r="O67" s="111">
        <v>2210013</v>
      </c>
      <c r="P67" s="89">
        <v>595286</v>
      </c>
      <c r="Q67" s="89"/>
      <c r="R67" s="89"/>
      <c r="S67" s="27">
        <f t="shared" si="3"/>
        <v>0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43466</v>
      </c>
      <c r="F68" s="105">
        <v>43830</v>
      </c>
      <c r="G68" s="11" t="s">
        <v>81</v>
      </c>
      <c r="H68" s="91">
        <v>20</v>
      </c>
      <c r="I68" s="91">
        <f>+J68+('2018'!I68-'2018'!K68)</f>
        <v>-10</v>
      </c>
      <c r="J68" s="91">
        <v>6</v>
      </c>
      <c r="K68" s="92"/>
      <c r="L68" s="79">
        <f t="shared" si="0"/>
        <v>0</v>
      </c>
      <c r="M68" s="80">
        <f t="shared" si="1"/>
        <v>-119.00277777777778</v>
      </c>
      <c r="N68" s="81">
        <f t="shared" si="2"/>
        <v>0</v>
      </c>
      <c r="O68" s="113">
        <v>0</v>
      </c>
      <c r="P68" s="91">
        <v>74175</v>
      </c>
      <c r="Q68" s="91"/>
      <c r="R68" s="91"/>
      <c r="S68" s="62">
        <f t="shared" si="3"/>
        <v>0</v>
      </c>
      <c r="T68" s="63" t="str">
        <f t="shared" si="4"/>
        <v xml:space="preserve"> -</v>
      </c>
    </row>
    <row r="69" spans="2:20" ht="18" thickBot="1">
      <c r="M69" s="70">
        <f>+AVERAGE(M12,M14,M16,M18:M68)</f>
        <v>-119.00277777777775</v>
      </c>
      <c r="N69" s="52">
        <f>+AVERAGE(N12,N14,N16,N18:N68)</f>
        <v>0</v>
      </c>
      <c r="O69" s="48"/>
      <c r="P69" s="49">
        <f>+SUM(P12,P14,P16,P18:P68)</f>
        <v>247943353</v>
      </c>
      <c r="Q69" s="50">
        <f>+SUM(Q12,Q14,Q16,Q18:Q68)</f>
        <v>0</v>
      </c>
      <c r="R69" s="50">
        <f>+SUM(R12,R14,R16,R18:R68)</f>
        <v>0</v>
      </c>
      <c r="S69" s="51">
        <f t="shared" si="3"/>
        <v>0</v>
      </c>
      <c r="T69" s="52" t="str">
        <f t="shared" si="4"/>
        <v xml:space="preserve"> -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2:25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2:25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96</v>
      </c>
      <c r="C8" s="8">
        <f>+'2018'!C8</f>
        <v>43373</v>
      </c>
      <c r="D8" s="238" t="s">
        <v>3</v>
      </c>
      <c r="E8" s="239"/>
      <c r="F8" s="239"/>
      <c r="G8" s="239"/>
      <c r="H8" s="283"/>
      <c r="I8" s="283"/>
      <c r="J8" s="283"/>
      <c r="K8" s="283"/>
      <c r="L8" s="283"/>
      <c r="M8" s="283"/>
      <c r="N8" s="24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41" t="s">
        <v>17</v>
      </c>
      <c r="C9" s="244" t="s">
        <v>18</v>
      </c>
      <c r="D9" s="247" t="s">
        <v>0</v>
      </c>
      <c r="E9" s="250" t="s">
        <v>5</v>
      </c>
      <c r="F9" s="250"/>
      <c r="G9" s="250"/>
      <c r="H9" s="284"/>
      <c r="I9" s="284"/>
      <c r="J9" s="284"/>
      <c r="K9" s="284"/>
      <c r="L9" s="284"/>
      <c r="M9" s="284"/>
      <c r="N9" s="252"/>
      <c r="O9" s="285" t="s">
        <v>97</v>
      </c>
      <c r="P9" s="286"/>
      <c r="Q9" s="286"/>
      <c r="R9" s="286"/>
      <c r="S9" s="287"/>
      <c r="T9" s="260" t="s">
        <v>98</v>
      </c>
      <c r="U9" s="261"/>
      <c r="V9" s="261"/>
      <c r="W9" s="261"/>
      <c r="X9" s="261"/>
      <c r="Y9" s="262"/>
    </row>
    <row r="10" spans="2:25" ht="17" customHeight="1">
      <c r="B10" s="242"/>
      <c r="C10" s="245"/>
      <c r="D10" s="248"/>
      <c r="E10" s="251" t="s">
        <v>7</v>
      </c>
      <c r="F10" s="255" t="s">
        <v>25</v>
      </c>
      <c r="G10" s="117" t="s">
        <v>1</v>
      </c>
      <c r="H10" s="118" t="s">
        <v>1</v>
      </c>
      <c r="I10" s="120" t="s">
        <v>1</v>
      </c>
      <c r="J10" s="120" t="s">
        <v>1</v>
      </c>
      <c r="K10" s="146" t="s">
        <v>8</v>
      </c>
      <c r="L10" s="120" t="s">
        <v>8</v>
      </c>
      <c r="M10" s="120" t="s">
        <v>8</v>
      </c>
      <c r="N10" s="116" t="s">
        <v>8</v>
      </c>
      <c r="O10" s="288">
        <v>2016</v>
      </c>
      <c r="P10" s="292">
        <v>2017</v>
      </c>
      <c r="Q10" s="294">
        <v>2018</v>
      </c>
      <c r="R10" s="281">
        <v>2019</v>
      </c>
      <c r="S10" s="290" t="s">
        <v>96</v>
      </c>
      <c r="T10" s="263"/>
      <c r="U10" s="264"/>
      <c r="V10" s="264"/>
      <c r="W10" s="264"/>
      <c r="X10" s="264"/>
      <c r="Y10" s="265"/>
    </row>
    <row r="11" spans="2:25" ht="37.5" customHeight="1" thickBot="1">
      <c r="B11" s="243"/>
      <c r="C11" s="246"/>
      <c r="D11" s="249"/>
      <c r="E11" s="255"/>
      <c r="F11" s="279"/>
      <c r="G11" s="119">
        <v>2016</v>
      </c>
      <c r="H11" s="147">
        <v>2017</v>
      </c>
      <c r="I11" s="121">
        <v>2018</v>
      </c>
      <c r="J11" s="121">
        <v>2019</v>
      </c>
      <c r="K11" s="148">
        <v>2016</v>
      </c>
      <c r="L11" s="147">
        <v>2017</v>
      </c>
      <c r="M11" s="121">
        <v>2018</v>
      </c>
      <c r="N11" s="149">
        <v>2019</v>
      </c>
      <c r="O11" s="289"/>
      <c r="P11" s="293"/>
      <c r="Q11" s="295"/>
      <c r="R11" s="282"/>
      <c r="S11" s="291"/>
      <c r="T11" s="35" t="s">
        <v>23</v>
      </c>
      <c r="U11" s="36" t="s">
        <v>20</v>
      </c>
      <c r="V11" s="37" t="s">
        <v>21</v>
      </c>
      <c r="W11" s="24" t="s">
        <v>22</v>
      </c>
      <c r="X11" s="24" t="s">
        <v>14</v>
      </c>
      <c r="Y11" s="25" t="s">
        <v>15</v>
      </c>
    </row>
    <row r="12" spans="2:25" ht="61" thickBot="1">
      <c r="B12" s="30" t="s">
        <v>84</v>
      </c>
      <c r="C12" s="31" t="s">
        <v>83</v>
      </c>
      <c r="D12" s="55" t="s">
        <v>82</v>
      </c>
      <c r="E12" s="57" t="s">
        <v>28</v>
      </c>
      <c r="F12" s="83">
        <v>35</v>
      </c>
      <c r="G12" s="83">
        <f>'2016'!J12</f>
        <v>3</v>
      </c>
      <c r="H12" s="97">
        <f>'2017'!J12</f>
        <v>12</v>
      </c>
      <c r="I12" s="97">
        <f>'2018'!J12</f>
        <v>10</v>
      </c>
      <c r="J12" s="97">
        <f>'2019'!J12</f>
        <v>10</v>
      </c>
      <c r="K12" s="151">
        <f>'2016'!K12</f>
        <v>3</v>
      </c>
      <c r="L12" s="97">
        <f>'2017'!K12</f>
        <v>12</v>
      </c>
      <c r="M12" s="97">
        <f>'2018'!K12</f>
        <v>7</v>
      </c>
      <c r="N12" s="84">
        <f>'2019'!K12</f>
        <v>0</v>
      </c>
      <c r="O12" s="127">
        <f>'2016'!N12</f>
        <v>1</v>
      </c>
      <c r="P12" s="128">
        <f>'2017'!N12</f>
        <v>1</v>
      </c>
      <c r="Q12" s="150">
        <f>'2018'!N12</f>
        <v>0.7</v>
      </c>
      <c r="R12" s="128">
        <f>'2019'!N12</f>
        <v>0</v>
      </c>
      <c r="S12" s="161">
        <v>0.6</v>
      </c>
      <c r="T12" s="108">
        <v>0</v>
      </c>
      <c r="U12" s="83">
        <f>+'2016'!P12+'2017'!P12</f>
        <v>0</v>
      </c>
      <c r="V12" s="83">
        <f>+'2016'!Q12+'2017'!Q12</f>
        <v>0</v>
      </c>
      <c r="W12" s="83">
        <f>+'2016'!R12+'2017'!R12</f>
        <v>0</v>
      </c>
      <c r="X12" s="58" t="str">
        <f>IF(U12=0," -",V12/U12)</f>
        <v xml:space="preserve"> -</v>
      </c>
      <c r="Y12" s="59" t="str">
        <f>IF(W12=0," -",IF(V12=0,100%,W12/V12))</f>
        <v xml:space="preserve"> -</v>
      </c>
    </row>
    <row r="13" spans="2:25" ht="13" customHeight="1" thickBot="1">
      <c r="B13" s="28"/>
      <c r="C13" s="29"/>
      <c r="D13" s="40"/>
      <c r="E13" s="42"/>
      <c r="F13" s="85"/>
      <c r="G13" s="85"/>
      <c r="H13" s="85"/>
      <c r="I13" s="85"/>
      <c r="J13" s="85"/>
      <c r="K13" s="85"/>
      <c r="L13" s="85"/>
      <c r="M13" s="85"/>
      <c r="N13" s="85"/>
      <c r="O13" s="16"/>
      <c r="P13" s="16"/>
      <c r="Q13" s="16"/>
      <c r="R13" s="16"/>
      <c r="S13" s="162"/>
      <c r="T13" s="42"/>
      <c r="U13" s="85"/>
      <c r="V13" s="85"/>
      <c r="W13" s="85"/>
      <c r="X13" s="26"/>
      <c r="Y13" s="43"/>
    </row>
    <row r="14" spans="2:25" ht="61" thickBot="1">
      <c r="B14" s="274" t="s">
        <v>89</v>
      </c>
      <c r="C14" s="31" t="s">
        <v>88</v>
      </c>
      <c r="D14" s="55" t="s">
        <v>85</v>
      </c>
      <c r="E14" s="57" t="s">
        <v>29</v>
      </c>
      <c r="F14" s="83">
        <v>1</v>
      </c>
      <c r="G14" s="83">
        <f>'2016'!J14</f>
        <v>0</v>
      </c>
      <c r="H14" s="97">
        <f>'2017'!J14</f>
        <v>1</v>
      </c>
      <c r="I14" s="97">
        <f>'2018'!J14</f>
        <v>1</v>
      </c>
      <c r="J14" s="97">
        <f>'2019'!J14</f>
        <v>1</v>
      </c>
      <c r="K14" s="151">
        <f>'2016'!K14</f>
        <v>1</v>
      </c>
      <c r="L14" s="97">
        <f>'2017'!K14</f>
        <v>0.6</v>
      </c>
      <c r="M14" s="97">
        <f>'2018'!K14</f>
        <v>0.7</v>
      </c>
      <c r="N14" s="84">
        <f>'2019'!K14</f>
        <v>0</v>
      </c>
      <c r="O14" s="129" t="str">
        <f>'2016'!N14</f>
        <v xml:space="preserve"> -</v>
      </c>
      <c r="P14" s="130">
        <f>'2017'!N14</f>
        <v>0.6</v>
      </c>
      <c r="Q14" s="137">
        <f>'2018'!N14</f>
        <v>0.7</v>
      </c>
      <c r="R14" s="130">
        <f>'2019'!N14</f>
        <v>0</v>
      </c>
      <c r="S14" s="163">
        <v>0.3666666666666667</v>
      </c>
      <c r="T14" s="108" t="s">
        <v>129</v>
      </c>
      <c r="U14" s="83">
        <f>+'2016'!P14+'2017'!P14</f>
        <v>0</v>
      </c>
      <c r="V14" s="83">
        <f>+'2016'!Q14+'2017'!Q14</f>
        <v>0</v>
      </c>
      <c r="W14" s="83">
        <f>+'2016'!R14+'2017'!R14</f>
        <v>0</v>
      </c>
      <c r="X14" s="58" t="str">
        <f t="shared" ref="X14:X69" si="0">IF(U14=0," -",V14/U14)</f>
        <v xml:space="preserve"> -</v>
      </c>
      <c r="Y14" s="59" t="str">
        <f t="shared" ref="Y14:Y69" si="1">IF(W14=0," -",IF(V14=0,100%,W14/V14))</f>
        <v xml:space="preserve"> -</v>
      </c>
    </row>
    <row r="15" spans="2:25" ht="13" customHeight="1" thickBot="1">
      <c r="B15" s="275"/>
      <c r="C15" s="14"/>
      <c r="D15" s="9"/>
      <c r="E15" s="38"/>
      <c r="F15" s="46"/>
      <c r="G15" s="46"/>
      <c r="H15" s="46"/>
      <c r="I15" s="46"/>
      <c r="J15" s="46"/>
      <c r="K15" s="46"/>
      <c r="L15" s="46"/>
      <c r="M15" s="46"/>
      <c r="N15" s="47"/>
      <c r="O15" s="160"/>
      <c r="P15" s="160"/>
      <c r="Q15" s="160"/>
      <c r="R15" s="160"/>
      <c r="S15" s="164"/>
      <c r="T15" s="109"/>
      <c r="U15" s="46"/>
      <c r="V15" s="46"/>
      <c r="W15" s="46"/>
      <c r="X15" s="39"/>
      <c r="Y15" s="44"/>
    </row>
    <row r="16" spans="2:25" ht="61" thickBot="1">
      <c r="B16" s="276"/>
      <c r="C16" s="31" t="s">
        <v>87</v>
      </c>
      <c r="D16" s="55" t="s">
        <v>86</v>
      </c>
      <c r="E16" s="57" t="s">
        <v>30</v>
      </c>
      <c r="F16" s="83">
        <v>1</v>
      </c>
      <c r="G16" s="97">
        <f>'2016'!J16</f>
        <v>0</v>
      </c>
      <c r="H16" s="97">
        <f>'2017'!J16</f>
        <v>1</v>
      </c>
      <c r="I16" s="97">
        <f>'2018'!J16</f>
        <v>1</v>
      </c>
      <c r="J16" s="97">
        <f>'2019'!J16</f>
        <v>1</v>
      </c>
      <c r="K16" s="151">
        <f>'2016'!K16</f>
        <v>0</v>
      </c>
      <c r="L16" s="97">
        <f>'2017'!K16</f>
        <v>0.4</v>
      </c>
      <c r="M16" s="97">
        <f>'2018'!K16</f>
        <v>0.75</v>
      </c>
      <c r="N16" s="84">
        <f>'2019'!K16</f>
        <v>0</v>
      </c>
      <c r="O16" s="129" t="str">
        <f>'2016'!N16</f>
        <v xml:space="preserve"> -</v>
      </c>
      <c r="P16" s="130">
        <f>'2017'!N16</f>
        <v>0.4</v>
      </c>
      <c r="Q16" s="137">
        <f>'2018'!N16</f>
        <v>0.75</v>
      </c>
      <c r="R16" s="130">
        <f>'2019'!N16</f>
        <v>0</v>
      </c>
      <c r="S16" s="163">
        <v>0.3</v>
      </c>
      <c r="T16" s="108" t="s">
        <v>129</v>
      </c>
      <c r="U16" s="83">
        <f>+'2016'!P16+'2017'!P16</f>
        <v>0</v>
      </c>
      <c r="V16" s="83">
        <f>+'2016'!Q16+'2017'!Q16</f>
        <v>0</v>
      </c>
      <c r="W16" s="83">
        <f>+'2016'!R16+'2017'!R16</f>
        <v>0</v>
      </c>
      <c r="X16" s="58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28"/>
      <c r="C17" s="29"/>
      <c r="D17" s="40"/>
      <c r="E17" s="42"/>
      <c r="F17" s="85"/>
      <c r="G17" s="85"/>
      <c r="H17" s="85"/>
      <c r="I17" s="85"/>
      <c r="J17" s="85"/>
      <c r="K17" s="85"/>
      <c r="L17" s="85"/>
      <c r="M17" s="85"/>
      <c r="N17" s="86"/>
      <c r="O17" s="16"/>
      <c r="P17" s="16"/>
      <c r="Q17" s="16"/>
      <c r="R17" s="16"/>
      <c r="S17" s="162"/>
      <c r="T17" s="42"/>
      <c r="U17" s="85"/>
      <c r="V17" s="85"/>
      <c r="W17" s="85"/>
      <c r="X17" s="26"/>
      <c r="Y17" s="43"/>
    </row>
    <row r="18" spans="2:25" ht="45">
      <c r="B18" s="274" t="s">
        <v>95</v>
      </c>
      <c r="C18" s="271" t="s">
        <v>94</v>
      </c>
      <c r="D18" s="269" t="s">
        <v>90</v>
      </c>
      <c r="E18" s="101" t="s">
        <v>31</v>
      </c>
      <c r="F18" s="87">
        <v>47</v>
      </c>
      <c r="G18" s="87">
        <f>'2016'!J18</f>
        <v>47</v>
      </c>
      <c r="H18" s="122">
        <f>'2017'!J18</f>
        <v>47</v>
      </c>
      <c r="I18" s="122">
        <f>'2018'!J18</f>
        <v>47</v>
      </c>
      <c r="J18" s="122">
        <f>'2019'!J18</f>
        <v>47</v>
      </c>
      <c r="K18" s="152">
        <f>'2016'!K18</f>
        <v>47</v>
      </c>
      <c r="L18" s="122">
        <f>'2017'!K18</f>
        <v>47</v>
      </c>
      <c r="M18" s="122">
        <f>'2018'!K18</f>
        <v>47</v>
      </c>
      <c r="N18" s="88">
        <f>'2019'!K18</f>
        <v>0</v>
      </c>
      <c r="O18" s="129">
        <f>'2016'!N18</f>
        <v>1</v>
      </c>
      <c r="P18" s="130">
        <f>'2017'!N18</f>
        <v>1</v>
      </c>
      <c r="Q18" s="138">
        <f>'2018'!N18</f>
        <v>1</v>
      </c>
      <c r="R18" s="130">
        <f>'2019'!N18</f>
        <v>0</v>
      </c>
      <c r="S18" s="163">
        <v>0.75</v>
      </c>
      <c r="T18" s="110">
        <v>2210055</v>
      </c>
      <c r="U18" s="87">
        <f>+'2016'!P18+'2017'!P18</f>
        <v>5951829</v>
      </c>
      <c r="V18" s="87">
        <f>+'2016'!Q18+'2017'!Q18</f>
        <v>5622538</v>
      </c>
      <c r="W18" s="87">
        <f>+'2016'!R18+'2017'!R18</f>
        <v>0</v>
      </c>
      <c r="X18" s="19">
        <f t="shared" si="0"/>
        <v>0.94467398172897776</v>
      </c>
      <c r="Y18" s="18" t="str">
        <f t="shared" si="1"/>
        <v xml:space="preserve"> -</v>
      </c>
    </row>
    <row r="19" spans="2:25" ht="45">
      <c r="B19" s="275"/>
      <c r="C19" s="272"/>
      <c r="D19" s="267"/>
      <c r="E19" s="10" t="s">
        <v>32</v>
      </c>
      <c r="F19" s="89">
        <v>47</v>
      </c>
      <c r="G19" s="89">
        <f>'2016'!J19</f>
        <v>47</v>
      </c>
      <c r="H19" s="123">
        <f>'2017'!J19</f>
        <v>47</v>
      </c>
      <c r="I19" s="123">
        <f>'2018'!J19</f>
        <v>47</v>
      </c>
      <c r="J19" s="123">
        <f>'2019'!J19</f>
        <v>47</v>
      </c>
      <c r="K19" s="153">
        <f>'2016'!K19</f>
        <v>43</v>
      </c>
      <c r="L19" s="123">
        <f>'2017'!K19</f>
        <v>32</v>
      </c>
      <c r="M19" s="123">
        <f>'2018'!K19</f>
        <v>15</v>
      </c>
      <c r="N19" s="90">
        <f>'2019'!K19</f>
        <v>0</v>
      </c>
      <c r="O19" s="129">
        <f>'2016'!N19</f>
        <v>0.91489361702127658</v>
      </c>
      <c r="P19" s="130">
        <f>'2017'!N19</f>
        <v>0.68085106382978722</v>
      </c>
      <c r="Q19" s="139">
        <f>'2018'!N19</f>
        <v>0.31914893617021278</v>
      </c>
      <c r="R19" s="130">
        <f>'2019'!N19</f>
        <v>0</v>
      </c>
      <c r="S19" s="163">
        <v>0.40425531914893614</v>
      </c>
      <c r="T19" s="111">
        <v>2210645</v>
      </c>
      <c r="U19" s="89">
        <f>+'2016'!P19+'2017'!P19</f>
        <v>1732479</v>
      </c>
      <c r="V19" s="89">
        <f>+'2016'!Q19+'2017'!Q19</f>
        <v>931461</v>
      </c>
      <c r="W19" s="89">
        <f>+'2016'!R19+'2017'!R19</f>
        <v>1205131</v>
      </c>
      <c r="X19" s="27">
        <f t="shared" si="0"/>
        <v>0.53764634376520581</v>
      </c>
      <c r="Y19" s="23">
        <f t="shared" si="1"/>
        <v>1.2938072554835898</v>
      </c>
    </row>
    <row r="20" spans="2:25" ht="45">
      <c r="B20" s="275"/>
      <c r="C20" s="272"/>
      <c r="D20" s="267"/>
      <c r="E20" s="10" t="s">
        <v>33</v>
      </c>
      <c r="F20" s="89">
        <v>23</v>
      </c>
      <c r="G20" s="89">
        <f>'2016'!J20</f>
        <v>0</v>
      </c>
      <c r="H20" s="123">
        <f>'2017'!J20</f>
        <v>9</v>
      </c>
      <c r="I20" s="123">
        <f>'2018'!J20</f>
        <v>9</v>
      </c>
      <c r="J20" s="123">
        <f>'2019'!J20</f>
        <v>5</v>
      </c>
      <c r="K20" s="153">
        <f>'2016'!K20</f>
        <v>0</v>
      </c>
      <c r="L20" s="123">
        <f>'2017'!K20</f>
        <v>11</v>
      </c>
      <c r="M20" s="123">
        <f>'2018'!K20</f>
        <v>0</v>
      </c>
      <c r="N20" s="90">
        <f>'2019'!K20</f>
        <v>0</v>
      </c>
      <c r="O20" s="129" t="str">
        <f>'2016'!N20</f>
        <v xml:space="preserve"> -</v>
      </c>
      <c r="P20" s="130">
        <f>'2017'!N20</f>
        <v>1</v>
      </c>
      <c r="Q20" s="139">
        <f>'2018'!N20</f>
        <v>0</v>
      </c>
      <c r="R20" s="130">
        <f>'2019'!N20</f>
        <v>0</v>
      </c>
      <c r="S20" s="163">
        <v>0.47826086956521741</v>
      </c>
      <c r="T20" s="111">
        <v>2210907</v>
      </c>
      <c r="U20" s="89">
        <f>+'2016'!P20+'2017'!P20</f>
        <v>992604</v>
      </c>
      <c r="V20" s="89">
        <f>+'2016'!Q20+'2017'!Q20</f>
        <v>662835</v>
      </c>
      <c r="W20" s="89">
        <f>+'2016'!R20+'2017'!R20</f>
        <v>0</v>
      </c>
      <c r="X20" s="27">
        <f t="shared" si="0"/>
        <v>0.66777385543479573</v>
      </c>
      <c r="Y20" s="23" t="str">
        <f t="shared" si="1"/>
        <v xml:space="preserve"> -</v>
      </c>
    </row>
    <row r="21" spans="2:25" ht="45">
      <c r="B21" s="275"/>
      <c r="C21" s="272"/>
      <c r="D21" s="267"/>
      <c r="E21" s="10" t="s">
        <v>34</v>
      </c>
      <c r="F21" s="89">
        <v>17400</v>
      </c>
      <c r="G21" s="89">
        <f>'2016'!J21</f>
        <v>2200</v>
      </c>
      <c r="H21" s="123">
        <f>'2017'!J21</f>
        <v>5000</v>
      </c>
      <c r="I21" s="123">
        <f>'2018'!J21</f>
        <v>5000</v>
      </c>
      <c r="J21" s="123">
        <f>'2019'!J21</f>
        <v>5200</v>
      </c>
      <c r="K21" s="153">
        <f>'2016'!K21</f>
        <v>2247</v>
      </c>
      <c r="L21" s="123">
        <f>'2017'!K21</f>
        <v>691</v>
      </c>
      <c r="M21" s="123">
        <f>'2018'!K21</f>
        <v>142</v>
      </c>
      <c r="N21" s="90">
        <f>'2019'!K21</f>
        <v>0</v>
      </c>
      <c r="O21" s="129">
        <f>'2016'!N21</f>
        <v>1</v>
      </c>
      <c r="P21" s="130">
        <f>'2017'!N21</f>
        <v>0.13819999999999999</v>
      </c>
      <c r="Q21" s="139">
        <f>'2018'!N21</f>
        <v>2.8400000000000002E-2</v>
      </c>
      <c r="R21" s="130">
        <f>'2019'!N21</f>
        <v>0</v>
      </c>
      <c r="S21" s="163">
        <v>0.17701149425287357</v>
      </c>
      <c r="T21" s="111">
        <v>2210645</v>
      </c>
      <c r="U21" s="89">
        <f>+'2016'!P21+'2017'!P21</f>
        <v>0</v>
      </c>
      <c r="V21" s="89">
        <f>+'2016'!Q21+'2017'!Q21</f>
        <v>0</v>
      </c>
      <c r="W21" s="89">
        <f>+'2016'!R21+'2017'!R21</f>
        <v>330000</v>
      </c>
      <c r="X21" s="27" t="str">
        <f t="shared" si="0"/>
        <v xml:space="preserve"> -</v>
      </c>
      <c r="Y21" s="23">
        <f t="shared" si="1"/>
        <v>1</v>
      </c>
    </row>
    <row r="22" spans="2:25" ht="45">
      <c r="B22" s="275"/>
      <c r="C22" s="272"/>
      <c r="D22" s="267"/>
      <c r="E22" s="10" t="s">
        <v>35</v>
      </c>
      <c r="F22" s="89">
        <v>47</v>
      </c>
      <c r="G22" s="89">
        <f>'2016'!J22</f>
        <v>47</v>
      </c>
      <c r="H22" s="123">
        <f>'2017'!J22</f>
        <v>47</v>
      </c>
      <c r="I22" s="123">
        <f>'2018'!J22</f>
        <v>47</v>
      </c>
      <c r="J22" s="123">
        <f>'2019'!J22</f>
        <v>47</v>
      </c>
      <c r="K22" s="153">
        <f>'2016'!K22</f>
        <v>47</v>
      </c>
      <c r="L22" s="123">
        <f>'2017'!K22</f>
        <v>47</v>
      </c>
      <c r="M22" s="123">
        <f>'2018'!K22</f>
        <v>47</v>
      </c>
      <c r="N22" s="90">
        <f>'2019'!K22</f>
        <v>0</v>
      </c>
      <c r="O22" s="129">
        <f>'2016'!N22</f>
        <v>1</v>
      </c>
      <c r="P22" s="130">
        <f>'2017'!N22</f>
        <v>1</v>
      </c>
      <c r="Q22" s="139">
        <f>'2018'!N22</f>
        <v>1</v>
      </c>
      <c r="R22" s="130">
        <f>'2019'!N22</f>
        <v>0</v>
      </c>
      <c r="S22" s="163">
        <v>0.75</v>
      </c>
      <c r="T22" s="111">
        <v>2210208</v>
      </c>
      <c r="U22" s="89">
        <f>+'2016'!P22+'2017'!P22</f>
        <v>4298996</v>
      </c>
      <c r="V22" s="89">
        <f>+'2016'!Q22+'2017'!Q22</f>
        <v>3371950</v>
      </c>
      <c r="W22" s="89">
        <f>+'2016'!R22+'2017'!R22</f>
        <v>500000</v>
      </c>
      <c r="X22" s="27">
        <f t="shared" si="0"/>
        <v>0.78435755697376786</v>
      </c>
      <c r="Y22" s="23">
        <f t="shared" si="1"/>
        <v>0.14828215127745073</v>
      </c>
    </row>
    <row r="23" spans="2:25" ht="45" customHeight="1">
      <c r="B23" s="275"/>
      <c r="C23" s="272"/>
      <c r="D23" s="267"/>
      <c r="E23" s="10" t="s">
        <v>36</v>
      </c>
      <c r="F23" s="89">
        <v>47</v>
      </c>
      <c r="G23" s="89">
        <f>'2016'!J23</f>
        <v>47</v>
      </c>
      <c r="H23" s="123">
        <f>'2017'!J23</f>
        <v>47</v>
      </c>
      <c r="I23" s="123">
        <f>'2018'!J23</f>
        <v>47</v>
      </c>
      <c r="J23" s="123">
        <f>'2019'!J23</f>
        <v>47</v>
      </c>
      <c r="K23" s="153">
        <f>'2016'!K23</f>
        <v>47</v>
      </c>
      <c r="L23" s="123">
        <f>'2017'!K23</f>
        <v>47</v>
      </c>
      <c r="M23" s="123">
        <f>'2018'!K23</f>
        <v>47</v>
      </c>
      <c r="N23" s="90">
        <f>'2019'!K23</f>
        <v>0</v>
      </c>
      <c r="O23" s="129">
        <f>'2016'!N23</f>
        <v>1</v>
      </c>
      <c r="P23" s="130">
        <f>'2017'!N23</f>
        <v>1</v>
      </c>
      <c r="Q23" s="139">
        <f>'2018'!N23</f>
        <v>1</v>
      </c>
      <c r="R23" s="130">
        <f>'2019'!N23</f>
        <v>0</v>
      </c>
      <c r="S23" s="163">
        <v>0.75</v>
      </c>
      <c r="T23" s="111" t="s">
        <v>130</v>
      </c>
      <c r="U23" s="89">
        <f>+'2016'!P23+'2017'!P23</f>
        <v>328496260</v>
      </c>
      <c r="V23" s="89">
        <f>+'2016'!Q23+'2017'!Q23</f>
        <v>324428467</v>
      </c>
      <c r="W23" s="89">
        <f>+'2016'!R23+'2017'!R23</f>
        <v>0</v>
      </c>
      <c r="X23" s="27">
        <f t="shared" si="0"/>
        <v>0.98761692751083374</v>
      </c>
      <c r="Y23" s="23" t="str">
        <f t="shared" si="1"/>
        <v xml:space="preserve"> -</v>
      </c>
    </row>
    <row r="24" spans="2:25" ht="45" customHeight="1">
      <c r="B24" s="275"/>
      <c r="C24" s="272"/>
      <c r="D24" s="267"/>
      <c r="E24" s="10" t="s">
        <v>37</v>
      </c>
      <c r="F24" s="89">
        <v>47</v>
      </c>
      <c r="G24" s="89">
        <f>'2016'!J24</f>
        <v>47</v>
      </c>
      <c r="H24" s="123">
        <f>'2017'!J24</f>
        <v>47</v>
      </c>
      <c r="I24" s="123">
        <f>'2018'!J24</f>
        <v>47</v>
      </c>
      <c r="J24" s="123">
        <f>'2019'!J24</f>
        <v>47</v>
      </c>
      <c r="K24" s="153">
        <f>'2016'!K24</f>
        <v>47</v>
      </c>
      <c r="L24" s="123">
        <f>'2017'!K24</f>
        <v>47</v>
      </c>
      <c r="M24" s="123">
        <f>'2018'!K24</f>
        <v>47</v>
      </c>
      <c r="N24" s="90">
        <f>'2019'!K24</f>
        <v>0</v>
      </c>
      <c r="O24" s="129">
        <f>'2016'!N24</f>
        <v>1</v>
      </c>
      <c r="P24" s="130">
        <f>'2017'!N24</f>
        <v>1</v>
      </c>
      <c r="Q24" s="139">
        <f>'2018'!N24</f>
        <v>1</v>
      </c>
      <c r="R24" s="130">
        <f>'2019'!N24</f>
        <v>0</v>
      </c>
      <c r="S24" s="163">
        <v>0.75</v>
      </c>
      <c r="T24" s="111" t="s">
        <v>131</v>
      </c>
      <c r="U24" s="89">
        <f>+'2016'!P24+'2017'!P24</f>
        <v>53523073</v>
      </c>
      <c r="V24" s="89">
        <f>+'2016'!Q24+'2017'!Q24</f>
        <v>47417489</v>
      </c>
      <c r="W24" s="89">
        <f>+'2016'!R24+'2017'!R24</f>
        <v>0</v>
      </c>
      <c r="X24" s="27">
        <f t="shared" si="0"/>
        <v>0.88592613133405107</v>
      </c>
      <c r="Y24" s="23" t="str">
        <f t="shared" si="1"/>
        <v xml:space="preserve"> -</v>
      </c>
    </row>
    <row r="25" spans="2:25" ht="45">
      <c r="B25" s="275"/>
      <c r="C25" s="272"/>
      <c r="D25" s="267"/>
      <c r="E25" s="10" t="s">
        <v>38</v>
      </c>
      <c r="F25" s="89">
        <v>12</v>
      </c>
      <c r="G25" s="89">
        <f>'2016'!J25</f>
        <v>0</v>
      </c>
      <c r="H25" s="123">
        <f>'2017'!J25</f>
        <v>4</v>
      </c>
      <c r="I25" s="123">
        <f>'2018'!J25</f>
        <v>4</v>
      </c>
      <c r="J25" s="123">
        <f>'2019'!J25</f>
        <v>4</v>
      </c>
      <c r="K25" s="153">
        <f>'2016'!K25</f>
        <v>0</v>
      </c>
      <c r="L25" s="123">
        <f>'2017'!K25</f>
        <v>0.1</v>
      </c>
      <c r="M25" s="123">
        <f>'2018'!K25</f>
        <v>13</v>
      </c>
      <c r="N25" s="90">
        <f>'2019'!K25</f>
        <v>0</v>
      </c>
      <c r="O25" s="129" t="str">
        <f>'2016'!N25</f>
        <v xml:space="preserve"> -</v>
      </c>
      <c r="P25" s="130">
        <f>'2017'!N25</f>
        <v>2.5000000000000001E-2</v>
      </c>
      <c r="Q25" s="139">
        <f>'2018'!N25</f>
        <v>1</v>
      </c>
      <c r="R25" s="130">
        <f>'2019'!N25</f>
        <v>0</v>
      </c>
      <c r="S25" s="163">
        <v>8.3333333333333332E-3</v>
      </c>
      <c r="T25" s="111">
        <v>2210645</v>
      </c>
      <c r="U25" s="89">
        <f>+'2016'!P25+'2017'!P25</f>
        <v>1120000</v>
      </c>
      <c r="V25" s="89">
        <f>+'2016'!Q25+'2017'!Q25</f>
        <v>40000</v>
      </c>
      <c r="W25" s="89">
        <f>+'2016'!R25+'2017'!R25</f>
        <v>211440</v>
      </c>
      <c r="X25" s="27">
        <f t="shared" si="0"/>
        <v>3.5714285714285712E-2</v>
      </c>
      <c r="Y25" s="23">
        <f t="shared" si="1"/>
        <v>5.2859999999999996</v>
      </c>
    </row>
    <row r="26" spans="2:25" ht="30">
      <c r="B26" s="275"/>
      <c r="C26" s="272"/>
      <c r="D26" s="267"/>
      <c r="E26" s="10" t="s">
        <v>39</v>
      </c>
      <c r="F26" s="89">
        <v>4</v>
      </c>
      <c r="G26" s="89">
        <f>'2016'!J26</f>
        <v>0</v>
      </c>
      <c r="H26" s="123">
        <f>'2017'!J26</f>
        <v>1</v>
      </c>
      <c r="I26" s="123">
        <f>'2018'!J26</f>
        <v>2</v>
      </c>
      <c r="J26" s="123">
        <f>'2019'!J26</f>
        <v>1</v>
      </c>
      <c r="K26" s="153">
        <f>'2016'!K26</f>
        <v>0</v>
      </c>
      <c r="L26" s="123">
        <f>'2017'!K26</f>
        <v>0.17</v>
      </c>
      <c r="M26" s="123">
        <f>'2018'!K26</f>
        <v>2</v>
      </c>
      <c r="N26" s="90">
        <f>'2019'!K26</f>
        <v>0</v>
      </c>
      <c r="O26" s="129" t="str">
        <f>'2016'!N26</f>
        <v xml:space="preserve"> -</v>
      </c>
      <c r="P26" s="130">
        <f>'2017'!N26</f>
        <v>0.17</v>
      </c>
      <c r="Q26" s="139">
        <f>'2018'!N26</f>
        <v>1</v>
      </c>
      <c r="R26" s="130">
        <f>'2019'!N26</f>
        <v>0</v>
      </c>
      <c r="S26" s="163">
        <v>0.54249999999999998</v>
      </c>
      <c r="T26" s="111">
        <v>2210297</v>
      </c>
      <c r="U26" s="89">
        <f>+'2016'!P26+'2017'!P26</f>
        <v>525221</v>
      </c>
      <c r="V26" s="89">
        <f>+'2016'!Q26+'2017'!Q26</f>
        <v>125351</v>
      </c>
      <c r="W26" s="89">
        <f>+'2016'!R26+'2017'!R26</f>
        <v>0</v>
      </c>
      <c r="X26" s="27">
        <f t="shared" si="0"/>
        <v>0.23866334362106617</v>
      </c>
      <c r="Y26" s="23" t="str">
        <f t="shared" si="1"/>
        <v xml:space="preserve"> -</v>
      </c>
    </row>
    <row r="27" spans="2:25" ht="60">
      <c r="B27" s="275"/>
      <c r="C27" s="272"/>
      <c r="D27" s="267"/>
      <c r="E27" s="10" t="s">
        <v>40</v>
      </c>
      <c r="F27" s="89">
        <v>1</v>
      </c>
      <c r="G27" s="89">
        <f>'2016'!J27</f>
        <v>1</v>
      </c>
      <c r="H27" s="123">
        <f>'2017'!J27</f>
        <v>1</v>
      </c>
      <c r="I27" s="123">
        <f>'2018'!J27</f>
        <v>1</v>
      </c>
      <c r="J27" s="123">
        <f>'2019'!J27</f>
        <v>1</v>
      </c>
      <c r="K27" s="153">
        <f>'2016'!K27</f>
        <v>0.4</v>
      </c>
      <c r="L27" s="123">
        <f>'2017'!K27</f>
        <v>1</v>
      </c>
      <c r="M27" s="123">
        <f>'2018'!K27</f>
        <v>0.5</v>
      </c>
      <c r="N27" s="90">
        <f>'2019'!K27</f>
        <v>0</v>
      </c>
      <c r="O27" s="129">
        <f>'2016'!N27</f>
        <v>0.4</v>
      </c>
      <c r="P27" s="130">
        <f>'2017'!N27</f>
        <v>1</v>
      </c>
      <c r="Q27" s="139">
        <f>'2018'!N27</f>
        <v>0.5</v>
      </c>
      <c r="R27" s="130">
        <f>'2019'!N27</f>
        <v>0</v>
      </c>
      <c r="S27" s="163">
        <v>0.35249999999999998</v>
      </c>
      <c r="T27" s="111" t="s">
        <v>132</v>
      </c>
      <c r="U27" s="89">
        <f>+'2016'!P27+'2017'!P27</f>
        <v>6628020</v>
      </c>
      <c r="V27" s="89">
        <f>+'2016'!Q27+'2017'!Q27</f>
        <v>4732305</v>
      </c>
      <c r="W27" s="89">
        <f>+'2016'!R27+'2017'!R27</f>
        <v>1478710</v>
      </c>
      <c r="X27" s="27">
        <f t="shared" si="0"/>
        <v>0.71398471941846886</v>
      </c>
      <c r="Y27" s="23">
        <f t="shared" si="1"/>
        <v>0.31247140664010453</v>
      </c>
    </row>
    <row r="28" spans="2:25" ht="60">
      <c r="B28" s="275"/>
      <c r="C28" s="272"/>
      <c r="D28" s="267"/>
      <c r="E28" s="10" t="s">
        <v>41</v>
      </c>
      <c r="F28" s="89">
        <v>10</v>
      </c>
      <c r="G28" s="89">
        <f>'2016'!J28</f>
        <v>3</v>
      </c>
      <c r="H28" s="123">
        <f>'2017'!J28</f>
        <v>3</v>
      </c>
      <c r="I28" s="123">
        <f>'2018'!J28</f>
        <v>3</v>
      </c>
      <c r="J28" s="123">
        <f>'2019'!J28</f>
        <v>1</v>
      </c>
      <c r="K28" s="153">
        <f>'2016'!K28</f>
        <v>2</v>
      </c>
      <c r="L28" s="123">
        <f>'2017'!K28</f>
        <v>4</v>
      </c>
      <c r="M28" s="123">
        <f>'2018'!K28</f>
        <v>0</v>
      </c>
      <c r="N28" s="90">
        <f>'2019'!K28</f>
        <v>0</v>
      </c>
      <c r="O28" s="129">
        <f>'2016'!N28</f>
        <v>0.66666666666666663</v>
      </c>
      <c r="P28" s="130">
        <f>'2017'!N28</f>
        <v>1</v>
      </c>
      <c r="Q28" s="139">
        <f>'2018'!N28</f>
        <v>0</v>
      </c>
      <c r="R28" s="130">
        <f>'2019'!N28</f>
        <v>0</v>
      </c>
      <c r="S28" s="163">
        <v>0.6</v>
      </c>
      <c r="T28" s="111" t="s">
        <v>129</v>
      </c>
      <c r="U28" s="89">
        <f>+'2016'!P28+'2017'!P28</f>
        <v>13710000</v>
      </c>
      <c r="V28" s="89">
        <f>+'2016'!Q28+'2017'!Q28</f>
        <v>11318331</v>
      </c>
      <c r="W28" s="89">
        <f>+'2016'!R28+'2017'!R28</f>
        <v>0</v>
      </c>
      <c r="X28" s="27">
        <f t="shared" si="0"/>
        <v>0.82555295404814</v>
      </c>
      <c r="Y28" s="23" t="str">
        <f t="shared" si="1"/>
        <v xml:space="preserve"> -</v>
      </c>
    </row>
    <row r="29" spans="2:25" ht="45">
      <c r="B29" s="275"/>
      <c r="C29" s="272"/>
      <c r="D29" s="267"/>
      <c r="E29" s="10" t="s">
        <v>42</v>
      </c>
      <c r="F29" s="89">
        <v>13</v>
      </c>
      <c r="G29" s="89">
        <f>'2016'!J29</f>
        <v>0</v>
      </c>
      <c r="H29" s="123">
        <f>'2017'!J29</f>
        <v>5</v>
      </c>
      <c r="I29" s="123">
        <f>'2018'!J29</f>
        <v>4</v>
      </c>
      <c r="J29" s="123">
        <f>'2019'!J29</f>
        <v>4</v>
      </c>
      <c r="K29" s="153">
        <f>'2016'!K29</f>
        <v>0</v>
      </c>
      <c r="L29" s="123">
        <f>'2017'!K29</f>
        <v>7</v>
      </c>
      <c r="M29" s="123">
        <f>'2018'!K29</f>
        <v>0</v>
      </c>
      <c r="N29" s="90">
        <f>'2019'!K29</f>
        <v>0</v>
      </c>
      <c r="O29" s="129" t="str">
        <f>'2016'!N29</f>
        <v xml:space="preserve"> -</v>
      </c>
      <c r="P29" s="130">
        <f>'2017'!N29</f>
        <v>1</v>
      </c>
      <c r="Q29" s="139">
        <f>'2018'!N29</f>
        <v>0</v>
      </c>
      <c r="R29" s="130">
        <f>'2019'!N29</f>
        <v>0</v>
      </c>
      <c r="S29" s="163">
        <v>0.53846153846153844</v>
      </c>
      <c r="T29" s="111">
        <v>2210645</v>
      </c>
      <c r="U29" s="89">
        <f>+'2016'!P29+'2017'!P29</f>
        <v>638069</v>
      </c>
      <c r="V29" s="89">
        <f>+'2016'!Q29+'2017'!Q29</f>
        <v>638069</v>
      </c>
      <c r="W29" s="89">
        <f>+'2016'!R29+'2017'!R29</f>
        <v>0</v>
      </c>
      <c r="X29" s="27">
        <f t="shared" si="0"/>
        <v>1</v>
      </c>
      <c r="Y29" s="23" t="str">
        <f t="shared" si="1"/>
        <v xml:space="preserve"> -</v>
      </c>
    </row>
    <row r="30" spans="2:25" ht="61" thickBot="1">
      <c r="B30" s="275"/>
      <c r="C30" s="272"/>
      <c r="D30" s="268"/>
      <c r="E30" s="104" t="s">
        <v>43</v>
      </c>
      <c r="F30" s="68">
        <v>1</v>
      </c>
      <c r="G30" s="68">
        <f>'2016'!J30</f>
        <v>1</v>
      </c>
      <c r="H30" s="67">
        <f>'2017'!J30</f>
        <v>1</v>
      </c>
      <c r="I30" s="67">
        <f>'2018'!J30</f>
        <v>1</v>
      </c>
      <c r="J30" s="67">
        <f>'2019'!J30</f>
        <v>1</v>
      </c>
      <c r="K30" s="154">
        <f>'2016'!K30</f>
        <v>1</v>
      </c>
      <c r="L30" s="67">
        <f>'2017'!K30</f>
        <v>1</v>
      </c>
      <c r="M30" s="67">
        <f>'2018'!K30</f>
        <v>0.75</v>
      </c>
      <c r="N30" s="69">
        <f>'2019'!K30</f>
        <v>0</v>
      </c>
      <c r="O30" s="131">
        <f>'2016'!N30</f>
        <v>1</v>
      </c>
      <c r="P30" s="132">
        <f>'2017'!N30</f>
        <v>1</v>
      </c>
      <c r="Q30" s="140">
        <f>'2018'!N30</f>
        <v>0.75</v>
      </c>
      <c r="R30" s="132">
        <f>'2019'!N30</f>
        <v>0</v>
      </c>
      <c r="S30" s="165">
        <v>0.66749999999999998</v>
      </c>
      <c r="T30" s="112">
        <v>0</v>
      </c>
      <c r="U30" s="91">
        <f>+'2016'!P30+'2017'!P30</f>
        <v>0</v>
      </c>
      <c r="V30" s="91">
        <f>+'2016'!Q30+'2017'!Q30</f>
        <v>0</v>
      </c>
      <c r="W30" s="91">
        <f>+'2016'!R30+'2017'!R30</f>
        <v>0</v>
      </c>
      <c r="X30" s="62" t="str">
        <f t="shared" si="0"/>
        <v xml:space="preserve"> -</v>
      </c>
      <c r="Y30" s="69" t="str">
        <f t="shared" si="1"/>
        <v xml:space="preserve"> -</v>
      </c>
    </row>
    <row r="31" spans="2:25" ht="30">
      <c r="B31" s="275"/>
      <c r="C31" s="272"/>
      <c r="D31" s="269" t="s">
        <v>91</v>
      </c>
      <c r="E31" s="82" t="s">
        <v>44</v>
      </c>
      <c r="F31" s="87">
        <v>581</v>
      </c>
      <c r="G31" s="87">
        <f>'2016'!J31</f>
        <v>146</v>
      </c>
      <c r="H31" s="122">
        <f>'2017'!J31</f>
        <v>145</v>
      </c>
      <c r="I31" s="122">
        <f>'2018'!J31</f>
        <v>145</v>
      </c>
      <c r="J31" s="122">
        <f>'2019'!J31</f>
        <v>145</v>
      </c>
      <c r="K31" s="152">
        <f>'2016'!K31</f>
        <v>157</v>
      </c>
      <c r="L31" s="122">
        <f>'2017'!K31</f>
        <v>290</v>
      </c>
      <c r="M31" s="122">
        <f>'2018'!K31</f>
        <v>166</v>
      </c>
      <c r="N31" s="88">
        <f>'2019'!K31</f>
        <v>0</v>
      </c>
      <c r="O31" s="133">
        <f>'2016'!N31</f>
        <v>1</v>
      </c>
      <c r="P31" s="134">
        <f>'2017'!N31</f>
        <v>1</v>
      </c>
      <c r="Q31" s="138">
        <f>'2018'!N31</f>
        <v>1</v>
      </c>
      <c r="R31" s="134">
        <f>'2019'!N31</f>
        <v>0</v>
      </c>
      <c r="S31" s="166">
        <v>1</v>
      </c>
      <c r="T31" s="110" t="s">
        <v>129</v>
      </c>
      <c r="U31" s="93">
        <f>+'2016'!P31+'2017'!P31</f>
        <v>0</v>
      </c>
      <c r="V31" s="93">
        <f>+'2016'!Q31+'2017'!Q31</f>
        <v>0</v>
      </c>
      <c r="W31" s="93">
        <f>+'2016'!R31+'2017'!R31</f>
        <v>0</v>
      </c>
      <c r="X31" s="75" t="str">
        <f t="shared" si="0"/>
        <v xml:space="preserve"> -</v>
      </c>
      <c r="Y31" s="18" t="str">
        <f t="shared" si="1"/>
        <v xml:space="preserve"> -</v>
      </c>
    </row>
    <row r="32" spans="2:25" ht="45">
      <c r="B32" s="275"/>
      <c r="C32" s="272"/>
      <c r="D32" s="267"/>
      <c r="E32" s="10" t="s">
        <v>45</v>
      </c>
      <c r="F32" s="27">
        <v>1</v>
      </c>
      <c r="G32" s="27">
        <f>'2016'!J32</f>
        <v>1</v>
      </c>
      <c r="H32" s="32">
        <f>'2017'!J32</f>
        <v>1</v>
      </c>
      <c r="I32" s="32">
        <f>'2018'!J32</f>
        <v>1</v>
      </c>
      <c r="J32" s="32">
        <f>'2019'!J32</f>
        <v>1</v>
      </c>
      <c r="K32" s="155">
        <f>'2016'!K32</f>
        <v>1</v>
      </c>
      <c r="L32" s="32">
        <f>'2017'!K32</f>
        <v>1</v>
      </c>
      <c r="M32" s="32">
        <f>'2018'!K32</f>
        <v>1</v>
      </c>
      <c r="N32" s="23">
        <f>'2019'!K32</f>
        <v>0</v>
      </c>
      <c r="O32" s="129">
        <f>'2016'!N32</f>
        <v>1</v>
      </c>
      <c r="P32" s="130">
        <f>'2017'!N32</f>
        <v>1</v>
      </c>
      <c r="Q32" s="139">
        <f>'2018'!N32</f>
        <v>1</v>
      </c>
      <c r="R32" s="130">
        <f>'2019'!N32</f>
        <v>0</v>
      </c>
      <c r="S32" s="163">
        <v>0.75</v>
      </c>
      <c r="T32" s="111">
        <v>2210146</v>
      </c>
      <c r="U32" s="89">
        <f>+'2016'!P32+'2017'!P32</f>
        <v>3926883</v>
      </c>
      <c r="V32" s="89">
        <f>+'2016'!Q32+'2017'!Q32</f>
        <v>3859293</v>
      </c>
      <c r="W32" s="89">
        <f>+'2016'!R32+'2017'!R32</f>
        <v>1098617</v>
      </c>
      <c r="X32" s="27">
        <f t="shared" si="0"/>
        <v>0.98278787526901112</v>
      </c>
      <c r="Y32" s="23">
        <f t="shared" si="1"/>
        <v>0.28466794306625592</v>
      </c>
    </row>
    <row r="33" spans="2:25" ht="60">
      <c r="B33" s="275"/>
      <c r="C33" s="272"/>
      <c r="D33" s="267"/>
      <c r="E33" s="10" t="s">
        <v>46</v>
      </c>
      <c r="F33" s="89">
        <v>4570</v>
      </c>
      <c r="G33" s="89">
        <f>'2016'!J33</f>
        <v>1091</v>
      </c>
      <c r="H33" s="123">
        <f>'2017'!J33</f>
        <v>967</v>
      </c>
      <c r="I33" s="123">
        <f>'2018'!J33</f>
        <v>1119</v>
      </c>
      <c r="J33" s="123">
        <f>'2019'!J33</f>
        <v>1393</v>
      </c>
      <c r="K33" s="153">
        <f>'2016'!K33</f>
        <v>969</v>
      </c>
      <c r="L33" s="123">
        <f>'2017'!K33</f>
        <v>651</v>
      </c>
      <c r="M33" s="123">
        <f>'2018'!K33</f>
        <v>1425</v>
      </c>
      <c r="N33" s="90">
        <f>'2019'!K33</f>
        <v>0</v>
      </c>
      <c r="O33" s="129">
        <f>'2016'!N33</f>
        <v>0.88817598533455544</v>
      </c>
      <c r="P33" s="130">
        <f>'2017'!N33</f>
        <v>0.67321613236814892</v>
      </c>
      <c r="Q33" s="139">
        <f>'2018'!N33</f>
        <v>1</v>
      </c>
      <c r="R33" s="130">
        <f>'2019'!N33</f>
        <v>0</v>
      </c>
      <c r="S33" s="163">
        <v>0.66630196936542674</v>
      </c>
      <c r="T33" s="111">
        <v>2210146</v>
      </c>
      <c r="U33" s="89">
        <f>+'2016'!P33+'2017'!P33</f>
        <v>1240868</v>
      </c>
      <c r="V33" s="89">
        <f>+'2016'!Q33+'2017'!Q33</f>
        <v>1239471</v>
      </c>
      <c r="W33" s="89">
        <f>+'2016'!R33+'2017'!R33</f>
        <v>594145</v>
      </c>
      <c r="X33" s="27">
        <f t="shared" si="0"/>
        <v>0.99887417517415233</v>
      </c>
      <c r="Y33" s="23">
        <f t="shared" si="1"/>
        <v>0.47935369201861117</v>
      </c>
    </row>
    <row r="34" spans="2:25" ht="45">
      <c r="B34" s="275"/>
      <c r="C34" s="272"/>
      <c r="D34" s="267"/>
      <c r="E34" s="10" t="s">
        <v>47</v>
      </c>
      <c r="F34" s="89">
        <v>800</v>
      </c>
      <c r="G34" s="89">
        <f>'2016'!J34</f>
        <v>800</v>
      </c>
      <c r="H34" s="123">
        <f>'2017'!J34</f>
        <v>0</v>
      </c>
      <c r="I34" s="123">
        <f>'2018'!J34</f>
        <v>0</v>
      </c>
      <c r="J34" s="123">
        <f>'2019'!J34</f>
        <v>0</v>
      </c>
      <c r="K34" s="153">
        <f>'2016'!K34</f>
        <v>1015</v>
      </c>
      <c r="L34" s="123">
        <f>'2017'!K34</f>
        <v>0</v>
      </c>
      <c r="M34" s="123">
        <f>'2018'!K34</f>
        <v>0</v>
      </c>
      <c r="N34" s="90">
        <f>'2019'!K34</f>
        <v>0</v>
      </c>
      <c r="O34" s="129">
        <f>'2016'!N34</f>
        <v>1</v>
      </c>
      <c r="P34" s="130" t="str">
        <f>'2017'!N34</f>
        <v xml:space="preserve"> -</v>
      </c>
      <c r="Q34" s="139" t="str">
        <f>'2018'!N34</f>
        <v xml:space="preserve"> -</v>
      </c>
      <c r="R34" s="130" t="str">
        <f>'2019'!N34</f>
        <v xml:space="preserve"> -</v>
      </c>
      <c r="S34" s="163">
        <v>1</v>
      </c>
      <c r="T34" s="111" t="s">
        <v>129</v>
      </c>
      <c r="U34" s="89">
        <f>+'2016'!P34+'2017'!P34</f>
        <v>603200</v>
      </c>
      <c r="V34" s="89">
        <f>+'2016'!Q34+'2017'!Q34</f>
        <v>603200</v>
      </c>
      <c r="W34" s="89">
        <f>+'2016'!R34+'2017'!R34</f>
        <v>0</v>
      </c>
      <c r="X34" s="27">
        <f t="shared" si="0"/>
        <v>1</v>
      </c>
      <c r="Y34" s="23" t="str">
        <f t="shared" si="1"/>
        <v xml:space="preserve"> -</v>
      </c>
    </row>
    <row r="35" spans="2:25" ht="45">
      <c r="B35" s="275"/>
      <c r="C35" s="272"/>
      <c r="D35" s="267"/>
      <c r="E35" s="10" t="s">
        <v>48</v>
      </c>
      <c r="F35" s="27">
        <v>1</v>
      </c>
      <c r="G35" s="27">
        <f>'2016'!J35</f>
        <v>1</v>
      </c>
      <c r="H35" s="32">
        <f>'2017'!J35</f>
        <v>1</v>
      </c>
      <c r="I35" s="32">
        <f>'2018'!J35</f>
        <v>1</v>
      </c>
      <c r="J35" s="32">
        <f>'2019'!J35</f>
        <v>1</v>
      </c>
      <c r="K35" s="155">
        <f>'2016'!K35</f>
        <v>1</v>
      </c>
      <c r="L35" s="32">
        <f>'2017'!K35</f>
        <v>1</v>
      </c>
      <c r="M35" s="32">
        <f>'2018'!K35</f>
        <v>1</v>
      </c>
      <c r="N35" s="23">
        <f>'2019'!K35</f>
        <v>0</v>
      </c>
      <c r="O35" s="129">
        <f>'2016'!N35</f>
        <v>1</v>
      </c>
      <c r="P35" s="130">
        <f>'2017'!N35</f>
        <v>1</v>
      </c>
      <c r="Q35" s="139">
        <f>'2018'!N35</f>
        <v>1</v>
      </c>
      <c r="R35" s="130">
        <f>'2019'!N35</f>
        <v>0</v>
      </c>
      <c r="S35" s="163">
        <v>0.75</v>
      </c>
      <c r="T35" s="111">
        <v>2210940</v>
      </c>
      <c r="U35" s="89">
        <f>+'2016'!P35+'2017'!P35</f>
        <v>4582789</v>
      </c>
      <c r="V35" s="89">
        <f>+'2016'!Q35+'2017'!Q35</f>
        <v>4397483</v>
      </c>
      <c r="W35" s="89">
        <f>+'2016'!R35+'2017'!R35</f>
        <v>0</v>
      </c>
      <c r="X35" s="27">
        <f t="shared" si="0"/>
        <v>0.95956479776834591</v>
      </c>
      <c r="Y35" s="23" t="str">
        <f t="shared" si="1"/>
        <v xml:space="preserve"> -</v>
      </c>
    </row>
    <row r="36" spans="2:25" ht="30">
      <c r="B36" s="275"/>
      <c r="C36" s="272"/>
      <c r="D36" s="267"/>
      <c r="E36" s="10" t="s">
        <v>49</v>
      </c>
      <c r="F36" s="89">
        <v>12800</v>
      </c>
      <c r="G36" s="89">
        <f>'2016'!J36</f>
        <v>2548</v>
      </c>
      <c r="H36" s="123">
        <f>'2017'!J36</f>
        <v>3417</v>
      </c>
      <c r="I36" s="123">
        <f>'2018'!J36</f>
        <v>3418</v>
      </c>
      <c r="J36" s="123">
        <f>'2019'!J36</f>
        <v>3417</v>
      </c>
      <c r="K36" s="153">
        <f>'2016'!K36</f>
        <v>2405</v>
      </c>
      <c r="L36" s="123">
        <f>'2017'!K36</f>
        <v>2584</v>
      </c>
      <c r="M36" s="123">
        <f>'2018'!K36</f>
        <v>2922</v>
      </c>
      <c r="N36" s="90">
        <f>'2019'!K36</f>
        <v>0</v>
      </c>
      <c r="O36" s="129">
        <f>'2016'!N36</f>
        <v>0.94387755102040816</v>
      </c>
      <c r="P36" s="130">
        <f>'2017'!N36</f>
        <v>0.75621890547263682</v>
      </c>
      <c r="Q36" s="139">
        <f>'2018'!N36</f>
        <v>0.85488589818607374</v>
      </c>
      <c r="R36" s="130">
        <f>'2019'!N36</f>
        <v>0</v>
      </c>
      <c r="S36" s="163">
        <v>0.61124999999999996</v>
      </c>
      <c r="T36" s="111">
        <v>2210913</v>
      </c>
      <c r="U36" s="89">
        <f>+'2016'!P36+'2017'!P36</f>
        <v>305120</v>
      </c>
      <c r="V36" s="89">
        <f>+'2016'!Q36+'2017'!Q36</f>
        <v>139520</v>
      </c>
      <c r="W36" s="89">
        <f>+'2016'!R36+'2017'!R36</f>
        <v>59800</v>
      </c>
      <c r="X36" s="27">
        <f t="shared" si="0"/>
        <v>0.4572627163083377</v>
      </c>
      <c r="Y36" s="23">
        <f t="shared" si="1"/>
        <v>0.42861238532110091</v>
      </c>
    </row>
    <row r="37" spans="2:25" ht="60">
      <c r="B37" s="275"/>
      <c r="C37" s="272"/>
      <c r="D37" s="267"/>
      <c r="E37" s="10" t="s">
        <v>50</v>
      </c>
      <c r="F37" s="89">
        <v>47</v>
      </c>
      <c r="G37" s="89">
        <f>'2016'!J37</f>
        <v>0</v>
      </c>
      <c r="H37" s="123">
        <f>'2017'!J37</f>
        <v>16</v>
      </c>
      <c r="I37" s="123">
        <f>'2018'!J37</f>
        <v>16</v>
      </c>
      <c r="J37" s="123">
        <f>'2019'!J37</f>
        <v>15</v>
      </c>
      <c r="K37" s="153">
        <f>'2016'!K37</f>
        <v>0</v>
      </c>
      <c r="L37" s="123">
        <f>'2017'!K37</f>
        <v>16</v>
      </c>
      <c r="M37" s="123">
        <f>'2018'!K37</f>
        <v>16</v>
      </c>
      <c r="N37" s="90">
        <f>'2019'!K37</f>
        <v>0</v>
      </c>
      <c r="O37" s="129" t="str">
        <f>'2016'!N37</f>
        <v xml:space="preserve"> -</v>
      </c>
      <c r="P37" s="130">
        <f>'2017'!N37</f>
        <v>1</v>
      </c>
      <c r="Q37" s="139">
        <f>'2018'!N37</f>
        <v>1</v>
      </c>
      <c r="R37" s="130">
        <f>'2019'!N37</f>
        <v>0</v>
      </c>
      <c r="S37" s="163">
        <v>0.68085106382978722</v>
      </c>
      <c r="T37" s="111">
        <v>2210005</v>
      </c>
      <c r="U37" s="89">
        <f>+'2016'!P37+'2017'!P37</f>
        <v>152378</v>
      </c>
      <c r="V37" s="89">
        <f>+'2016'!Q37+'2017'!Q37</f>
        <v>62378</v>
      </c>
      <c r="W37" s="89">
        <f>+'2016'!R37+'2017'!R37</f>
        <v>0</v>
      </c>
      <c r="X37" s="27">
        <f t="shared" si="0"/>
        <v>0.40936355641890559</v>
      </c>
      <c r="Y37" s="23" t="str">
        <f t="shared" si="1"/>
        <v xml:space="preserve"> -</v>
      </c>
    </row>
    <row r="38" spans="2:25" ht="60">
      <c r="B38" s="275"/>
      <c r="C38" s="272"/>
      <c r="D38" s="267"/>
      <c r="E38" s="10" t="s">
        <v>51</v>
      </c>
      <c r="F38" s="27">
        <v>1</v>
      </c>
      <c r="G38" s="27">
        <f>'2016'!J38</f>
        <v>0.8</v>
      </c>
      <c r="H38" s="32">
        <f>'2017'!J38</f>
        <v>1</v>
      </c>
      <c r="I38" s="32">
        <f>'2018'!J38</f>
        <v>1</v>
      </c>
      <c r="J38" s="32">
        <f>'2019'!J38</f>
        <v>1</v>
      </c>
      <c r="K38" s="155">
        <f>'2016'!K38</f>
        <v>0.35</v>
      </c>
      <c r="L38" s="32">
        <f>'2017'!K38</f>
        <v>0.83</v>
      </c>
      <c r="M38" s="32">
        <f>'2018'!K38</f>
        <v>0.87</v>
      </c>
      <c r="N38" s="23">
        <f>'2019'!K38</f>
        <v>0</v>
      </c>
      <c r="O38" s="129">
        <f>'2016'!N38</f>
        <v>0.43749999999999994</v>
      </c>
      <c r="P38" s="130">
        <f>'2017'!N38</f>
        <v>0.83</v>
      </c>
      <c r="Q38" s="139">
        <f>'2018'!N38</f>
        <v>0.87</v>
      </c>
      <c r="R38" s="130">
        <f>'2019'!N38</f>
        <v>0</v>
      </c>
      <c r="S38" s="163">
        <v>0.50749999999999995</v>
      </c>
      <c r="T38" s="111">
        <v>2210005</v>
      </c>
      <c r="U38" s="89">
        <f>+'2016'!P38+'2017'!P38</f>
        <v>814720</v>
      </c>
      <c r="V38" s="89">
        <f>+'2016'!Q38+'2017'!Q38</f>
        <v>633564</v>
      </c>
      <c r="W38" s="89">
        <f>+'2016'!R38+'2017'!R38</f>
        <v>0</v>
      </c>
      <c r="X38" s="27">
        <f t="shared" si="0"/>
        <v>0.77764630793401412</v>
      </c>
      <c r="Y38" s="23" t="str">
        <f t="shared" si="1"/>
        <v xml:space="preserve"> -</v>
      </c>
    </row>
    <row r="39" spans="2:25" ht="45">
      <c r="B39" s="275"/>
      <c r="C39" s="272"/>
      <c r="D39" s="267"/>
      <c r="E39" s="10" t="s">
        <v>52</v>
      </c>
      <c r="F39" s="89">
        <v>9599</v>
      </c>
      <c r="G39" s="89">
        <f>'2016'!J39</f>
        <v>9599</v>
      </c>
      <c r="H39" s="123">
        <f>'2017'!J39</f>
        <v>9599</v>
      </c>
      <c r="I39" s="123">
        <f>'2018'!J39</f>
        <v>9599</v>
      </c>
      <c r="J39" s="123">
        <f>'2019'!J39</f>
        <v>9599</v>
      </c>
      <c r="K39" s="153">
        <f>'2016'!K39</f>
        <v>9497</v>
      </c>
      <c r="L39" s="123">
        <f>'2017'!K39</f>
        <v>9485</v>
      </c>
      <c r="M39" s="123">
        <f>'2018'!K39</f>
        <v>9632</v>
      </c>
      <c r="N39" s="90">
        <f>'2019'!K39</f>
        <v>0</v>
      </c>
      <c r="O39" s="129">
        <f>'2016'!N39</f>
        <v>0.98937389311386603</v>
      </c>
      <c r="P39" s="130">
        <f>'2017'!N39</f>
        <v>0.98812376289196791</v>
      </c>
      <c r="Q39" s="139">
        <f>'2018'!N39</f>
        <v>1</v>
      </c>
      <c r="R39" s="130">
        <f>'2019'!N39</f>
        <v>0</v>
      </c>
      <c r="S39" s="163">
        <v>0.74830711532451299</v>
      </c>
      <c r="T39" s="111">
        <v>2210634</v>
      </c>
      <c r="U39" s="89">
        <f>+'2016'!P39+'2017'!P39</f>
        <v>21998942</v>
      </c>
      <c r="V39" s="89">
        <f>+'2016'!Q39+'2017'!Q39</f>
        <v>21897181</v>
      </c>
      <c r="W39" s="89">
        <f>+'2016'!R39+'2017'!R39</f>
        <v>0</v>
      </c>
      <c r="X39" s="27">
        <f t="shared" si="0"/>
        <v>0.9953742775448019</v>
      </c>
      <c r="Y39" s="23" t="str">
        <f t="shared" si="1"/>
        <v xml:space="preserve"> -</v>
      </c>
    </row>
    <row r="40" spans="2:25" ht="30">
      <c r="B40" s="275"/>
      <c r="C40" s="272"/>
      <c r="D40" s="267"/>
      <c r="E40" s="10" t="s">
        <v>53</v>
      </c>
      <c r="F40" s="89">
        <v>28340</v>
      </c>
      <c r="G40" s="89">
        <f>'2016'!J40</f>
        <v>28340</v>
      </c>
      <c r="H40" s="123">
        <f>'2017'!J40</f>
        <v>28340</v>
      </c>
      <c r="I40" s="123">
        <f>'2018'!J40</f>
        <v>28340</v>
      </c>
      <c r="J40" s="123">
        <f>'2019'!J40</f>
        <v>28340</v>
      </c>
      <c r="K40" s="153">
        <f>'2016'!K40</f>
        <v>25336</v>
      </c>
      <c r="L40" s="123">
        <f>'2017'!K40</f>
        <v>24708</v>
      </c>
      <c r="M40" s="123">
        <f>'2018'!K40</f>
        <v>25635</v>
      </c>
      <c r="N40" s="90">
        <f>'2019'!K40</f>
        <v>0</v>
      </c>
      <c r="O40" s="129">
        <f>'2016'!N40</f>
        <v>0.89400141143260414</v>
      </c>
      <c r="P40" s="130">
        <f>'2017'!N40</f>
        <v>0.87184191954834156</v>
      </c>
      <c r="Q40" s="139">
        <f>'2018'!N40</f>
        <v>0.90455187014820038</v>
      </c>
      <c r="R40" s="130">
        <f>'2019'!N40</f>
        <v>0</v>
      </c>
      <c r="S40" s="163">
        <v>0.66699011997177138</v>
      </c>
      <c r="T40" s="111">
        <v>2210803</v>
      </c>
      <c r="U40" s="89">
        <f>+'2016'!P40+'2017'!P40</f>
        <v>25362872</v>
      </c>
      <c r="V40" s="89">
        <f>+'2016'!Q40+'2017'!Q40</f>
        <v>22293609</v>
      </c>
      <c r="W40" s="89">
        <f>+'2016'!R40+'2017'!R40</f>
        <v>0</v>
      </c>
      <c r="X40" s="27">
        <f t="shared" si="0"/>
        <v>0.87898598392169469</v>
      </c>
      <c r="Y40" s="23" t="str">
        <f t="shared" si="1"/>
        <v xml:space="preserve"> -</v>
      </c>
    </row>
    <row r="41" spans="2:25" ht="45">
      <c r="B41" s="275"/>
      <c r="C41" s="272"/>
      <c r="D41" s="267"/>
      <c r="E41" s="10" t="s">
        <v>54</v>
      </c>
      <c r="F41" s="27">
        <v>1</v>
      </c>
      <c r="G41" s="27">
        <f>'2016'!J41</f>
        <v>1</v>
      </c>
      <c r="H41" s="32">
        <f>'2017'!J41</f>
        <v>1</v>
      </c>
      <c r="I41" s="32">
        <f>'2018'!J41</f>
        <v>1</v>
      </c>
      <c r="J41" s="32">
        <f>'2019'!J41</f>
        <v>1</v>
      </c>
      <c r="K41" s="155">
        <f>'2016'!K41</f>
        <v>1</v>
      </c>
      <c r="L41" s="32">
        <f>'2017'!K41</f>
        <v>1</v>
      </c>
      <c r="M41" s="32">
        <f>'2018'!K41</f>
        <v>1</v>
      </c>
      <c r="N41" s="23">
        <f>'2019'!K41</f>
        <v>0</v>
      </c>
      <c r="O41" s="129">
        <f>'2016'!N41</f>
        <v>1</v>
      </c>
      <c r="P41" s="130">
        <f>'2017'!N41</f>
        <v>1</v>
      </c>
      <c r="Q41" s="139">
        <f>'2018'!N41</f>
        <v>1</v>
      </c>
      <c r="R41" s="130">
        <f>'2019'!N41</f>
        <v>0</v>
      </c>
      <c r="S41" s="163">
        <v>0.75</v>
      </c>
      <c r="T41" s="111">
        <v>0</v>
      </c>
      <c r="U41" s="89">
        <f>+'2016'!P41+'2017'!P41</f>
        <v>0</v>
      </c>
      <c r="V41" s="89">
        <f>+'2016'!Q41+'2017'!Q41</f>
        <v>0</v>
      </c>
      <c r="W41" s="89">
        <f>+'2016'!R41+'2017'!R41</f>
        <v>0</v>
      </c>
      <c r="X41" s="27" t="str">
        <f t="shared" si="0"/>
        <v xml:space="preserve"> -</v>
      </c>
      <c r="Y41" s="23" t="str">
        <f t="shared" si="1"/>
        <v xml:space="preserve"> -</v>
      </c>
    </row>
    <row r="42" spans="2:25" ht="45">
      <c r="B42" s="275"/>
      <c r="C42" s="272"/>
      <c r="D42" s="267"/>
      <c r="E42" s="10" t="s">
        <v>55</v>
      </c>
      <c r="F42" s="27">
        <v>1</v>
      </c>
      <c r="G42" s="27">
        <f>'2016'!J42</f>
        <v>1</v>
      </c>
      <c r="H42" s="32">
        <f>'2017'!J42</f>
        <v>1</v>
      </c>
      <c r="I42" s="32">
        <f>'2018'!J42</f>
        <v>1</v>
      </c>
      <c r="J42" s="32">
        <f>'2019'!J42</f>
        <v>1</v>
      </c>
      <c r="K42" s="155">
        <f>'2016'!K42</f>
        <v>1</v>
      </c>
      <c r="L42" s="32">
        <f>'2017'!K42</f>
        <v>1</v>
      </c>
      <c r="M42" s="32">
        <f>'2018'!K42</f>
        <v>1</v>
      </c>
      <c r="N42" s="23">
        <f>'2019'!K42</f>
        <v>0</v>
      </c>
      <c r="O42" s="129">
        <f>'2016'!N42</f>
        <v>1</v>
      </c>
      <c r="P42" s="130">
        <f>'2017'!N42</f>
        <v>1</v>
      </c>
      <c r="Q42" s="139">
        <f>'2018'!N42</f>
        <v>1</v>
      </c>
      <c r="R42" s="130">
        <f>'2019'!N42</f>
        <v>0</v>
      </c>
      <c r="S42" s="163">
        <v>0.75</v>
      </c>
      <c r="T42" s="111">
        <v>0</v>
      </c>
      <c r="U42" s="89">
        <f>+'2016'!P42+'2017'!P42</f>
        <v>30000</v>
      </c>
      <c r="V42" s="89">
        <f>+'2016'!Q42+'2017'!Q42</f>
        <v>30000</v>
      </c>
      <c r="W42" s="89">
        <f>+'2016'!R42+'2017'!R42</f>
        <v>20000</v>
      </c>
      <c r="X42" s="27">
        <f t="shared" si="0"/>
        <v>1</v>
      </c>
      <c r="Y42" s="23">
        <f t="shared" si="1"/>
        <v>0.66666666666666663</v>
      </c>
    </row>
    <row r="43" spans="2:25" ht="60">
      <c r="B43" s="275"/>
      <c r="C43" s="272"/>
      <c r="D43" s="267"/>
      <c r="E43" s="10" t="s">
        <v>56</v>
      </c>
      <c r="F43" s="89">
        <v>1</v>
      </c>
      <c r="G43" s="89">
        <f>'2016'!J43</f>
        <v>1</v>
      </c>
      <c r="H43" s="123">
        <f>'2017'!J43</f>
        <v>1</v>
      </c>
      <c r="I43" s="123">
        <f>'2018'!J43</f>
        <v>1</v>
      </c>
      <c r="J43" s="123">
        <f>'2019'!J43</f>
        <v>1</v>
      </c>
      <c r="K43" s="153">
        <f>'2016'!K43</f>
        <v>1</v>
      </c>
      <c r="L43" s="123">
        <f>'2017'!K43</f>
        <v>1</v>
      </c>
      <c r="M43" s="123">
        <f>'2018'!K43</f>
        <v>1</v>
      </c>
      <c r="N43" s="90">
        <f>'2019'!K43</f>
        <v>0</v>
      </c>
      <c r="O43" s="129">
        <f>'2016'!N43</f>
        <v>1</v>
      </c>
      <c r="P43" s="130">
        <f>'2017'!N43</f>
        <v>1</v>
      </c>
      <c r="Q43" s="139">
        <f>'2018'!N43</f>
        <v>1</v>
      </c>
      <c r="R43" s="130">
        <f>'2019'!N43</f>
        <v>0</v>
      </c>
      <c r="S43" s="163">
        <v>0.75</v>
      </c>
      <c r="T43" s="111">
        <v>0</v>
      </c>
      <c r="U43" s="89">
        <f>+'2016'!P43+'2017'!P43</f>
        <v>0</v>
      </c>
      <c r="V43" s="89">
        <f>+'2016'!Q43+'2017'!Q43</f>
        <v>0</v>
      </c>
      <c r="W43" s="89">
        <f>+'2016'!R43+'2017'!R43</f>
        <v>0</v>
      </c>
      <c r="X43" s="27" t="str">
        <f t="shared" si="0"/>
        <v xml:space="preserve"> -</v>
      </c>
      <c r="Y43" s="23" t="str">
        <f t="shared" si="1"/>
        <v xml:space="preserve"> -</v>
      </c>
    </row>
    <row r="44" spans="2:25" ht="30">
      <c r="B44" s="275"/>
      <c r="C44" s="272"/>
      <c r="D44" s="267"/>
      <c r="E44" s="10" t="s">
        <v>57</v>
      </c>
      <c r="F44" s="27">
        <v>1</v>
      </c>
      <c r="G44" s="27">
        <f>'2016'!J44</f>
        <v>1</v>
      </c>
      <c r="H44" s="32">
        <f>'2017'!J44</f>
        <v>1</v>
      </c>
      <c r="I44" s="32">
        <f>'2018'!J44</f>
        <v>1</v>
      </c>
      <c r="J44" s="32">
        <f>'2019'!J44</f>
        <v>1</v>
      </c>
      <c r="K44" s="155">
        <f>'2016'!K44</f>
        <v>1</v>
      </c>
      <c r="L44" s="32">
        <f>'2017'!K44</f>
        <v>0.85</v>
      </c>
      <c r="M44" s="32">
        <f>'2018'!K44</f>
        <v>0.9</v>
      </c>
      <c r="N44" s="23">
        <f>'2019'!K44</f>
        <v>0</v>
      </c>
      <c r="O44" s="129">
        <f>'2016'!N44</f>
        <v>1</v>
      </c>
      <c r="P44" s="130">
        <f>'2017'!N44</f>
        <v>0.85</v>
      </c>
      <c r="Q44" s="139">
        <f>'2018'!N44</f>
        <v>0.9</v>
      </c>
      <c r="R44" s="130">
        <f>'2019'!N44</f>
        <v>0</v>
      </c>
      <c r="S44" s="163">
        <v>0.6875</v>
      </c>
      <c r="T44" s="111">
        <v>2210803</v>
      </c>
      <c r="U44" s="89">
        <f>+'2016'!P44+'2017'!P44</f>
        <v>2746385</v>
      </c>
      <c r="V44" s="89">
        <f>+'2016'!Q44+'2017'!Q44</f>
        <v>2186818</v>
      </c>
      <c r="W44" s="89">
        <f>+'2016'!R44+'2017'!R44</f>
        <v>0</v>
      </c>
      <c r="X44" s="27">
        <f t="shared" si="0"/>
        <v>0.79625325655361501</v>
      </c>
      <c r="Y44" s="23" t="str">
        <f t="shared" si="1"/>
        <v xml:space="preserve"> -</v>
      </c>
    </row>
    <row r="45" spans="2:25" ht="31" thickBot="1">
      <c r="B45" s="275"/>
      <c r="C45" s="272"/>
      <c r="D45" s="270"/>
      <c r="E45" s="11" t="s">
        <v>58</v>
      </c>
      <c r="F45" s="91">
        <v>2</v>
      </c>
      <c r="G45" s="91">
        <f>'2016'!J45</f>
        <v>1</v>
      </c>
      <c r="H45" s="124">
        <f>'2017'!J45</f>
        <v>0</v>
      </c>
      <c r="I45" s="124">
        <f>'2018'!J45</f>
        <v>1</v>
      </c>
      <c r="J45" s="124">
        <f>'2019'!J45</f>
        <v>0</v>
      </c>
      <c r="K45" s="156">
        <f>'2016'!K45</f>
        <v>1</v>
      </c>
      <c r="L45" s="124">
        <f>'2017'!K45</f>
        <v>1</v>
      </c>
      <c r="M45" s="124">
        <f>'2018'!K45</f>
        <v>1</v>
      </c>
      <c r="N45" s="92">
        <f>'2019'!K45</f>
        <v>0</v>
      </c>
      <c r="O45" s="135">
        <f>'2016'!N45</f>
        <v>1</v>
      </c>
      <c r="P45" s="136" t="str">
        <f>'2017'!N45</f>
        <v xml:space="preserve"> -</v>
      </c>
      <c r="Q45" s="141">
        <f>'2018'!N45</f>
        <v>1</v>
      </c>
      <c r="R45" s="136" t="str">
        <f>'2019'!N45</f>
        <v xml:space="preserve"> -</v>
      </c>
      <c r="S45" s="167">
        <v>1</v>
      </c>
      <c r="T45" s="113">
        <v>0</v>
      </c>
      <c r="U45" s="91">
        <f>+'2016'!P45+'2017'!P45</f>
        <v>0</v>
      </c>
      <c r="V45" s="91">
        <f>+'2016'!Q45+'2017'!Q45</f>
        <v>0</v>
      </c>
      <c r="W45" s="91">
        <f>+'2016'!R45+'2017'!R45</f>
        <v>0</v>
      </c>
      <c r="X45" s="62" t="str">
        <f t="shared" si="0"/>
        <v xml:space="preserve"> -</v>
      </c>
      <c r="Y45" s="63" t="str">
        <f t="shared" si="1"/>
        <v xml:space="preserve"> -</v>
      </c>
    </row>
    <row r="46" spans="2:25" ht="45">
      <c r="B46" s="275"/>
      <c r="C46" s="272"/>
      <c r="D46" s="266" t="s">
        <v>92</v>
      </c>
      <c r="E46" s="107" t="s">
        <v>59</v>
      </c>
      <c r="F46" s="93">
        <v>47</v>
      </c>
      <c r="G46" s="93">
        <f>'2016'!J46</f>
        <v>47</v>
      </c>
      <c r="H46" s="125">
        <f>'2017'!J46</f>
        <v>47</v>
      </c>
      <c r="I46" s="125">
        <f>'2018'!J46</f>
        <v>47</v>
      </c>
      <c r="J46" s="125">
        <f>'2019'!J46</f>
        <v>47</v>
      </c>
      <c r="K46" s="157">
        <f>'2016'!K46</f>
        <v>47</v>
      </c>
      <c r="L46" s="125">
        <f>'2017'!K46</f>
        <v>47</v>
      </c>
      <c r="M46" s="125">
        <f>'2018'!K46</f>
        <v>47</v>
      </c>
      <c r="N46" s="94">
        <f>'2019'!K46</f>
        <v>0</v>
      </c>
      <c r="O46" s="127">
        <f>'2016'!N46</f>
        <v>1</v>
      </c>
      <c r="P46" s="128">
        <f>'2017'!N46</f>
        <v>1</v>
      </c>
      <c r="Q46" s="142">
        <f>'2018'!N46</f>
        <v>1</v>
      </c>
      <c r="R46" s="128">
        <f>'2019'!N46</f>
        <v>0</v>
      </c>
      <c r="S46" s="161">
        <v>0.75</v>
      </c>
      <c r="T46" s="114">
        <v>2210258</v>
      </c>
      <c r="U46" s="93">
        <f>+'2016'!P46+'2017'!P46</f>
        <v>124542</v>
      </c>
      <c r="V46" s="93">
        <f>+'2016'!Q46+'2017'!Q46</f>
        <v>84542</v>
      </c>
      <c r="W46" s="93">
        <f>+'2016'!R46+'2017'!R46</f>
        <v>70961</v>
      </c>
      <c r="X46" s="75">
        <f t="shared" si="0"/>
        <v>0.67882320823497289</v>
      </c>
      <c r="Y46" s="76">
        <f t="shared" si="1"/>
        <v>0.83935795226041499</v>
      </c>
    </row>
    <row r="47" spans="2:25" ht="30">
      <c r="B47" s="275"/>
      <c r="C47" s="272"/>
      <c r="D47" s="267"/>
      <c r="E47" s="10" t="s">
        <v>60</v>
      </c>
      <c r="F47" s="89">
        <v>188</v>
      </c>
      <c r="G47" s="89">
        <f>'2016'!J47</f>
        <v>0</v>
      </c>
      <c r="H47" s="123">
        <f>'2017'!J47</f>
        <v>94</v>
      </c>
      <c r="I47" s="123">
        <f>'2018'!J47</f>
        <v>47</v>
      </c>
      <c r="J47" s="123">
        <f>'2019'!J47</f>
        <v>47</v>
      </c>
      <c r="K47" s="153">
        <f>'2016'!K47</f>
        <v>0</v>
      </c>
      <c r="L47" s="123">
        <f>'2017'!K47</f>
        <v>4</v>
      </c>
      <c r="M47" s="123">
        <f>'2018'!K47</f>
        <v>0</v>
      </c>
      <c r="N47" s="90">
        <f>'2019'!K47</f>
        <v>0</v>
      </c>
      <c r="O47" s="129" t="str">
        <f>'2016'!N47</f>
        <v xml:space="preserve"> -</v>
      </c>
      <c r="P47" s="130">
        <f>'2017'!N47</f>
        <v>4.2553191489361701E-2</v>
      </c>
      <c r="Q47" s="139">
        <f>'2018'!N47</f>
        <v>0</v>
      </c>
      <c r="R47" s="130">
        <f>'2019'!N47</f>
        <v>0</v>
      </c>
      <c r="S47" s="163">
        <v>2.1276595744680851E-2</v>
      </c>
      <c r="T47" s="111" t="s">
        <v>129</v>
      </c>
      <c r="U47" s="89">
        <f>+'2016'!P47+'2017'!P47</f>
        <v>0</v>
      </c>
      <c r="V47" s="89">
        <f>+'2016'!Q47+'2017'!Q47</f>
        <v>0</v>
      </c>
      <c r="W47" s="89">
        <f>+'2016'!R47+'2017'!R47</f>
        <v>0</v>
      </c>
      <c r="X47" s="27" t="str">
        <f t="shared" si="0"/>
        <v xml:space="preserve"> -</v>
      </c>
      <c r="Y47" s="23" t="str">
        <f t="shared" si="1"/>
        <v xml:space="preserve"> -</v>
      </c>
    </row>
    <row r="48" spans="2:25" ht="75">
      <c r="B48" s="275"/>
      <c r="C48" s="272"/>
      <c r="D48" s="267"/>
      <c r="E48" s="10" t="s">
        <v>61</v>
      </c>
      <c r="F48" s="27">
        <v>1</v>
      </c>
      <c r="G48" s="27">
        <f>'2016'!J48</f>
        <v>1</v>
      </c>
      <c r="H48" s="32">
        <f>'2017'!J48</f>
        <v>1</v>
      </c>
      <c r="I48" s="32">
        <f>'2018'!J48</f>
        <v>1</v>
      </c>
      <c r="J48" s="32">
        <f>'2019'!J48</f>
        <v>1</v>
      </c>
      <c r="K48" s="155">
        <f>'2016'!K48</f>
        <v>1</v>
      </c>
      <c r="L48" s="32">
        <f>'2017'!K48</f>
        <v>1</v>
      </c>
      <c r="M48" s="32">
        <f>'2018'!K48</f>
        <v>1</v>
      </c>
      <c r="N48" s="23">
        <f>'2019'!K48</f>
        <v>0</v>
      </c>
      <c r="O48" s="129">
        <f>'2016'!N48</f>
        <v>1</v>
      </c>
      <c r="P48" s="130">
        <f>'2017'!N48</f>
        <v>1</v>
      </c>
      <c r="Q48" s="139">
        <f>'2018'!N48</f>
        <v>1</v>
      </c>
      <c r="R48" s="130">
        <f>'2019'!N48</f>
        <v>0</v>
      </c>
      <c r="S48" s="163">
        <v>0.75</v>
      </c>
      <c r="T48" s="111">
        <v>2210257</v>
      </c>
      <c r="U48" s="89">
        <f>+'2016'!P48+'2017'!P48</f>
        <v>286776</v>
      </c>
      <c r="V48" s="89">
        <f>+'2016'!Q48+'2017'!Q48</f>
        <v>185450</v>
      </c>
      <c r="W48" s="89">
        <f>+'2016'!R48+'2017'!R48</f>
        <v>0</v>
      </c>
      <c r="X48" s="27">
        <f t="shared" si="0"/>
        <v>0.6466719669707367</v>
      </c>
      <c r="Y48" s="23" t="str">
        <f t="shared" si="1"/>
        <v xml:space="preserve"> -</v>
      </c>
    </row>
    <row r="49" spans="2:25" ht="46" thickBot="1">
      <c r="B49" s="275"/>
      <c r="C49" s="272"/>
      <c r="D49" s="268"/>
      <c r="E49" s="104" t="s">
        <v>62</v>
      </c>
      <c r="F49" s="95">
        <v>15</v>
      </c>
      <c r="G49" s="95">
        <f>'2016'!J49</f>
        <v>0</v>
      </c>
      <c r="H49" s="126">
        <f>'2017'!J49</f>
        <v>15</v>
      </c>
      <c r="I49" s="126">
        <f>'2018'!J49</f>
        <v>15</v>
      </c>
      <c r="J49" s="126">
        <f>'2019'!J49</f>
        <v>15</v>
      </c>
      <c r="K49" s="158">
        <f>'2016'!K49</f>
        <v>0</v>
      </c>
      <c r="L49" s="126">
        <f>'2017'!K49</f>
        <v>47</v>
      </c>
      <c r="M49" s="126">
        <f>'2018'!K49</f>
        <v>47</v>
      </c>
      <c r="N49" s="96">
        <f>'2019'!K49</f>
        <v>0</v>
      </c>
      <c r="O49" s="131" t="str">
        <f>'2016'!N49</f>
        <v xml:space="preserve"> -</v>
      </c>
      <c r="P49" s="132">
        <f>'2017'!N49</f>
        <v>1</v>
      </c>
      <c r="Q49" s="140">
        <f>'2018'!N49</f>
        <v>1</v>
      </c>
      <c r="R49" s="132">
        <f>'2019'!N49</f>
        <v>0</v>
      </c>
      <c r="S49" s="165">
        <v>1</v>
      </c>
      <c r="T49" s="112">
        <v>2210900</v>
      </c>
      <c r="U49" s="91">
        <f>+'2016'!P49+'2017'!P49</f>
        <v>0</v>
      </c>
      <c r="V49" s="91">
        <f>+'2016'!Q49+'2017'!Q49</f>
        <v>0</v>
      </c>
      <c r="W49" s="91">
        <f>+'2016'!R49+'2017'!R49</f>
        <v>0</v>
      </c>
      <c r="X49" s="68" t="str">
        <f t="shared" si="0"/>
        <v xml:space="preserve"> -</v>
      </c>
      <c r="Y49" s="69" t="str">
        <f t="shared" si="1"/>
        <v xml:space="preserve"> -</v>
      </c>
    </row>
    <row r="50" spans="2:25" ht="45">
      <c r="B50" s="275"/>
      <c r="C50" s="272"/>
      <c r="D50" s="269" t="s">
        <v>93</v>
      </c>
      <c r="E50" s="101" t="s">
        <v>63</v>
      </c>
      <c r="F50" s="19">
        <v>1</v>
      </c>
      <c r="G50" s="19">
        <f>'2016'!J50</f>
        <v>1</v>
      </c>
      <c r="H50" s="78">
        <f>'2017'!J50</f>
        <v>1</v>
      </c>
      <c r="I50" s="78">
        <f>'2018'!J50</f>
        <v>1</v>
      </c>
      <c r="J50" s="78">
        <f>'2019'!J50</f>
        <v>1</v>
      </c>
      <c r="K50" s="159">
        <f>'2016'!K50</f>
        <v>1</v>
      </c>
      <c r="L50" s="78">
        <f>'2017'!K50</f>
        <v>1</v>
      </c>
      <c r="M50" s="78">
        <f>'2018'!K50</f>
        <v>0.75</v>
      </c>
      <c r="N50" s="18">
        <f>'2019'!K50</f>
        <v>0</v>
      </c>
      <c r="O50" s="133">
        <f>'2016'!N50</f>
        <v>1</v>
      </c>
      <c r="P50" s="134">
        <f>'2017'!N50</f>
        <v>1</v>
      </c>
      <c r="Q50" s="138">
        <f>'2018'!N50</f>
        <v>0.75</v>
      </c>
      <c r="R50" s="134">
        <f>'2019'!N50</f>
        <v>0</v>
      </c>
      <c r="S50" s="166">
        <v>0.66749999999999998</v>
      </c>
      <c r="T50" s="110" t="s">
        <v>129</v>
      </c>
      <c r="U50" s="93">
        <f>+'2016'!P50+'2017'!P50</f>
        <v>0</v>
      </c>
      <c r="V50" s="93">
        <f>+'2016'!Q50+'2017'!Q50</f>
        <v>0</v>
      </c>
      <c r="W50" s="93">
        <f>+'2016'!R50+'2017'!R50</f>
        <v>0</v>
      </c>
      <c r="X50" s="19" t="str">
        <f t="shared" si="0"/>
        <v xml:space="preserve"> -</v>
      </c>
      <c r="Y50" s="18" t="str">
        <f t="shared" si="1"/>
        <v xml:space="preserve"> -</v>
      </c>
    </row>
    <row r="51" spans="2:25" ht="45">
      <c r="B51" s="275"/>
      <c r="C51" s="272"/>
      <c r="D51" s="267"/>
      <c r="E51" s="10" t="s">
        <v>64</v>
      </c>
      <c r="F51" s="89">
        <v>480</v>
      </c>
      <c r="G51" s="89">
        <f>'2016'!J51</f>
        <v>0</v>
      </c>
      <c r="H51" s="123">
        <f>'2017'!J51</f>
        <v>160</v>
      </c>
      <c r="I51" s="123">
        <f>'2018'!J51</f>
        <v>160</v>
      </c>
      <c r="J51" s="123">
        <f>'2019'!J51</f>
        <v>160</v>
      </c>
      <c r="K51" s="153">
        <f>'2016'!K51</f>
        <v>0</v>
      </c>
      <c r="L51" s="123">
        <f>'2017'!K51</f>
        <v>160</v>
      </c>
      <c r="M51" s="123">
        <f>'2018'!K51</f>
        <v>247</v>
      </c>
      <c r="N51" s="90">
        <f>'2019'!K51</f>
        <v>0</v>
      </c>
      <c r="O51" s="129" t="str">
        <f>'2016'!N51</f>
        <v xml:space="preserve"> -</v>
      </c>
      <c r="P51" s="130">
        <f>'2017'!N51</f>
        <v>1</v>
      </c>
      <c r="Q51" s="139">
        <f>'2018'!N51</f>
        <v>1</v>
      </c>
      <c r="R51" s="130">
        <f>'2019'!N51</f>
        <v>0</v>
      </c>
      <c r="S51" s="163">
        <v>0.84791666666666665</v>
      </c>
      <c r="T51" s="111">
        <v>2210900</v>
      </c>
      <c r="U51" s="89">
        <f>+'2016'!P51+'2017'!P51</f>
        <v>335000</v>
      </c>
      <c r="V51" s="89">
        <f>+'2016'!Q51+'2017'!Q51</f>
        <v>265000</v>
      </c>
      <c r="W51" s="89">
        <f>+'2016'!R51+'2017'!R51</f>
        <v>206939</v>
      </c>
      <c r="X51" s="27">
        <f t="shared" si="0"/>
        <v>0.79104477611940294</v>
      </c>
      <c r="Y51" s="23">
        <f t="shared" si="1"/>
        <v>0.78090188679245287</v>
      </c>
    </row>
    <row r="52" spans="2:25" ht="60">
      <c r="B52" s="275"/>
      <c r="C52" s="272"/>
      <c r="D52" s="267"/>
      <c r="E52" s="54" t="s">
        <v>65</v>
      </c>
      <c r="F52" s="89">
        <v>8173</v>
      </c>
      <c r="G52" s="89">
        <f>'2016'!J52</f>
        <v>8173</v>
      </c>
      <c r="H52" s="123">
        <f>'2017'!J52</f>
        <v>8173</v>
      </c>
      <c r="I52" s="123">
        <f>'2018'!J52</f>
        <v>8173</v>
      </c>
      <c r="J52" s="123">
        <f>'2019'!J52</f>
        <v>8173</v>
      </c>
      <c r="K52" s="153">
        <f>'2016'!K52</f>
        <v>3461</v>
      </c>
      <c r="L52" s="123">
        <f>'2017'!K52</f>
        <v>19407</v>
      </c>
      <c r="M52" s="123">
        <f>'2018'!K52</f>
        <v>25741</v>
      </c>
      <c r="N52" s="90">
        <f>'2019'!K52</f>
        <v>0</v>
      </c>
      <c r="O52" s="129">
        <f>'2016'!N52</f>
        <v>0.42346751498837637</v>
      </c>
      <c r="P52" s="130">
        <f>'2017'!N52</f>
        <v>1</v>
      </c>
      <c r="Q52" s="139">
        <f>'2018'!N52</f>
        <v>1</v>
      </c>
      <c r="R52" s="130">
        <f>'2019'!N52</f>
        <v>0</v>
      </c>
      <c r="S52" s="163">
        <v>1</v>
      </c>
      <c r="T52" s="111">
        <v>2210900</v>
      </c>
      <c r="U52" s="89">
        <f>+'2016'!P52+'2017'!P52</f>
        <v>75000</v>
      </c>
      <c r="V52" s="89">
        <f>+'2016'!Q52+'2017'!Q52</f>
        <v>75000</v>
      </c>
      <c r="W52" s="89">
        <f>+'2016'!R52+'2017'!R52</f>
        <v>485000</v>
      </c>
      <c r="X52" s="27">
        <f t="shared" si="0"/>
        <v>1</v>
      </c>
      <c r="Y52" s="23">
        <f t="shared" si="1"/>
        <v>6.4666666666666668</v>
      </c>
    </row>
    <row r="53" spans="2:25" ht="45">
      <c r="B53" s="275"/>
      <c r="C53" s="272"/>
      <c r="D53" s="267"/>
      <c r="E53" s="54" t="s">
        <v>66</v>
      </c>
      <c r="F53" s="89">
        <v>47</v>
      </c>
      <c r="G53" s="89">
        <f>'2016'!J53</f>
        <v>47</v>
      </c>
      <c r="H53" s="123">
        <f>'2017'!J53</f>
        <v>47</v>
      </c>
      <c r="I53" s="123">
        <f>'2018'!J53</f>
        <v>47</v>
      </c>
      <c r="J53" s="123">
        <f>'2019'!J53</f>
        <v>47</v>
      </c>
      <c r="K53" s="153">
        <f>'2016'!K53</f>
        <v>47</v>
      </c>
      <c r="L53" s="123">
        <f>'2017'!K53</f>
        <v>30</v>
      </c>
      <c r="M53" s="123">
        <f>'2018'!K53</f>
        <v>47</v>
      </c>
      <c r="N53" s="90">
        <f>'2019'!K53</f>
        <v>0</v>
      </c>
      <c r="O53" s="129">
        <f>'2016'!N53</f>
        <v>1</v>
      </c>
      <c r="P53" s="130">
        <f>'2017'!N53</f>
        <v>0.63829787234042556</v>
      </c>
      <c r="Q53" s="139">
        <f>'2018'!N53</f>
        <v>1</v>
      </c>
      <c r="R53" s="130">
        <f>'2019'!N53</f>
        <v>0</v>
      </c>
      <c r="S53" s="163">
        <v>0.40957446808510639</v>
      </c>
      <c r="T53" s="111">
        <v>2210900</v>
      </c>
      <c r="U53" s="89">
        <f>+'2016'!P53+'2017'!P53</f>
        <v>50000</v>
      </c>
      <c r="V53" s="89">
        <f>+'2016'!Q53+'2017'!Q53</f>
        <v>50000</v>
      </c>
      <c r="W53" s="89">
        <f>+'2016'!R53+'2017'!R53</f>
        <v>12000</v>
      </c>
      <c r="X53" s="27">
        <f t="shared" si="0"/>
        <v>1</v>
      </c>
      <c r="Y53" s="23">
        <f t="shared" si="1"/>
        <v>0.24</v>
      </c>
    </row>
    <row r="54" spans="2:25" ht="45">
      <c r="B54" s="275"/>
      <c r="C54" s="272"/>
      <c r="D54" s="267"/>
      <c r="E54" s="54" t="s">
        <v>67</v>
      </c>
      <c r="F54" s="27">
        <v>1</v>
      </c>
      <c r="G54" s="27">
        <f>'2016'!J54</f>
        <v>1</v>
      </c>
      <c r="H54" s="32">
        <f>'2017'!J54</f>
        <v>1</v>
      </c>
      <c r="I54" s="32">
        <f>'2018'!J54</f>
        <v>1</v>
      </c>
      <c r="J54" s="32">
        <f>'2019'!J54</f>
        <v>1</v>
      </c>
      <c r="K54" s="155">
        <f>'2016'!K54</f>
        <v>0.1333</v>
      </c>
      <c r="L54" s="32">
        <f>'2017'!K54</f>
        <v>1</v>
      </c>
      <c r="M54" s="32">
        <f>'2018'!K54</f>
        <v>1</v>
      </c>
      <c r="N54" s="23">
        <f>'2019'!K54</f>
        <v>0</v>
      </c>
      <c r="O54" s="129">
        <f>'2016'!N54</f>
        <v>0.1333</v>
      </c>
      <c r="P54" s="130">
        <f>'2017'!N54</f>
        <v>1</v>
      </c>
      <c r="Q54" s="139">
        <f>'2018'!N54</f>
        <v>1</v>
      </c>
      <c r="R54" s="130">
        <f>'2019'!N54</f>
        <v>0</v>
      </c>
      <c r="S54" s="163">
        <v>0.28332499999999999</v>
      </c>
      <c r="T54" s="111">
        <v>2210900</v>
      </c>
      <c r="U54" s="89">
        <f>+'2016'!P54+'2017'!P54</f>
        <v>49500</v>
      </c>
      <c r="V54" s="89">
        <f>+'2016'!Q54+'2017'!Q54</f>
        <v>49500</v>
      </c>
      <c r="W54" s="89">
        <f>+'2016'!R54+'2017'!R54</f>
        <v>0</v>
      </c>
      <c r="X54" s="27">
        <f t="shared" si="0"/>
        <v>1</v>
      </c>
      <c r="Y54" s="23" t="str">
        <f t="shared" si="1"/>
        <v xml:space="preserve"> -</v>
      </c>
    </row>
    <row r="55" spans="2:25" ht="45">
      <c r="B55" s="275"/>
      <c r="C55" s="272"/>
      <c r="D55" s="267"/>
      <c r="E55" s="54" t="s">
        <v>68</v>
      </c>
      <c r="F55" s="27">
        <v>1</v>
      </c>
      <c r="G55" s="27">
        <f>'2016'!J55</f>
        <v>1</v>
      </c>
      <c r="H55" s="32">
        <f>'2017'!J55</f>
        <v>1</v>
      </c>
      <c r="I55" s="32">
        <f>'2018'!J55</f>
        <v>1</v>
      </c>
      <c r="J55" s="32">
        <f>'2019'!J55</f>
        <v>1</v>
      </c>
      <c r="K55" s="155">
        <f>'2016'!K55</f>
        <v>0</v>
      </c>
      <c r="L55" s="32">
        <f>'2017'!K55</f>
        <v>0.56999999999999995</v>
      </c>
      <c r="M55" s="32">
        <f>'2018'!K55</f>
        <v>0.64</v>
      </c>
      <c r="N55" s="23">
        <f>'2019'!K55</f>
        <v>0</v>
      </c>
      <c r="O55" s="129">
        <f>'2016'!N55</f>
        <v>0</v>
      </c>
      <c r="P55" s="130">
        <f>'2017'!N55</f>
        <v>0.56999999999999995</v>
      </c>
      <c r="Q55" s="139">
        <f>'2018'!N55</f>
        <v>0.64</v>
      </c>
      <c r="R55" s="130">
        <f>'2019'!N55</f>
        <v>0</v>
      </c>
      <c r="S55" s="163">
        <v>0.30249999999999999</v>
      </c>
      <c r="T55" s="111">
        <v>0</v>
      </c>
      <c r="U55" s="89">
        <f>+'2016'!P55+'2017'!P55</f>
        <v>0</v>
      </c>
      <c r="V55" s="89">
        <f>+'2016'!Q55+'2017'!Q55</f>
        <v>0</v>
      </c>
      <c r="W55" s="89">
        <f>+'2016'!R55+'2017'!R55</f>
        <v>0</v>
      </c>
      <c r="X55" s="27" t="str">
        <f t="shared" si="0"/>
        <v xml:space="preserve"> -</v>
      </c>
      <c r="Y55" s="23" t="str">
        <f t="shared" si="1"/>
        <v xml:space="preserve"> -</v>
      </c>
    </row>
    <row r="56" spans="2:25" ht="60">
      <c r="B56" s="275"/>
      <c r="C56" s="272"/>
      <c r="D56" s="267"/>
      <c r="E56" s="10" t="s">
        <v>69</v>
      </c>
      <c r="F56" s="89">
        <v>12</v>
      </c>
      <c r="G56" s="89">
        <f>'2016'!J56</f>
        <v>0</v>
      </c>
      <c r="H56" s="123">
        <f>'2017'!J56</f>
        <v>4</v>
      </c>
      <c r="I56" s="123">
        <f>'2018'!J56</f>
        <v>4</v>
      </c>
      <c r="J56" s="123">
        <f>'2019'!J56</f>
        <v>4</v>
      </c>
      <c r="K56" s="153">
        <f>'2016'!K56</f>
        <v>0</v>
      </c>
      <c r="L56" s="123">
        <f>'2017'!K56</f>
        <v>16</v>
      </c>
      <c r="M56" s="123">
        <f>'2018'!K56</f>
        <v>0</v>
      </c>
      <c r="N56" s="90">
        <f>'2019'!K56</f>
        <v>0</v>
      </c>
      <c r="O56" s="129" t="str">
        <f>'2016'!N56</f>
        <v xml:space="preserve"> -</v>
      </c>
      <c r="P56" s="130">
        <f>'2017'!N56</f>
        <v>1</v>
      </c>
      <c r="Q56" s="139">
        <f>'2018'!N56</f>
        <v>0</v>
      </c>
      <c r="R56" s="130">
        <f>'2019'!N56</f>
        <v>0</v>
      </c>
      <c r="S56" s="163">
        <v>1</v>
      </c>
      <c r="T56" s="111">
        <v>0</v>
      </c>
      <c r="U56" s="89">
        <f>+'2016'!P56+'2017'!P56</f>
        <v>0</v>
      </c>
      <c r="V56" s="89">
        <f>+'2016'!Q56+'2017'!Q56</f>
        <v>0</v>
      </c>
      <c r="W56" s="89">
        <f>+'2016'!R56+'2017'!R56</f>
        <v>0</v>
      </c>
      <c r="X56" s="27" t="str">
        <f t="shared" si="0"/>
        <v xml:space="preserve"> -</v>
      </c>
      <c r="Y56" s="23" t="str">
        <f t="shared" si="1"/>
        <v xml:space="preserve"> -</v>
      </c>
    </row>
    <row r="57" spans="2:25" ht="60">
      <c r="B57" s="275"/>
      <c r="C57" s="272"/>
      <c r="D57" s="267"/>
      <c r="E57" s="10" t="s">
        <v>70</v>
      </c>
      <c r="F57" s="89">
        <v>4</v>
      </c>
      <c r="G57" s="89">
        <f>'2016'!J57</f>
        <v>4</v>
      </c>
      <c r="H57" s="123">
        <f>'2017'!J57</f>
        <v>4</v>
      </c>
      <c r="I57" s="123">
        <f>'2018'!J57</f>
        <v>4</v>
      </c>
      <c r="J57" s="123">
        <f>'2019'!J57</f>
        <v>4</v>
      </c>
      <c r="K57" s="153">
        <f>'2016'!K57</f>
        <v>0</v>
      </c>
      <c r="L57" s="123">
        <f>'2017'!K57</f>
        <v>4</v>
      </c>
      <c r="M57" s="123">
        <f>'2018'!K57</f>
        <v>4</v>
      </c>
      <c r="N57" s="90">
        <f>'2019'!K57</f>
        <v>0</v>
      </c>
      <c r="O57" s="129">
        <f>'2016'!N57</f>
        <v>0</v>
      </c>
      <c r="P57" s="130">
        <f>'2017'!N57</f>
        <v>1</v>
      </c>
      <c r="Q57" s="139">
        <f>'2018'!N57</f>
        <v>1</v>
      </c>
      <c r="R57" s="130">
        <f>'2019'!N57</f>
        <v>0</v>
      </c>
      <c r="S57" s="163">
        <v>0.5</v>
      </c>
      <c r="T57" s="111">
        <v>2210900</v>
      </c>
      <c r="U57" s="89">
        <f>+'2016'!P57+'2017'!P57</f>
        <v>190125</v>
      </c>
      <c r="V57" s="89">
        <f>+'2016'!Q57+'2017'!Q57</f>
        <v>120125</v>
      </c>
      <c r="W57" s="89">
        <f>+'2016'!R57+'2017'!R57</f>
        <v>51801</v>
      </c>
      <c r="X57" s="27">
        <f t="shared" si="0"/>
        <v>0.63182117028270879</v>
      </c>
      <c r="Y57" s="23">
        <f t="shared" si="1"/>
        <v>0.4312258064516129</v>
      </c>
    </row>
    <row r="58" spans="2:25" ht="45">
      <c r="B58" s="275"/>
      <c r="C58" s="272"/>
      <c r="D58" s="267"/>
      <c r="E58" s="10" t="s">
        <v>71</v>
      </c>
      <c r="F58" s="89">
        <v>8</v>
      </c>
      <c r="G58" s="89">
        <f>'2016'!J58</f>
        <v>0</v>
      </c>
      <c r="H58" s="123">
        <f>'2017'!J58</f>
        <v>4</v>
      </c>
      <c r="I58" s="123">
        <f>'2018'!J58</f>
        <v>2</v>
      </c>
      <c r="J58" s="123">
        <f>'2019'!J58</f>
        <v>2</v>
      </c>
      <c r="K58" s="153">
        <f>'2016'!K58</f>
        <v>0</v>
      </c>
      <c r="L58" s="123">
        <f>'2017'!K58</f>
        <v>2</v>
      </c>
      <c r="M58" s="123">
        <f>'2018'!K58</f>
        <v>1</v>
      </c>
      <c r="N58" s="90">
        <f>'2019'!K58</f>
        <v>0</v>
      </c>
      <c r="O58" s="129" t="str">
        <f>'2016'!N58</f>
        <v xml:space="preserve"> -</v>
      </c>
      <c r="P58" s="130">
        <f>'2017'!N58</f>
        <v>0.5</v>
      </c>
      <c r="Q58" s="139">
        <f>'2018'!N58</f>
        <v>0.5</v>
      </c>
      <c r="R58" s="130">
        <f>'2019'!N58</f>
        <v>0</v>
      </c>
      <c r="S58" s="163">
        <v>0.25</v>
      </c>
      <c r="T58" s="111" t="s">
        <v>133</v>
      </c>
      <c r="U58" s="89">
        <f>+'2016'!P58+'2017'!P58</f>
        <v>42432</v>
      </c>
      <c r="V58" s="89">
        <f>+'2016'!Q58+'2017'!Q58</f>
        <v>42432</v>
      </c>
      <c r="W58" s="89">
        <f>+'2016'!R58+'2017'!R58</f>
        <v>0</v>
      </c>
      <c r="X58" s="27">
        <f t="shared" si="0"/>
        <v>1</v>
      </c>
      <c r="Y58" s="23" t="str">
        <f t="shared" si="1"/>
        <v xml:space="preserve"> -</v>
      </c>
    </row>
    <row r="59" spans="2:25" ht="45">
      <c r="B59" s="275"/>
      <c r="C59" s="272"/>
      <c r="D59" s="267"/>
      <c r="E59" s="10" t="s">
        <v>72</v>
      </c>
      <c r="F59" s="89">
        <v>340</v>
      </c>
      <c r="G59" s="89">
        <f>'2016'!J59</f>
        <v>0</v>
      </c>
      <c r="H59" s="123">
        <f>'2017'!J59</f>
        <v>110</v>
      </c>
      <c r="I59" s="123">
        <f>'2018'!J59</f>
        <v>115</v>
      </c>
      <c r="J59" s="123">
        <f>'2019'!J59</f>
        <v>115</v>
      </c>
      <c r="K59" s="153">
        <f>'2016'!K59</f>
        <v>51</v>
      </c>
      <c r="L59" s="123">
        <f>'2017'!K59</f>
        <v>0</v>
      </c>
      <c r="M59" s="123">
        <f>'2018'!K59</f>
        <v>0</v>
      </c>
      <c r="N59" s="90">
        <f>'2019'!K59</f>
        <v>0</v>
      </c>
      <c r="O59" s="129" t="str">
        <f>'2016'!N59</f>
        <v xml:space="preserve"> -</v>
      </c>
      <c r="P59" s="130">
        <f>'2017'!N59</f>
        <v>0</v>
      </c>
      <c r="Q59" s="139">
        <f>'2018'!N59</f>
        <v>0</v>
      </c>
      <c r="R59" s="130">
        <f>'2019'!N59</f>
        <v>0</v>
      </c>
      <c r="S59" s="163">
        <v>0.15</v>
      </c>
      <c r="T59" s="111">
        <v>0</v>
      </c>
      <c r="U59" s="89">
        <f>+'2016'!P59+'2017'!P59</f>
        <v>0</v>
      </c>
      <c r="V59" s="89">
        <f>+'2016'!Q59+'2017'!Q59</f>
        <v>0</v>
      </c>
      <c r="W59" s="89">
        <f>+'2016'!R59+'2017'!R59</f>
        <v>462000</v>
      </c>
      <c r="X59" s="27" t="str">
        <f t="shared" si="0"/>
        <v xml:space="preserve"> -</v>
      </c>
      <c r="Y59" s="23">
        <f t="shared" si="1"/>
        <v>1</v>
      </c>
    </row>
    <row r="60" spans="2:25" ht="75">
      <c r="B60" s="275"/>
      <c r="C60" s="272"/>
      <c r="D60" s="267"/>
      <c r="E60" s="10" t="s">
        <v>73</v>
      </c>
      <c r="F60" s="89">
        <v>2500</v>
      </c>
      <c r="G60" s="89">
        <f>'2016'!J60</f>
        <v>725</v>
      </c>
      <c r="H60" s="123">
        <f>'2017'!J60</f>
        <v>625</v>
      </c>
      <c r="I60" s="123">
        <f>'2018'!J60</f>
        <v>625</v>
      </c>
      <c r="J60" s="123">
        <f>'2019'!J60</f>
        <v>525</v>
      </c>
      <c r="K60" s="153">
        <f>'2016'!K60</f>
        <v>767</v>
      </c>
      <c r="L60" s="123">
        <f>'2017'!K60</f>
        <v>791</v>
      </c>
      <c r="M60" s="123">
        <f>'2018'!K60</f>
        <v>1245</v>
      </c>
      <c r="N60" s="90">
        <f>'2019'!K60</f>
        <v>0</v>
      </c>
      <c r="O60" s="129">
        <f>'2016'!N60</f>
        <v>1</v>
      </c>
      <c r="P60" s="130">
        <f>'2017'!N60</f>
        <v>1</v>
      </c>
      <c r="Q60" s="139">
        <f>'2018'!N60</f>
        <v>1</v>
      </c>
      <c r="R60" s="130">
        <f>'2019'!N60</f>
        <v>0</v>
      </c>
      <c r="S60" s="163">
        <v>0.80640000000000001</v>
      </c>
      <c r="T60" s="111">
        <v>2210900</v>
      </c>
      <c r="U60" s="89">
        <f>+'2016'!P60+'2017'!P60</f>
        <v>274736</v>
      </c>
      <c r="V60" s="89">
        <f>+'2016'!Q60+'2017'!Q60</f>
        <v>0</v>
      </c>
      <c r="W60" s="89">
        <f>+'2016'!R60+'2017'!R60</f>
        <v>0</v>
      </c>
      <c r="X60" s="27">
        <f t="shared" si="0"/>
        <v>0</v>
      </c>
      <c r="Y60" s="23" t="str">
        <f t="shared" si="1"/>
        <v xml:space="preserve"> -</v>
      </c>
    </row>
    <row r="61" spans="2:25" ht="45">
      <c r="B61" s="275"/>
      <c r="C61" s="272"/>
      <c r="D61" s="267"/>
      <c r="E61" s="10" t="s">
        <v>74</v>
      </c>
      <c r="F61" s="89">
        <v>4</v>
      </c>
      <c r="G61" s="89">
        <f>'2016'!J61</f>
        <v>1</v>
      </c>
      <c r="H61" s="123">
        <f>'2017'!J61</f>
        <v>1</v>
      </c>
      <c r="I61" s="123">
        <f>'2018'!J61</f>
        <v>1</v>
      </c>
      <c r="J61" s="123">
        <f>'2019'!J61</f>
        <v>1</v>
      </c>
      <c r="K61" s="153">
        <f>'2016'!K61</f>
        <v>0</v>
      </c>
      <c r="L61" s="123">
        <f>'2017'!K61</f>
        <v>2</v>
      </c>
      <c r="M61" s="123">
        <f>'2018'!K61</f>
        <v>2</v>
      </c>
      <c r="N61" s="90">
        <f>'2019'!K61</f>
        <v>0</v>
      </c>
      <c r="O61" s="129">
        <f>'2016'!N61</f>
        <v>0</v>
      </c>
      <c r="P61" s="130">
        <f>'2017'!N61</f>
        <v>1</v>
      </c>
      <c r="Q61" s="139">
        <f>'2018'!N61</f>
        <v>1</v>
      </c>
      <c r="R61" s="130">
        <f>'2019'!N61</f>
        <v>0</v>
      </c>
      <c r="S61" s="163">
        <v>0.5</v>
      </c>
      <c r="T61" s="111">
        <v>2210902</v>
      </c>
      <c r="U61" s="89">
        <f>+'2016'!P61+'2017'!P61</f>
        <v>225000</v>
      </c>
      <c r="V61" s="89">
        <f>+'2016'!Q61+'2017'!Q61</f>
        <v>0</v>
      </c>
      <c r="W61" s="89">
        <f>+'2016'!R61+'2017'!R61</f>
        <v>0</v>
      </c>
      <c r="X61" s="27">
        <f t="shared" si="0"/>
        <v>0</v>
      </c>
      <c r="Y61" s="23" t="str">
        <f t="shared" si="1"/>
        <v xml:space="preserve"> -</v>
      </c>
    </row>
    <row r="62" spans="2:25" ht="45">
      <c r="B62" s="275"/>
      <c r="C62" s="272"/>
      <c r="D62" s="267"/>
      <c r="E62" s="10" t="s">
        <v>75</v>
      </c>
      <c r="F62" s="89">
        <v>47</v>
      </c>
      <c r="G62" s="89">
        <f>'2016'!J62</f>
        <v>47</v>
      </c>
      <c r="H62" s="123">
        <f>'2017'!J62</f>
        <v>47</v>
      </c>
      <c r="I62" s="123">
        <f>'2018'!J62</f>
        <v>47</v>
      </c>
      <c r="J62" s="123">
        <f>'2019'!J62</f>
        <v>47</v>
      </c>
      <c r="K62" s="153">
        <f>'2016'!K62</f>
        <v>12</v>
      </c>
      <c r="L62" s="123">
        <f>'2017'!K62</f>
        <v>42</v>
      </c>
      <c r="M62" s="123">
        <f>'2018'!K62</f>
        <v>47</v>
      </c>
      <c r="N62" s="90">
        <f>'2019'!K62</f>
        <v>0</v>
      </c>
      <c r="O62" s="129">
        <f>'2016'!N62</f>
        <v>0.25531914893617019</v>
      </c>
      <c r="P62" s="130">
        <f>'2017'!N62</f>
        <v>0.8936170212765957</v>
      </c>
      <c r="Q62" s="139">
        <f>'2018'!N62</f>
        <v>1</v>
      </c>
      <c r="R62" s="130">
        <f>'2019'!N62</f>
        <v>0</v>
      </c>
      <c r="S62" s="163">
        <v>0.53723404255319152</v>
      </c>
      <c r="T62" s="111">
        <v>0</v>
      </c>
      <c r="U62" s="89">
        <f>+'2016'!P62+'2017'!P62</f>
        <v>0</v>
      </c>
      <c r="V62" s="89">
        <f>+'2016'!Q62+'2017'!Q62</f>
        <v>0</v>
      </c>
      <c r="W62" s="89">
        <f>+'2016'!R62+'2017'!R62</f>
        <v>0</v>
      </c>
      <c r="X62" s="27" t="str">
        <f t="shared" si="0"/>
        <v xml:space="preserve"> -</v>
      </c>
      <c r="Y62" s="23" t="str">
        <f t="shared" si="1"/>
        <v xml:space="preserve"> -</v>
      </c>
    </row>
    <row r="63" spans="2:25" ht="30">
      <c r="B63" s="275"/>
      <c r="C63" s="272"/>
      <c r="D63" s="267"/>
      <c r="E63" s="10" t="s">
        <v>76</v>
      </c>
      <c r="F63" s="89">
        <v>20</v>
      </c>
      <c r="G63" s="89">
        <f>'2016'!J63</f>
        <v>0</v>
      </c>
      <c r="H63" s="123">
        <f>'2017'!J63</f>
        <v>7</v>
      </c>
      <c r="I63" s="123">
        <f>'2018'!J63</f>
        <v>7</v>
      </c>
      <c r="J63" s="123">
        <f>'2019'!J63</f>
        <v>6</v>
      </c>
      <c r="K63" s="153">
        <f>'2016'!K63</f>
        <v>0</v>
      </c>
      <c r="L63" s="123">
        <f>'2017'!K63</f>
        <v>10</v>
      </c>
      <c r="M63" s="123">
        <f>'2018'!K63</f>
        <v>0</v>
      </c>
      <c r="N63" s="90">
        <f>'2019'!K63</f>
        <v>0</v>
      </c>
      <c r="O63" s="129" t="str">
        <f>'2016'!N63</f>
        <v xml:space="preserve"> -</v>
      </c>
      <c r="P63" s="130">
        <f>'2017'!N63</f>
        <v>1</v>
      </c>
      <c r="Q63" s="139">
        <f>'2018'!N63</f>
        <v>0</v>
      </c>
      <c r="R63" s="130">
        <f>'2019'!N63</f>
        <v>0</v>
      </c>
      <c r="S63" s="163">
        <v>0.5</v>
      </c>
      <c r="T63" s="111">
        <v>0</v>
      </c>
      <c r="U63" s="89">
        <f>+'2016'!P63+'2017'!P63</f>
        <v>0</v>
      </c>
      <c r="V63" s="89">
        <f>+'2016'!Q63+'2017'!Q63</f>
        <v>0</v>
      </c>
      <c r="W63" s="89">
        <f>+'2016'!R63+'2017'!R63</f>
        <v>20000</v>
      </c>
      <c r="X63" s="27" t="str">
        <f t="shared" si="0"/>
        <v xml:space="preserve"> -</v>
      </c>
      <c r="Y63" s="23">
        <f t="shared" si="1"/>
        <v>1</v>
      </c>
    </row>
    <row r="64" spans="2:25" ht="30">
      <c r="B64" s="275"/>
      <c r="C64" s="272"/>
      <c r="D64" s="267"/>
      <c r="E64" s="10" t="s">
        <v>77</v>
      </c>
      <c r="F64" s="89">
        <v>1</v>
      </c>
      <c r="G64" s="89">
        <f>'2016'!J64</f>
        <v>0</v>
      </c>
      <c r="H64" s="123">
        <f>'2017'!J64</f>
        <v>1</v>
      </c>
      <c r="I64" s="123">
        <f>'2018'!J64</f>
        <v>0</v>
      </c>
      <c r="J64" s="123">
        <f>'2019'!J64</f>
        <v>0</v>
      </c>
      <c r="K64" s="153">
        <f>'2016'!K64</f>
        <v>0</v>
      </c>
      <c r="L64" s="123">
        <f>'2017'!K64</f>
        <v>0</v>
      </c>
      <c r="M64" s="123">
        <f>'2018'!K64</f>
        <v>0</v>
      </c>
      <c r="N64" s="90">
        <f>'2019'!K64</f>
        <v>0</v>
      </c>
      <c r="O64" s="129" t="str">
        <f>'2016'!N64</f>
        <v xml:space="preserve"> -</v>
      </c>
      <c r="P64" s="130">
        <f>'2017'!N64</f>
        <v>0</v>
      </c>
      <c r="Q64" s="139" t="str">
        <f>'2018'!N64</f>
        <v xml:space="preserve"> -</v>
      </c>
      <c r="R64" s="130" t="str">
        <f>'2019'!N64</f>
        <v xml:space="preserve"> -</v>
      </c>
      <c r="S64" s="163">
        <v>0</v>
      </c>
      <c r="T64" s="111" t="s">
        <v>129</v>
      </c>
      <c r="U64" s="89">
        <f>+'2016'!P64+'2017'!P64</f>
        <v>0</v>
      </c>
      <c r="V64" s="89">
        <f>+'2016'!Q64+'2017'!Q64</f>
        <v>0</v>
      </c>
      <c r="W64" s="89">
        <f>+'2016'!R64+'2017'!R64</f>
        <v>0</v>
      </c>
      <c r="X64" s="27" t="str">
        <f t="shared" si="0"/>
        <v xml:space="preserve"> -</v>
      </c>
      <c r="Y64" s="23" t="str">
        <f t="shared" si="1"/>
        <v xml:space="preserve"> -</v>
      </c>
    </row>
    <row r="65" spans="2:25" ht="60">
      <c r="B65" s="275"/>
      <c r="C65" s="272"/>
      <c r="D65" s="267"/>
      <c r="E65" s="10" t="s">
        <v>78</v>
      </c>
      <c r="F65" s="27">
        <v>1</v>
      </c>
      <c r="G65" s="27">
        <f>'2016'!J65</f>
        <v>1</v>
      </c>
      <c r="H65" s="32">
        <f>'2017'!J65</f>
        <v>1</v>
      </c>
      <c r="I65" s="32">
        <f>'2018'!J65</f>
        <v>1</v>
      </c>
      <c r="J65" s="32">
        <f>'2019'!J65</f>
        <v>1</v>
      </c>
      <c r="K65" s="155">
        <f>'2016'!K65</f>
        <v>0</v>
      </c>
      <c r="L65" s="32">
        <f>'2017'!K65</f>
        <v>0.8</v>
      </c>
      <c r="M65" s="32">
        <f>'2018'!K65</f>
        <v>0.7</v>
      </c>
      <c r="N65" s="23">
        <f>'2019'!K65</f>
        <v>0</v>
      </c>
      <c r="O65" s="129">
        <f>'2016'!N65</f>
        <v>0</v>
      </c>
      <c r="P65" s="130">
        <f>'2017'!N65</f>
        <v>0.8</v>
      </c>
      <c r="Q65" s="139">
        <f>'2018'!N65</f>
        <v>0.7</v>
      </c>
      <c r="R65" s="130">
        <f>'2019'!N65</f>
        <v>0</v>
      </c>
      <c r="S65" s="163">
        <v>0.33250000000000002</v>
      </c>
      <c r="T65" s="111">
        <v>2210326</v>
      </c>
      <c r="U65" s="89">
        <f>+'2016'!P65+'2017'!P65</f>
        <v>621720</v>
      </c>
      <c r="V65" s="89">
        <f>+'2016'!Q65+'2017'!Q65</f>
        <v>0</v>
      </c>
      <c r="W65" s="89">
        <f>+'2016'!R65+'2017'!R65</f>
        <v>0</v>
      </c>
      <c r="X65" s="27">
        <f t="shared" si="0"/>
        <v>0</v>
      </c>
      <c r="Y65" s="23" t="str">
        <f t="shared" si="1"/>
        <v xml:space="preserve"> -</v>
      </c>
    </row>
    <row r="66" spans="2:25" ht="45">
      <c r="B66" s="275"/>
      <c r="C66" s="272"/>
      <c r="D66" s="267"/>
      <c r="E66" s="10" t="s">
        <v>79</v>
      </c>
      <c r="F66" s="27">
        <v>1</v>
      </c>
      <c r="G66" s="27">
        <f>'2016'!J66</f>
        <v>1</v>
      </c>
      <c r="H66" s="32">
        <f>'2017'!J66</f>
        <v>1</v>
      </c>
      <c r="I66" s="32">
        <f>'2018'!J66</f>
        <v>1</v>
      </c>
      <c r="J66" s="32">
        <f>'2019'!J66</f>
        <v>1</v>
      </c>
      <c r="K66" s="155">
        <f>'2016'!K66</f>
        <v>1</v>
      </c>
      <c r="L66" s="32">
        <f>'2017'!K66</f>
        <v>1</v>
      </c>
      <c r="M66" s="32">
        <f>'2018'!K66</f>
        <v>1</v>
      </c>
      <c r="N66" s="23">
        <f>'2019'!K66</f>
        <v>0</v>
      </c>
      <c r="O66" s="129">
        <f>'2016'!N66</f>
        <v>1</v>
      </c>
      <c r="P66" s="130">
        <f>'2017'!N66</f>
        <v>1</v>
      </c>
      <c r="Q66" s="139">
        <f>'2018'!N66</f>
        <v>1</v>
      </c>
      <c r="R66" s="130">
        <f>'2019'!N66</f>
        <v>0</v>
      </c>
      <c r="S66" s="163">
        <v>0.75</v>
      </c>
      <c r="T66" s="111">
        <v>2210899</v>
      </c>
      <c r="U66" s="89">
        <f>+'2016'!P66+'2017'!P66</f>
        <v>1822738</v>
      </c>
      <c r="V66" s="89">
        <f>+'2016'!Q66+'2017'!Q66</f>
        <v>1759346</v>
      </c>
      <c r="W66" s="89">
        <f>+'2016'!R66+'2017'!R66</f>
        <v>0</v>
      </c>
      <c r="X66" s="27">
        <f t="shared" si="0"/>
        <v>0.96522155131456089</v>
      </c>
      <c r="Y66" s="23" t="str">
        <f t="shared" si="1"/>
        <v xml:space="preserve"> -</v>
      </c>
    </row>
    <row r="67" spans="2:25" ht="60">
      <c r="B67" s="275"/>
      <c r="C67" s="272"/>
      <c r="D67" s="267"/>
      <c r="E67" s="10" t="s">
        <v>80</v>
      </c>
      <c r="F67" s="89">
        <v>1</v>
      </c>
      <c r="G67" s="89">
        <f>'2016'!J67</f>
        <v>1</v>
      </c>
      <c r="H67" s="123">
        <f>'2017'!J67</f>
        <v>1</v>
      </c>
      <c r="I67" s="123">
        <f>'2018'!J67</f>
        <v>1</v>
      </c>
      <c r="J67" s="123">
        <f>'2019'!J67</f>
        <v>1</v>
      </c>
      <c r="K67" s="153">
        <f>'2016'!K67</f>
        <v>0.7</v>
      </c>
      <c r="L67" s="123">
        <f>'2017'!K67</f>
        <v>1</v>
      </c>
      <c r="M67" s="123">
        <f>'2018'!K67</f>
        <v>0.2</v>
      </c>
      <c r="N67" s="90">
        <f>'2019'!K67</f>
        <v>0</v>
      </c>
      <c r="O67" s="129">
        <f>'2016'!N67</f>
        <v>0.7</v>
      </c>
      <c r="P67" s="130">
        <f>'2017'!N67</f>
        <v>1</v>
      </c>
      <c r="Q67" s="139">
        <f>'2018'!N67</f>
        <v>0.2</v>
      </c>
      <c r="R67" s="130">
        <f>'2019'!N67</f>
        <v>0</v>
      </c>
      <c r="S67" s="163">
        <v>0.47499999999999998</v>
      </c>
      <c r="T67" s="111">
        <v>2210013</v>
      </c>
      <c r="U67" s="89">
        <f>+'2016'!P67+'2017'!P67</f>
        <v>102687</v>
      </c>
      <c r="V67" s="89">
        <f>+'2016'!Q67+'2017'!Q67</f>
        <v>102687</v>
      </c>
      <c r="W67" s="89">
        <f>+'2016'!R67+'2017'!R67</f>
        <v>25714</v>
      </c>
      <c r="X67" s="27">
        <f t="shared" si="0"/>
        <v>1</v>
      </c>
      <c r="Y67" s="23">
        <f t="shared" si="1"/>
        <v>0.25041144448664387</v>
      </c>
    </row>
    <row r="68" spans="2:25" ht="46" thickBot="1">
      <c r="B68" s="276"/>
      <c r="C68" s="273"/>
      <c r="D68" s="270"/>
      <c r="E68" s="11" t="s">
        <v>81</v>
      </c>
      <c r="F68" s="91">
        <v>20</v>
      </c>
      <c r="G68" s="91">
        <f>'2016'!J68</f>
        <v>0</v>
      </c>
      <c r="H68" s="124">
        <f>'2017'!J68</f>
        <v>7</v>
      </c>
      <c r="I68" s="124">
        <f>'2018'!J68</f>
        <v>7</v>
      </c>
      <c r="J68" s="124">
        <f>'2019'!J68</f>
        <v>6</v>
      </c>
      <c r="K68" s="156">
        <f>'2016'!K68</f>
        <v>0</v>
      </c>
      <c r="L68" s="124">
        <f>'2017'!K68</f>
        <v>21</v>
      </c>
      <c r="M68" s="124">
        <f>'2018'!K68</f>
        <v>9</v>
      </c>
      <c r="N68" s="92">
        <f>'2019'!K68</f>
        <v>0</v>
      </c>
      <c r="O68" s="135" t="str">
        <f>'2016'!N68</f>
        <v xml:space="preserve"> -</v>
      </c>
      <c r="P68" s="136">
        <f>'2017'!N68</f>
        <v>1</v>
      </c>
      <c r="Q68" s="141">
        <f>'2018'!N68</f>
        <v>1</v>
      </c>
      <c r="R68" s="136">
        <f>'2019'!N68</f>
        <v>0</v>
      </c>
      <c r="S68" s="167">
        <v>1</v>
      </c>
      <c r="T68" s="113">
        <v>0</v>
      </c>
      <c r="U68" s="89">
        <f>+'2016'!P68+'2017'!P68</f>
        <v>0</v>
      </c>
      <c r="V68" s="89">
        <f>+'2016'!Q68+'2017'!Q68</f>
        <v>0</v>
      </c>
      <c r="W68" s="89">
        <f>+'2016'!R68+'2017'!R68</f>
        <v>0</v>
      </c>
      <c r="X68" s="62" t="str">
        <f t="shared" si="0"/>
        <v xml:space="preserve"> -</v>
      </c>
      <c r="Y68" s="63" t="str">
        <f t="shared" si="1"/>
        <v xml:space="preserve"> -</v>
      </c>
    </row>
    <row r="69" spans="2:25" ht="18" thickBot="1">
      <c r="O69" s="144">
        <f>+AVERAGE(O12,O14,O16,O18:O68)</f>
        <v>0.78017304706615587</v>
      </c>
      <c r="P69" s="145">
        <f t="shared" ref="P69:R69" si="2">+AVERAGE(P12,P14,P16,P18:P68)</f>
        <v>0.81592153594648587</v>
      </c>
      <c r="Q69" s="145">
        <f t="shared" si="2"/>
        <v>0.75128820585585554</v>
      </c>
      <c r="R69" s="145">
        <f t="shared" si="2"/>
        <v>0</v>
      </c>
      <c r="S69" s="143">
        <f>+AVERAGE(S12,S14,S16,S18:S68)</f>
        <v>0.59606326412906863</v>
      </c>
      <c r="T69" s="48"/>
      <c r="U69" s="49">
        <f>+SUM(U12,U14,U16,U18:U68)</f>
        <v>483580964</v>
      </c>
      <c r="V69" s="50">
        <f>+SUM(V12,V14,V16,V18:V68)</f>
        <v>459365395</v>
      </c>
      <c r="W69" s="50">
        <f>+SUM(W12,W14,W16,W18:W68)</f>
        <v>6832258</v>
      </c>
      <c r="X69" s="51">
        <f t="shared" si="0"/>
        <v>0.94992447841681382</v>
      </c>
      <c r="Y69" s="52">
        <f t="shared" si="1"/>
        <v>1.4873253567565751E-2</v>
      </c>
    </row>
  </sheetData>
  <mergeCells count="24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14" t="s">
        <v>128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</row>
    <row r="4" spans="2:15" ht="16" thickBot="1">
      <c r="C4" s="168"/>
      <c r="D4" s="168"/>
      <c r="E4" s="168"/>
      <c r="F4" s="168"/>
      <c r="G4" s="168"/>
      <c r="H4" s="168"/>
      <c r="I4" s="168"/>
    </row>
    <row r="5" spans="2:15" ht="19" customHeight="1">
      <c r="C5" s="168"/>
      <c r="D5" s="168"/>
      <c r="E5" s="317" t="s">
        <v>99</v>
      </c>
      <c r="F5" s="318"/>
      <c r="G5" s="318"/>
      <c r="H5" s="318"/>
      <c r="I5" s="321" t="s">
        <v>97</v>
      </c>
      <c r="J5" s="322"/>
      <c r="K5" s="325" t="s">
        <v>100</v>
      </c>
      <c r="L5" s="326"/>
      <c r="M5" s="326"/>
      <c r="N5" s="326"/>
      <c r="O5" s="327"/>
    </row>
    <row r="6" spans="2:15" ht="19" customHeight="1" thickBot="1">
      <c r="E6" s="319"/>
      <c r="F6" s="320"/>
      <c r="G6" s="320"/>
      <c r="H6" s="320"/>
      <c r="I6" s="323"/>
      <c r="J6" s="324"/>
      <c r="K6" s="328" t="s">
        <v>96</v>
      </c>
      <c r="L6" s="329"/>
      <c r="M6" s="329"/>
      <c r="N6" s="329"/>
      <c r="O6" s="330"/>
    </row>
    <row r="7" spans="2:15" ht="32" customHeight="1" thickBot="1">
      <c r="C7" s="308"/>
      <c r="D7" s="309"/>
      <c r="E7" s="169">
        <v>2016</v>
      </c>
      <c r="F7" s="170">
        <v>2017</v>
      </c>
      <c r="G7" s="170">
        <v>2018</v>
      </c>
      <c r="H7" s="170">
        <v>2019</v>
      </c>
      <c r="I7" s="310" t="s">
        <v>96</v>
      </c>
      <c r="J7" s="311"/>
      <c r="K7" s="171" t="s">
        <v>101</v>
      </c>
      <c r="L7" s="172" t="s">
        <v>102</v>
      </c>
      <c r="M7" s="172" t="s">
        <v>103</v>
      </c>
      <c r="N7" s="172" t="s">
        <v>104</v>
      </c>
      <c r="O7" s="173" t="s">
        <v>105</v>
      </c>
    </row>
    <row r="8" spans="2:15" ht="22" customHeight="1" thickBot="1">
      <c r="B8" s="174">
        <v>1</v>
      </c>
      <c r="C8" s="312" t="s">
        <v>106</v>
      </c>
      <c r="D8" s="313"/>
      <c r="E8" s="175">
        <f>+IF('2016 - 2019'!G12&gt;0,'2016 - 2019'!O12," -")</f>
        <v>1</v>
      </c>
      <c r="F8" s="175">
        <f>+IF('2016 - 2019'!H12&gt;0,'2016 - 2019'!P12," -")</f>
        <v>1</v>
      </c>
      <c r="G8" s="175">
        <f>+IF('2016 - 2019'!I12&gt;0,'2016 - 2019'!Q12," -")</f>
        <v>0.7</v>
      </c>
      <c r="H8" s="175">
        <f>+IF('2016 - 2019'!J12&gt;0,'2016 - 2019'!R12," -")</f>
        <v>0</v>
      </c>
      <c r="I8" s="176">
        <f>+'2016 - 2019'!S12</f>
        <v>0.6</v>
      </c>
      <c r="J8" s="177">
        <f t="shared" ref="J8:J15" si="0">+I8</f>
        <v>0.6</v>
      </c>
      <c r="K8" s="178">
        <f>+K9</f>
        <v>0</v>
      </c>
      <c r="L8" s="179">
        <f t="shared" ref="L8:M9" si="1">+L9</f>
        <v>0</v>
      </c>
      <c r="M8" s="179">
        <f t="shared" si="1"/>
        <v>0</v>
      </c>
      <c r="N8" s="180" t="str">
        <f t="shared" ref="N8:N15" si="2">IF(K8=0,"-",+L8/K8)</f>
        <v>-</v>
      </c>
      <c r="O8" s="181" t="str">
        <f>IF(M8=0," -",IF(L8=0,100%,M8/L8))</f>
        <v xml:space="preserve"> -</v>
      </c>
    </row>
    <row r="9" spans="2:15" ht="20" customHeight="1">
      <c r="B9" s="182" t="s">
        <v>107</v>
      </c>
      <c r="C9" s="302" t="s">
        <v>83</v>
      </c>
      <c r="D9" s="303"/>
      <c r="E9" s="183">
        <f>+IF('2016 - 2019'!G12&gt;0,'2016 - 2019'!O12," -")</f>
        <v>1</v>
      </c>
      <c r="F9" s="183">
        <f>+IF('2016 - 2019'!H12&gt;0,'2016 - 2019'!P12," -")</f>
        <v>1</v>
      </c>
      <c r="G9" s="183">
        <f>+IF('2016 - 2019'!I12&gt;0,'2016 - 2019'!Q12," -")</f>
        <v>0.7</v>
      </c>
      <c r="H9" s="183">
        <f>+IF('2016 - 2019'!J12&gt;0,'2016 - 2019'!R12," -")</f>
        <v>0</v>
      </c>
      <c r="I9" s="184">
        <f>+'2016 - 2019'!S12</f>
        <v>0.6</v>
      </c>
      <c r="J9" s="185">
        <f t="shared" si="0"/>
        <v>0.6</v>
      </c>
      <c r="K9" s="186">
        <f>+K10</f>
        <v>0</v>
      </c>
      <c r="L9" s="187">
        <f t="shared" si="1"/>
        <v>0</v>
      </c>
      <c r="M9" s="187">
        <f t="shared" si="1"/>
        <v>0</v>
      </c>
      <c r="N9" s="188" t="str">
        <f t="shared" si="2"/>
        <v>-</v>
      </c>
      <c r="O9" s="189" t="str">
        <f>IF(M9=0," -",IF(L9=0,100%,M9/L9))</f>
        <v xml:space="preserve"> -</v>
      </c>
    </row>
    <row r="10" spans="2:15" ht="18" customHeight="1" thickBot="1">
      <c r="B10" s="190" t="s">
        <v>108</v>
      </c>
      <c r="C10" s="298" t="s">
        <v>109</v>
      </c>
      <c r="D10" s="299"/>
      <c r="E10" s="191">
        <f>+IF('2016 - 2019'!G12&gt;0,'2016 - 2019'!O12," -")</f>
        <v>1</v>
      </c>
      <c r="F10" s="191">
        <f>+IF('2016 - 2019'!H12&gt;0,'2016 - 2019'!P12," -")</f>
        <v>1</v>
      </c>
      <c r="G10" s="191">
        <f>+IF('2016 - 2019'!I12&gt;0,'2016 - 2019'!Q12," -")</f>
        <v>0.7</v>
      </c>
      <c r="H10" s="191">
        <f>+IF('2016 - 2019'!J12&gt;0,'2016 - 2019'!R12," -")</f>
        <v>0</v>
      </c>
      <c r="I10" s="192">
        <f>+'2016 - 2019'!S12</f>
        <v>0.6</v>
      </c>
      <c r="J10" s="193">
        <f t="shared" si="0"/>
        <v>0.6</v>
      </c>
      <c r="K10" s="194">
        <f>+'2016 - 2019'!U12</f>
        <v>0</v>
      </c>
      <c r="L10" s="89">
        <f>+'2016 - 2019'!V12</f>
        <v>0</v>
      </c>
      <c r="M10" s="89">
        <f>+'2016 - 2019'!W12</f>
        <v>0</v>
      </c>
      <c r="N10" s="195" t="str">
        <f t="shared" si="2"/>
        <v>-</v>
      </c>
      <c r="O10" s="196" t="str">
        <f>IF(M10=0," -",IF(L10=0,100%,M10/L10))</f>
        <v xml:space="preserve"> -</v>
      </c>
    </row>
    <row r="11" spans="2:15" ht="22" customHeight="1" thickBot="1">
      <c r="B11" s="174">
        <v>2</v>
      </c>
      <c r="C11" s="304" t="s">
        <v>110</v>
      </c>
      <c r="D11" s="305"/>
      <c r="E11" s="204" t="str">
        <f>+IF(SUM('2016 - 2019'!G14:G16)&gt;0,AVERAGE('2016 - 2019'!O14:O16)," -")</f>
        <v xml:space="preserve"> -</v>
      </c>
      <c r="F11" s="204">
        <f>+IF(SUM('2016 - 2019'!H14:H16)&gt;0,AVERAGE('2016 - 2019'!P14:P16)," -")</f>
        <v>0.5</v>
      </c>
      <c r="G11" s="204">
        <f>+IF(SUM('2016 - 2019'!I14:I16)&gt;0,AVERAGE('2016 - 2019'!Q14:Q16)," -")</f>
        <v>0.72499999999999998</v>
      </c>
      <c r="H11" s="204">
        <f>+IF(SUM('2016 - 2019'!J14:J16)&gt;0,AVERAGE('2016 - 2019'!R14:R16)," -")</f>
        <v>0</v>
      </c>
      <c r="I11" s="205">
        <f>+AVERAGE('2016 - 2019'!S14:S16)</f>
        <v>0.33333333333333337</v>
      </c>
      <c r="J11" s="206">
        <f t="shared" si="0"/>
        <v>0.33333333333333337</v>
      </c>
      <c r="K11" s="207">
        <f>+K12+K14</f>
        <v>0</v>
      </c>
      <c r="L11" s="208">
        <f t="shared" ref="L11:M11" si="3">+L12+L14</f>
        <v>0</v>
      </c>
      <c r="M11" s="208">
        <f t="shared" si="3"/>
        <v>0</v>
      </c>
      <c r="N11" s="209" t="str">
        <f t="shared" si="2"/>
        <v>-</v>
      </c>
      <c r="O11" s="210" t="str">
        <f t="shared" ref="O11:O21" si="4">IF(M11=0," -",IF(L11=0,100%,M11/L11))</f>
        <v xml:space="preserve"> -</v>
      </c>
    </row>
    <row r="12" spans="2:15" ht="20" customHeight="1">
      <c r="B12" s="182" t="s">
        <v>111</v>
      </c>
      <c r="C12" s="306" t="s">
        <v>88</v>
      </c>
      <c r="D12" s="307"/>
      <c r="E12" s="197" t="str">
        <f>+IF('2016 - 2019'!G14&gt;0,'2016 - 2019'!O14," -")</f>
        <v xml:space="preserve"> -</v>
      </c>
      <c r="F12" s="197">
        <f>+IF('2016 - 2019'!H14&gt;0,'2016 - 2019'!P14," -")</f>
        <v>0.6</v>
      </c>
      <c r="G12" s="197">
        <f>+IF('2016 - 2019'!I14&gt;0,'2016 - 2019'!Q14," -")</f>
        <v>0.7</v>
      </c>
      <c r="H12" s="197">
        <f>+IF('2016 - 2019'!J14&gt;0,'2016 - 2019'!R14," -")</f>
        <v>0</v>
      </c>
      <c r="I12" s="198">
        <f>+'2016 - 2019'!S14</f>
        <v>0.3666666666666667</v>
      </c>
      <c r="J12" s="199">
        <f t="shared" si="0"/>
        <v>0.3666666666666667</v>
      </c>
      <c r="K12" s="200">
        <f>+K13</f>
        <v>0</v>
      </c>
      <c r="L12" s="201">
        <f t="shared" ref="L12:M12" si="5">+L13</f>
        <v>0</v>
      </c>
      <c r="M12" s="201">
        <f t="shared" si="5"/>
        <v>0</v>
      </c>
      <c r="N12" s="202" t="str">
        <f t="shared" si="2"/>
        <v>-</v>
      </c>
      <c r="O12" s="203" t="str">
        <f t="shared" si="4"/>
        <v xml:space="preserve"> -</v>
      </c>
    </row>
    <row r="13" spans="2:15" ht="18" customHeight="1">
      <c r="B13" s="190" t="s">
        <v>112</v>
      </c>
      <c r="C13" s="298" t="s">
        <v>113</v>
      </c>
      <c r="D13" s="299"/>
      <c r="E13" s="191" t="str">
        <f>+IF('2016 - 2019'!G14&gt;0,'2016 - 2019'!O14," -")</f>
        <v xml:space="preserve"> -</v>
      </c>
      <c r="F13" s="191">
        <f>+IF('2016 - 2019'!H14&gt;0,'2016 - 2019'!P14," -")</f>
        <v>0.6</v>
      </c>
      <c r="G13" s="191">
        <f>+IF('2016 - 2019'!I14&gt;0,'2016 - 2019'!Q14," -")</f>
        <v>0.7</v>
      </c>
      <c r="H13" s="191">
        <f>+IF('2016 - 2019'!J14&gt;0,'2016 - 2019'!R14," -")</f>
        <v>0</v>
      </c>
      <c r="I13" s="192">
        <f>+'2016 - 2019'!S14</f>
        <v>0.3666666666666667</v>
      </c>
      <c r="J13" s="193">
        <f t="shared" si="0"/>
        <v>0.3666666666666667</v>
      </c>
      <c r="K13" s="194">
        <f>+'2016 - 2019'!U14</f>
        <v>0</v>
      </c>
      <c r="L13" s="89">
        <f>+'2016 - 2019'!V14</f>
        <v>0</v>
      </c>
      <c r="M13" s="89">
        <f>+'2016 - 2019'!W14</f>
        <v>0</v>
      </c>
      <c r="N13" s="195" t="str">
        <f t="shared" si="2"/>
        <v>-</v>
      </c>
      <c r="O13" s="196" t="str">
        <f t="shared" si="4"/>
        <v xml:space="preserve"> -</v>
      </c>
    </row>
    <row r="14" spans="2:15" ht="20" customHeight="1">
      <c r="B14" s="182" t="s">
        <v>114</v>
      </c>
      <c r="C14" s="306" t="s">
        <v>87</v>
      </c>
      <c r="D14" s="307"/>
      <c r="E14" s="197" t="str">
        <f>+IF('2016 - 2019'!G16&gt;0,'2016 - 2019'!O16," -")</f>
        <v xml:space="preserve"> -</v>
      </c>
      <c r="F14" s="197">
        <f>+IF('2016 - 2019'!H16&gt;0,'2016 - 2019'!P16," -")</f>
        <v>0.4</v>
      </c>
      <c r="G14" s="197">
        <f>+IF('2016 - 2019'!I16&gt;0,'2016 - 2019'!Q16," -")</f>
        <v>0.75</v>
      </c>
      <c r="H14" s="197">
        <f>+IF('2016 - 2019'!J16&gt;0,'2016 - 2019'!R16," -")</f>
        <v>0</v>
      </c>
      <c r="I14" s="198">
        <f>+'2016 - 2019'!S16</f>
        <v>0.3</v>
      </c>
      <c r="J14" s="199">
        <f t="shared" si="0"/>
        <v>0.3</v>
      </c>
      <c r="K14" s="200">
        <f>+K15</f>
        <v>0</v>
      </c>
      <c r="L14" s="201">
        <f t="shared" ref="L14:M14" si="6">+L15</f>
        <v>0</v>
      </c>
      <c r="M14" s="201">
        <f t="shared" si="6"/>
        <v>0</v>
      </c>
      <c r="N14" s="202" t="str">
        <f t="shared" si="2"/>
        <v>-</v>
      </c>
      <c r="O14" s="203" t="str">
        <f t="shared" si="4"/>
        <v xml:space="preserve"> -</v>
      </c>
    </row>
    <row r="15" spans="2:15" ht="18" customHeight="1" thickBot="1">
      <c r="B15" s="190" t="s">
        <v>115</v>
      </c>
      <c r="C15" s="298" t="s">
        <v>116</v>
      </c>
      <c r="D15" s="299"/>
      <c r="E15" s="191" t="str">
        <f>+IF('2016 - 2019'!G16&gt;0,'2016 - 2019'!O16," -")</f>
        <v xml:space="preserve"> -</v>
      </c>
      <c r="F15" s="191">
        <f>+IF('2016 - 2019'!H16&gt;0,'2016 - 2019'!P16," -")</f>
        <v>0.4</v>
      </c>
      <c r="G15" s="191">
        <f>+IF('2016 - 2019'!I16&gt;0,'2016 - 2019'!Q16," -")</f>
        <v>0.75</v>
      </c>
      <c r="H15" s="191">
        <f>+IF('2016 - 2019'!J16&gt;0,'2016 - 2019'!R16," -")</f>
        <v>0</v>
      </c>
      <c r="I15" s="192">
        <f>+'2016 - 2019'!S16</f>
        <v>0.3</v>
      </c>
      <c r="J15" s="193">
        <f t="shared" si="0"/>
        <v>0.3</v>
      </c>
      <c r="K15" s="194">
        <f>+'2016 - 2019'!U16</f>
        <v>0</v>
      </c>
      <c r="L15" s="89">
        <f>+'2016 - 2019'!V16</f>
        <v>0</v>
      </c>
      <c r="M15" s="89">
        <f>+'2016 - 2019'!W16</f>
        <v>0</v>
      </c>
      <c r="N15" s="195" t="str">
        <f t="shared" si="2"/>
        <v>-</v>
      </c>
      <c r="O15" s="196" t="str">
        <f t="shared" si="4"/>
        <v xml:space="preserve"> -</v>
      </c>
    </row>
    <row r="16" spans="2:15" ht="22" customHeight="1" thickBot="1">
      <c r="B16" s="174">
        <v>4</v>
      </c>
      <c r="C16" s="300" t="s">
        <v>117</v>
      </c>
      <c r="D16" s="301"/>
      <c r="E16" s="214">
        <f>+IF(SUM('2016 - 2019'!G18:G68)&gt;0,AVERAGE('2016 - 2019'!O18:O68)," -")</f>
        <v>0.77423177806794397</v>
      </c>
      <c r="F16" s="214">
        <f>+IF(SUM('2016 - 2019'!H18:H68)&gt;0,AVERAGE('2016 - 2019'!P18:P68)," -")</f>
        <v>0.82505958916769928</v>
      </c>
      <c r="G16" s="214">
        <f>+IF(SUM('2016 - 2019'!I18:I68)&gt;0,AVERAGE('2016 - 2019'!Q18:Q68)," -")</f>
        <v>0.7534078919286632</v>
      </c>
      <c r="H16" s="214">
        <f>+IF(SUM('2016 - 2019'!J18:J68)&gt;0,AVERAGE('2016 - 2019'!R18:R68)," -")</f>
        <v>0</v>
      </c>
      <c r="I16" s="215">
        <f>+AVERAGE('2016 - 2019'!S18:S68)</f>
        <v>0.60628920777064788</v>
      </c>
      <c r="J16" s="216">
        <f t="shared" ref="J16:J21" si="7">+I16</f>
        <v>0.60628920777064788</v>
      </c>
      <c r="K16" s="217">
        <f>+K17</f>
        <v>483580964</v>
      </c>
      <c r="L16" s="218">
        <f t="shared" ref="L16:M16" si="8">+L17</f>
        <v>459365395</v>
      </c>
      <c r="M16" s="218">
        <f t="shared" si="8"/>
        <v>6832258</v>
      </c>
      <c r="N16" s="219">
        <f t="shared" ref="N16:N21" si="9">IF(K16=0,"-",+L16/K16)</f>
        <v>0.94992447841681382</v>
      </c>
      <c r="O16" s="220">
        <f t="shared" si="4"/>
        <v>1.4873253567565751E-2</v>
      </c>
    </row>
    <row r="17" spans="2:15" ht="20" customHeight="1">
      <c r="B17" s="182" t="s">
        <v>118</v>
      </c>
      <c r="C17" s="302" t="s">
        <v>94</v>
      </c>
      <c r="D17" s="303"/>
      <c r="E17" s="211">
        <f>+IF(SUM('2016 - 2019'!G18:G68)&gt;0,AVERAGE('2016 - 2019'!O18:O68)," -")</f>
        <v>0.77423177806794397</v>
      </c>
      <c r="F17" s="211">
        <f>+IF(SUM('2016 - 2019'!H18:H68)&gt;0,AVERAGE('2016 - 2019'!P18:P68)," -")</f>
        <v>0.82505958916769928</v>
      </c>
      <c r="G17" s="211">
        <f>+IF(SUM('2016 - 2019'!I18:I68)&gt;0,AVERAGE('2016 - 2019'!Q18:Q68)," -")</f>
        <v>0.7534078919286632</v>
      </c>
      <c r="H17" s="211">
        <f>+IF(SUM('2016 - 2019'!J18:J68)&gt;0,AVERAGE('2016 - 2019'!R18:R68)," -")</f>
        <v>0</v>
      </c>
      <c r="I17" s="212">
        <f>+AVERAGE('2016 - 2019'!S18:S68)</f>
        <v>0.60628920777064788</v>
      </c>
      <c r="J17" s="213">
        <f t="shared" si="7"/>
        <v>0.60628920777064788</v>
      </c>
      <c r="K17" s="186">
        <f>+SUM(K18:K21)</f>
        <v>483580964</v>
      </c>
      <c r="L17" s="187">
        <f t="shared" ref="L17:M17" si="10">+SUM(L18:L21)</f>
        <v>459365395</v>
      </c>
      <c r="M17" s="187">
        <f t="shared" si="10"/>
        <v>6832258</v>
      </c>
      <c r="N17" s="188">
        <f t="shared" si="9"/>
        <v>0.94992447841681382</v>
      </c>
      <c r="O17" s="189">
        <f t="shared" si="4"/>
        <v>1.4873253567565751E-2</v>
      </c>
    </row>
    <row r="18" spans="2:15" ht="18" customHeight="1">
      <c r="B18" s="190" t="s">
        <v>119</v>
      </c>
      <c r="C18" s="298" t="s">
        <v>120</v>
      </c>
      <c r="D18" s="299"/>
      <c r="E18" s="191">
        <f>+IF(SUM('2016 - 2019'!G18:G30)&gt;0,AVERAGE('2016 - 2019'!O18:O30)," -")</f>
        <v>0.88684003152088264</v>
      </c>
      <c r="F18" s="191">
        <f>+IF(SUM('2016 - 2019'!H18:H30)&gt;0,AVERAGE('2016 - 2019'!P18:P30)," -")</f>
        <v>0.7703116202945991</v>
      </c>
      <c r="G18" s="191">
        <f>+IF(SUM('2016 - 2019'!I18:I30)&gt;0,AVERAGE('2016 - 2019'!Q18:Q30)," -")</f>
        <v>0.58442684124386257</v>
      </c>
      <c r="H18" s="191">
        <f>+IF(SUM('2016 - 2019'!J18:J30)&gt;0,AVERAGE('2016 - 2019'!R18:R30)," -")</f>
        <v>0</v>
      </c>
      <c r="I18" s="192">
        <f>+AVERAGE('2016 - 2019'!S18:S30)</f>
        <v>0.52067865805860758</v>
      </c>
      <c r="J18" s="193">
        <f t="shared" si="7"/>
        <v>0.52067865805860758</v>
      </c>
      <c r="K18" s="194">
        <f>+SUM('2016 - 2019'!U18:U30)</f>
        <v>417616551</v>
      </c>
      <c r="L18" s="89">
        <f>+SUM('2016 - 2019'!V18:V30)</f>
        <v>399288796</v>
      </c>
      <c r="M18" s="89">
        <f>+SUM('2016 - 2019'!W18:W30)</f>
        <v>3725281</v>
      </c>
      <c r="N18" s="195">
        <f t="shared" si="9"/>
        <v>0.95611343718031905</v>
      </c>
      <c r="O18" s="196">
        <f t="shared" si="4"/>
        <v>9.329790961627683E-3</v>
      </c>
    </row>
    <row r="19" spans="2:15" ht="18" customHeight="1">
      <c r="B19" s="190" t="s">
        <v>121</v>
      </c>
      <c r="C19" s="298" t="s">
        <v>122</v>
      </c>
      <c r="D19" s="299"/>
      <c r="E19" s="191">
        <f>+IF(SUM('2016 - 2019'!G31:G45)&gt;0,AVERAGE('2016 - 2019'!O31:O45)," -")</f>
        <v>0.93949491720724532</v>
      </c>
      <c r="F19" s="191">
        <f>+IF(SUM('2016 - 2019'!H31:H45)&gt;0,AVERAGE('2016 - 2019'!P31:P45)," -")</f>
        <v>0.92072313232931502</v>
      </c>
      <c r="G19" s="191">
        <f>+IF(SUM('2016 - 2019'!I31:I45)&gt;0,AVERAGE('2016 - 2019'!Q31:Q45)," -")</f>
        <v>0.96638841202387671</v>
      </c>
      <c r="H19" s="191">
        <f>+IF(SUM('2016 - 2019'!J31:J45)&gt;0,AVERAGE('2016 - 2019'!R31:R45)," -")</f>
        <v>0</v>
      </c>
      <c r="I19" s="192">
        <f>+AVERAGE('2016 - 2019'!S31:S45)</f>
        <v>0.7545800178994333</v>
      </c>
      <c r="J19" s="193">
        <f t="shared" si="7"/>
        <v>0.7545800178994333</v>
      </c>
      <c r="K19" s="194">
        <f>+SUM('2016 - 2019'!U31:U45)</f>
        <v>61764157</v>
      </c>
      <c r="L19" s="89">
        <f>+SUM('2016 - 2019'!V31:V45)</f>
        <v>57342517</v>
      </c>
      <c r="M19" s="89">
        <f>+SUM('2016 - 2019'!W31:W45)</f>
        <v>1772562</v>
      </c>
      <c r="N19" s="195">
        <f t="shared" si="9"/>
        <v>0.92841090666873349</v>
      </c>
      <c r="O19" s="196">
        <f t="shared" si="4"/>
        <v>3.0911827606032709E-2</v>
      </c>
    </row>
    <row r="20" spans="2:15" ht="18" customHeight="1">
      <c r="B20" s="190" t="s">
        <v>123</v>
      </c>
      <c r="C20" s="298" t="s">
        <v>124</v>
      </c>
      <c r="D20" s="299"/>
      <c r="E20" s="191">
        <f>+IF(SUM('2016 - 2019'!G46:G49)&gt;0,AVERAGE('2016 - 2019'!O46:O49)," -")</f>
        <v>1</v>
      </c>
      <c r="F20" s="191">
        <f>+IF(SUM('2016 - 2019'!H46:H49)&gt;0,AVERAGE('2016 - 2019'!P46:P49)," -")</f>
        <v>0.7606382978723405</v>
      </c>
      <c r="G20" s="191">
        <f>+IF(SUM('2016 - 2019'!I46:I49)&gt;0,AVERAGE('2016 - 2019'!Q46:Q49)," -")</f>
        <v>0.75</v>
      </c>
      <c r="H20" s="191">
        <f>+IF(SUM('2016 - 2019'!J46:J49)&gt;0,AVERAGE('2016 - 2019'!R46:R49)," -")</f>
        <v>0</v>
      </c>
      <c r="I20" s="192">
        <f>+AVERAGE('2016 - 2019'!S46:S49)</f>
        <v>0.63031914893617025</v>
      </c>
      <c r="J20" s="193">
        <f t="shared" si="7"/>
        <v>0.63031914893617025</v>
      </c>
      <c r="K20" s="194">
        <f>+SUM('2016 - 2019'!U46:U49)</f>
        <v>411318</v>
      </c>
      <c r="L20" s="89">
        <f>+SUM('2016 - 2019'!V46:V49)</f>
        <v>269992</v>
      </c>
      <c r="M20" s="89">
        <f>+SUM('2016 - 2019'!W46:W49)</f>
        <v>70961</v>
      </c>
      <c r="N20" s="195">
        <f t="shared" si="9"/>
        <v>0.65640696492737982</v>
      </c>
      <c r="O20" s="196">
        <f t="shared" si="4"/>
        <v>0.2628263059646212</v>
      </c>
    </row>
    <row r="21" spans="2:15" ht="18" customHeight="1" thickBot="1">
      <c r="B21" s="190" t="s">
        <v>125</v>
      </c>
      <c r="C21" s="298" t="s">
        <v>126</v>
      </c>
      <c r="D21" s="299"/>
      <c r="E21" s="191">
        <f>+IF(SUM('2016 - 2019'!G50:G68)&gt;0,AVERAGE('2016 - 2019'!O50:O68)," -")</f>
        <v>0.45934055532704554</v>
      </c>
      <c r="F21" s="191">
        <f>+IF(SUM('2016 - 2019'!H50:H68)&gt;0,AVERAGE('2016 - 2019'!P50:P68)," -")</f>
        <v>0.81062709966405377</v>
      </c>
      <c r="G21" s="191">
        <f>+IF(SUM('2016 - 2019'!I50:I68)&gt;0,AVERAGE('2016 - 2019'!Q50:Q68)," -")</f>
        <v>0.7105555555555555</v>
      </c>
      <c r="H21" s="191">
        <f>+IF(SUM('2016 - 2019'!J50:J68)&gt;0,AVERAGE('2016 - 2019'!R50:R68)," -")</f>
        <v>0</v>
      </c>
      <c r="I21" s="192">
        <f>+AVERAGE('2016 - 2019'!S50:S68)</f>
        <v>0.54273421985815606</v>
      </c>
      <c r="J21" s="193">
        <f t="shared" si="7"/>
        <v>0.54273421985815606</v>
      </c>
      <c r="K21" s="231">
        <f>+SUM('2016 - 2019'!U50:U68)</f>
        <v>3788938</v>
      </c>
      <c r="L21" s="91">
        <f>+SUM('2016 - 2019'!V50:V68)</f>
        <v>2464090</v>
      </c>
      <c r="M21" s="91">
        <f>+SUM('2016 - 2019'!W50:W68)</f>
        <v>1263454</v>
      </c>
      <c r="N21" s="232">
        <f t="shared" si="9"/>
        <v>0.65033790471102981</v>
      </c>
      <c r="O21" s="233">
        <f t="shared" si="4"/>
        <v>0.51274669350551316</v>
      </c>
    </row>
    <row r="22" spans="2:15" ht="24" customHeight="1" thickBot="1">
      <c r="C22" s="296" t="s">
        <v>127</v>
      </c>
      <c r="D22" s="297"/>
      <c r="E22" s="221">
        <f>+'2016 - 2019'!O69</f>
        <v>0.78017304706615587</v>
      </c>
      <c r="F22" s="221">
        <f>+'2016 - 2019'!P69</f>
        <v>0.81592153594648587</v>
      </c>
      <c r="G22" s="221">
        <f>+'2016 - 2019'!Q69</f>
        <v>0.75128820585585554</v>
      </c>
      <c r="H22" s="221">
        <f>+'2016 - 2019'!R69</f>
        <v>0</v>
      </c>
      <c r="I22" s="222">
        <f>+'2016 - 2019'!S69</f>
        <v>0.59606326412906863</v>
      </c>
      <c r="J22" s="223">
        <f t="shared" ref="J22" si="11">+I22</f>
        <v>0.59606326412906863</v>
      </c>
      <c r="K22" s="224">
        <f>+K8+K11+K16</f>
        <v>483580964</v>
      </c>
      <c r="L22" s="225">
        <f>+L8+L11+L16</f>
        <v>459365395</v>
      </c>
      <c r="M22" s="225">
        <f>+M8+M11+M16</f>
        <v>6832258</v>
      </c>
      <c r="N22" s="226">
        <f t="shared" ref="N22" si="12">IF(K22=0,"-",+L22/K22)</f>
        <v>0.94992447841681382</v>
      </c>
      <c r="O22" s="227">
        <f t="shared" ref="O22" si="13">IF(M22=0," -",IF(L22=0,100%,M22/L22))</f>
        <v>1.4873253567565751E-2</v>
      </c>
    </row>
    <row r="24" spans="2:15" ht="17">
      <c r="C24" s="228" t="str">
        <f>+'2016 - 2019'!C7</f>
        <v>FECHA CORTE</v>
      </c>
      <c r="D24" s="229"/>
      <c r="E24" s="230"/>
      <c r="F24" s="230"/>
      <c r="I24" s="228" t="s">
        <v>134</v>
      </c>
    </row>
    <row r="25" spans="2:15" ht="17">
      <c r="C25" s="234">
        <f>+'2016 - 2019'!C8</f>
        <v>43373</v>
      </c>
    </row>
  </sheetData>
  <mergeCells count="22"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  <mergeCell ref="C13:D13"/>
    <mergeCell ref="C14:D14"/>
    <mergeCell ref="C15:D15"/>
    <mergeCell ref="C22:D22"/>
    <mergeCell ref="C20:D20"/>
    <mergeCell ref="C21:D21"/>
    <mergeCell ref="C16:D16"/>
    <mergeCell ref="C17:D17"/>
    <mergeCell ref="C18:D18"/>
    <mergeCell ref="C19:D19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22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{5FF56190-3606-9846-AB3B-E6354761F194}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F56190-3606-9846-AB3B-E6354761F19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2018-10-08T21:13:56Z</dcterms:modified>
</cp:coreProperties>
</file>