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nes Noviembre\"/>
    </mc:Choice>
  </mc:AlternateContent>
  <bookViews>
    <workbookView xWindow="0" yWindow="0" windowWidth="20490" windowHeight="7155"/>
  </bookViews>
  <sheets>
    <sheet name="2020" sheetId="7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9" i="7" l="1"/>
  <c r="P23" i="7" l="1"/>
  <c r="P22" i="7"/>
  <c r="P16" i="7"/>
  <c r="P25" i="7"/>
  <c r="O25" i="7"/>
  <c r="P18" i="7" l="1"/>
  <c r="P31" i="7" l="1"/>
  <c r="P33" i="7"/>
  <c r="P36" i="7"/>
  <c r="P39" i="7" l="1"/>
  <c r="P19" i="7" l="1"/>
  <c r="P13" i="7"/>
  <c r="P21" i="7" l="1"/>
  <c r="O15" i="7" l="1"/>
  <c r="O16" i="7"/>
  <c r="P17" i="7"/>
  <c r="O17" i="7"/>
  <c r="O18" i="7"/>
  <c r="O19" i="7"/>
  <c r="P20" i="7"/>
  <c r="O20" i="7"/>
  <c r="O22" i="7"/>
  <c r="O23" i="7"/>
  <c r="O24" i="7"/>
  <c r="O26" i="7"/>
  <c r="O27" i="7"/>
  <c r="O29" i="7"/>
  <c r="O30" i="7"/>
  <c r="O31" i="7"/>
  <c r="O32" i="7"/>
  <c r="O33" i="7"/>
  <c r="Q36" i="7"/>
  <c r="O36" i="7"/>
  <c r="Q39" i="7"/>
  <c r="O40" i="7"/>
  <c r="M12" i="7"/>
  <c r="K13" i="7"/>
  <c r="M13" i="7" s="1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1" i="7"/>
  <c r="M21" i="7" s="1"/>
  <c r="K22" i="7"/>
  <c r="M22" i="7"/>
  <c r="K23" i="7"/>
  <c r="M23" i="7"/>
  <c r="K24" i="7"/>
  <c r="M24" i="7"/>
  <c r="K25" i="7"/>
  <c r="M25" i="7"/>
  <c r="K26" i="7"/>
  <c r="M26" i="7" s="1"/>
  <c r="K27" i="7"/>
  <c r="M27" i="7" s="1"/>
  <c r="M28" i="7"/>
  <c r="K29" i="7"/>
  <c r="M29" i="7"/>
  <c r="K30" i="7"/>
  <c r="M30" i="7"/>
  <c r="K31" i="7"/>
  <c r="M31" i="7" s="1"/>
  <c r="K32" i="7"/>
  <c r="M32" i="7" s="1"/>
  <c r="K33" i="7"/>
  <c r="M33" i="7" s="1"/>
  <c r="M34" i="7"/>
  <c r="M35" i="7"/>
  <c r="K36" i="7"/>
  <c r="M36" i="7"/>
  <c r="M37" i="7"/>
  <c r="K39" i="7"/>
  <c r="M39" i="7"/>
  <c r="K40" i="7"/>
  <c r="M40" i="7"/>
  <c r="Q41" i="7"/>
  <c r="P41" i="7"/>
  <c r="O41" i="7"/>
  <c r="L12" i="7"/>
  <c r="L41" i="7" s="1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9" i="7"/>
  <c r="L40" i="7"/>
  <c r="R14" i="7"/>
  <c r="S14" i="7"/>
  <c r="R15" i="7"/>
  <c r="S15" i="7"/>
  <c r="R16" i="7"/>
  <c r="S16" i="7"/>
  <c r="R17" i="7"/>
  <c r="S17" i="7"/>
  <c r="R18" i="7"/>
  <c r="S18" i="7"/>
  <c r="R19" i="7"/>
  <c r="S19" i="7"/>
  <c r="R20" i="7"/>
  <c r="S20" i="7"/>
  <c r="R21" i="7"/>
  <c r="S21" i="7"/>
  <c r="R22" i="7"/>
  <c r="S22" i="7"/>
  <c r="R23" i="7"/>
  <c r="S23" i="7"/>
  <c r="R24" i="7"/>
  <c r="S24" i="7"/>
  <c r="R25" i="7"/>
  <c r="S25" i="7"/>
  <c r="R26" i="7"/>
  <c r="S26" i="7"/>
  <c r="R27" i="7"/>
  <c r="S27" i="7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9" i="7"/>
  <c r="S39" i="7"/>
  <c r="R40" i="7"/>
  <c r="S40" i="7"/>
  <c r="K28" i="7"/>
  <c r="K34" i="7"/>
  <c r="K35" i="7"/>
  <c r="K37" i="7"/>
  <c r="S13" i="7"/>
  <c r="R13" i="7"/>
  <c r="S12" i="7"/>
  <c r="R12" i="7"/>
  <c r="K12" i="7"/>
  <c r="M41" i="7" l="1"/>
  <c r="S41" i="7"/>
  <c r="R41" i="7"/>
</calcChain>
</file>

<file path=xl/sharedStrings.xml><?xml version="1.0" encoding="utf-8"?>
<sst xmlns="http://schemas.openxmlformats.org/spreadsheetml/2006/main" count="63" uniqueCount="63">
  <si>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</si>
  <si>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</si>
  <si>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</si>
  <si>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</si>
  <si>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</si>
  <si>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</si>
  <si>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</si>
  <si>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</si>
  <si>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</si>
  <si>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</si>
  <si>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</si>
  <si>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</si>
  <si>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</si>
  <si>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</si>
  <si>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</si>
  <si>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</si>
  <si>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</si>
  <si>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</si>
  <si>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</si>
  <si>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</si>
  <si>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</si>
  <si>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</si>
  <si>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</si>
  <si>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</si>
  <si>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</si>
  <si>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</si>
  <si>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 EDUCACIÓN</t>
  </si>
  <si>
    <t>Número de ambientes escolares adecuados y/o dotados para la atención a la primera infancia (transición) con enfoque diferencial.</t>
  </si>
  <si>
    <t>Número de estudiantes con enfoque diferencial beneficiados anualmente con el programa de alimentación escolar.</t>
  </si>
  <si>
    <t>Porcentaje de estudiantes matriculados en los establecimientos educativos oficiales rurales mantenidos con el programa de alimentación escolar.</t>
  </si>
  <si>
    <t>Número de jóvenes y adultos mantenidos con modelos flexibles.</t>
  </si>
  <si>
    <t>Número de establecimientos educativos oficiales dotados con material didáctico y/o mobiliario escolar.</t>
  </si>
  <si>
    <t>Porcentaje de modelos lingüísticos, intérpretes de lengua de señas colombiana en la oferta Bilingüe y Bicultural mantenidos para estudiantes con discapacidad auditiva en la IE Normal Superior de Bucaramanga.</t>
  </si>
  <si>
    <t>Porcentaje de establecimientos educativos oficiales de educación formal mantenidos que reportan estudiantes con discapacidad y talentos excepcionales o capacidades, con los servicios profesionales de apoyo pedagógico para el proceso de inclusión y equidad en la educación, para la oferta general.</t>
  </si>
  <si>
    <t>Número de Ludotecas mantenidas en funcionamiento.</t>
  </si>
  <si>
    <t>Número de cupos de transporte escolar mantenidos a estudiantes de zonas de difícil acceso con enfoque diferencial.</t>
  </si>
  <si>
    <t>Número de estudiantes mantenidos con la prestación del servicio educativo por el sistema de contratación con enfoque diferencial.</t>
  </si>
  <si>
    <t>Número de establecimientos educativos oficiales con reparaciones locativas realizadas.</t>
  </si>
  <si>
    <t>Número de intervenciones realizadas a colegios públicos de Bucaramanga.</t>
  </si>
  <si>
    <t>Número de establecimientos educativos oficiales mantenidos con apoyo a los proyectos transversales.</t>
  </si>
  <si>
    <t>Número de establecimientos educativos oficiales mantenidos con planta de personal docente, administrativa, servicios  públicos, aseo, vigilancia y arrendamientos.</t>
  </si>
  <si>
    <t>Número de docentes de los establecimientos educativos oficiales capacitados en el manejo de una segunda lengua.</t>
  </si>
  <si>
    <t>Número de estudiantes de establecimientos educativos oficiales beneficiados anualmente con estrategias de aprendizaje en una segunda lengua con enfoque diferencial.</t>
  </si>
  <si>
    <t>Número de docentes de los establecimientos educativos oficiales capacitados en evaluacion por competencias.</t>
  </si>
  <si>
    <t>Número de sedes de establecimientos educativos rurales mantenidos con acompañamiento integral para el mejoramiento de la gestión escolar.</t>
  </si>
  <si>
    <t>Número de foros educativos realizados sobre experiencias significativas artísticas y culturales.</t>
  </si>
  <si>
    <t>Porcentaje de macroprocesos de la Secretaría de Educación mantenidos.</t>
  </si>
  <si>
    <t xml:space="preserve">Número de programas de bienestar laboral dirigido al personal docente, directivo docente y administrativo mantenido en los establecimientos educativos oficiales. </t>
  </si>
  <si>
    <t>Porcentaje de estudiantes de los grados 10 y 11 que realizan las prácticas de la educación media técnica mantenidos con el pago de ARL en el cumplimiento del decreto 055 de 2015.</t>
  </si>
  <si>
    <t>Número de caracterizaciones del clima escolar y victimización que permita identificar los problemas de convivencia y seguridad del entorno escolar realizados.</t>
  </si>
  <si>
    <t>Número de nuevos subsidios otorgados con enfoque diferencial para el acceso a la educación superior del nivel técnico, tecnológico y profesional.</t>
  </si>
  <si>
    <t>Porcentaje de subsidios mantenidos para el acceso a la educación superior del nivel técnico, profesional, tecnológico y profesional.</t>
  </si>
  <si>
    <t>Número de personas beneficiadas a través de un programa de educación virtual pos secundaria que proporcione conocimientos, competencias y habilidades para el empleo y el emprendimiento de acuerdo al perfil productivo de la región.</t>
  </si>
  <si>
    <t>Número de aulas especializadas dotadas y/o repotenciadas en los establecimientos educativos oficiales.</t>
  </si>
  <si>
    <t>Número de establecimientos educativos oficiales mantenidos con conectividad.</t>
  </si>
  <si>
    <t>INNOVACIÓN Y USO DE LA CIENCIA Y TECNOLOGÍA EN EL AMBIENTE ESCOLAR</t>
  </si>
  <si>
    <t>BUCARAMANGA CIUDAD DE INNOVACIÓN EDUCATIVA</t>
  </si>
  <si>
    <t>3. BUCARAMANGA PRODUCTIVA Y COMPETITIVA: EMPRESAS INNOVADORAS, RESPONSABLES Y CONSCIENTES</t>
  </si>
  <si>
    <t>1. BUCARAMANGA EQUITATIVA E INCLUYENTE: UNA CIUDAD DE BIENESTAR</t>
  </si>
  <si>
    <t>EDUCACIÓN DE CALIDAD, GARANTÍA DE UNA CIUDAD DE OPORTUNIDADES</t>
  </si>
  <si>
    <t>COBERTURA Y EQUIDAD DE LA EDUCACIÓN PREESCOLAR, BÁSICA Y MEDIA</t>
  </si>
  <si>
    <t>CALIDAD Y FORTALECIMIENTO DE LA EDUCACIÓN PRESCOLAR, BÁSICA Y MEDIA</t>
  </si>
  <si>
    <t>CALIDAD Y FOMENTO DE LA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</si>
</sst>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_-;\-&quot;$&quot;\ * #,##0_-;_-&quot;$&quot;\ * &quot;-&quot;_-;_-@_-"/>
    <numFmt numFmtId="165" formatCode="dd/mm/yyyy;@"/>
    <numFmt numFmtId="166" formatCode="#,##0.0"/>
  </numFmts>
  <fonts count="1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5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4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65" fontId="5" fillId="2" borderId="39" xfId="0" applyNumberFormat="1" applyFont="1" applyFill="1" applyBorder="1" applyAlignment="1">
      <alignment horizontal="center" vertical="center"/>
    </xf>
    <xf numFmtId="0" fontId="5" fillId="2" borderId="39" xfId="0" applyFont="1" applyFill="1" applyBorder="1"/>
    <xf numFmtId="3" fontId="5" fillId="2" borderId="39" xfId="0" applyNumberFormat="1" applyFont="1" applyFill="1" applyBorder="1" applyAlignment="1">
      <alignment horizontal="center" vertical="center"/>
    </xf>
    <xf numFmtId="9" fontId="8" fillId="2" borderId="39" xfId="0" applyNumberFormat="1" applyFont="1" applyFill="1" applyBorder="1" applyAlignment="1">
      <alignment horizontal="center" vertical="center"/>
    </xf>
    <xf numFmtId="9" fontId="5" fillId="2" borderId="39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9" fontId="5" fillId="2" borderId="40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52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8" fillId="0" borderId="49" xfId="0" applyNumberFormat="1" applyFont="1" applyBorder="1" applyAlignment="1">
      <alignment horizontal="center" vertical="center"/>
    </xf>
    <xf numFmtId="9" fontId="8" fillId="0" borderId="50" xfId="0" applyNumberFormat="1" applyFont="1" applyBorder="1" applyAlignment="1">
      <alignment horizontal="center" vertical="center"/>
    </xf>
    <xf numFmtId="9" fontId="8" fillId="0" borderId="54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9" fontId="5" fillId="0" borderId="56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6" fillId="3" borderId="38" xfId="0" applyNumberFormat="1" applyFont="1" applyFill="1" applyBorder="1" applyAlignment="1">
      <alignment horizontal="center" vertical="center"/>
    </xf>
    <xf numFmtId="9" fontId="6" fillId="3" borderId="44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6" fillId="3" borderId="42" xfId="0" applyNumberFormat="1" applyFont="1" applyFill="1" applyBorder="1" applyAlignment="1">
      <alignment horizontal="center" vertical="center"/>
    </xf>
    <xf numFmtId="3" fontId="6" fillId="3" borderId="43" xfId="0" applyNumberFormat="1" applyFont="1" applyFill="1" applyBorder="1" applyAlignment="1">
      <alignment horizontal="center" vertical="center"/>
    </xf>
    <xf numFmtId="9" fontId="6" fillId="3" borderId="4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0" xfId="43" applyFont="1"/>
    <xf numFmtId="3" fontId="5" fillId="0" borderId="3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justify" vertical="center" wrapText="1"/>
    </xf>
    <xf numFmtId="3" fontId="5" fillId="0" borderId="53" xfId="0" applyNumberFormat="1" applyFont="1" applyFill="1" applyBorder="1" applyAlignment="1">
      <alignment horizontal="center" vertical="center"/>
    </xf>
    <xf numFmtId="9" fontId="5" fillId="0" borderId="53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9" fontId="8" fillId="0" borderId="50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166" fontId="5" fillId="0" borderId="53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4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Moneda [0]" xfId="43" builtinId="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5" width="23.625" style="1" customWidth="1"/>
    <col min="16" max="16" width="25" style="1" customWidth="1"/>
    <col min="17" max="17" width="23.625" style="1" customWidth="1"/>
    <col min="18" max="19" width="12.625" style="1" customWidth="1"/>
    <col min="20" max="21" width="10.75" style="1"/>
    <col min="22" max="22" width="18" style="1" bestFit="1" customWidth="1"/>
    <col min="23" max="16384" width="10.75" style="1"/>
  </cols>
  <sheetData>
    <row r="2" spans="2:22" ht="20.100000000000001" customHeight="1" x14ac:dyDescent="0.2">
      <c r="B2" s="100" t="s">
        <v>16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2:22" ht="20.100000000000001" customHeight="1" x14ac:dyDescent="0.2">
      <c r="B3" s="100" t="s">
        <v>25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9"/>
    </row>
    <row r="4" spans="2:22" ht="20.100000000000001" customHeight="1" x14ac:dyDescent="0.2">
      <c r="B4" s="100" t="s">
        <v>26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6" spans="2:22" ht="15.75" thickBot="1" x14ac:dyDescent="0.25"/>
    <row r="7" spans="2:22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2" ht="18" customHeight="1" thickBot="1" x14ac:dyDescent="0.25">
      <c r="B8" s="7">
        <v>2020</v>
      </c>
      <c r="C8" s="8">
        <v>44165</v>
      </c>
      <c r="D8" s="101" t="s">
        <v>3</v>
      </c>
      <c r="E8" s="102"/>
      <c r="F8" s="102"/>
      <c r="G8" s="102"/>
      <c r="H8" s="102"/>
      <c r="I8" s="102"/>
      <c r="J8" s="103"/>
      <c r="K8" s="4"/>
      <c r="L8" s="4"/>
      <c r="M8" s="4"/>
      <c r="N8" s="4"/>
      <c r="O8" s="4"/>
      <c r="P8" s="4"/>
      <c r="Q8" s="4"/>
      <c r="R8" s="4"/>
      <c r="S8" s="4"/>
    </row>
    <row r="9" spans="2:22" ht="30" customHeight="1" x14ac:dyDescent="0.2">
      <c r="B9" s="104" t="s">
        <v>17</v>
      </c>
      <c r="C9" s="107" t="s">
        <v>18</v>
      </c>
      <c r="D9" s="109" t="s">
        <v>0</v>
      </c>
      <c r="E9" s="112" t="s">
        <v>4</v>
      </c>
      <c r="F9" s="112"/>
      <c r="G9" s="112" t="s">
        <v>5</v>
      </c>
      <c r="H9" s="112"/>
      <c r="I9" s="112"/>
      <c r="J9" s="114"/>
      <c r="K9" s="5"/>
      <c r="L9" s="109" t="s">
        <v>6</v>
      </c>
      <c r="M9" s="114"/>
      <c r="N9" s="124" t="s">
        <v>23</v>
      </c>
      <c r="O9" s="125"/>
      <c r="P9" s="125"/>
      <c r="Q9" s="125"/>
      <c r="R9" s="125"/>
      <c r="S9" s="126"/>
    </row>
    <row r="10" spans="2:22" ht="17.100000000000001" customHeight="1" x14ac:dyDescent="0.2">
      <c r="B10" s="105"/>
      <c r="C10" s="108"/>
      <c r="D10" s="110"/>
      <c r="E10" s="113"/>
      <c r="F10" s="113"/>
      <c r="G10" s="113" t="s">
        <v>7</v>
      </c>
      <c r="H10" s="117" t="s">
        <v>24</v>
      </c>
      <c r="I10" s="118" t="s">
        <v>1</v>
      </c>
      <c r="J10" s="115" t="s">
        <v>8</v>
      </c>
      <c r="K10" s="6"/>
      <c r="L10" s="120" t="s">
        <v>9</v>
      </c>
      <c r="M10" s="122" t="s">
        <v>10</v>
      </c>
      <c r="N10" s="127"/>
      <c r="O10" s="128"/>
      <c r="P10" s="128"/>
      <c r="Q10" s="128"/>
      <c r="R10" s="128"/>
      <c r="S10" s="129"/>
    </row>
    <row r="11" spans="2:22" ht="37.5" customHeight="1" thickBot="1" x14ac:dyDescent="0.25">
      <c r="B11" s="106"/>
      <c r="C11" s="108"/>
      <c r="D11" s="111"/>
      <c r="E11" s="19" t="s">
        <v>11</v>
      </c>
      <c r="F11" s="19" t="s">
        <v>12</v>
      </c>
      <c r="G11" s="117"/>
      <c r="H11" s="130"/>
      <c r="I11" s="119"/>
      <c r="J11" s="116"/>
      <c r="K11" s="20"/>
      <c r="L11" s="121"/>
      <c r="M11" s="123"/>
      <c r="N11" s="21" t="s">
        <v>22</v>
      </c>
      <c r="O11" s="22" t="s">
        <v>19</v>
      </c>
      <c r="P11" s="23" t="s">
        <v>20</v>
      </c>
      <c r="Q11" s="24" t="s">
        <v>21</v>
      </c>
      <c r="R11" s="24" t="s">
        <v>14</v>
      </c>
      <c r="S11" s="25" t="s">
        <v>15</v>
      </c>
      <c r="U11"/>
      <c r="V11"/>
    </row>
    <row r="12" spans="2:22" ht="60" x14ac:dyDescent="0.2">
      <c r="B12" s="131" t="s">
        <v>58</v>
      </c>
      <c r="C12" s="134" t="s">
        <v>59</v>
      </c>
      <c r="D12" s="137" t="s">
        <v>60</v>
      </c>
      <c r="E12" s="29">
        <v>43831</v>
      </c>
      <c r="F12" s="29">
        <v>44196</v>
      </c>
      <c r="G12" s="14" t="s">
        <v>27</v>
      </c>
      <c r="H12" s="30">
        <v>10</v>
      </c>
      <c r="I12" s="30">
        <v>0</v>
      </c>
      <c r="J12" s="82">
        <v>0</v>
      </c>
      <c r="K12" s="64" t="e">
        <f>+J12/I12</f>
        <v>#DIV/0!</v>
      </c>
      <c r="L12" s="69">
        <f>DAYS360(E12,$C$8)/DAYS360(E12,F12)</f>
        <v>0.91388888888888886</v>
      </c>
      <c r="M12" s="32" t="str">
        <f>IF(I12=0," -",IF(K12&gt;100%,100%,K12))</f>
        <v xml:space="preserve"> -</v>
      </c>
      <c r="N12" s="59">
        <v>0</v>
      </c>
      <c r="O12" s="85">
        <v>0</v>
      </c>
      <c r="P12" s="85">
        <v>0</v>
      </c>
      <c r="Q12" s="30">
        <v>0</v>
      </c>
      <c r="R12" s="31" t="str">
        <f>IF(O12=0," -",P12/O12)</f>
        <v xml:space="preserve"> -</v>
      </c>
      <c r="S12" s="32" t="str">
        <f>IF(Q12=0," -",IF(P12=0,100%,Q12/P12))</f>
        <v xml:space="preserve"> -</v>
      </c>
      <c r="U12"/>
      <c r="V12"/>
    </row>
    <row r="13" spans="2:22" ht="60" x14ac:dyDescent="0.2">
      <c r="B13" s="133"/>
      <c r="C13" s="135"/>
      <c r="D13" s="140"/>
      <c r="E13" s="26">
        <v>43831</v>
      </c>
      <c r="F13" s="26">
        <v>44196</v>
      </c>
      <c r="G13" s="15" t="s">
        <v>28</v>
      </c>
      <c r="H13" s="81">
        <v>32276</v>
      </c>
      <c r="I13" s="27">
        <v>32276</v>
      </c>
      <c r="J13" s="87">
        <v>32764</v>
      </c>
      <c r="K13" s="65">
        <f>+J13/I13</f>
        <v>1.0151195935060107</v>
      </c>
      <c r="L13" s="71">
        <f>DAYS360(E13,$C$8)/DAYS360(E13,F13)</f>
        <v>0.91388888888888886</v>
      </c>
      <c r="M13" s="33">
        <f>IF(I13=0," -",IF(K13&gt;100%,100%,K13))</f>
        <v>1</v>
      </c>
      <c r="N13" s="61">
        <v>0</v>
      </c>
      <c r="O13" s="81">
        <v>23624600.278999999</v>
      </c>
      <c r="P13" s="81">
        <f>23491462609.48/1000</f>
        <v>23491462.609480001</v>
      </c>
      <c r="Q13" s="81">
        <v>0</v>
      </c>
      <c r="R13" s="28">
        <f>IF(O13=0," -",P13/O13)</f>
        <v>0.99436444773889598</v>
      </c>
      <c r="S13" s="33" t="str">
        <f>IF(Q13=0," -",IF(P13=0,100%,Q13/P13))</f>
        <v xml:space="preserve"> -</v>
      </c>
      <c r="U13"/>
      <c r="V13"/>
    </row>
    <row r="14" spans="2:22" ht="60" x14ac:dyDescent="0.2">
      <c r="B14" s="133"/>
      <c r="C14" s="135"/>
      <c r="D14" s="140"/>
      <c r="E14" s="26">
        <v>43831</v>
      </c>
      <c r="F14" s="26">
        <v>44196</v>
      </c>
      <c r="G14" s="15" t="s">
        <v>29</v>
      </c>
      <c r="H14" s="28">
        <v>1</v>
      </c>
      <c r="I14" s="28">
        <v>1</v>
      </c>
      <c r="J14" s="74">
        <v>0.99</v>
      </c>
      <c r="K14" s="65">
        <f t="shared" ref="K14:K40" si="0">+J14/I14</f>
        <v>0.99</v>
      </c>
      <c r="L14" s="71">
        <f t="shared" ref="L14:L40" si="1">DAYS360(E14,$C$8)/DAYS360(E14,F14)</f>
        <v>0.91388888888888886</v>
      </c>
      <c r="M14" s="33">
        <f t="shared" ref="M14:M40" si="2">IF(I14=0," -",IF(K14&gt;100%,100%,K14))</f>
        <v>0.99</v>
      </c>
      <c r="N14" s="61">
        <v>0</v>
      </c>
      <c r="O14" s="81">
        <v>1000000</v>
      </c>
      <c r="P14" s="81">
        <v>1000000</v>
      </c>
      <c r="Q14" s="81">
        <v>0</v>
      </c>
      <c r="R14" s="28">
        <f t="shared" ref="R14:R41" si="3">IF(O14=0," -",P14/O14)</f>
        <v>1</v>
      </c>
      <c r="S14" s="33" t="str">
        <f t="shared" ref="S14:S41" si="4">IF(Q14=0," -",IF(P14=0,100%,Q14/P14))</f>
        <v xml:space="preserve"> -</v>
      </c>
      <c r="V14" s="84"/>
    </row>
    <row r="15" spans="2:22" ht="30" x14ac:dyDescent="0.2">
      <c r="B15" s="133"/>
      <c r="C15" s="135"/>
      <c r="D15" s="140"/>
      <c r="E15" s="26">
        <v>43831</v>
      </c>
      <c r="F15" s="26">
        <v>44196</v>
      </c>
      <c r="G15" s="15" t="s">
        <v>30</v>
      </c>
      <c r="H15" s="27">
        <v>3335</v>
      </c>
      <c r="I15" s="27">
        <v>3335</v>
      </c>
      <c r="J15" s="87">
        <v>3561</v>
      </c>
      <c r="K15" s="65">
        <f t="shared" si="0"/>
        <v>1.0677661169415293</v>
      </c>
      <c r="L15" s="71">
        <f t="shared" si="1"/>
        <v>0.91388888888888886</v>
      </c>
      <c r="M15" s="33">
        <f t="shared" si="2"/>
        <v>1</v>
      </c>
      <c r="N15" s="61">
        <v>0</v>
      </c>
      <c r="O15" s="81">
        <f>151334488/1000</f>
        <v>151334.48800000001</v>
      </c>
      <c r="P15" s="81">
        <v>0</v>
      </c>
      <c r="Q15" s="81">
        <v>0</v>
      </c>
      <c r="R15" s="28">
        <f t="shared" si="3"/>
        <v>0</v>
      </c>
      <c r="S15" s="33" t="str">
        <f t="shared" si="4"/>
        <v xml:space="preserve"> -</v>
      </c>
    </row>
    <row r="16" spans="2:22" ht="60" x14ac:dyDescent="0.2">
      <c r="B16" s="133"/>
      <c r="C16" s="135"/>
      <c r="D16" s="140"/>
      <c r="E16" s="26">
        <v>43831</v>
      </c>
      <c r="F16" s="26">
        <v>44196</v>
      </c>
      <c r="G16" s="15" t="s">
        <v>31</v>
      </c>
      <c r="H16" s="81">
        <v>35</v>
      </c>
      <c r="I16" s="81">
        <v>17</v>
      </c>
      <c r="J16" s="87">
        <v>9</v>
      </c>
      <c r="K16" s="65">
        <f t="shared" si="0"/>
        <v>0.52941176470588236</v>
      </c>
      <c r="L16" s="71">
        <f t="shared" si="1"/>
        <v>0.91388888888888886</v>
      </c>
      <c r="M16" s="33">
        <f t="shared" si="2"/>
        <v>0.52941176470588236</v>
      </c>
      <c r="N16" s="61">
        <v>0</v>
      </c>
      <c r="O16" s="81">
        <f>472392870/1000</f>
        <v>472392.87</v>
      </c>
      <c r="P16" s="81">
        <f>428481489.8/1000</f>
        <v>428481.48980000004</v>
      </c>
      <c r="Q16" s="27">
        <v>0</v>
      </c>
      <c r="R16" s="28">
        <f t="shared" si="3"/>
        <v>0.90704478626021612</v>
      </c>
      <c r="S16" s="33" t="str">
        <f t="shared" si="4"/>
        <v xml:space="preserve"> -</v>
      </c>
      <c r="V16" s="84"/>
    </row>
    <row r="17" spans="2:19" ht="90" x14ac:dyDescent="0.2">
      <c r="B17" s="133"/>
      <c r="C17" s="135"/>
      <c r="D17" s="140"/>
      <c r="E17" s="26">
        <v>43831</v>
      </c>
      <c r="F17" s="26">
        <v>44196</v>
      </c>
      <c r="G17" s="15" t="s">
        <v>32</v>
      </c>
      <c r="H17" s="28">
        <v>1</v>
      </c>
      <c r="I17" s="28">
        <v>1</v>
      </c>
      <c r="J17" s="74">
        <v>1</v>
      </c>
      <c r="K17" s="65">
        <f t="shared" si="0"/>
        <v>1</v>
      </c>
      <c r="L17" s="71">
        <f t="shared" si="1"/>
        <v>0.91388888888888886</v>
      </c>
      <c r="M17" s="33">
        <f t="shared" si="2"/>
        <v>1</v>
      </c>
      <c r="N17" s="61">
        <v>0</v>
      </c>
      <c r="O17" s="81">
        <f>245102000/1000</f>
        <v>245102</v>
      </c>
      <c r="P17" s="81">
        <f>214399999.98/1000</f>
        <v>214399.99997999999</v>
      </c>
      <c r="Q17" s="27">
        <v>0</v>
      </c>
      <c r="R17" s="28">
        <f t="shared" si="3"/>
        <v>0.87473786415451527</v>
      </c>
      <c r="S17" s="33" t="str">
        <f t="shared" si="4"/>
        <v xml:space="preserve"> -</v>
      </c>
    </row>
    <row r="18" spans="2:19" ht="135" x14ac:dyDescent="0.2">
      <c r="B18" s="133"/>
      <c r="C18" s="135"/>
      <c r="D18" s="140"/>
      <c r="E18" s="26">
        <v>43831</v>
      </c>
      <c r="F18" s="26">
        <v>44196</v>
      </c>
      <c r="G18" s="15" t="s">
        <v>33</v>
      </c>
      <c r="H18" s="28">
        <v>1</v>
      </c>
      <c r="I18" s="28">
        <v>1</v>
      </c>
      <c r="J18" s="74">
        <v>1</v>
      </c>
      <c r="K18" s="65">
        <f t="shared" si="0"/>
        <v>1</v>
      </c>
      <c r="L18" s="71">
        <f t="shared" si="1"/>
        <v>0.91388888888888886</v>
      </c>
      <c r="M18" s="33">
        <f t="shared" si="2"/>
        <v>1</v>
      </c>
      <c r="N18" s="61">
        <v>0</v>
      </c>
      <c r="O18" s="81">
        <f>991079291/1000</f>
        <v>991079.29099999997</v>
      </c>
      <c r="P18" s="81">
        <f>727199359.96/1000</f>
        <v>727199.35996000003</v>
      </c>
      <c r="Q18" s="27">
        <v>0</v>
      </c>
      <c r="R18" s="28">
        <f t="shared" si="3"/>
        <v>0.73374488455535702</v>
      </c>
      <c r="S18" s="33" t="str">
        <f t="shared" si="4"/>
        <v xml:space="preserve"> -</v>
      </c>
    </row>
    <row r="19" spans="2:19" ht="30" x14ac:dyDescent="0.2">
      <c r="B19" s="133"/>
      <c r="C19" s="135"/>
      <c r="D19" s="140"/>
      <c r="E19" s="26">
        <v>43831</v>
      </c>
      <c r="F19" s="26">
        <v>44196</v>
      </c>
      <c r="G19" s="15" t="s">
        <v>34</v>
      </c>
      <c r="H19" s="27">
        <v>4</v>
      </c>
      <c r="I19" s="27">
        <v>4</v>
      </c>
      <c r="J19" s="56">
        <v>4</v>
      </c>
      <c r="K19" s="65">
        <f t="shared" si="0"/>
        <v>1</v>
      </c>
      <c r="L19" s="71">
        <f t="shared" si="1"/>
        <v>0.91388888888888886</v>
      </c>
      <c r="M19" s="33">
        <f t="shared" si="2"/>
        <v>1</v>
      </c>
      <c r="N19" s="61">
        <v>0</v>
      </c>
      <c r="O19" s="81">
        <f>500000000/1000</f>
        <v>500000</v>
      </c>
      <c r="P19" s="81">
        <f>88000000/1000</f>
        <v>88000</v>
      </c>
      <c r="Q19" s="27">
        <v>0</v>
      </c>
      <c r="R19" s="28">
        <f t="shared" si="3"/>
        <v>0.17599999999999999</v>
      </c>
      <c r="S19" s="33" t="str">
        <f t="shared" si="4"/>
        <v xml:space="preserve"> -</v>
      </c>
    </row>
    <row r="20" spans="2:19" ht="45" x14ac:dyDescent="0.2">
      <c r="B20" s="133"/>
      <c r="C20" s="135"/>
      <c r="D20" s="140"/>
      <c r="E20" s="26">
        <v>43831</v>
      </c>
      <c r="F20" s="26">
        <v>44196</v>
      </c>
      <c r="G20" s="15" t="s">
        <v>35</v>
      </c>
      <c r="H20" s="27">
        <v>2664</v>
      </c>
      <c r="I20" s="27">
        <v>2664</v>
      </c>
      <c r="J20" s="56">
        <v>2684</v>
      </c>
      <c r="K20" s="65">
        <f t="shared" si="0"/>
        <v>1.0075075075075075</v>
      </c>
      <c r="L20" s="71">
        <f t="shared" si="1"/>
        <v>0.91388888888888886</v>
      </c>
      <c r="M20" s="33">
        <f t="shared" si="2"/>
        <v>1</v>
      </c>
      <c r="N20" s="61">
        <v>0</v>
      </c>
      <c r="O20" s="81">
        <f>3970264000/1000</f>
        <v>3970264</v>
      </c>
      <c r="P20" s="81">
        <f>1256884791/1000</f>
        <v>1256884.791</v>
      </c>
      <c r="Q20" s="27">
        <v>0</v>
      </c>
      <c r="R20" s="28">
        <f t="shared" si="3"/>
        <v>0.31657461342621046</v>
      </c>
      <c r="S20" s="33" t="str">
        <f t="shared" si="4"/>
        <v xml:space="preserve"> -</v>
      </c>
    </row>
    <row r="21" spans="2:19" ht="60" x14ac:dyDescent="0.2">
      <c r="B21" s="133"/>
      <c r="C21" s="135"/>
      <c r="D21" s="140"/>
      <c r="E21" s="26">
        <v>43831</v>
      </c>
      <c r="F21" s="26">
        <v>44196</v>
      </c>
      <c r="G21" s="15" t="s">
        <v>36</v>
      </c>
      <c r="H21" s="27">
        <v>9668</v>
      </c>
      <c r="I21" s="27">
        <v>9668</v>
      </c>
      <c r="J21" s="87">
        <v>9931</v>
      </c>
      <c r="K21" s="65">
        <f t="shared" si="0"/>
        <v>1.0272031443938767</v>
      </c>
      <c r="L21" s="71">
        <f t="shared" si="1"/>
        <v>0.91388888888888886</v>
      </c>
      <c r="M21" s="33">
        <f t="shared" si="2"/>
        <v>1</v>
      </c>
      <c r="N21" s="61">
        <v>0</v>
      </c>
      <c r="O21" s="81">
        <v>14262339</v>
      </c>
      <c r="P21" s="81">
        <f>13874545866/1000</f>
        <v>13874545.866</v>
      </c>
      <c r="Q21" s="27">
        <v>0</v>
      </c>
      <c r="R21" s="28">
        <f t="shared" si="3"/>
        <v>0.97280999042302951</v>
      </c>
      <c r="S21" s="33" t="str">
        <f t="shared" si="4"/>
        <v xml:space="preserve"> -</v>
      </c>
    </row>
    <row r="22" spans="2:19" ht="45" x14ac:dyDescent="0.2">
      <c r="B22" s="133"/>
      <c r="C22" s="135"/>
      <c r="D22" s="140"/>
      <c r="E22" s="26">
        <v>43831</v>
      </c>
      <c r="F22" s="26">
        <v>44196</v>
      </c>
      <c r="G22" s="15" t="s">
        <v>37</v>
      </c>
      <c r="H22" s="81">
        <v>40</v>
      </c>
      <c r="I22" s="81">
        <v>13</v>
      </c>
      <c r="J22" s="87">
        <v>14</v>
      </c>
      <c r="K22" s="90">
        <f t="shared" si="0"/>
        <v>1.0769230769230769</v>
      </c>
      <c r="L22" s="91">
        <f t="shared" si="1"/>
        <v>0.91388888888888886</v>
      </c>
      <c r="M22" s="33">
        <f t="shared" si="2"/>
        <v>1</v>
      </c>
      <c r="N22" s="61">
        <v>0</v>
      </c>
      <c r="O22" s="81">
        <f>2643825675/1000</f>
        <v>2643825.6749999998</v>
      </c>
      <c r="P22" s="81">
        <f>1688181644.07/1000</f>
        <v>1688181.6440699999</v>
      </c>
      <c r="Q22" s="27">
        <v>0</v>
      </c>
      <c r="R22" s="28">
        <f t="shared" si="3"/>
        <v>0.63853742704499605</v>
      </c>
      <c r="S22" s="33" t="str">
        <f t="shared" si="4"/>
        <v xml:space="preserve"> -</v>
      </c>
    </row>
    <row r="23" spans="2:19" ht="30.75" thickBot="1" x14ac:dyDescent="0.25">
      <c r="B23" s="133"/>
      <c r="C23" s="135"/>
      <c r="D23" s="144"/>
      <c r="E23" s="34">
        <v>43831</v>
      </c>
      <c r="F23" s="34">
        <v>44196</v>
      </c>
      <c r="G23" s="18" t="s">
        <v>38</v>
      </c>
      <c r="H23" s="96">
        <v>25</v>
      </c>
      <c r="I23" s="96">
        <v>5</v>
      </c>
      <c r="J23" s="99">
        <v>5</v>
      </c>
      <c r="K23" s="66">
        <f t="shared" si="0"/>
        <v>1</v>
      </c>
      <c r="L23" s="72">
        <f t="shared" si="1"/>
        <v>0.91388888888888886</v>
      </c>
      <c r="M23" s="50">
        <f t="shared" si="2"/>
        <v>1</v>
      </c>
      <c r="N23" s="62">
        <v>0</v>
      </c>
      <c r="O23" s="96">
        <f>2384786035/1000</f>
        <v>2384786.0350000001</v>
      </c>
      <c r="P23" s="96">
        <f>(187478477+353484417.85+679303788.36+24520325.14)/1000</f>
        <v>1244787.0083500003</v>
      </c>
      <c r="Q23" s="48">
        <v>0</v>
      </c>
      <c r="R23" s="49">
        <f t="shared" si="3"/>
        <v>0.52197010133447896</v>
      </c>
      <c r="S23" s="50" t="str">
        <f t="shared" si="4"/>
        <v xml:space="preserve"> -</v>
      </c>
    </row>
    <row r="24" spans="2:19" ht="45" x14ac:dyDescent="0.2">
      <c r="B24" s="133"/>
      <c r="C24" s="135"/>
      <c r="D24" s="141" t="s">
        <v>61</v>
      </c>
      <c r="E24" s="51">
        <v>43831</v>
      </c>
      <c r="F24" s="51">
        <v>44196</v>
      </c>
      <c r="G24" s="14" t="s">
        <v>39</v>
      </c>
      <c r="H24" s="30">
        <v>47</v>
      </c>
      <c r="I24" s="30">
        <v>47</v>
      </c>
      <c r="J24" s="55">
        <v>47</v>
      </c>
      <c r="K24" s="64">
        <f t="shared" si="0"/>
        <v>1</v>
      </c>
      <c r="L24" s="69">
        <f t="shared" si="1"/>
        <v>0.91388888888888886</v>
      </c>
      <c r="M24" s="32">
        <f t="shared" si="2"/>
        <v>1</v>
      </c>
      <c r="N24" s="59">
        <v>0</v>
      </c>
      <c r="O24" s="85">
        <f>210396000/1000</f>
        <v>210396</v>
      </c>
      <c r="P24" s="85">
        <v>0</v>
      </c>
      <c r="Q24" s="85">
        <v>0</v>
      </c>
      <c r="R24" s="31">
        <f t="shared" si="3"/>
        <v>0</v>
      </c>
      <c r="S24" s="32" t="str">
        <f t="shared" si="4"/>
        <v xml:space="preserve"> -</v>
      </c>
    </row>
    <row r="25" spans="2:19" ht="75" x14ac:dyDescent="0.2">
      <c r="B25" s="133"/>
      <c r="C25" s="135"/>
      <c r="D25" s="142"/>
      <c r="E25" s="26">
        <v>43831</v>
      </c>
      <c r="F25" s="26">
        <v>44196</v>
      </c>
      <c r="G25" s="15" t="s">
        <v>40</v>
      </c>
      <c r="H25" s="27">
        <v>47</v>
      </c>
      <c r="I25" s="27">
        <v>47</v>
      </c>
      <c r="J25" s="87">
        <v>47</v>
      </c>
      <c r="K25" s="90">
        <f t="shared" si="0"/>
        <v>1</v>
      </c>
      <c r="L25" s="91">
        <f t="shared" si="1"/>
        <v>0.91388888888888886</v>
      </c>
      <c r="M25" s="92">
        <f t="shared" si="2"/>
        <v>1</v>
      </c>
      <c r="N25" s="93">
        <v>0</v>
      </c>
      <c r="O25" s="81">
        <f>251706547000/1000</f>
        <v>251706547</v>
      </c>
      <c r="P25" s="81">
        <f>216035454564.65/1000</f>
        <v>216035454.56465</v>
      </c>
      <c r="Q25" s="27">
        <v>0</v>
      </c>
      <c r="R25" s="28">
        <f t="shared" si="3"/>
        <v>0.85828301702716536</v>
      </c>
      <c r="S25" s="33" t="str">
        <f t="shared" si="4"/>
        <v xml:space="preserve"> -</v>
      </c>
    </row>
    <row r="26" spans="2:19" ht="60" x14ac:dyDescent="0.2">
      <c r="B26" s="133"/>
      <c r="C26" s="135"/>
      <c r="D26" s="142"/>
      <c r="E26" s="26">
        <v>43831</v>
      </c>
      <c r="F26" s="26">
        <v>44196</v>
      </c>
      <c r="G26" s="15" t="s">
        <v>41</v>
      </c>
      <c r="H26" s="27">
        <v>900</v>
      </c>
      <c r="I26" s="27">
        <v>100</v>
      </c>
      <c r="J26" s="87">
        <v>135</v>
      </c>
      <c r="K26" s="65">
        <f t="shared" si="0"/>
        <v>1.35</v>
      </c>
      <c r="L26" s="71">
        <f t="shared" si="1"/>
        <v>0.91388888888888886</v>
      </c>
      <c r="M26" s="33">
        <f t="shared" si="2"/>
        <v>1</v>
      </c>
      <c r="N26" s="61">
        <v>0</v>
      </c>
      <c r="O26" s="81">
        <f>465000000/1000</f>
        <v>465000</v>
      </c>
      <c r="P26" s="81">
        <v>0</v>
      </c>
      <c r="Q26" s="81">
        <v>0</v>
      </c>
      <c r="R26" s="28">
        <f t="shared" si="3"/>
        <v>0</v>
      </c>
      <c r="S26" s="33" t="str">
        <f t="shared" si="4"/>
        <v xml:space="preserve"> -</v>
      </c>
    </row>
    <row r="27" spans="2:19" ht="90" x14ac:dyDescent="0.2">
      <c r="B27" s="133"/>
      <c r="C27" s="135"/>
      <c r="D27" s="142"/>
      <c r="E27" s="26">
        <v>43831</v>
      </c>
      <c r="F27" s="26">
        <v>44196</v>
      </c>
      <c r="G27" s="15" t="s">
        <v>42</v>
      </c>
      <c r="H27" s="27">
        <v>35000</v>
      </c>
      <c r="I27" s="27">
        <v>35000</v>
      </c>
      <c r="J27" s="87">
        <v>29412</v>
      </c>
      <c r="K27" s="65">
        <f t="shared" si="0"/>
        <v>0.84034285714285717</v>
      </c>
      <c r="L27" s="71">
        <f t="shared" si="1"/>
        <v>0.91388888888888886</v>
      </c>
      <c r="M27" s="33">
        <f t="shared" si="2"/>
        <v>0.84034285714285717</v>
      </c>
      <c r="N27" s="61">
        <v>0</v>
      </c>
      <c r="O27" s="81">
        <f>465000000/1000</f>
        <v>465000</v>
      </c>
      <c r="P27" s="81">
        <v>0</v>
      </c>
      <c r="Q27" s="81">
        <v>0</v>
      </c>
      <c r="R27" s="28">
        <f t="shared" si="3"/>
        <v>0</v>
      </c>
      <c r="S27" s="33" t="str">
        <f t="shared" si="4"/>
        <v xml:space="preserve"> -</v>
      </c>
    </row>
    <row r="28" spans="2:19" ht="60" x14ac:dyDescent="0.2">
      <c r="B28" s="133"/>
      <c r="C28" s="135"/>
      <c r="D28" s="142"/>
      <c r="E28" s="26">
        <v>43831</v>
      </c>
      <c r="F28" s="26">
        <v>44196</v>
      </c>
      <c r="G28" s="15" t="s">
        <v>43</v>
      </c>
      <c r="H28" s="27">
        <v>1500</v>
      </c>
      <c r="I28" s="27">
        <v>0</v>
      </c>
      <c r="J28" s="56">
        <v>0</v>
      </c>
      <c r="K28" s="65" t="e">
        <f t="shared" si="0"/>
        <v>#DIV/0!</v>
      </c>
      <c r="L28" s="71">
        <f t="shared" si="1"/>
        <v>0.91388888888888886</v>
      </c>
      <c r="M28" s="33" t="str">
        <f t="shared" si="2"/>
        <v xml:space="preserve"> -</v>
      </c>
      <c r="N28" s="61">
        <v>0</v>
      </c>
      <c r="O28" s="81">
        <v>0</v>
      </c>
      <c r="P28" s="81">
        <v>0</v>
      </c>
      <c r="Q28" s="27">
        <v>0</v>
      </c>
      <c r="R28" s="28" t="str">
        <f t="shared" si="3"/>
        <v xml:space="preserve"> -</v>
      </c>
      <c r="S28" s="33" t="str">
        <f t="shared" si="4"/>
        <v xml:space="preserve"> -</v>
      </c>
    </row>
    <row r="29" spans="2:19" ht="60" x14ac:dyDescent="0.2">
      <c r="B29" s="133"/>
      <c r="C29" s="135"/>
      <c r="D29" s="142"/>
      <c r="E29" s="26">
        <v>43831</v>
      </c>
      <c r="F29" s="26">
        <v>44196</v>
      </c>
      <c r="G29" s="86" t="s">
        <v>44</v>
      </c>
      <c r="H29" s="27">
        <v>20</v>
      </c>
      <c r="I29" s="27">
        <v>20</v>
      </c>
      <c r="J29" s="56">
        <v>20</v>
      </c>
      <c r="K29" s="65">
        <f t="shared" si="0"/>
        <v>1</v>
      </c>
      <c r="L29" s="71">
        <f t="shared" si="1"/>
        <v>0.91388888888888886</v>
      </c>
      <c r="M29" s="33">
        <f t="shared" si="2"/>
        <v>1</v>
      </c>
      <c r="N29" s="61">
        <v>0</v>
      </c>
      <c r="O29" s="81">
        <f>100000000/1000</f>
        <v>100000</v>
      </c>
      <c r="P29" s="81">
        <v>0</v>
      </c>
      <c r="Q29" s="81">
        <v>0</v>
      </c>
      <c r="R29" s="28">
        <f t="shared" si="3"/>
        <v>0</v>
      </c>
      <c r="S29" s="33" t="str">
        <f t="shared" si="4"/>
        <v xml:space="preserve"> -</v>
      </c>
    </row>
    <row r="30" spans="2:19" ht="45" x14ac:dyDescent="0.2">
      <c r="B30" s="133"/>
      <c r="C30" s="135"/>
      <c r="D30" s="142"/>
      <c r="E30" s="89">
        <v>43831</v>
      </c>
      <c r="F30" s="89">
        <v>44196</v>
      </c>
      <c r="G30" s="15" t="s">
        <v>45</v>
      </c>
      <c r="H30" s="81">
        <v>4</v>
      </c>
      <c r="I30" s="81">
        <v>1</v>
      </c>
      <c r="J30" s="87">
        <v>1</v>
      </c>
      <c r="K30" s="90">
        <f t="shared" si="0"/>
        <v>1</v>
      </c>
      <c r="L30" s="91">
        <f t="shared" si="1"/>
        <v>0.91388888888888886</v>
      </c>
      <c r="M30" s="92">
        <f t="shared" si="2"/>
        <v>1</v>
      </c>
      <c r="N30" s="93">
        <v>0</v>
      </c>
      <c r="O30" s="81">
        <f>100000000/1000</f>
        <v>100000</v>
      </c>
      <c r="P30" s="81">
        <v>0</v>
      </c>
      <c r="Q30" s="81">
        <v>0</v>
      </c>
      <c r="R30" s="94">
        <f t="shared" si="3"/>
        <v>0</v>
      </c>
      <c r="S30" s="92" t="str">
        <f t="shared" si="4"/>
        <v xml:space="preserve"> -</v>
      </c>
    </row>
    <row r="31" spans="2:19" ht="30" x14ac:dyDescent="0.2">
      <c r="B31" s="133"/>
      <c r="C31" s="135"/>
      <c r="D31" s="142"/>
      <c r="E31" s="26">
        <v>43831</v>
      </c>
      <c r="F31" s="26">
        <v>44196</v>
      </c>
      <c r="G31" s="15" t="s">
        <v>46</v>
      </c>
      <c r="H31" s="28">
        <v>1</v>
      </c>
      <c r="I31" s="28">
        <v>1</v>
      </c>
      <c r="J31" s="88">
        <v>1</v>
      </c>
      <c r="K31" s="65">
        <f t="shared" si="0"/>
        <v>1</v>
      </c>
      <c r="L31" s="71">
        <f t="shared" si="1"/>
        <v>0.91388888888888886</v>
      </c>
      <c r="M31" s="33">
        <f t="shared" si="2"/>
        <v>1</v>
      </c>
      <c r="N31" s="61">
        <v>0</v>
      </c>
      <c r="O31" s="81">
        <f>1000000000/1000</f>
        <v>1000000</v>
      </c>
      <c r="P31" s="81">
        <f>(403050000+289872499.97)/1000</f>
        <v>692922.49997</v>
      </c>
      <c r="Q31" s="27">
        <v>0</v>
      </c>
      <c r="R31" s="28">
        <f t="shared" si="3"/>
        <v>0.69292249996999999</v>
      </c>
      <c r="S31" s="33" t="str">
        <f t="shared" si="4"/>
        <v xml:space="preserve"> -</v>
      </c>
    </row>
    <row r="32" spans="2:19" ht="75" x14ac:dyDescent="0.2">
      <c r="B32" s="133"/>
      <c r="C32" s="135"/>
      <c r="D32" s="142"/>
      <c r="E32" s="26">
        <v>43831</v>
      </c>
      <c r="F32" s="26">
        <v>44196</v>
      </c>
      <c r="G32" s="15" t="s">
        <v>47</v>
      </c>
      <c r="H32" s="27">
        <v>1</v>
      </c>
      <c r="I32" s="27">
        <v>1</v>
      </c>
      <c r="J32" s="95">
        <v>0.875</v>
      </c>
      <c r="K32" s="65">
        <f t="shared" si="0"/>
        <v>0.875</v>
      </c>
      <c r="L32" s="71">
        <f t="shared" si="1"/>
        <v>0.91388888888888886</v>
      </c>
      <c r="M32" s="33">
        <f t="shared" si="2"/>
        <v>0.875</v>
      </c>
      <c r="N32" s="61">
        <v>0</v>
      </c>
      <c r="O32" s="81">
        <f>69983365/1000</f>
        <v>69983.365000000005</v>
      </c>
      <c r="P32" s="81">
        <v>0</v>
      </c>
      <c r="Q32" s="81">
        <v>0</v>
      </c>
      <c r="R32" s="28">
        <f t="shared" si="3"/>
        <v>0</v>
      </c>
      <c r="S32" s="33" t="str">
        <f t="shared" si="4"/>
        <v xml:space="preserve"> -</v>
      </c>
    </row>
    <row r="33" spans="2:19" ht="60" customHeight="1" x14ac:dyDescent="0.2">
      <c r="B33" s="133"/>
      <c r="C33" s="135"/>
      <c r="D33" s="142"/>
      <c r="E33" s="26">
        <v>43831</v>
      </c>
      <c r="F33" s="26">
        <v>44196</v>
      </c>
      <c r="G33" s="15" t="s">
        <v>48</v>
      </c>
      <c r="H33" s="28">
        <v>1</v>
      </c>
      <c r="I33" s="28">
        <v>1</v>
      </c>
      <c r="J33" s="88">
        <v>1</v>
      </c>
      <c r="K33" s="65">
        <f t="shared" si="0"/>
        <v>1</v>
      </c>
      <c r="L33" s="71">
        <f t="shared" si="1"/>
        <v>0.91388888888888886</v>
      </c>
      <c r="M33" s="33">
        <f t="shared" si="2"/>
        <v>1</v>
      </c>
      <c r="N33" s="61">
        <v>0</v>
      </c>
      <c r="O33" s="81">
        <f>200000000/1000</f>
        <v>200000</v>
      </c>
      <c r="P33" s="81">
        <f>(21621400+50356200)/1000</f>
        <v>71977.600000000006</v>
      </c>
      <c r="Q33" s="27">
        <v>0</v>
      </c>
      <c r="R33" s="28">
        <f t="shared" si="3"/>
        <v>0.35988800000000004</v>
      </c>
      <c r="S33" s="33" t="str">
        <f t="shared" si="4"/>
        <v xml:space="preserve"> -</v>
      </c>
    </row>
    <row r="34" spans="2:19" ht="75.75" thickBot="1" x14ac:dyDescent="0.25">
      <c r="B34" s="133"/>
      <c r="C34" s="135"/>
      <c r="D34" s="143"/>
      <c r="E34" s="34">
        <v>43831</v>
      </c>
      <c r="F34" s="34">
        <v>44196</v>
      </c>
      <c r="G34" s="16" t="s">
        <v>49</v>
      </c>
      <c r="H34" s="35">
        <v>1</v>
      </c>
      <c r="I34" s="35">
        <v>0</v>
      </c>
      <c r="J34" s="83">
        <v>0</v>
      </c>
      <c r="K34" s="67" t="e">
        <f t="shared" si="0"/>
        <v>#DIV/0!</v>
      </c>
      <c r="L34" s="70">
        <f t="shared" si="1"/>
        <v>0.91388888888888886</v>
      </c>
      <c r="M34" s="37" t="str">
        <f t="shared" si="2"/>
        <v xml:space="preserve"> -</v>
      </c>
      <c r="N34" s="60">
        <v>0</v>
      </c>
      <c r="O34" s="97">
        <v>0</v>
      </c>
      <c r="P34" s="97">
        <v>0</v>
      </c>
      <c r="Q34" s="35">
        <v>0</v>
      </c>
      <c r="R34" s="36" t="str">
        <f t="shared" si="3"/>
        <v xml:space="preserve"> -</v>
      </c>
      <c r="S34" s="37" t="str">
        <f t="shared" si="4"/>
        <v xml:space="preserve"> -</v>
      </c>
    </row>
    <row r="35" spans="2:19" ht="60" x14ac:dyDescent="0.2">
      <c r="B35" s="133"/>
      <c r="C35" s="135"/>
      <c r="D35" s="139" t="s">
        <v>62</v>
      </c>
      <c r="E35" s="51">
        <v>43831</v>
      </c>
      <c r="F35" s="51">
        <v>44196</v>
      </c>
      <c r="G35" s="17" t="s">
        <v>50</v>
      </c>
      <c r="H35" s="52">
        <v>4000</v>
      </c>
      <c r="I35" s="52">
        <v>0</v>
      </c>
      <c r="J35" s="58">
        <v>0</v>
      </c>
      <c r="K35" s="68" t="e">
        <f t="shared" si="0"/>
        <v>#DIV/0!</v>
      </c>
      <c r="L35" s="73">
        <f t="shared" si="1"/>
        <v>0.91388888888888886</v>
      </c>
      <c r="M35" s="54" t="str">
        <f t="shared" si="2"/>
        <v xml:space="preserve"> -</v>
      </c>
      <c r="N35" s="63">
        <v>0</v>
      </c>
      <c r="O35" s="98">
        <v>0</v>
      </c>
      <c r="P35" s="98">
        <v>0</v>
      </c>
      <c r="Q35" s="52">
        <v>0</v>
      </c>
      <c r="R35" s="53" t="str">
        <f t="shared" si="3"/>
        <v xml:space="preserve"> -</v>
      </c>
      <c r="S35" s="54" t="str">
        <f t="shared" si="4"/>
        <v xml:space="preserve"> -</v>
      </c>
    </row>
    <row r="36" spans="2:19" ht="60" x14ac:dyDescent="0.2">
      <c r="B36" s="133"/>
      <c r="C36" s="135"/>
      <c r="D36" s="140"/>
      <c r="E36" s="26">
        <v>43831</v>
      </c>
      <c r="F36" s="26">
        <v>44196</v>
      </c>
      <c r="G36" s="15" t="s">
        <v>51</v>
      </c>
      <c r="H36" s="28">
        <v>1</v>
      </c>
      <c r="I36" s="28">
        <v>1</v>
      </c>
      <c r="J36" s="74">
        <v>1</v>
      </c>
      <c r="K36" s="65">
        <f t="shared" si="0"/>
        <v>1</v>
      </c>
      <c r="L36" s="71">
        <f t="shared" si="1"/>
        <v>0.91388888888888886</v>
      </c>
      <c r="M36" s="33">
        <f t="shared" si="2"/>
        <v>1</v>
      </c>
      <c r="N36" s="61">
        <v>0</v>
      </c>
      <c r="O36" s="81">
        <f>4477890000/1000</f>
        <v>4477890</v>
      </c>
      <c r="P36" s="81">
        <f>(2843085470+83433802.79)/1000</f>
        <v>2926519.2727899998</v>
      </c>
      <c r="Q36" s="27">
        <f>1068249962/1000</f>
        <v>1068249.9620000001</v>
      </c>
      <c r="R36" s="28">
        <f t="shared" si="3"/>
        <v>0.65354871888099075</v>
      </c>
      <c r="S36" s="33">
        <f t="shared" si="4"/>
        <v>0.36502406525468839</v>
      </c>
    </row>
    <row r="37" spans="2:19" ht="105.75" thickBot="1" x14ac:dyDescent="0.25">
      <c r="B37" s="132"/>
      <c r="C37" s="136"/>
      <c r="D37" s="138"/>
      <c r="E37" s="47">
        <v>43831</v>
      </c>
      <c r="F37" s="47">
        <v>44196</v>
      </c>
      <c r="G37" s="16" t="s">
        <v>52</v>
      </c>
      <c r="H37" s="35">
        <v>3000</v>
      </c>
      <c r="I37" s="35">
        <v>0</v>
      </c>
      <c r="J37" s="57">
        <v>0</v>
      </c>
      <c r="K37" s="67" t="e">
        <f t="shared" si="0"/>
        <v>#DIV/0!</v>
      </c>
      <c r="L37" s="70">
        <f t="shared" si="1"/>
        <v>0.91388888888888886</v>
      </c>
      <c r="M37" s="37" t="str">
        <f t="shared" si="2"/>
        <v xml:space="preserve"> -</v>
      </c>
      <c r="N37" s="60">
        <v>0</v>
      </c>
      <c r="O37" s="97">
        <v>0</v>
      </c>
      <c r="P37" s="97">
        <v>0</v>
      </c>
      <c r="Q37" s="35">
        <v>0</v>
      </c>
      <c r="R37" s="36" t="str">
        <f t="shared" si="3"/>
        <v xml:space="preserve"> -</v>
      </c>
      <c r="S37" s="37" t="str">
        <f t="shared" si="4"/>
        <v xml:space="preserve"> -</v>
      </c>
    </row>
    <row r="38" spans="2:19" ht="12.95" customHeight="1" thickBot="1" x14ac:dyDescent="0.25">
      <c r="B38" s="38"/>
      <c r="C38" s="39"/>
      <c r="D38" s="39"/>
      <c r="E38" s="40"/>
      <c r="F38" s="40"/>
      <c r="G38" s="41"/>
      <c r="H38" s="42"/>
      <c r="I38" s="42"/>
      <c r="J38" s="42"/>
      <c r="K38" s="43"/>
      <c r="L38" s="44"/>
      <c r="M38" s="44"/>
      <c r="N38" s="45"/>
      <c r="O38" s="42"/>
      <c r="P38" s="42"/>
      <c r="Q38" s="42"/>
      <c r="R38" s="44"/>
      <c r="S38" s="46"/>
    </row>
    <row r="39" spans="2:19" ht="54.95" customHeight="1" x14ac:dyDescent="0.2">
      <c r="B39" s="131" t="s">
        <v>57</v>
      </c>
      <c r="C39" s="134" t="s">
        <v>56</v>
      </c>
      <c r="D39" s="137" t="s">
        <v>55</v>
      </c>
      <c r="E39" s="51">
        <v>43831</v>
      </c>
      <c r="F39" s="51">
        <v>44196</v>
      </c>
      <c r="G39" s="14" t="s">
        <v>53</v>
      </c>
      <c r="H39" s="30">
        <v>70</v>
      </c>
      <c r="I39" s="30">
        <v>35</v>
      </c>
      <c r="J39" s="55">
        <v>51</v>
      </c>
      <c r="K39" s="64">
        <f t="shared" si="0"/>
        <v>1.4571428571428571</v>
      </c>
      <c r="L39" s="69">
        <f t="shared" si="1"/>
        <v>0.91388888888888886</v>
      </c>
      <c r="M39" s="32">
        <f t="shared" si="2"/>
        <v>1</v>
      </c>
      <c r="N39" s="59">
        <v>0</v>
      </c>
      <c r="O39" s="85">
        <f>1419980838.86/1000</f>
        <v>1419980.8388599998</v>
      </c>
      <c r="P39" s="85">
        <f>(1121921949+228872858+69107980.86)/1000</f>
        <v>1419902.7878599998</v>
      </c>
      <c r="Q39" s="30">
        <f>1228240200/1000</f>
        <v>1228240.2</v>
      </c>
      <c r="R39" s="31">
        <f t="shared" si="3"/>
        <v>0.99994503376534105</v>
      </c>
      <c r="S39" s="32">
        <f t="shared" si="4"/>
        <v>0.86501710574928636</v>
      </c>
    </row>
    <row r="40" spans="2:19" ht="54.95" customHeight="1" thickBot="1" x14ac:dyDescent="0.25">
      <c r="B40" s="132"/>
      <c r="C40" s="136"/>
      <c r="D40" s="138"/>
      <c r="E40" s="34">
        <v>43831</v>
      </c>
      <c r="F40" s="34">
        <v>44196</v>
      </c>
      <c r="G40" s="16" t="s">
        <v>54</v>
      </c>
      <c r="H40" s="35">
        <v>47</v>
      </c>
      <c r="I40" s="35">
        <v>47</v>
      </c>
      <c r="J40" s="57">
        <v>0</v>
      </c>
      <c r="K40" s="67">
        <f t="shared" si="0"/>
        <v>0</v>
      </c>
      <c r="L40" s="70">
        <f t="shared" si="1"/>
        <v>0.91388888888888886</v>
      </c>
      <c r="M40" s="37">
        <f t="shared" si="2"/>
        <v>0</v>
      </c>
      <c r="N40" s="60">
        <v>0</v>
      </c>
      <c r="O40" s="97">
        <f>815888676/1000</f>
        <v>815888.67599999998</v>
      </c>
      <c r="P40" s="97">
        <v>0</v>
      </c>
      <c r="Q40" s="35">
        <v>0</v>
      </c>
      <c r="R40" s="36">
        <f t="shared" si="3"/>
        <v>0</v>
      </c>
      <c r="S40" s="37" t="str">
        <f t="shared" si="4"/>
        <v xml:space="preserve"> -</v>
      </c>
    </row>
    <row r="41" spans="2:19" ht="21" customHeight="1" thickBot="1" x14ac:dyDescent="0.25">
      <c r="E41" s="13"/>
      <c r="F41" s="13"/>
      <c r="H41" s="10"/>
      <c r="I41" s="10"/>
      <c r="J41" s="10"/>
      <c r="K41" s="11"/>
      <c r="L41" s="75">
        <f>+AVERAGE(L12:L37,L39:L40)</f>
        <v>0.91388888888888875</v>
      </c>
      <c r="M41" s="76">
        <f>+AVERAGE(M12:M37,M39:M40)</f>
        <v>0.92325020094994525</v>
      </c>
      <c r="N41" s="77"/>
      <c r="O41" s="78">
        <f>+SUM(O12:O37,O39:O40)</f>
        <v>311276409.51786</v>
      </c>
      <c r="P41" s="79">
        <f>+SUM(P12:P37,P39:P40)</f>
        <v>265160719.49390998</v>
      </c>
      <c r="Q41" s="79">
        <f>+SUM(Q12:Q37,Q39:Q40)</f>
        <v>2296490.162</v>
      </c>
      <c r="R41" s="80">
        <f t="shared" si="3"/>
        <v>0.85184971101607354</v>
      </c>
      <c r="S41" s="76">
        <f t="shared" si="4"/>
        <v>8.6607479659246596E-3</v>
      </c>
    </row>
    <row r="42" spans="2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2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2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2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2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2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2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5">
    <mergeCell ref="H10:H11"/>
    <mergeCell ref="B39:B40"/>
    <mergeCell ref="B12:B37"/>
    <mergeCell ref="C12:C37"/>
    <mergeCell ref="C39:C40"/>
    <mergeCell ref="D39:D40"/>
    <mergeCell ref="D35:D37"/>
    <mergeCell ref="D24:D34"/>
    <mergeCell ref="D12:D23"/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29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2020-12-09T15:12:06Z</cp:lastPrinted>
  <dcterms:created xsi:type="dcterms:W3CDTF">2008-07-08T21:30:46Z</dcterms:created>
  <dcterms:modified xsi:type="dcterms:W3CDTF">2020-12-10T18:54:33Z</dcterms:modified>
</cp:coreProperties>
</file>